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40" windowWidth="12120" windowHeight="4776" tabRatio="742" activeTab="6"/>
  </bookViews>
  <sheets>
    <sheet name="Supplies" sheetId="1" r:id="rId1"/>
    <sheet name="EOLSupplies" sheetId="2" r:id="rId2"/>
    <sheet name="BaseloadMarkets" sheetId="8" r:id="rId3"/>
    <sheet name="SwingMarkets" sheetId="9" r:id="rId4"/>
    <sheet name="EOLMarkets" sheetId="5" r:id="rId5"/>
    <sheet name="OCCMarkets" sheetId="13" r:id="rId6"/>
    <sheet name="EES" sheetId="1024" r:id="rId7"/>
    <sheet name="Border" sheetId="32" r:id="rId8"/>
    <sheet name="Summary" sheetId="2316" r:id="rId9"/>
    <sheet name="5 Day" sheetId="2819" r:id="rId10"/>
    <sheet name="Hub" sheetId="2561" r:id="rId11"/>
    <sheet name="Oxy" sheetId="267" r:id="rId12"/>
    <sheet name="Smurfit" sheetId="10541" r:id="rId13"/>
  </sheets>
  <definedNames>
    <definedName name="BaseloadMarkets">BaseloadMarkets!$A$1:$DU$41</definedName>
    <definedName name="CanFibre" localSheetId="4">EOLMarkets!$A$1:$B$37</definedName>
    <definedName name="CanFibre" localSheetId="1">EOLSupplies!$A$1:$B$37</definedName>
    <definedName name="CanFibre" localSheetId="3">SwingMarkets!$A$1:$B$37</definedName>
    <definedName name="CanFibre">OCCMarkets!$A$1:$AB$37</definedName>
    <definedName name="EES" localSheetId="8">EES!$A$1:$AR$36</definedName>
    <definedName name="EES">EES!$A$1:$AR$36</definedName>
    <definedName name="EOLMarkets">EOLMarkets!$A$1:$IK$37</definedName>
    <definedName name="EOLMarkets2">#REF!</definedName>
    <definedName name="EOLMarkets3">#REF!</definedName>
    <definedName name="EOLMarkets4">#REF!</definedName>
    <definedName name="EOLMarkets5">#REF!</definedName>
    <definedName name="EOLMarkets6">#REF!</definedName>
    <definedName name="EOLSuplies4">#REF!</definedName>
    <definedName name="EOLSuppies3">#REF!</definedName>
    <definedName name="EOLSupplies">EOLSupplies!$A$1:$ED$37</definedName>
    <definedName name="EOLSupplies2">#REF!</definedName>
    <definedName name="EOLSupplies3">#REF!</definedName>
    <definedName name="EOLSupplies4">#REF!</definedName>
    <definedName name="EOLSupplies5">#REF!</definedName>
    <definedName name="Filtrol" localSheetId="4">EOLMarkets!$A$1:$B$37</definedName>
    <definedName name="Filtrol" localSheetId="1">EOLSupplies!$A$1:$B$37</definedName>
    <definedName name="Filtrol" localSheetId="3">SwingMarkets!$A$1:$B$37</definedName>
    <definedName name="Filtrol">OCCMarkets!$A$1:$U$37</definedName>
    <definedName name="Hub">Hub!$A$1:$HA$38</definedName>
    <definedName name="Oxy" localSheetId="10">Hub!$A$1:$G$37</definedName>
    <definedName name="Oxy" localSheetId="8">Oxy!$A$1:$G$37</definedName>
    <definedName name="Oxy">Oxy!$A$1:$G$37</definedName>
    <definedName name="Pasadena" localSheetId="4">EOLMarkets!$A$1:$B$37</definedName>
    <definedName name="Pasadena" localSheetId="1">EOLSupplies!$A$1:$B$37</definedName>
    <definedName name="Pasadena" localSheetId="3">SwingMarkets!$A$1:$B$37</definedName>
    <definedName name="Pasadena">OCCMarkets!$A$1:$N$37</definedName>
    <definedName name="_xlnm.Print_Area" localSheetId="7">Border!$A$3:$T$35</definedName>
    <definedName name="_xlnm.Print_Area" localSheetId="4">EOLMarkets!$A$1:$ET$37</definedName>
    <definedName name="_xlnm.Print_Area" localSheetId="1">EOLSupplies!$A$1:$DV$37</definedName>
    <definedName name="_xlnm.Print_Area" localSheetId="8">Summary!$A$1:$R$109</definedName>
    <definedName name="_xlnm.Print_Titles" localSheetId="2">BaseloadMarkets!$A:$A</definedName>
    <definedName name="_xlnm.Print_Titles" localSheetId="7">Border!$A:$A</definedName>
    <definedName name="_xlnm.Print_Titles" localSheetId="4">EOLMarkets!$A:$A</definedName>
    <definedName name="_xlnm.Print_Titles" localSheetId="1">EOLSupplies!$A:$A</definedName>
    <definedName name="_xlnm.Print_Titles" localSheetId="5">OCCMarkets!$A:$A</definedName>
    <definedName name="_xlnm.Print_Titles" localSheetId="3">SwingMarkets!$A:$A</definedName>
    <definedName name="Smurfit" localSheetId="4">EOLMarkets!$A$1:$B$37</definedName>
    <definedName name="Smurfit" localSheetId="1">EOLSupplies!$A$1:$B$37</definedName>
    <definedName name="Smurfit" localSheetId="5">OCCMarkets!$A$1:$BK$37</definedName>
    <definedName name="Smurfit" localSheetId="3">SwingMarkets!$A$1:$B$37</definedName>
    <definedName name="Smurfit">Smurfit!$A$1:$AO$38</definedName>
    <definedName name="Supplies">Supplies!$A$1:$BE$44</definedName>
    <definedName name="Top" localSheetId="4">EOLMarkets!$A$1</definedName>
    <definedName name="Top" localSheetId="1">EOLSupplies!$A$1</definedName>
    <definedName name="Top" localSheetId="5">OCCMarkets!$A$1</definedName>
    <definedName name="Top" localSheetId="3">SwingMarkets!$A$1</definedName>
    <definedName name="Top">BaseloadMarkets!$A$1</definedName>
  </definedNames>
  <calcPr calcId="0" fullCalcOnLoad="1"/>
</workbook>
</file>

<file path=xl/calcChain.xml><?xml version="1.0" encoding="utf-8"?>
<calcChain xmlns="http://schemas.openxmlformats.org/spreadsheetml/2006/main">
  <c r="A6" i="2819" l="1"/>
  <c r="B6" i="2819"/>
  <c r="C6" i="2819"/>
  <c r="D6" i="2819"/>
  <c r="E6" i="2819"/>
  <c r="F6" i="2819"/>
  <c r="H6" i="2819"/>
  <c r="I6" i="2819"/>
  <c r="J6" i="2819"/>
  <c r="K6" i="2819"/>
  <c r="L6" i="2819"/>
  <c r="N6" i="2819"/>
  <c r="O6" i="2819"/>
  <c r="P6" i="2819"/>
  <c r="Q6" i="2819"/>
  <c r="R6" i="2819"/>
  <c r="T6" i="2819"/>
  <c r="U6" i="2819"/>
  <c r="V6" i="2819"/>
  <c r="W6" i="2819"/>
  <c r="X6" i="2819"/>
  <c r="Z6" i="2819"/>
  <c r="AA6" i="2819"/>
  <c r="AB6" i="2819"/>
  <c r="AC6" i="2819"/>
  <c r="AD6" i="2819"/>
  <c r="AF6" i="2819"/>
  <c r="AG6" i="2819"/>
  <c r="AH6" i="2819"/>
  <c r="AI6" i="2819"/>
  <c r="AJ6" i="2819"/>
  <c r="AL6" i="2819"/>
  <c r="AM6" i="2819"/>
  <c r="AN6" i="2819"/>
  <c r="AO6" i="2819"/>
  <c r="AP6" i="2819"/>
  <c r="AR6" i="2819"/>
  <c r="AS6" i="2819"/>
  <c r="AT6" i="2819"/>
  <c r="AU6" i="2819"/>
  <c r="AV6" i="2819"/>
  <c r="AX6" i="2819"/>
  <c r="AY6" i="2819"/>
  <c r="AZ6" i="2819"/>
  <c r="BA6" i="2819"/>
  <c r="BB6" i="2819"/>
  <c r="BE6" i="2819"/>
  <c r="BF6" i="2819"/>
  <c r="BG6" i="2819"/>
  <c r="BH6" i="2819"/>
  <c r="BI6" i="2819"/>
  <c r="A7" i="2819"/>
  <c r="B7" i="2819"/>
  <c r="C7" i="2819"/>
  <c r="D7" i="2819"/>
  <c r="E7" i="2819"/>
  <c r="F7" i="2819"/>
  <c r="H7" i="2819"/>
  <c r="I7" i="2819"/>
  <c r="J7" i="2819"/>
  <c r="K7" i="2819"/>
  <c r="L7" i="2819"/>
  <c r="N7" i="2819"/>
  <c r="O7" i="2819"/>
  <c r="P7" i="2819"/>
  <c r="Q7" i="2819"/>
  <c r="R7" i="2819"/>
  <c r="T7" i="2819"/>
  <c r="U7" i="2819"/>
  <c r="V7" i="2819"/>
  <c r="W7" i="2819"/>
  <c r="X7" i="2819"/>
  <c r="Z7" i="2819"/>
  <c r="AA7" i="2819"/>
  <c r="AB7" i="2819"/>
  <c r="AC7" i="2819"/>
  <c r="AD7" i="2819"/>
  <c r="AF7" i="2819"/>
  <c r="AG7" i="2819"/>
  <c r="AH7" i="2819"/>
  <c r="AI7" i="2819"/>
  <c r="AJ7" i="2819"/>
  <c r="AL7" i="2819"/>
  <c r="AM7" i="2819"/>
  <c r="AN7" i="2819"/>
  <c r="AO7" i="2819"/>
  <c r="AP7" i="2819"/>
  <c r="AR7" i="2819"/>
  <c r="AS7" i="2819"/>
  <c r="AT7" i="2819"/>
  <c r="AU7" i="2819"/>
  <c r="AV7" i="2819"/>
  <c r="AX7" i="2819"/>
  <c r="AY7" i="2819"/>
  <c r="AZ7" i="2819"/>
  <c r="BA7" i="2819"/>
  <c r="BB7" i="2819"/>
  <c r="BE7" i="2819"/>
  <c r="BF7" i="2819"/>
  <c r="BG7" i="2819"/>
  <c r="BH7" i="2819"/>
  <c r="BI7" i="2819"/>
  <c r="A8" i="2819"/>
  <c r="B8" i="2819"/>
  <c r="C8" i="2819"/>
  <c r="D8" i="2819"/>
  <c r="E8" i="2819"/>
  <c r="F8" i="2819"/>
  <c r="H8" i="2819"/>
  <c r="I8" i="2819"/>
  <c r="J8" i="2819"/>
  <c r="K8" i="2819"/>
  <c r="L8" i="2819"/>
  <c r="N8" i="2819"/>
  <c r="O8" i="2819"/>
  <c r="P8" i="2819"/>
  <c r="Q8" i="2819"/>
  <c r="R8" i="2819"/>
  <c r="T8" i="2819"/>
  <c r="U8" i="2819"/>
  <c r="V8" i="2819"/>
  <c r="W8" i="2819"/>
  <c r="X8" i="2819"/>
  <c r="Z8" i="2819"/>
  <c r="AA8" i="2819"/>
  <c r="AB8" i="2819"/>
  <c r="AC8" i="2819"/>
  <c r="AD8" i="2819"/>
  <c r="AF8" i="2819"/>
  <c r="AG8" i="2819"/>
  <c r="AH8" i="2819"/>
  <c r="AI8" i="2819"/>
  <c r="AJ8" i="2819"/>
  <c r="AL8" i="2819"/>
  <c r="AM8" i="2819"/>
  <c r="AN8" i="2819"/>
  <c r="AO8" i="2819"/>
  <c r="AP8" i="2819"/>
  <c r="AR8" i="2819"/>
  <c r="AS8" i="2819"/>
  <c r="AT8" i="2819"/>
  <c r="AU8" i="2819"/>
  <c r="AV8" i="2819"/>
  <c r="AX8" i="2819"/>
  <c r="AY8" i="2819"/>
  <c r="AZ8" i="2819"/>
  <c r="BA8" i="2819"/>
  <c r="BB8" i="2819"/>
  <c r="BE8" i="2819"/>
  <c r="BF8" i="2819"/>
  <c r="BG8" i="2819"/>
  <c r="BH8" i="2819"/>
  <c r="BI8" i="2819"/>
  <c r="A9" i="2819"/>
  <c r="B9" i="2819"/>
  <c r="C9" i="2819"/>
  <c r="D9" i="2819"/>
  <c r="E9" i="2819"/>
  <c r="F9" i="2819"/>
  <c r="H9" i="2819"/>
  <c r="I9" i="2819"/>
  <c r="J9" i="2819"/>
  <c r="K9" i="2819"/>
  <c r="L9" i="2819"/>
  <c r="N9" i="2819"/>
  <c r="O9" i="2819"/>
  <c r="P9" i="2819"/>
  <c r="Q9" i="2819"/>
  <c r="R9" i="2819"/>
  <c r="T9" i="2819"/>
  <c r="U9" i="2819"/>
  <c r="V9" i="2819"/>
  <c r="W9" i="2819"/>
  <c r="X9" i="2819"/>
  <c r="Z9" i="2819"/>
  <c r="AA9" i="2819"/>
  <c r="AB9" i="2819"/>
  <c r="AC9" i="2819"/>
  <c r="AD9" i="2819"/>
  <c r="AF9" i="2819"/>
  <c r="AG9" i="2819"/>
  <c r="AH9" i="2819"/>
  <c r="AI9" i="2819"/>
  <c r="AJ9" i="2819"/>
  <c r="AL9" i="2819"/>
  <c r="AM9" i="2819"/>
  <c r="AN9" i="2819"/>
  <c r="AO9" i="2819"/>
  <c r="AP9" i="2819"/>
  <c r="AR9" i="2819"/>
  <c r="AS9" i="2819"/>
  <c r="AT9" i="2819"/>
  <c r="AU9" i="2819"/>
  <c r="AV9" i="2819"/>
  <c r="AX9" i="2819"/>
  <c r="AY9" i="2819"/>
  <c r="AZ9" i="2819"/>
  <c r="BA9" i="2819"/>
  <c r="BB9" i="2819"/>
  <c r="BE9" i="2819"/>
  <c r="BF9" i="2819"/>
  <c r="BG9" i="2819"/>
  <c r="BH9" i="2819"/>
  <c r="BI9" i="2819"/>
  <c r="A10" i="2819"/>
  <c r="B10" i="2819"/>
  <c r="C10" i="2819"/>
  <c r="D10" i="2819"/>
  <c r="E10" i="2819"/>
  <c r="F10" i="2819"/>
  <c r="G10" i="2819"/>
  <c r="H10" i="2819"/>
  <c r="I10" i="2819"/>
  <c r="J10" i="2819"/>
  <c r="K10" i="2819"/>
  <c r="L10" i="2819"/>
  <c r="M10" i="2819"/>
  <c r="N10" i="2819"/>
  <c r="O10" i="2819"/>
  <c r="P10" i="2819"/>
  <c r="Q10" i="2819"/>
  <c r="R10" i="2819"/>
  <c r="S10" i="2819"/>
  <c r="T10" i="2819"/>
  <c r="U10" i="2819"/>
  <c r="V10" i="2819"/>
  <c r="W10" i="2819"/>
  <c r="X10" i="2819"/>
  <c r="Y10" i="2819"/>
  <c r="Z10" i="2819"/>
  <c r="AA10" i="2819"/>
  <c r="AB10" i="2819"/>
  <c r="AC10" i="2819"/>
  <c r="AD10" i="2819"/>
  <c r="AE10" i="2819"/>
  <c r="AF10" i="2819"/>
  <c r="AG10" i="2819"/>
  <c r="AH10" i="2819"/>
  <c r="AI10" i="2819"/>
  <c r="AJ10" i="2819"/>
  <c r="AK10" i="2819"/>
  <c r="AL10" i="2819"/>
  <c r="AM10" i="2819"/>
  <c r="AN10" i="2819"/>
  <c r="AO10" i="2819"/>
  <c r="AP10" i="2819"/>
  <c r="AQ10" i="2819"/>
  <c r="AR10" i="2819"/>
  <c r="AS10" i="2819"/>
  <c r="AT10" i="2819"/>
  <c r="AU10" i="2819"/>
  <c r="AV10" i="2819"/>
  <c r="AW10" i="2819"/>
  <c r="AX10" i="2819"/>
  <c r="AY10" i="2819"/>
  <c r="AZ10" i="2819"/>
  <c r="BA10" i="2819"/>
  <c r="BB10" i="2819"/>
  <c r="BC10" i="2819"/>
  <c r="BE10" i="2819"/>
  <c r="BF10" i="2819"/>
  <c r="BG10" i="2819"/>
  <c r="BH10" i="2819"/>
  <c r="BI10" i="2819"/>
  <c r="BJ10" i="2819"/>
  <c r="A11" i="2819"/>
  <c r="B11" i="2819"/>
  <c r="C11" i="2819"/>
  <c r="D11" i="2819"/>
  <c r="E11" i="2819"/>
  <c r="F11" i="2819"/>
  <c r="H11" i="2819"/>
  <c r="I11" i="2819"/>
  <c r="J11" i="2819"/>
  <c r="K11" i="2819"/>
  <c r="L11" i="2819"/>
  <c r="N11" i="2819"/>
  <c r="O11" i="2819"/>
  <c r="P11" i="2819"/>
  <c r="Q11" i="2819"/>
  <c r="R11" i="2819"/>
  <c r="T11" i="2819"/>
  <c r="U11" i="2819"/>
  <c r="V11" i="2819"/>
  <c r="W11" i="2819"/>
  <c r="X11" i="2819"/>
  <c r="Z11" i="2819"/>
  <c r="AA11" i="2819"/>
  <c r="AB11" i="2819"/>
  <c r="AC11" i="2819"/>
  <c r="AD11" i="2819"/>
  <c r="AF11" i="2819"/>
  <c r="AG11" i="2819"/>
  <c r="AH11" i="2819"/>
  <c r="AI11" i="2819"/>
  <c r="AJ11" i="2819"/>
  <c r="AL11" i="2819"/>
  <c r="AM11" i="2819"/>
  <c r="AN11" i="2819"/>
  <c r="AO11" i="2819"/>
  <c r="AP11" i="2819"/>
  <c r="AR11" i="2819"/>
  <c r="AS11" i="2819"/>
  <c r="AT11" i="2819"/>
  <c r="AU11" i="2819"/>
  <c r="AV11" i="2819"/>
  <c r="AX11" i="2819"/>
  <c r="AY11" i="2819"/>
  <c r="AZ11" i="2819"/>
  <c r="BA11" i="2819"/>
  <c r="BB11" i="2819"/>
  <c r="BE11" i="2819"/>
  <c r="BF11" i="2819"/>
  <c r="BG11" i="2819"/>
  <c r="BH11" i="2819"/>
  <c r="BI11" i="2819"/>
  <c r="A12" i="2819"/>
  <c r="B12" i="2819"/>
  <c r="C12" i="2819"/>
  <c r="D12" i="2819"/>
  <c r="E12" i="2819"/>
  <c r="F12" i="2819"/>
  <c r="H12" i="2819"/>
  <c r="I12" i="2819"/>
  <c r="J12" i="2819"/>
  <c r="K12" i="2819"/>
  <c r="L12" i="2819"/>
  <c r="N12" i="2819"/>
  <c r="O12" i="2819"/>
  <c r="P12" i="2819"/>
  <c r="Q12" i="2819"/>
  <c r="R12" i="2819"/>
  <c r="T12" i="2819"/>
  <c r="U12" i="2819"/>
  <c r="V12" i="2819"/>
  <c r="W12" i="2819"/>
  <c r="X12" i="2819"/>
  <c r="Z12" i="2819"/>
  <c r="AA12" i="2819"/>
  <c r="AB12" i="2819"/>
  <c r="AC12" i="2819"/>
  <c r="AD12" i="2819"/>
  <c r="AF12" i="2819"/>
  <c r="AG12" i="2819"/>
  <c r="AH12" i="2819"/>
  <c r="AI12" i="2819"/>
  <c r="AJ12" i="2819"/>
  <c r="AL12" i="2819"/>
  <c r="AM12" i="2819"/>
  <c r="AN12" i="2819"/>
  <c r="AO12" i="2819"/>
  <c r="AP12" i="2819"/>
  <c r="AR12" i="2819"/>
  <c r="AS12" i="2819"/>
  <c r="AT12" i="2819"/>
  <c r="AU12" i="2819"/>
  <c r="AV12" i="2819"/>
  <c r="AX12" i="2819"/>
  <c r="AY12" i="2819"/>
  <c r="AZ12" i="2819"/>
  <c r="BA12" i="2819"/>
  <c r="BB12" i="2819"/>
  <c r="BE12" i="2819"/>
  <c r="BF12" i="2819"/>
  <c r="BG12" i="2819"/>
  <c r="BH12" i="2819"/>
  <c r="BI12" i="2819"/>
  <c r="A13" i="2819"/>
  <c r="B13" i="2819"/>
  <c r="C13" i="2819"/>
  <c r="D13" i="2819"/>
  <c r="E13" i="2819"/>
  <c r="F13" i="2819"/>
  <c r="H13" i="2819"/>
  <c r="I13" i="2819"/>
  <c r="J13" i="2819"/>
  <c r="K13" i="2819"/>
  <c r="L13" i="2819"/>
  <c r="N13" i="2819"/>
  <c r="O13" i="2819"/>
  <c r="P13" i="2819"/>
  <c r="Q13" i="2819"/>
  <c r="R13" i="2819"/>
  <c r="T13" i="2819"/>
  <c r="U13" i="2819"/>
  <c r="V13" i="2819"/>
  <c r="W13" i="2819"/>
  <c r="X13" i="2819"/>
  <c r="Z13" i="2819"/>
  <c r="AA13" i="2819"/>
  <c r="AB13" i="2819"/>
  <c r="AC13" i="2819"/>
  <c r="AD13" i="2819"/>
  <c r="AF13" i="2819"/>
  <c r="AG13" i="2819"/>
  <c r="AH13" i="2819"/>
  <c r="AI13" i="2819"/>
  <c r="AJ13" i="2819"/>
  <c r="AL13" i="2819"/>
  <c r="AM13" i="2819"/>
  <c r="AN13" i="2819"/>
  <c r="AO13" i="2819"/>
  <c r="AP13" i="2819"/>
  <c r="AR13" i="2819"/>
  <c r="AS13" i="2819"/>
  <c r="AT13" i="2819"/>
  <c r="AU13" i="2819"/>
  <c r="AV13" i="2819"/>
  <c r="AX13" i="2819"/>
  <c r="AY13" i="2819"/>
  <c r="AZ13" i="2819"/>
  <c r="BA13" i="2819"/>
  <c r="BB13" i="2819"/>
  <c r="BE13" i="2819"/>
  <c r="BF13" i="2819"/>
  <c r="BG13" i="2819"/>
  <c r="BH13" i="2819"/>
  <c r="BI13" i="2819"/>
  <c r="A14" i="2819"/>
  <c r="B14" i="2819"/>
  <c r="C14" i="2819"/>
  <c r="D14" i="2819"/>
  <c r="E14" i="2819"/>
  <c r="F14" i="2819"/>
  <c r="H14" i="2819"/>
  <c r="I14" i="2819"/>
  <c r="J14" i="2819"/>
  <c r="K14" i="2819"/>
  <c r="L14" i="2819"/>
  <c r="N14" i="2819"/>
  <c r="O14" i="2819"/>
  <c r="P14" i="2819"/>
  <c r="Q14" i="2819"/>
  <c r="R14" i="2819"/>
  <c r="T14" i="2819"/>
  <c r="U14" i="2819"/>
  <c r="V14" i="2819"/>
  <c r="W14" i="2819"/>
  <c r="X14" i="2819"/>
  <c r="Z14" i="2819"/>
  <c r="AA14" i="2819"/>
  <c r="AB14" i="2819"/>
  <c r="AC14" i="2819"/>
  <c r="AD14" i="2819"/>
  <c r="AF14" i="2819"/>
  <c r="AG14" i="2819"/>
  <c r="AH14" i="2819"/>
  <c r="AI14" i="2819"/>
  <c r="AJ14" i="2819"/>
  <c r="AL14" i="2819"/>
  <c r="AM14" i="2819"/>
  <c r="AN14" i="2819"/>
  <c r="AO14" i="2819"/>
  <c r="AP14" i="2819"/>
  <c r="AR14" i="2819"/>
  <c r="AS14" i="2819"/>
  <c r="AT14" i="2819"/>
  <c r="AU14" i="2819"/>
  <c r="AV14" i="2819"/>
  <c r="AX14" i="2819"/>
  <c r="AY14" i="2819"/>
  <c r="AZ14" i="2819"/>
  <c r="BA14" i="2819"/>
  <c r="BB14" i="2819"/>
  <c r="BE14" i="2819"/>
  <c r="BF14" i="2819"/>
  <c r="BG14" i="2819"/>
  <c r="BH14" i="2819"/>
  <c r="BI14" i="2819"/>
  <c r="A15" i="2819"/>
  <c r="B15" i="2819"/>
  <c r="C15" i="2819"/>
  <c r="D15" i="2819"/>
  <c r="E15" i="2819"/>
  <c r="F15" i="2819"/>
  <c r="G15" i="2819"/>
  <c r="H15" i="2819"/>
  <c r="I15" i="2819"/>
  <c r="J15" i="2819"/>
  <c r="K15" i="2819"/>
  <c r="L15" i="2819"/>
  <c r="M15" i="2819"/>
  <c r="N15" i="2819"/>
  <c r="O15" i="2819"/>
  <c r="P15" i="2819"/>
  <c r="Q15" i="2819"/>
  <c r="R15" i="2819"/>
  <c r="S15" i="2819"/>
  <c r="T15" i="2819"/>
  <c r="U15" i="2819"/>
  <c r="V15" i="2819"/>
  <c r="W15" i="2819"/>
  <c r="X15" i="2819"/>
  <c r="Y15" i="2819"/>
  <c r="Z15" i="2819"/>
  <c r="AA15" i="2819"/>
  <c r="AB15" i="2819"/>
  <c r="AC15" i="2819"/>
  <c r="AD15" i="2819"/>
  <c r="AE15" i="2819"/>
  <c r="AF15" i="2819"/>
  <c r="AG15" i="2819"/>
  <c r="AH15" i="2819"/>
  <c r="AI15" i="2819"/>
  <c r="AJ15" i="2819"/>
  <c r="AK15" i="2819"/>
  <c r="AL15" i="2819"/>
  <c r="AM15" i="2819"/>
  <c r="AN15" i="2819"/>
  <c r="AO15" i="2819"/>
  <c r="AP15" i="2819"/>
  <c r="AQ15" i="2819"/>
  <c r="AR15" i="2819"/>
  <c r="AS15" i="2819"/>
  <c r="AT15" i="2819"/>
  <c r="AU15" i="2819"/>
  <c r="AV15" i="2819"/>
  <c r="AW15" i="2819"/>
  <c r="AX15" i="2819"/>
  <c r="AY15" i="2819"/>
  <c r="AZ15" i="2819"/>
  <c r="BA15" i="2819"/>
  <c r="BB15" i="2819"/>
  <c r="BC15" i="2819"/>
  <c r="BE15" i="2819"/>
  <c r="BF15" i="2819"/>
  <c r="BG15" i="2819"/>
  <c r="BH15" i="2819"/>
  <c r="BI15" i="2819"/>
  <c r="BJ15" i="2819"/>
  <c r="A16" i="2819"/>
  <c r="B16" i="2819"/>
  <c r="C16" i="2819"/>
  <c r="D16" i="2819"/>
  <c r="E16" i="2819"/>
  <c r="F16" i="2819"/>
  <c r="H16" i="2819"/>
  <c r="I16" i="2819"/>
  <c r="J16" i="2819"/>
  <c r="K16" i="2819"/>
  <c r="L16" i="2819"/>
  <c r="N16" i="2819"/>
  <c r="O16" i="2819"/>
  <c r="P16" i="2819"/>
  <c r="Q16" i="2819"/>
  <c r="R16" i="2819"/>
  <c r="T16" i="2819"/>
  <c r="U16" i="2819"/>
  <c r="V16" i="2819"/>
  <c r="W16" i="2819"/>
  <c r="X16" i="2819"/>
  <c r="Z16" i="2819"/>
  <c r="AA16" i="2819"/>
  <c r="AB16" i="2819"/>
  <c r="AC16" i="2819"/>
  <c r="AD16" i="2819"/>
  <c r="AF16" i="2819"/>
  <c r="AG16" i="2819"/>
  <c r="AH16" i="2819"/>
  <c r="AI16" i="2819"/>
  <c r="AJ16" i="2819"/>
  <c r="AL16" i="2819"/>
  <c r="AM16" i="2819"/>
  <c r="AN16" i="2819"/>
  <c r="AO16" i="2819"/>
  <c r="AP16" i="2819"/>
  <c r="AR16" i="2819"/>
  <c r="AS16" i="2819"/>
  <c r="AT16" i="2819"/>
  <c r="AU16" i="2819"/>
  <c r="AV16" i="2819"/>
  <c r="AX16" i="2819"/>
  <c r="AY16" i="2819"/>
  <c r="AZ16" i="2819"/>
  <c r="BA16" i="2819"/>
  <c r="BB16" i="2819"/>
  <c r="BE16" i="2819"/>
  <c r="BF16" i="2819"/>
  <c r="BG16" i="2819"/>
  <c r="BH16" i="2819"/>
  <c r="BI16" i="2819"/>
  <c r="A17" i="2819"/>
  <c r="B17" i="2819"/>
  <c r="C17" i="2819"/>
  <c r="D17" i="2819"/>
  <c r="E17" i="2819"/>
  <c r="F17" i="2819"/>
  <c r="H17" i="2819"/>
  <c r="I17" i="2819"/>
  <c r="J17" i="2819"/>
  <c r="K17" i="2819"/>
  <c r="L17" i="2819"/>
  <c r="N17" i="2819"/>
  <c r="O17" i="2819"/>
  <c r="P17" i="2819"/>
  <c r="Q17" i="2819"/>
  <c r="R17" i="2819"/>
  <c r="T17" i="2819"/>
  <c r="U17" i="2819"/>
  <c r="V17" i="2819"/>
  <c r="W17" i="2819"/>
  <c r="X17" i="2819"/>
  <c r="Z17" i="2819"/>
  <c r="AA17" i="2819"/>
  <c r="AB17" i="2819"/>
  <c r="AC17" i="2819"/>
  <c r="AD17" i="2819"/>
  <c r="AF17" i="2819"/>
  <c r="AG17" i="2819"/>
  <c r="AH17" i="2819"/>
  <c r="AI17" i="2819"/>
  <c r="AJ17" i="2819"/>
  <c r="AL17" i="2819"/>
  <c r="AM17" i="2819"/>
  <c r="AN17" i="2819"/>
  <c r="AO17" i="2819"/>
  <c r="AP17" i="2819"/>
  <c r="AR17" i="2819"/>
  <c r="AS17" i="2819"/>
  <c r="AT17" i="2819"/>
  <c r="AU17" i="2819"/>
  <c r="AV17" i="2819"/>
  <c r="AX17" i="2819"/>
  <c r="AY17" i="2819"/>
  <c r="AZ17" i="2819"/>
  <c r="BA17" i="2819"/>
  <c r="BB17" i="2819"/>
  <c r="BE17" i="2819"/>
  <c r="BF17" i="2819"/>
  <c r="BG17" i="2819"/>
  <c r="BH17" i="2819"/>
  <c r="BI17" i="2819"/>
  <c r="A18" i="2819"/>
  <c r="B18" i="2819"/>
  <c r="C18" i="2819"/>
  <c r="D18" i="2819"/>
  <c r="E18" i="2819"/>
  <c r="F18" i="2819"/>
  <c r="H18" i="2819"/>
  <c r="I18" i="2819"/>
  <c r="J18" i="2819"/>
  <c r="K18" i="2819"/>
  <c r="L18" i="2819"/>
  <c r="N18" i="2819"/>
  <c r="O18" i="2819"/>
  <c r="P18" i="2819"/>
  <c r="Q18" i="2819"/>
  <c r="R18" i="2819"/>
  <c r="T18" i="2819"/>
  <c r="U18" i="2819"/>
  <c r="V18" i="2819"/>
  <c r="W18" i="2819"/>
  <c r="X18" i="2819"/>
  <c r="Z18" i="2819"/>
  <c r="AA18" i="2819"/>
  <c r="AB18" i="2819"/>
  <c r="AC18" i="2819"/>
  <c r="AD18" i="2819"/>
  <c r="AF18" i="2819"/>
  <c r="AG18" i="2819"/>
  <c r="AH18" i="2819"/>
  <c r="AI18" i="2819"/>
  <c r="AJ18" i="2819"/>
  <c r="AL18" i="2819"/>
  <c r="AM18" i="2819"/>
  <c r="AN18" i="2819"/>
  <c r="AO18" i="2819"/>
  <c r="AP18" i="2819"/>
  <c r="AR18" i="2819"/>
  <c r="AS18" i="2819"/>
  <c r="AT18" i="2819"/>
  <c r="AU18" i="2819"/>
  <c r="AV18" i="2819"/>
  <c r="AX18" i="2819"/>
  <c r="AY18" i="2819"/>
  <c r="AZ18" i="2819"/>
  <c r="BA18" i="2819"/>
  <c r="BB18" i="2819"/>
  <c r="BE18" i="2819"/>
  <c r="BF18" i="2819"/>
  <c r="BG18" i="2819"/>
  <c r="BH18" i="2819"/>
  <c r="BI18" i="2819"/>
  <c r="A19" i="2819"/>
  <c r="B19" i="2819"/>
  <c r="C19" i="2819"/>
  <c r="D19" i="2819"/>
  <c r="E19" i="2819"/>
  <c r="F19" i="2819"/>
  <c r="H19" i="2819"/>
  <c r="I19" i="2819"/>
  <c r="J19" i="2819"/>
  <c r="K19" i="2819"/>
  <c r="L19" i="2819"/>
  <c r="N19" i="2819"/>
  <c r="O19" i="2819"/>
  <c r="P19" i="2819"/>
  <c r="Q19" i="2819"/>
  <c r="R19" i="2819"/>
  <c r="T19" i="2819"/>
  <c r="U19" i="2819"/>
  <c r="V19" i="2819"/>
  <c r="W19" i="2819"/>
  <c r="X19" i="2819"/>
  <c r="Z19" i="2819"/>
  <c r="AA19" i="2819"/>
  <c r="AB19" i="2819"/>
  <c r="AC19" i="2819"/>
  <c r="AD19" i="2819"/>
  <c r="AF19" i="2819"/>
  <c r="AG19" i="2819"/>
  <c r="AH19" i="2819"/>
  <c r="AI19" i="2819"/>
  <c r="AJ19" i="2819"/>
  <c r="AL19" i="2819"/>
  <c r="AM19" i="2819"/>
  <c r="AN19" i="2819"/>
  <c r="AO19" i="2819"/>
  <c r="AP19" i="2819"/>
  <c r="AR19" i="2819"/>
  <c r="AS19" i="2819"/>
  <c r="AT19" i="2819"/>
  <c r="AU19" i="2819"/>
  <c r="AV19" i="2819"/>
  <c r="AX19" i="2819"/>
  <c r="AY19" i="2819"/>
  <c r="AZ19" i="2819"/>
  <c r="BA19" i="2819"/>
  <c r="BB19" i="2819"/>
  <c r="BE19" i="2819"/>
  <c r="BF19" i="2819"/>
  <c r="BG19" i="2819"/>
  <c r="BH19" i="2819"/>
  <c r="BI19" i="2819"/>
  <c r="A20" i="2819"/>
  <c r="B20" i="2819"/>
  <c r="C20" i="2819"/>
  <c r="D20" i="2819"/>
  <c r="E20" i="2819"/>
  <c r="F20" i="2819"/>
  <c r="G20" i="2819"/>
  <c r="H20" i="2819"/>
  <c r="I20" i="2819"/>
  <c r="J20" i="2819"/>
  <c r="K20" i="2819"/>
  <c r="L20" i="2819"/>
  <c r="M20" i="2819"/>
  <c r="N20" i="2819"/>
  <c r="O20" i="2819"/>
  <c r="P20" i="2819"/>
  <c r="Q20" i="2819"/>
  <c r="R20" i="2819"/>
  <c r="S20" i="2819"/>
  <c r="T20" i="2819"/>
  <c r="U20" i="2819"/>
  <c r="V20" i="2819"/>
  <c r="W20" i="2819"/>
  <c r="X20" i="2819"/>
  <c r="Y20" i="2819"/>
  <c r="Z20" i="2819"/>
  <c r="AA20" i="2819"/>
  <c r="AB20" i="2819"/>
  <c r="AC20" i="2819"/>
  <c r="AD20" i="2819"/>
  <c r="AE20" i="2819"/>
  <c r="AF20" i="2819"/>
  <c r="AG20" i="2819"/>
  <c r="AH20" i="2819"/>
  <c r="AI20" i="2819"/>
  <c r="AJ20" i="2819"/>
  <c r="AK20" i="2819"/>
  <c r="AL20" i="2819"/>
  <c r="AM20" i="2819"/>
  <c r="AN20" i="2819"/>
  <c r="AO20" i="2819"/>
  <c r="AP20" i="2819"/>
  <c r="AQ20" i="2819"/>
  <c r="AR20" i="2819"/>
  <c r="AS20" i="2819"/>
  <c r="AT20" i="2819"/>
  <c r="AU20" i="2819"/>
  <c r="AV20" i="2819"/>
  <c r="AW20" i="2819"/>
  <c r="AX20" i="2819"/>
  <c r="AY20" i="2819"/>
  <c r="AZ20" i="2819"/>
  <c r="BA20" i="2819"/>
  <c r="BB20" i="2819"/>
  <c r="BC20" i="2819"/>
  <c r="BE20" i="2819"/>
  <c r="BF20" i="2819"/>
  <c r="BG20" i="2819"/>
  <c r="BH20" i="2819"/>
  <c r="BI20" i="2819"/>
  <c r="BJ20" i="2819"/>
  <c r="A21" i="2819"/>
  <c r="B21" i="2819"/>
  <c r="C21" i="2819"/>
  <c r="D21" i="2819"/>
  <c r="E21" i="2819"/>
  <c r="F21" i="2819"/>
  <c r="H21" i="2819"/>
  <c r="I21" i="2819"/>
  <c r="J21" i="2819"/>
  <c r="K21" i="2819"/>
  <c r="L21" i="2819"/>
  <c r="N21" i="2819"/>
  <c r="O21" i="2819"/>
  <c r="P21" i="2819"/>
  <c r="Q21" i="2819"/>
  <c r="R21" i="2819"/>
  <c r="T21" i="2819"/>
  <c r="U21" i="2819"/>
  <c r="V21" i="2819"/>
  <c r="W21" i="2819"/>
  <c r="X21" i="2819"/>
  <c r="Z21" i="2819"/>
  <c r="AA21" i="2819"/>
  <c r="AB21" i="2819"/>
  <c r="AC21" i="2819"/>
  <c r="AD21" i="2819"/>
  <c r="AF21" i="2819"/>
  <c r="AG21" i="2819"/>
  <c r="AH21" i="2819"/>
  <c r="AI21" i="2819"/>
  <c r="AJ21" i="2819"/>
  <c r="AL21" i="2819"/>
  <c r="AM21" i="2819"/>
  <c r="AN21" i="2819"/>
  <c r="AO21" i="2819"/>
  <c r="AP21" i="2819"/>
  <c r="AR21" i="2819"/>
  <c r="AS21" i="2819"/>
  <c r="AT21" i="2819"/>
  <c r="AU21" i="2819"/>
  <c r="AV21" i="2819"/>
  <c r="AX21" i="2819"/>
  <c r="AY21" i="2819"/>
  <c r="AZ21" i="2819"/>
  <c r="BA21" i="2819"/>
  <c r="BB21" i="2819"/>
  <c r="BE21" i="2819"/>
  <c r="BF21" i="2819"/>
  <c r="BG21" i="2819"/>
  <c r="BH21" i="2819"/>
  <c r="BI21" i="2819"/>
  <c r="A22" i="2819"/>
  <c r="B22" i="2819"/>
  <c r="C22" i="2819"/>
  <c r="D22" i="2819"/>
  <c r="E22" i="2819"/>
  <c r="F22" i="2819"/>
  <c r="H22" i="2819"/>
  <c r="I22" i="2819"/>
  <c r="J22" i="2819"/>
  <c r="K22" i="2819"/>
  <c r="L22" i="2819"/>
  <c r="N22" i="2819"/>
  <c r="O22" i="2819"/>
  <c r="P22" i="2819"/>
  <c r="Q22" i="2819"/>
  <c r="R22" i="2819"/>
  <c r="T22" i="2819"/>
  <c r="U22" i="2819"/>
  <c r="V22" i="2819"/>
  <c r="W22" i="2819"/>
  <c r="X22" i="2819"/>
  <c r="Z22" i="2819"/>
  <c r="AA22" i="2819"/>
  <c r="AB22" i="2819"/>
  <c r="AC22" i="2819"/>
  <c r="AD22" i="2819"/>
  <c r="AF22" i="2819"/>
  <c r="AG22" i="2819"/>
  <c r="AH22" i="2819"/>
  <c r="AI22" i="2819"/>
  <c r="AJ22" i="2819"/>
  <c r="AL22" i="2819"/>
  <c r="AM22" i="2819"/>
  <c r="AN22" i="2819"/>
  <c r="AO22" i="2819"/>
  <c r="AP22" i="2819"/>
  <c r="AR22" i="2819"/>
  <c r="AS22" i="2819"/>
  <c r="AT22" i="2819"/>
  <c r="AU22" i="2819"/>
  <c r="AV22" i="2819"/>
  <c r="AX22" i="2819"/>
  <c r="AY22" i="2819"/>
  <c r="AZ22" i="2819"/>
  <c r="BA22" i="2819"/>
  <c r="BB22" i="2819"/>
  <c r="BE22" i="2819"/>
  <c r="BF22" i="2819"/>
  <c r="BG22" i="2819"/>
  <c r="BH22" i="2819"/>
  <c r="BI22" i="2819"/>
  <c r="A23" i="2819"/>
  <c r="B23" i="2819"/>
  <c r="C23" i="2819"/>
  <c r="D23" i="2819"/>
  <c r="E23" i="2819"/>
  <c r="F23" i="2819"/>
  <c r="H23" i="2819"/>
  <c r="I23" i="2819"/>
  <c r="J23" i="2819"/>
  <c r="K23" i="2819"/>
  <c r="L23" i="2819"/>
  <c r="N23" i="2819"/>
  <c r="O23" i="2819"/>
  <c r="P23" i="2819"/>
  <c r="Q23" i="2819"/>
  <c r="R23" i="2819"/>
  <c r="T23" i="2819"/>
  <c r="U23" i="2819"/>
  <c r="V23" i="2819"/>
  <c r="W23" i="2819"/>
  <c r="X23" i="2819"/>
  <c r="Z23" i="2819"/>
  <c r="AA23" i="2819"/>
  <c r="AB23" i="2819"/>
  <c r="AC23" i="2819"/>
  <c r="AD23" i="2819"/>
  <c r="AF23" i="2819"/>
  <c r="AG23" i="2819"/>
  <c r="AH23" i="2819"/>
  <c r="AI23" i="2819"/>
  <c r="AJ23" i="2819"/>
  <c r="AL23" i="2819"/>
  <c r="AM23" i="2819"/>
  <c r="AN23" i="2819"/>
  <c r="AO23" i="2819"/>
  <c r="AP23" i="2819"/>
  <c r="AR23" i="2819"/>
  <c r="AS23" i="2819"/>
  <c r="AT23" i="2819"/>
  <c r="AU23" i="2819"/>
  <c r="AV23" i="2819"/>
  <c r="AX23" i="2819"/>
  <c r="AY23" i="2819"/>
  <c r="AZ23" i="2819"/>
  <c r="BA23" i="2819"/>
  <c r="BB23" i="2819"/>
  <c r="BE23" i="2819"/>
  <c r="BF23" i="2819"/>
  <c r="BG23" i="2819"/>
  <c r="BH23" i="2819"/>
  <c r="BI23" i="2819"/>
  <c r="A24" i="2819"/>
  <c r="B24" i="2819"/>
  <c r="C24" i="2819"/>
  <c r="D24" i="2819"/>
  <c r="E24" i="2819"/>
  <c r="F24" i="2819"/>
  <c r="H24" i="2819"/>
  <c r="I24" i="2819"/>
  <c r="J24" i="2819"/>
  <c r="K24" i="2819"/>
  <c r="L24" i="2819"/>
  <c r="N24" i="2819"/>
  <c r="O24" i="2819"/>
  <c r="P24" i="2819"/>
  <c r="Q24" i="2819"/>
  <c r="R24" i="2819"/>
  <c r="T24" i="2819"/>
  <c r="U24" i="2819"/>
  <c r="V24" i="2819"/>
  <c r="W24" i="2819"/>
  <c r="X24" i="2819"/>
  <c r="Z24" i="2819"/>
  <c r="AA24" i="2819"/>
  <c r="AB24" i="2819"/>
  <c r="AC24" i="2819"/>
  <c r="AD24" i="2819"/>
  <c r="AF24" i="2819"/>
  <c r="AG24" i="2819"/>
  <c r="AH24" i="2819"/>
  <c r="AI24" i="2819"/>
  <c r="AJ24" i="2819"/>
  <c r="AL24" i="2819"/>
  <c r="AM24" i="2819"/>
  <c r="AN24" i="2819"/>
  <c r="AO24" i="2819"/>
  <c r="AP24" i="2819"/>
  <c r="AR24" i="2819"/>
  <c r="AS24" i="2819"/>
  <c r="AT24" i="2819"/>
  <c r="AU24" i="2819"/>
  <c r="AV24" i="2819"/>
  <c r="AX24" i="2819"/>
  <c r="AY24" i="2819"/>
  <c r="AZ24" i="2819"/>
  <c r="BA24" i="2819"/>
  <c r="BB24" i="2819"/>
  <c r="BE24" i="2819"/>
  <c r="BF24" i="2819"/>
  <c r="BG24" i="2819"/>
  <c r="BH24" i="2819"/>
  <c r="BI24" i="2819"/>
  <c r="A25" i="2819"/>
  <c r="B25" i="2819"/>
  <c r="C25" i="2819"/>
  <c r="D25" i="2819"/>
  <c r="E25" i="2819"/>
  <c r="F25" i="2819"/>
  <c r="G25" i="2819"/>
  <c r="H25" i="2819"/>
  <c r="I25" i="2819"/>
  <c r="J25" i="2819"/>
  <c r="K25" i="2819"/>
  <c r="L25" i="2819"/>
  <c r="M25" i="2819"/>
  <c r="N25" i="2819"/>
  <c r="O25" i="2819"/>
  <c r="P25" i="2819"/>
  <c r="Q25" i="2819"/>
  <c r="R25" i="2819"/>
  <c r="S25" i="2819"/>
  <c r="T25" i="2819"/>
  <c r="U25" i="2819"/>
  <c r="V25" i="2819"/>
  <c r="W25" i="2819"/>
  <c r="X25" i="2819"/>
  <c r="Y25" i="2819"/>
  <c r="Z25" i="2819"/>
  <c r="AA25" i="2819"/>
  <c r="AB25" i="2819"/>
  <c r="AC25" i="2819"/>
  <c r="AD25" i="2819"/>
  <c r="AE25" i="2819"/>
  <c r="AF25" i="2819"/>
  <c r="AG25" i="2819"/>
  <c r="AH25" i="2819"/>
  <c r="AI25" i="2819"/>
  <c r="AJ25" i="2819"/>
  <c r="AK25" i="2819"/>
  <c r="AL25" i="2819"/>
  <c r="AM25" i="2819"/>
  <c r="AN25" i="2819"/>
  <c r="AO25" i="2819"/>
  <c r="AP25" i="2819"/>
  <c r="AQ25" i="2819"/>
  <c r="AR25" i="2819"/>
  <c r="AS25" i="2819"/>
  <c r="AT25" i="2819"/>
  <c r="AU25" i="2819"/>
  <c r="AV25" i="2819"/>
  <c r="AW25" i="2819"/>
  <c r="AX25" i="2819"/>
  <c r="AY25" i="2819"/>
  <c r="AZ25" i="2819"/>
  <c r="BA25" i="2819"/>
  <c r="BB25" i="2819"/>
  <c r="BC25" i="2819"/>
  <c r="BE25" i="2819"/>
  <c r="BF25" i="2819"/>
  <c r="BG25" i="2819"/>
  <c r="BH25" i="2819"/>
  <c r="BI25" i="2819"/>
  <c r="BJ25" i="2819"/>
  <c r="A26" i="2819"/>
  <c r="B26" i="2819"/>
  <c r="C26" i="2819"/>
  <c r="D26" i="2819"/>
  <c r="E26" i="2819"/>
  <c r="F26" i="2819"/>
  <c r="H26" i="2819"/>
  <c r="I26" i="2819"/>
  <c r="J26" i="2819"/>
  <c r="K26" i="2819"/>
  <c r="L26" i="2819"/>
  <c r="N26" i="2819"/>
  <c r="O26" i="2819"/>
  <c r="P26" i="2819"/>
  <c r="Q26" i="2819"/>
  <c r="R26" i="2819"/>
  <c r="T26" i="2819"/>
  <c r="U26" i="2819"/>
  <c r="V26" i="2819"/>
  <c r="W26" i="2819"/>
  <c r="X26" i="2819"/>
  <c r="Z26" i="2819"/>
  <c r="AA26" i="2819"/>
  <c r="AB26" i="2819"/>
  <c r="AC26" i="2819"/>
  <c r="AD26" i="2819"/>
  <c r="AF26" i="2819"/>
  <c r="AG26" i="2819"/>
  <c r="AH26" i="2819"/>
  <c r="AI26" i="2819"/>
  <c r="AJ26" i="2819"/>
  <c r="AL26" i="2819"/>
  <c r="AM26" i="2819"/>
  <c r="AN26" i="2819"/>
  <c r="AO26" i="2819"/>
  <c r="AP26" i="2819"/>
  <c r="AR26" i="2819"/>
  <c r="AS26" i="2819"/>
  <c r="AT26" i="2819"/>
  <c r="AU26" i="2819"/>
  <c r="AV26" i="2819"/>
  <c r="AX26" i="2819"/>
  <c r="AY26" i="2819"/>
  <c r="AZ26" i="2819"/>
  <c r="BA26" i="2819"/>
  <c r="BB26" i="2819"/>
  <c r="BE26" i="2819"/>
  <c r="BF26" i="2819"/>
  <c r="BG26" i="2819"/>
  <c r="BH26" i="2819"/>
  <c r="BI26" i="2819"/>
  <c r="A27" i="2819"/>
  <c r="B27" i="2819"/>
  <c r="C27" i="2819"/>
  <c r="D27" i="2819"/>
  <c r="E27" i="2819"/>
  <c r="F27" i="2819"/>
  <c r="H27" i="2819"/>
  <c r="I27" i="2819"/>
  <c r="J27" i="2819"/>
  <c r="K27" i="2819"/>
  <c r="L27" i="2819"/>
  <c r="N27" i="2819"/>
  <c r="O27" i="2819"/>
  <c r="P27" i="2819"/>
  <c r="Q27" i="2819"/>
  <c r="R27" i="2819"/>
  <c r="T27" i="2819"/>
  <c r="U27" i="2819"/>
  <c r="V27" i="2819"/>
  <c r="W27" i="2819"/>
  <c r="X27" i="2819"/>
  <c r="Z27" i="2819"/>
  <c r="AA27" i="2819"/>
  <c r="AB27" i="2819"/>
  <c r="AC27" i="2819"/>
  <c r="AD27" i="2819"/>
  <c r="AF27" i="2819"/>
  <c r="AG27" i="2819"/>
  <c r="AH27" i="2819"/>
  <c r="AI27" i="2819"/>
  <c r="AJ27" i="2819"/>
  <c r="AL27" i="2819"/>
  <c r="AM27" i="2819"/>
  <c r="AN27" i="2819"/>
  <c r="AO27" i="2819"/>
  <c r="AP27" i="2819"/>
  <c r="AR27" i="2819"/>
  <c r="AS27" i="2819"/>
  <c r="AT27" i="2819"/>
  <c r="AU27" i="2819"/>
  <c r="AV27" i="2819"/>
  <c r="AX27" i="2819"/>
  <c r="AY27" i="2819"/>
  <c r="AZ27" i="2819"/>
  <c r="BA27" i="2819"/>
  <c r="BB27" i="2819"/>
  <c r="BE27" i="2819"/>
  <c r="BF27" i="2819"/>
  <c r="BG27" i="2819"/>
  <c r="BH27" i="2819"/>
  <c r="BI27" i="2819"/>
  <c r="A28" i="2819"/>
  <c r="B28" i="2819"/>
  <c r="C28" i="2819"/>
  <c r="D28" i="2819"/>
  <c r="E28" i="2819"/>
  <c r="F28" i="2819"/>
  <c r="H28" i="2819"/>
  <c r="I28" i="2819"/>
  <c r="J28" i="2819"/>
  <c r="K28" i="2819"/>
  <c r="L28" i="2819"/>
  <c r="N28" i="2819"/>
  <c r="O28" i="2819"/>
  <c r="P28" i="2819"/>
  <c r="Q28" i="2819"/>
  <c r="R28" i="2819"/>
  <c r="T28" i="2819"/>
  <c r="U28" i="2819"/>
  <c r="V28" i="2819"/>
  <c r="W28" i="2819"/>
  <c r="X28" i="2819"/>
  <c r="Z28" i="2819"/>
  <c r="AA28" i="2819"/>
  <c r="AB28" i="2819"/>
  <c r="AC28" i="2819"/>
  <c r="AD28" i="2819"/>
  <c r="AF28" i="2819"/>
  <c r="AG28" i="2819"/>
  <c r="AH28" i="2819"/>
  <c r="AI28" i="2819"/>
  <c r="AJ28" i="2819"/>
  <c r="AL28" i="2819"/>
  <c r="AM28" i="2819"/>
  <c r="AN28" i="2819"/>
  <c r="AO28" i="2819"/>
  <c r="AP28" i="2819"/>
  <c r="AR28" i="2819"/>
  <c r="AS28" i="2819"/>
  <c r="AT28" i="2819"/>
  <c r="AU28" i="2819"/>
  <c r="AV28" i="2819"/>
  <c r="AX28" i="2819"/>
  <c r="AY28" i="2819"/>
  <c r="AZ28" i="2819"/>
  <c r="BA28" i="2819"/>
  <c r="BB28" i="2819"/>
  <c r="BE28" i="2819"/>
  <c r="BF28" i="2819"/>
  <c r="BG28" i="2819"/>
  <c r="BH28" i="2819"/>
  <c r="BI28" i="2819"/>
  <c r="A29" i="2819"/>
  <c r="B29" i="2819"/>
  <c r="C29" i="2819"/>
  <c r="D29" i="2819"/>
  <c r="E29" i="2819"/>
  <c r="F29" i="2819"/>
  <c r="H29" i="2819"/>
  <c r="I29" i="2819"/>
  <c r="J29" i="2819"/>
  <c r="K29" i="2819"/>
  <c r="L29" i="2819"/>
  <c r="N29" i="2819"/>
  <c r="O29" i="2819"/>
  <c r="P29" i="2819"/>
  <c r="Q29" i="2819"/>
  <c r="R29" i="2819"/>
  <c r="T29" i="2819"/>
  <c r="U29" i="2819"/>
  <c r="V29" i="2819"/>
  <c r="W29" i="2819"/>
  <c r="X29" i="2819"/>
  <c r="Z29" i="2819"/>
  <c r="AA29" i="2819"/>
  <c r="AB29" i="2819"/>
  <c r="AC29" i="2819"/>
  <c r="AD29" i="2819"/>
  <c r="AF29" i="2819"/>
  <c r="AG29" i="2819"/>
  <c r="AH29" i="2819"/>
  <c r="AI29" i="2819"/>
  <c r="AJ29" i="2819"/>
  <c r="AL29" i="2819"/>
  <c r="AM29" i="2819"/>
  <c r="AN29" i="2819"/>
  <c r="AO29" i="2819"/>
  <c r="AP29" i="2819"/>
  <c r="AR29" i="2819"/>
  <c r="AS29" i="2819"/>
  <c r="AT29" i="2819"/>
  <c r="AU29" i="2819"/>
  <c r="AV29" i="2819"/>
  <c r="AX29" i="2819"/>
  <c r="AY29" i="2819"/>
  <c r="AZ29" i="2819"/>
  <c r="BA29" i="2819"/>
  <c r="BB29" i="2819"/>
  <c r="BE29" i="2819"/>
  <c r="BF29" i="2819"/>
  <c r="BG29" i="2819"/>
  <c r="BH29" i="2819"/>
  <c r="BI29" i="2819"/>
  <c r="A30" i="2819"/>
  <c r="B30" i="2819"/>
  <c r="C30" i="2819"/>
  <c r="D30" i="2819"/>
  <c r="E30" i="2819"/>
  <c r="F30" i="2819"/>
  <c r="G30" i="2819"/>
  <c r="H30" i="2819"/>
  <c r="I30" i="2819"/>
  <c r="J30" i="2819"/>
  <c r="K30" i="2819"/>
  <c r="L30" i="2819"/>
  <c r="M30" i="2819"/>
  <c r="N30" i="2819"/>
  <c r="O30" i="2819"/>
  <c r="P30" i="2819"/>
  <c r="Q30" i="2819"/>
  <c r="R30" i="2819"/>
  <c r="S30" i="2819"/>
  <c r="T30" i="2819"/>
  <c r="U30" i="2819"/>
  <c r="V30" i="2819"/>
  <c r="W30" i="2819"/>
  <c r="X30" i="2819"/>
  <c r="Y30" i="2819"/>
  <c r="Z30" i="2819"/>
  <c r="AA30" i="2819"/>
  <c r="AB30" i="2819"/>
  <c r="AC30" i="2819"/>
  <c r="AD30" i="2819"/>
  <c r="AE30" i="2819"/>
  <c r="AF30" i="2819"/>
  <c r="AG30" i="2819"/>
  <c r="AH30" i="2819"/>
  <c r="AI30" i="2819"/>
  <c r="AJ30" i="2819"/>
  <c r="AK30" i="2819"/>
  <c r="AL30" i="2819"/>
  <c r="AM30" i="2819"/>
  <c r="AN30" i="2819"/>
  <c r="AO30" i="2819"/>
  <c r="AP30" i="2819"/>
  <c r="AQ30" i="2819"/>
  <c r="AR30" i="2819"/>
  <c r="AS30" i="2819"/>
  <c r="AT30" i="2819"/>
  <c r="AU30" i="2819"/>
  <c r="AV30" i="2819"/>
  <c r="AW30" i="2819"/>
  <c r="AX30" i="2819"/>
  <c r="AY30" i="2819"/>
  <c r="AZ30" i="2819"/>
  <c r="BA30" i="2819"/>
  <c r="BB30" i="2819"/>
  <c r="BC30" i="2819"/>
  <c r="BE30" i="2819"/>
  <c r="BF30" i="2819"/>
  <c r="BG30" i="2819"/>
  <c r="BH30" i="2819"/>
  <c r="BI30" i="2819"/>
  <c r="BJ30" i="2819"/>
  <c r="A31" i="2819"/>
  <c r="B31" i="2819"/>
  <c r="C31" i="2819"/>
  <c r="D31" i="2819"/>
  <c r="E31" i="2819"/>
  <c r="F31" i="2819"/>
  <c r="H31" i="2819"/>
  <c r="I31" i="2819"/>
  <c r="J31" i="2819"/>
  <c r="K31" i="2819"/>
  <c r="L31" i="2819"/>
  <c r="N31" i="2819"/>
  <c r="O31" i="2819"/>
  <c r="P31" i="2819"/>
  <c r="Q31" i="2819"/>
  <c r="R31" i="2819"/>
  <c r="T31" i="2819"/>
  <c r="U31" i="2819"/>
  <c r="V31" i="2819"/>
  <c r="W31" i="2819"/>
  <c r="X31" i="2819"/>
  <c r="Z31" i="2819"/>
  <c r="AA31" i="2819"/>
  <c r="AB31" i="2819"/>
  <c r="AC31" i="2819"/>
  <c r="AD31" i="2819"/>
  <c r="AF31" i="2819"/>
  <c r="AG31" i="2819"/>
  <c r="AH31" i="2819"/>
  <c r="AI31" i="2819"/>
  <c r="AJ31" i="2819"/>
  <c r="AL31" i="2819"/>
  <c r="AM31" i="2819"/>
  <c r="AN31" i="2819"/>
  <c r="AO31" i="2819"/>
  <c r="AP31" i="2819"/>
  <c r="AR31" i="2819"/>
  <c r="AS31" i="2819"/>
  <c r="AT31" i="2819"/>
  <c r="AU31" i="2819"/>
  <c r="AV31" i="2819"/>
  <c r="AX31" i="2819"/>
  <c r="AY31" i="2819"/>
  <c r="AZ31" i="2819"/>
  <c r="BA31" i="2819"/>
  <c r="BB31" i="2819"/>
  <c r="BE31" i="2819"/>
  <c r="BF31" i="2819"/>
  <c r="BG31" i="2819"/>
  <c r="BH31" i="2819"/>
  <c r="BI31" i="2819"/>
  <c r="A32" i="2819"/>
  <c r="B32" i="2819"/>
  <c r="C32" i="2819"/>
  <c r="D32" i="2819"/>
  <c r="E32" i="2819"/>
  <c r="F32" i="2819"/>
  <c r="H32" i="2819"/>
  <c r="I32" i="2819"/>
  <c r="J32" i="2819"/>
  <c r="K32" i="2819"/>
  <c r="L32" i="2819"/>
  <c r="N32" i="2819"/>
  <c r="O32" i="2819"/>
  <c r="P32" i="2819"/>
  <c r="Q32" i="2819"/>
  <c r="R32" i="2819"/>
  <c r="T32" i="2819"/>
  <c r="U32" i="2819"/>
  <c r="V32" i="2819"/>
  <c r="W32" i="2819"/>
  <c r="X32" i="2819"/>
  <c r="Z32" i="2819"/>
  <c r="AA32" i="2819"/>
  <c r="AB32" i="2819"/>
  <c r="AC32" i="2819"/>
  <c r="AD32" i="2819"/>
  <c r="AF32" i="2819"/>
  <c r="AG32" i="2819"/>
  <c r="AH32" i="2819"/>
  <c r="AI32" i="2819"/>
  <c r="AJ32" i="2819"/>
  <c r="AL32" i="2819"/>
  <c r="AM32" i="2819"/>
  <c r="AN32" i="2819"/>
  <c r="AO32" i="2819"/>
  <c r="AP32" i="2819"/>
  <c r="AR32" i="2819"/>
  <c r="AS32" i="2819"/>
  <c r="AT32" i="2819"/>
  <c r="AU32" i="2819"/>
  <c r="AV32" i="2819"/>
  <c r="AX32" i="2819"/>
  <c r="AY32" i="2819"/>
  <c r="AZ32" i="2819"/>
  <c r="BA32" i="2819"/>
  <c r="BB32" i="2819"/>
  <c r="BE32" i="2819"/>
  <c r="BF32" i="2819"/>
  <c r="BG32" i="2819"/>
  <c r="BH32" i="2819"/>
  <c r="BI32" i="2819"/>
  <c r="A33" i="2819"/>
  <c r="B33" i="2819"/>
  <c r="C33" i="2819"/>
  <c r="D33" i="2819"/>
  <c r="E33" i="2819"/>
  <c r="F33" i="2819"/>
  <c r="H33" i="2819"/>
  <c r="I33" i="2819"/>
  <c r="J33" i="2819"/>
  <c r="K33" i="2819"/>
  <c r="L33" i="2819"/>
  <c r="N33" i="2819"/>
  <c r="O33" i="2819"/>
  <c r="P33" i="2819"/>
  <c r="Q33" i="2819"/>
  <c r="R33" i="2819"/>
  <c r="T33" i="2819"/>
  <c r="U33" i="2819"/>
  <c r="V33" i="2819"/>
  <c r="W33" i="2819"/>
  <c r="X33" i="2819"/>
  <c r="Z33" i="2819"/>
  <c r="AA33" i="2819"/>
  <c r="AB33" i="2819"/>
  <c r="AC33" i="2819"/>
  <c r="AD33" i="2819"/>
  <c r="AF33" i="2819"/>
  <c r="AG33" i="2819"/>
  <c r="AH33" i="2819"/>
  <c r="AI33" i="2819"/>
  <c r="AJ33" i="2819"/>
  <c r="AL33" i="2819"/>
  <c r="AM33" i="2819"/>
  <c r="AN33" i="2819"/>
  <c r="AO33" i="2819"/>
  <c r="AP33" i="2819"/>
  <c r="AR33" i="2819"/>
  <c r="AS33" i="2819"/>
  <c r="AT33" i="2819"/>
  <c r="AU33" i="2819"/>
  <c r="AV33" i="2819"/>
  <c r="AX33" i="2819"/>
  <c r="AY33" i="2819"/>
  <c r="AZ33" i="2819"/>
  <c r="BA33" i="2819"/>
  <c r="BB33" i="2819"/>
  <c r="BE33" i="2819"/>
  <c r="BF33" i="2819"/>
  <c r="BG33" i="2819"/>
  <c r="BH33" i="2819"/>
  <c r="BI33" i="2819"/>
  <c r="A34" i="2819"/>
  <c r="B34" i="2819"/>
  <c r="C34" i="2819"/>
  <c r="D34" i="2819"/>
  <c r="E34" i="2819"/>
  <c r="F34" i="2819"/>
  <c r="H34" i="2819"/>
  <c r="I34" i="2819"/>
  <c r="J34" i="2819"/>
  <c r="K34" i="2819"/>
  <c r="L34" i="2819"/>
  <c r="N34" i="2819"/>
  <c r="O34" i="2819"/>
  <c r="P34" i="2819"/>
  <c r="Q34" i="2819"/>
  <c r="R34" i="2819"/>
  <c r="T34" i="2819"/>
  <c r="U34" i="2819"/>
  <c r="V34" i="2819"/>
  <c r="W34" i="2819"/>
  <c r="X34" i="2819"/>
  <c r="Z34" i="2819"/>
  <c r="AA34" i="2819"/>
  <c r="AB34" i="2819"/>
  <c r="AC34" i="2819"/>
  <c r="AD34" i="2819"/>
  <c r="AF34" i="2819"/>
  <c r="AG34" i="2819"/>
  <c r="AH34" i="2819"/>
  <c r="AI34" i="2819"/>
  <c r="AJ34" i="2819"/>
  <c r="AL34" i="2819"/>
  <c r="AM34" i="2819"/>
  <c r="AN34" i="2819"/>
  <c r="AO34" i="2819"/>
  <c r="AP34" i="2819"/>
  <c r="AR34" i="2819"/>
  <c r="AS34" i="2819"/>
  <c r="AT34" i="2819"/>
  <c r="AU34" i="2819"/>
  <c r="AV34" i="2819"/>
  <c r="AX34" i="2819"/>
  <c r="AY34" i="2819"/>
  <c r="AZ34" i="2819"/>
  <c r="BA34" i="2819"/>
  <c r="BB34" i="2819"/>
  <c r="BE34" i="2819"/>
  <c r="BF34" i="2819"/>
  <c r="BG34" i="2819"/>
  <c r="BH34" i="2819"/>
  <c r="BI34" i="2819"/>
  <c r="A35" i="2819"/>
  <c r="B35" i="2819"/>
  <c r="C35" i="2819"/>
  <c r="D35" i="2819"/>
  <c r="E35" i="2819"/>
  <c r="F35" i="2819"/>
  <c r="H35" i="2819"/>
  <c r="I35" i="2819"/>
  <c r="J35" i="2819"/>
  <c r="K35" i="2819"/>
  <c r="L35" i="2819"/>
  <c r="N35" i="2819"/>
  <c r="O35" i="2819"/>
  <c r="P35" i="2819"/>
  <c r="Q35" i="2819"/>
  <c r="R35" i="2819"/>
  <c r="T35" i="2819"/>
  <c r="U35" i="2819"/>
  <c r="V35" i="2819"/>
  <c r="W35" i="2819"/>
  <c r="X35" i="2819"/>
  <c r="Z35" i="2819"/>
  <c r="AA35" i="2819"/>
  <c r="AB35" i="2819"/>
  <c r="AC35" i="2819"/>
  <c r="AD35" i="2819"/>
  <c r="AF35" i="2819"/>
  <c r="AG35" i="2819"/>
  <c r="AH35" i="2819"/>
  <c r="AI35" i="2819"/>
  <c r="AJ35" i="2819"/>
  <c r="AL35" i="2819"/>
  <c r="AM35" i="2819"/>
  <c r="AN35" i="2819"/>
  <c r="AO35" i="2819"/>
  <c r="AP35" i="2819"/>
  <c r="AQ35" i="2819"/>
  <c r="AR35" i="2819"/>
  <c r="AS35" i="2819"/>
  <c r="AT35" i="2819"/>
  <c r="AU35" i="2819"/>
  <c r="AV35" i="2819"/>
  <c r="AX35" i="2819"/>
  <c r="AY35" i="2819"/>
  <c r="AZ35" i="2819"/>
  <c r="BA35" i="2819"/>
  <c r="BB35" i="2819"/>
  <c r="BE35" i="2819"/>
  <c r="BF35" i="2819"/>
  <c r="BG35" i="2819"/>
  <c r="BH35" i="2819"/>
  <c r="BI35" i="2819"/>
  <c r="BJ35" i="2819"/>
  <c r="B37" i="2819"/>
  <c r="C37" i="2819"/>
  <c r="D37" i="2819"/>
  <c r="E37" i="2819"/>
  <c r="F37" i="2819"/>
  <c r="H37" i="2819"/>
  <c r="I37" i="2819"/>
  <c r="J37" i="2819"/>
  <c r="K37" i="2819"/>
  <c r="L37" i="2819"/>
  <c r="N37" i="2819"/>
  <c r="O37" i="2819"/>
  <c r="P37" i="2819"/>
  <c r="Q37" i="2819"/>
  <c r="R37" i="2819"/>
  <c r="T37" i="2819"/>
  <c r="U37" i="2819"/>
  <c r="V37" i="2819"/>
  <c r="W37" i="2819"/>
  <c r="X37" i="2819"/>
  <c r="Z37" i="2819"/>
  <c r="AA37" i="2819"/>
  <c r="AB37" i="2819"/>
  <c r="AC37" i="2819"/>
  <c r="AD37" i="2819"/>
  <c r="AF37" i="2819"/>
  <c r="AG37" i="2819"/>
  <c r="AH37" i="2819"/>
  <c r="AI37" i="2819"/>
  <c r="AJ37" i="2819"/>
  <c r="AL37" i="2819"/>
  <c r="AM37" i="2819"/>
  <c r="AN37" i="2819"/>
  <c r="AO37" i="2819"/>
  <c r="AP37" i="2819"/>
  <c r="AR37" i="2819"/>
  <c r="AS37" i="2819"/>
  <c r="AT37" i="2819"/>
  <c r="AU37" i="2819"/>
  <c r="AV37" i="2819"/>
  <c r="AX37" i="2819"/>
  <c r="AY37" i="2819"/>
  <c r="AZ37" i="2819"/>
  <c r="BA37" i="2819"/>
  <c r="BB37" i="2819"/>
  <c r="BE37" i="2819"/>
  <c r="BF37" i="2819"/>
  <c r="BG37" i="2819"/>
  <c r="BH37" i="2819"/>
  <c r="BI37" i="2819"/>
  <c r="B1" i="8"/>
  <c r="E6" i="8"/>
  <c r="H6" i="8"/>
  <c r="K6" i="8"/>
  <c r="M6" i="8"/>
  <c r="N6" i="8"/>
  <c r="Q6" i="8"/>
  <c r="T6" i="8"/>
  <c r="W6" i="8"/>
  <c r="Z6" i="8"/>
  <c r="AC6" i="8"/>
  <c r="AD6" i="8"/>
  <c r="AE6" i="8"/>
  <c r="AF6" i="8"/>
  <c r="AI6" i="8"/>
  <c r="AL6" i="8"/>
  <c r="AO6" i="8"/>
  <c r="AR6" i="8"/>
  <c r="AU6" i="8"/>
  <c r="AX6" i="8"/>
  <c r="BA6" i="8"/>
  <c r="BD6" i="8"/>
  <c r="BG6" i="8"/>
  <c r="BJ6" i="8"/>
  <c r="BM6" i="8"/>
  <c r="BP6" i="8"/>
  <c r="BS6" i="8"/>
  <c r="BV6" i="8"/>
  <c r="BY6" i="8"/>
  <c r="CB6" i="8"/>
  <c r="CE6" i="8"/>
  <c r="CH6" i="8"/>
  <c r="CK6" i="8"/>
  <c r="CN6" i="8"/>
  <c r="CQ6" i="8"/>
  <c r="CT6" i="8"/>
  <c r="CW6" i="8"/>
  <c r="CZ6" i="8"/>
  <c r="DC6" i="8"/>
  <c r="DF6" i="8"/>
  <c r="DI6" i="8"/>
  <c r="DL6" i="8"/>
  <c r="DO6" i="8"/>
  <c r="DR6" i="8"/>
  <c r="DS6" i="8"/>
  <c r="DT6" i="8"/>
  <c r="DU6" i="8"/>
  <c r="A7" i="8"/>
  <c r="E7" i="8"/>
  <c r="H7" i="8"/>
  <c r="K7" i="8"/>
  <c r="M7" i="8"/>
  <c r="N7" i="8"/>
  <c r="Q7" i="8"/>
  <c r="T7" i="8"/>
  <c r="W7" i="8"/>
  <c r="Z7" i="8"/>
  <c r="AC7" i="8"/>
  <c r="AD7" i="8"/>
  <c r="AE7" i="8"/>
  <c r="AF7" i="8"/>
  <c r="AI7" i="8"/>
  <c r="AL7" i="8"/>
  <c r="AO7" i="8"/>
  <c r="AR7" i="8"/>
  <c r="AU7" i="8"/>
  <c r="AX7" i="8"/>
  <c r="AY7" i="8"/>
  <c r="AZ7" i="8"/>
  <c r="BA7" i="8"/>
  <c r="BD7" i="8"/>
  <c r="BG7" i="8"/>
  <c r="BJ7" i="8"/>
  <c r="BM7" i="8"/>
  <c r="BP7" i="8"/>
  <c r="BS7" i="8"/>
  <c r="BV7" i="8"/>
  <c r="BY7" i="8"/>
  <c r="CB7" i="8"/>
  <c r="CE7" i="8"/>
  <c r="CH7" i="8"/>
  <c r="CK7" i="8"/>
  <c r="CN7" i="8"/>
  <c r="CQ7" i="8"/>
  <c r="CT7" i="8"/>
  <c r="CW7" i="8"/>
  <c r="CZ7" i="8"/>
  <c r="DC7" i="8"/>
  <c r="DF7" i="8"/>
  <c r="DI7" i="8"/>
  <c r="DL7" i="8"/>
  <c r="DO7" i="8"/>
  <c r="DR7" i="8"/>
  <c r="DS7" i="8"/>
  <c r="DT7" i="8"/>
  <c r="DU7" i="8"/>
  <c r="A8" i="8"/>
  <c r="E8" i="8"/>
  <c r="H8" i="8"/>
  <c r="K8" i="8"/>
  <c r="M8" i="8"/>
  <c r="N8" i="8"/>
  <c r="Q8" i="8"/>
  <c r="T8" i="8"/>
  <c r="W8" i="8"/>
  <c r="Z8" i="8"/>
  <c r="AC8" i="8"/>
  <c r="AD8" i="8"/>
  <c r="AE8" i="8"/>
  <c r="AF8" i="8"/>
  <c r="AI8" i="8"/>
  <c r="AL8" i="8"/>
  <c r="AO8" i="8"/>
  <c r="AR8" i="8"/>
  <c r="AU8" i="8"/>
  <c r="AX8" i="8"/>
  <c r="AY8" i="8"/>
  <c r="BA8" i="8"/>
  <c r="BD8" i="8"/>
  <c r="BG8" i="8"/>
  <c r="BJ8" i="8"/>
  <c r="BM8" i="8"/>
  <c r="BP8" i="8"/>
  <c r="BS8" i="8"/>
  <c r="BV8" i="8"/>
  <c r="BY8" i="8"/>
  <c r="CB8" i="8"/>
  <c r="CE8" i="8"/>
  <c r="CH8" i="8"/>
  <c r="CK8" i="8"/>
  <c r="CN8" i="8"/>
  <c r="CQ8" i="8"/>
  <c r="CT8" i="8"/>
  <c r="CW8" i="8"/>
  <c r="CZ8" i="8"/>
  <c r="DC8" i="8"/>
  <c r="DF8" i="8"/>
  <c r="DI8" i="8"/>
  <c r="DL8" i="8"/>
  <c r="DO8" i="8"/>
  <c r="DR8" i="8"/>
  <c r="DS8" i="8"/>
  <c r="DT8" i="8"/>
  <c r="DU8" i="8"/>
  <c r="A9" i="8"/>
  <c r="E9" i="8"/>
  <c r="H9" i="8"/>
  <c r="K9" i="8"/>
  <c r="M9" i="8"/>
  <c r="N9" i="8"/>
  <c r="Q9" i="8"/>
  <c r="T9" i="8"/>
  <c r="W9" i="8"/>
  <c r="Z9" i="8"/>
  <c r="AC9" i="8"/>
  <c r="AD9" i="8"/>
  <c r="AE9" i="8"/>
  <c r="AF9" i="8"/>
  <c r="AI9" i="8"/>
  <c r="AL9" i="8"/>
  <c r="AO9" i="8"/>
  <c r="AR9" i="8"/>
  <c r="AU9" i="8"/>
  <c r="AX9" i="8"/>
  <c r="AY9" i="8"/>
  <c r="BA9" i="8"/>
  <c r="BD9" i="8"/>
  <c r="BG9" i="8"/>
  <c r="BJ9" i="8"/>
  <c r="BM9" i="8"/>
  <c r="BP9" i="8"/>
  <c r="BS9" i="8"/>
  <c r="BV9" i="8"/>
  <c r="BY9" i="8"/>
  <c r="CB9" i="8"/>
  <c r="CE9" i="8"/>
  <c r="CH9" i="8"/>
  <c r="CK9" i="8"/>
  <c r="CN9" i="8"/>
  <c r="CQ9" i="8"/>
  <c r="CT9" i="8"/>
  <c r="CW9" i="8"/>
  <c r="CZ9" i="8"/>
  <c r="DC9" i="8"/>
  <c r="DF9" i="8"/>
  <c r="DI9" i="8"/>
  <c r="DL9" i="8"/>
  <c r="DO9" i="8"/>
  <c r="DR9" i="8"/>
  <c r="DS9" i="8"/>
  <c r="DT9" i="8"/>
  <c r="DU9" i="8"/>
  <c r="A10" i="8"/>
  <c r="E10" i="8"/>
  <c r="H10" i="8"/>
  <c r="K10" i="8"/>
  <c r="M10" i="8"/>
  <c r="N10" i="8"/>
  <c r="Q10" i="8"/>
  <c r="T10" i="8"/>
  <c r="W10" i="8"/>
  <c r="Z10" i="8"/>
  <c r="AC10" i="8"/>
  <c r="AD10" i="8"/>
  <c r="AF10" i="8"/>
  <c r="AI10" i="8"/>
  <c r="AL10" i="8"/>
  <c r="AO10" i="8"/>
  <c r="AR10" i="8"/>
  <c r="AU10" i="8"/>
  <c r="AX10" i="8"/>
  <c r="AY10" i="8"/>
  <c r="BA10" i="8"/>
  <c r="BD10" i="8"/>
  <c r="BG10" i="8"/>
  <c r="BJ10" i="8"/>
  <c r="BM10" i="8"/>
  <c r="BP10" i="8"/>
  <c r="BS10" i="8"/>
  <c r="BV10" i="8"/>
  <c r="BY10" i="8"/>
  <c r="CB10" i="8"/>
  <c r="CE10" i="8"/>
  <c r="CH10" i="8"/>
  <c r="CK10" i="8"/>
  <c r="CN10" i="8"/>
  <c r="CQ10" i="8"/>
  <c r="CT10" i="8"/>
  <c r="CW10" i="8"/>
  <c r="CZ10" i="8"/>
  <c r="DC10" i="8"/>
  <c r="DF10" i="8"/>
  <c r="DI10" i="8"/>
  <c r="DL10" i="8"/>
  <c r="DO10" i="8"/>
  <c r="DR10" i="8"/>
  <c r="DS10" i="8"/>
  <c r="DT10" i="8"/>
  <c r="DU10" i="8"/>
  <c r="A11" i="8"/>
  <c r="E11" i="8"/>
  <c r="H11" i="8"/>
  <c r="K11" i="8"/>
  <c r="M11" i="8"/>
  <c r="N11" i="8"/>
  <c r="Q11" i="8"/>
  <c r="T11" i="8"/>
  <c r="W11" i="8"/>
  <c r="Z11" i="8"/>
  <c r="AC11" i="8"/>
  <c r="AD11" i="8"/>
  <c r="AE11" i="8"/>
  <c r="AF11" i="8"/>
  <c r="AI11" i="8"/>
  <c r="AL11" i="8"/>
  <c r="AO11" i="8"/>
  <c r="AR11" i="8"/>
  <c r="AU11" i="8"/>
  <c r="AX11" i="8"/>
  <c r="BA11" i="8"/>
  <c r="BD11" i="8"/>
  <c r="BG11" i="8"/>
  <c r="BJ11" i="8"/>
  <c r="BM11" i="8"/>
  <c r="BP11" i="8"/>
  <c r="BS11" i="8"/>
  <c r="BV11" i="8"/>
  <c r="BY11" i="8"/>
  <c r="CB11" i="8"/>
  <c r="CE11" i="8"/>
  <c r="CH11" i="8"/>
  <c r="CK11" i="8"/>
  <c r="CN11" i="8"/>
  <c r="CQ11" i="8"/>
  <c r="CT11" i="8"/>
  <c r="CW11" i="8"/>
  <c r="CZ11" i="8"/>
  <c r="DC11" i="8"/>
  <c r="DF11" i="8"/>
  <c r="DI11" i="8"/>
  <c r="DL11" i="8"/>
  <c r="DO11" i="8"/>
  <c r="DR11" i="8"/>
  <c r="DS11" i="8"/>
  <c r="DT11" i="8"/>
  <c r="DU11" i="8"/>
  <c r="A12" i="8"/>
  <c r="E12" i="8"/>
  <c r="H12" i="8"/>
  <c r="K12" i="8"/>
  <c r="M12" i="8"/>
  <c r="N12" i="8"/>
  <c r="Q12" i="8"/>
  <c r="T12" i="8"/>
  <c r="W12" i="8"/>
  <c r="Z12" i="8"/>
  <c r="AC12" i="8"/>
  <c r="AD12" i="8"/>
  <c r="AE12" i="8"/>
  <c r="AF12" i="8"/>
  <c r="AI12" i="8"/>
  <c r="AL12" i="8"/>
  <c r="AO12" i="8"/>
  <c r="AR12" i="8"/>
  <c r="AU12" i="8"/>
  <c r="AX12" i="8"/>
  <c r="BA12" i="8"/>
  <c r="BD12" i="8"/>
  <c r="BG12" i="8"/>
  <c r="BJ12" i="8"/>
  <c r="BM12" i="8"/>
  <c r="BP12" i="8"/>
  <c r="BS12" i="8"/>
  <c r="BV12" i="8"/>
  <c r="BY12" i="8"/>
  <c r="CB12" i="8"/>
  <c r="CE12" i="8"/>
  <c r="CH12" i="8"/>
  <c r="CK12" i="8"/>
  <c r="CN12" i="8"/>
  <c r="CQ12" i="8"/>
  <c r="CT12" i="8"/>
  <c r="CW12" i="8"/>
  <c r="CZ12" i="8"/>
  <c r="DC12" i="8"/>
  <c r="DF12" i="8"/>
  <c r="DI12" i="8"/>
  <c r="DL12" i="8"/>
  <c r="DO12" i="8"/>
  <c r="DR12" i="8"/>
  <c r="DS12" i="8"/>
  <c r="DT12" i="8"/>
  <c r="DU12" i="8"/>
  <c r="A13" i="8"/>
  <c r="E13" i="8"/>
  <c r="H13" i="8"/>
  <c r="K13" i="8"/>
  <c r="M13" i="8"/>
  <c r="N13" i="8"/>
  <c r="Q13" i="8"/>
  <c r="T13" i="8"/>
  <c r="W13" i="8"/>
  <c r="Z13" i="8"/>
  <c r="AC13" i="8"/>
  <c r="AD13" i="8"/>
  <c r="AE13" i="8"/>
  <c r="AF13" i="8"/>
  <c r="AI13" i="8"/>
  <c r="AL13" i="8"/>
  <c r="AO13" i="8"/>
  <c r="AR13" i="8"/>
  <c r="AU13" i="8"/>
  <c r="AX13" i="8"/>
  <c r="AZ13" i="8"/>
  <c r="BA13" i="8"/>
  <c r="BD13" i="8"/>
  <c r="BG13" i="8"/>
  <c r="BJ13" i="8"/>
  <c r="BM13" i="8"/>
  <c r="BP13" i="8"/>
  <c r="BS13" i="8"/>
  <c r="BV13" i="8"/>
  <c r="BY13" i="8"/>
  <c r="CB13" i="8"/>
  <c r="CE13" i="8"/>
  <c r="CH13" i="8"/>
  <c r="CK13" i="8"/>
  <c r="CN13" i="8"/>
  <c r="CQ13" i="8"/>
  <c r="CT13" i="8"/>
  <c r="CW13" i="8"/>
  <c r="CZ13" i="8"/>
  <c r="DC13" i="8"/>
  <c r="DF13" i="8"/>
  <c r="DI13" i="8"/>
  <c r="DL13" i="8"/>
  <c r="DO13" i="8"/>
  <c r="DR13" i="8"/>
  <c r="DS13" i="8"/>
  <c r="DT13" i="8"/>
  <c r="DU13" i="8"/>
  <c r="A14" i="8"/>
  <c r="E14" i="8"/>
  <c r="H14" i="8"/>
  <c r="K14" i="8"/>
  <c r="M14" i="8"/>
  <c r="N14" i="8"/>
  <c r="Q14" i="8"/>
  <c r="T14" i="8"/>
  <c r="W14" i="8"/>
  <c r="Z14" i="8"/>
  <c r="AC14" i="8"/>
  <c r="AD14" i="8"/>
  <c r="AE14" i="8"/>
  <c r="AF14" i="8"/>
  <c r="AI14" i="8"/>
  <c r="AL14" i="8"/>
  <c r="AO14" i="8"/>
  <c r="AR14" i="8"/>
  <c r="AU14" i="8"/>
  <c r="AX14" i="8"/>
  <c r="BA14" i="8"/>
  <c r="BD14" i="8"/>
  <c r="BG14" i="8"/>
  <c r="BJ14" i="8"/>
  <c r="BM14" i="8"/>
  <c r="BP14" i="8"/>
  <c r="BS14" i="8"/>
  <c r="BV14" i="8"/>
  <c r="BY14" i="8"/>
  <c r="CB14" i="8"/>
  <c r="CE14" i="8"/>
  <c r="CH14" i="8"/>
  <c r="CK14" i="8"/>
  <c r="CN14" i="8"/>
  <c r="CQ14" i="8"/>
  <c r="CT14" i="8"/>
  <c r="CW14" i="8"/>
  <c r="CZ14" i="8"/>
  <c r="DC14" i="8"/>
  <c r="DF14" i="8"/>
  <c r="DI14" i="8"/>
  <c r="DL14" i="8"/>
  <c r="DO14" i="8"/>
  <c r="DR14" i="8"/>
  <c r="DS14" i="8"/>
  <c r="DT14" i="8"/>
  <c r="DU14" i="8"/>
  <c r="A15" i="8"/>
  <c r="E15" i="8"/>
  <c r="H15" i="8"/>
  <c r="K15" i="8"/>
  <c r="M15" i="8"/>
  <c r="N15" i="8"/>
  <c r="Q15" i="8"/>
  <c r="T15" i="8"/>
  <c r="W15" i="8"/>
  <c r="Z15" i="8"/>
  <c r="AC15" i="8"/>
  <c r="AD15" i="8"/>
  <c r="AE15" i="8"/>
  <c r="AF15" i="8"/>
  <c r="AI15" i="8"/>
  <c r="AL15" i="8"/>
  <c r="AO15" i="8"/>
  <c r="AR15" i="8"/>
  <c r="AU15" i="8"/>
  <c r="AX15" i="8"/>
  <c r="BA15" i="8"/>
  <c r="BD15" i="8"/>
  <c r="BG15" i="8"/>
  <c r="BJ15" i="8"/>
  <c r="BM15" i="8"/>
  <c r="BP15" i="8"/>
  <c r="BS15" i="8"/>
  <c r="BV15" i="8"/>
  <c r="BY15" i="8"/>
  <c r="CB15" i="8"/>
  <c r="CE15" i="8"/>
  <c r="CH15" i="8"/>
  <c r="CK15" i="8"/>
  <c r="CN15" i="8"/>
  <c r="CQ15" i="8"/>
  <c r="CT15" i="8"/>
  <c r="CW15" i="8"/>
  <c r="CZ15" i="8"/>
  <c r="DC15" i="8"/>
  <c r="DF15" i="8"/>
  <c r="DI15" i="8"/>
  <c r="DL15" i="8"/>
  <c r="DO15" i="8"/>
  <c r="DR15" i="8"/>
  <c r="DS15" i="8"/>
  <c r="DT15" i="8"/>
  <c r="DU15" i="8"/>
  <c r="A16" i="8"/>
  <c r="E16" i="8"/>
  <c r="H16" i="8"/>
  <c r="K16" i="8"/>
  <c r="M16" i="8"/>
  <c r="N16" i="8"/>
  <c r="Q16" i="8"/>
  <c r="T16" i="8"/>
  <c r="W16" i="8"/>
  <c r="Z16" i="8"/>
  <c r="AC16" i="8"/>
  <c r="AD16" i="8"/>
  <c r="AE16" i="8"/>
  <c r="AF16" i="8"/>
  <c r="AI16" i="8"/>
  <c r="AL16" i="8"/>
  <c r="AO16" i="8"/>
  <c r="AR16" i="8"/>
  <c r="AU16" i="8"/>
  <c r="AX16" i="8"/>
  <c r="BA16" i="8"/>
  <c r="BD16" i="8"/>
  <c r="BG16" i="8"/>
  <c r="BJ16" i="8"/>
  <c r="BM16" i="8"/>
  <c r="BP16" i="8"/>
  <c r="BS16" i="8"/>
  <c r="BV16" i="8"/>
  <c r="BY16" i="8"/>
  <c r="CB16" i="8"/>
  <c r="CE16" i="8"/>
  <c r="CH16" i="8"/>
  <c r="CK16" i="8"/>
  <c r="CN16" i="8"/>
  <c r="CQ16" i="8"/>
  <c r="CT16" i="8"/>
  <c r="CW16" i="8"/>
  <c r="CZ16" i="8"/>
  <c r="DC16" i="8"/>
  <c r="DF16" i="8"/>
  <c r="DI16" i="8"/>
  <c r="DL16" i="8"/>
  <c r="DO16" i="8"/>
  <c r="DR16" i="8"/>
  <c r="DS16" i="8"/>
  <c r="DT16" i="8"/>
  <c r="DU16" i="8"/>
  <c r="A17" i="8"/>
  <c r="E17" i="8"/>
  <c r="H17" i="8"/>
  <c r="K17" i="8"/>
  <c r="M17" i="8"/>
  <c r="N17" i="8"/>
  <c r="Q17" i="8"/>
  <c r="T17" i="8"/>
  <c r="W17" i="8"/>
  <c r="Z17" i="8"/>
  <c r="AC17" i="8"/>
  <c r="AD17" i="8"/>
  <c r="AE17" i="8"/>
  <c r="AF17" i="8"/>
  <c r="AI17" i="8"/>
  <c r="AL17" i="8"/>
  <c r="AO17" i="8"/>
  <c r="AR17" i="8"/>
  <c r="AU17" i="8"/>
  <c r="AX17" i="8"/>
  <c r="BA17" i="8"/>
  <c r="BD17" i="8"/>
  <c r="BG17" i="8"/>
  <c r="BJ17" i="8"/>
  <c r="BM17" i="8"/>
  <c r="BP17" i="8"/>
  <c r="BS17" i="8"/>
  <c r="BV17" i="8"/>
  <c r="BY17" i="8"/>
  <c r="CB17" i="8"/>
  <c r="CE17" i="8"/>
  <c r="CH17" i="8"/>
  <c r="CK17" i="8"/>
  <c r="CN17" i="8"/>
  <c r="CQ17" i="8"/>
  <c r="CT17" i="8"/>
  <c r="CW17" i="8"/>
  <c r="CZ17" i="8"/>
  <c r="DC17" i="8"/>
  <c r="DF17" i="8"/>
  <c r="DI17" i="8"/>
  <c r="DL17" i="8"/>
  <c r="DO17" i="8"/>
  <c r="DR17" i="8"/>
  <c r="DS17" i="8"/>
  <c r="DT17" i="8"/>
  <c r="DU17" i="8"/>
  <c r="A18" i="8"/>
  <c r="E18" i="8"/>
  <c r="H18" i="8"/>
  <c r="K18" i="8"/>
  <c r="M18" i="8"/>
  <c r="N18" i="8"/>
  <c r="Q18" i="8"/>
  <c r="T18" i="8"/>
  <c r="W18" i="8"/>
  <c r="Z18" i="8"/>
  <c r="AC18" i="8"/>
  <c r="AD18" i="8"/>
  <c r="AE18" i="8"/>
  <c r="AF18" i="8"/>
  <c r="AI18" i="8"/>
  <c r="AL18" i="8"/>
  <c r="AO18" i="8"/>
  <c r="AR18" i="8"/>
  <c r="AU18" i="8"/>
  <c r="AX18" i="8"/>
  <c r="BA18" i="8"/>
  <c r="BD18" i="8"/>
  <c r="BG18" i="8"/>
  <c r="BJ18" i="8"/>
  <c r="BM18" i="8"/>
  <c r="BP18" i="8"/>
  <c r="BS18" i="8"/>
  <c r="BV18" i="8"/>
  <c r="BY18" i="8"/>
  <c r="CB18" i="8"/>
  <c r="CE18" i="8"/>
  <c r="CH18" i="8"/>
  <c r="CK18" i="8"/>
  <c r="CN18" i="8"/>
  <c r="CQ18" i="8"/>
  <c r="CT18" i="8"/>
  <c r="CW18" i="8"/>
  <c r="CZ18" i="8"/>
  <c r="DC18" i="8"/>
  <c r="DF18" i="8"/>
  <c r="DI18" i="8"/>
  <c r="DL18" i="8"/>
  <c r="DO18" i="8"/>
  <c r="DR18" i="8"/>
  <c r="DS18" i="8"/>
  <c r="DT18" i="8"/>
  <c r="DU18" i="8"/>
  <c r="A19" i="8"/>
  <c r="E19" i="8"/>
  <c r="H19" i="8"/>
  <c r="K19" i="8"/>
  <c r="M19" i="8"/>
  <c r="N19" i="8"/>
  <c r="Q19" i="8"/>
  <c r="T19" i="8"/>
  <c r="W19" i="8"/>
  <c r="Z19" i="8"/>
  <c r="AC19" i="8"/>
  <c r="AD19" i="8"/>
  <c r="AE19" i="8"/>
  <c r="AF19" i="8"/>
  <c r="AI19" i="8"/>
  <c r="AL19" i="8"/>
  <c r="AO19" i="8"/>
  <c r="AR19" i="8"/>
  <c r="AU19" i="8"/>
  <c r="AX19" i="8"/>
  <c r="BA19" i="8"/>
  <c r="BD19" i="8"/>
  <c r="BG19" i="8"/>
  <c r="BJ19" i="8"/>
  <c r="BM19" i="8"/>
  <c r="BP19" i="8"/>
  <c r="BS19" i="8"/>
  <c r="BV19" i="8"/>
  <c r="BY19" i="8"/>
  <c r="CB19" i="8"/>
  <c r="CE19" i="8"/>
  <c r="CH19" i="8"/>
  <c r="CK19" i="8"/>
  <c r="CN19" i="8"/>
  <c r="CQ19" i="8"/>
  <c r="CT19" i="8"/>
  <c r="CW19" i="8"/>
  <c r="CZ19" i="8"/>
  <c r="DC19" i="8"/>
  <c r="DF19" i="8"/>
  <c r="DI19" i="8"/>
  <c r="DL19" i="8"/>
  <c r="DO19" i="8"/>
  <c r="DR19" i="8"/>
  <c r="DS19" i="8"/>
  <c r="DT19" i="8"/>
  <c r="DU19" i="8"/>
  <c r="A20" i="8"/>
  <c r="E20" i="8"/>
  <c r="H20" i="8"/>
  <c r="K20" i="8"/>
  <c r="M20" i="8"/>
  <c r="N20" i="8"/>
  <c r="Q20" i="8"/>
  <c r="T20" i="8"/>
  <c r="W20" i="8"/>
  <c r="Z20" i="8"/>
  <c r="AC20" i="8"/>
  <c r="AD20" i="8"/>
  <c r="AF20" i="8"/>
  <c r="AI20" i="8"/>
  <c r="AL20" i="8"/>
  <c r="AO20" i="8"/>
  <c r="AR20" i="8"/>
  <c r="AU20" i="8"/>
  <c r="AX20" i="8"/>
  <c r="BA20" i="8"/>
  <c r="BD20" i="8"/>
  <c r="BG20" i="8"/>
  <c r="BJ20" i="8"/>
  <c r="BM20" i="8"/>
  <c r="BP20" i="8"/>
  <c r="BS20" i="8"/>
  <c r="BV20" i="8"/>
  <c r="BY20" i="8"/>
  <c r="CB20" i="8"/>
  <c r="CE20" i="8"/>
  <c r="CH20" i="8"/>
  <c r="CK20" i="8"/>
  <c r="CN20" i="8"/>
  <c r="CQ20" i="8"/>
  <c r="CT20" i="8"/>
  <c r="CW20" i="8"/>
  <c r="CZ20" i="8"/>
  <c r="DC20" i="8"/>
  <c r="DF20" i="8"/>
  <c r="DI20" i="8"/>
  <c r="DL20" i="8"/>
  <c r="DO20" i="8"/>
  <c r="DR20" i="8"/>
  <c r="DS20" i="8"/>
  <c r="DT20" i="8"/>
  <c r="DU20" i="8"/>
  <c r="A21" i="8"/>
  <c r="E21" i="8"/>
  <c r="H21" i="8"/>
  <c r="K21" i="8"/>
  <c r="M21" i="8"/>
  <c r="N21" i="8"/>
  <c r="Q21" i="8"/>
  <c r="T21" i="8"/>
  <c r="W21" i="8"/>
  <c r="Z21" i="8"/>
  <c r="AC21" i="8"/>
  <c r="AD21" i="8"/>
  <c r="AE21" i="8"/>
  <c r="AF21" i="8"/>
  <c r="AI21" i="8"/>
  <c r="AL21" i="8"/>
  <c r="AO21" i="8"/>
  <c r="AR21" i="8"/>
  <c r="AU21" i="8"/>
  <c r="AX21" i="8"/>
  <c r="BA21" i="8"/>
  <c r="BD21" i="8"/>
  <c r="BG21" i="8"/>
  <c r="BJ21" i="8"/>
  <c r="BM21" i="8"/>
  <c r="BP21" i="8"/>
  <c r="BS21" i="8"/>
  <c r="BV21" i="8"/>
  <c r="BY21" i="8"/>
  <c r="CB21" i="8"/>
  <c r="CE21" i="8"/>
  <c r="CH21" i="8"/>
  <c r="CK21" i="8"/>
  <c r="CN21" i="8"/>
  <c r="CQ21" i="8"/>
  <c r="CT21" i="8"/>
  <c r="CW21" i="8"/>
  <c r="CZ21" i="8"/>
  <c r="DC21" i="8"/>
  <c r="DF21" i="8"/>
  <c r="DI21" i="8"/>
  <c r="DL21" i="8"/>
  <c r="DO21" i="8"/>
  <c r="DR21" i="8"/>
  <c r="DS21" i="8"/>
  <c r="DT21" i="8"/>
  <c r="DU21" i="8"/>
  <c r="A22" i="8"/>
  <c r="E22" i="8"/>
  <c r="H22" i="8"/>
  <c r="K22" i="8"/>
  <c r="M22" i="8"/>
  <c r="N22" i="8"/>
  <c r="Q22" i="8"/>
  <c r="T22" i="8"/>
  <c r="W22" i="8"/>
  <c r="Z22" i="8"/>
  <c r="AC22" i="8"/>
  <c r="AD22" i="8"/>
  <c r="AE22" i="8"/>
  <c r="AF22" i="8"/>
  <c r="AI22" i="8"/>
  <c r="AL22" i="8"/>
  <c r="AO22" i="8"/>
  <c r="AR22" i="8"/>
  <c r="AU22" i="8"/>
  <c r="AX22" i="8"/>
  <c r="BA22" i="8"/>
  <c r="BD22" i="8"/>
  <c r="BG22" i="8"/>
  <c r="BJ22" i="8"/>
  <c r="BM22" i="8"/>
  <c r="BP22" i="8"/>
  <c r="BS22" i="8"/>
  <c r="BV22" i="8"/>
  <c r="BY22" i="8"/>
  <c r="CB22" i="8"/>
  <c r="CE22" i="8"/>
  <c r="CH22" i="8"/>
  <c r="CK22" i="8"/>
  <c r="CN22" i="8"/>
  <c r="CQ22" i="8"/>
  <c r="CT22" i="8"/>
  <c r="CW22" i="8"/>
  <c r="CZ22" i="8"/>
  <c r="DC22" i="8"/>
  <c r="DF22" i="8"/>
  <c r="DI22" i="8"/>
  <c r="DL22" i="8"/>
  <c r="DO22" i="8"/>
  <c r="DR22" i="8"/>
  <c r="DS22" i="8"/>
  <c r="DT22" i="8"/>
  <c r="DU22" i="8"/>
  <c r="A23" i="8"/>
  <c r="E23" i="8"/>
  <c r="H23" i="8"/>
  <c r="K23" i="8"/>
  <c r="M23" i="8"/>
  <c r="N23" i="8"/>
  <c r="Q23" i="8"/>
  <c r="T23" i="8"/>
  <c r="W23" i="8"/>
  <c r="Z23" i="8"/>
  <c r="AC23" i="8"/>
  <c r="AD23" i="8"/>
  <c r="AE23" i="8"/>
  <c r="AF23" i="8"/>
  <c r="AI23" i="8"/>
  <c r="AL23" i="8"/>
  <c r="AO23" i="8"/>
  <c r="AR23" i="8"/>
  <c r="AU23" i="8"/>
  <c r="AX23" i="8"/>
  <c r="BA23" i="8"/>
  <c r="BD23" i="8"/>
  <c r="BG23" i="8"/>
  <c r="BJ23" i="8"/>
  <c r="BM23" i="8"/>
  <c r="BP23" i="8"/>
  <c r="BS23" i="8"/>
  <c r="BV23" i="8"/>
  <c r="BY23" i="8"/>
  <c r="CB23" i="8"/>
  <c r="CE23" i="8"/>
  <c r="CH23" i="8"/>
  <c r="CK23" i="8"/>
  <c r="CN23" i="8"/>
  <c r="CQ23" i="8"/>
  <c r="CT23" i="8"/>
  <c r="CW23" i="8"/>
  <c r="CZ23" i="8"/>
  <c r="DC23" i="8"/>
  <c r="DF23" i="8"/>
  <c r="DI23" i="8"/>
  <c r="DL23" i="8"/>
  <c r="DO23" i="8"/>
  <c r="DR23" i="8"/>
  <c r="DS23" i="8"/>
  <c r="DT23" i="8"/>
  <c r="DU23" i="8"/>
  <c r="A24" i="8"/>
  <c r="E24" i="8"/>
  <c r="H24" i="8"/>
  <c r="K24" i="8"/>
  <c r="M24" i="8"/>
  <c r="N24" i="8"/>
  <c r="Q24" i="8"/>
  <c r="T24" i="8"/>
  <c r="W24" i="8"/>
  <c r="Z24" i="8"/>
  <c r="AC24" i="8"/>
  <c r="AD24" i="8"/>
  <c r="AE24" i="8"/>
  <c r="AF24" i="8"/>
  <c r="AI24" i="8"/>
  <c r="AL24" i="8"/>
  <c r="AO24" i="8"/>
  <c r="AR24" i="8"/>
  <c r="AU24" i="8"/>
  <c r="AX24" i="8"/>
  <c r="BA24" i="8"/>
  <c r="BD24" i="8"/>
  <c r="BG24" i="8"/>
  <c r="BJ24" i="8"/>
  <c r="BM24" i="8"/>
  <c r="BP24" i="8"/>
  <c r="BS24" i="8"/>
  <c r="BV24" i="8"/>
  <c r="BY24" i="8"/>
  <c r="CB24" i="8"/>
  <c r="CE24" i="8"/>
  <c r="CH24" i="8"/>
  <c r="CK24" i="8"/>
  <c r="CN24" i="8"/>
  <c r="CQ24" i="8"/>
  <c r="CT24" i="8"/>
  <c r="CW24" i="8"/>
  <c r="CZ24" i="8"/>
  <c r="DC24" i="8"/>
  <c r="DF24" i="8"/>
  <c r="DI24" i="8"/>
  <c r="DL24" i="8"/>
  <c r="DO24" i="8"/>
  <c r="DR24" i="8"/>
  <c r="DS24" i="8"/>
  <c r="DT24" i="8"/>
  <c r="DU24" i="8"/>
  <c r="A25" i="8"/>
  <c r="E25" i="8"/>
  <c r="H25" i="8"/>
  <c r="K25" i="8"/>
  <c r="M25" i="8"/>
  <c r="N25" i="8"/>
  <c r="Q25" i="8"/>
  <c r="T25" i="8"/>
  <c r="W25" i="8"/>
  <c r="Z25" i="8"/>
  <c r="AC25" i="8"/>
  <c r="AD25" i="8"/>
  <c r="AE25" i="8"/>
  <c r="AF25" i="8"/>
  <c r="AI25" i="8"/>
  <c r="AL25" i="8"/>
  <c r="AO25" i="8"/>
  <c r="AR25" i="8"/>
  <c r="AU25" i="8"/>
  <c r="AX25" i="8"/>
  <c r="BA25" i="8"/>
  <c r="BD25" i="8"/>
  <c r="BG25" i="8"/>
  <c r="BJ25" i="8"/>
  <c r="BM25" i="8"/>
  <c r="BP25" i="8"/>
  <c r="BS25" i="8"/>
  <c r="BV25" i="8"/>
  <c r="BY25" i="8"/>
  <c r="CB25" i="8"/>
  <c r="CE25" i="8"/>
  <c r="CH25" i="8"/>
  <c r="CK25" i="8"/>
  <c r="CN25" i="8"/>
  <c r="CQ25" i="8"/>
  <c r="CT25" i="8"/>
  <c r="CW25" i="8"/>
  <c r="CZ25" i="8"/>
  <c r="DC25" i="8"/>
  <c r="DF25" i="8"/>
  <c r="DI25" i="8"/>
  <c r="DL25" i="8"/>
  <c r="DO25" i="8"/>
  <c r="DR25" i="8"/>
  <c r="DS25" i="8"/>
  <c r="DT25" i="8"/>
  <c r="DU25" i="8"/>
  <c r="A26" i="8"/>
  <c r="E26" i="8"/>
  <c r="H26" i="8"/>
  <c r="K26" i="8"/>
  <c r="M26" i="8"/>
  <c r="N26" i="8"/>
  <c r="Q26" i="8"/>
  <c r="T26" i="8"/>
  <c r="W26" i="8"/>
  <c r="Z26" i="8"/>
  <c r="AC26" i="8"/>
  <c r="AD26" i="8"/>
  <c r="AE26" i="8"/>
  <c r="AF26" i="8"/>
  <c r="AI26" i="8"/>
  <c r="AL26" i="8"/>
  <c r="AO26" i="8"/>
  <c r="AR26" i="8"/>
  <c r="AU26" i="8"/>
  <c r="AX26" i="8"/>
  <c r="BA26" i="8"/>
  <c r="BD26" i="8"/>
  <c r="BG26" i="8"/>
  <c r="BJ26" i="8"/>
  <c r="BM26" i="8"/>
  <c r="BP26" i="8"/>
  <c r="BS26" i="8"/>
  <c r="BV26" i="8"/>
  <c r="BY26" i="8"/>
  <c r="CB26" i="8"/>
  <c r="CE26" i="8"/>
  <c r="CH26" i="8"/>
  <c r="CK26" i="8"/>
  <c r="CN26" i="8"/>
  <c r="CQ26" i="8"/>
  <c r="CT26" i="8"/>
  <c r="CW26" i="8"/>
  <c r="CZ26" i="8"/>
  <c r="DC26" i="8"/>
  <c r="DF26" i="8"/>
  <c r="DI26" i="8"/>
  <c r="DL26" i="8"/>
  <c r="DO26" i="8"/>
  <c r="DR26" i="8"/>
  <c r="DS26" i="8"/>
  <c r="DT26" i="8"/>
  <c r="DU26" i="8"/>
  <c r="A27" i="8"/>
  <c r="E27" i="8"/>
  <c r="H27" i="8"/>
  <c r="K27" i="8"/>
  <c r="M27" i="8"/>
  <c r="N27" i="8"/>
  <c r="Q27" i="8"/>
  <c r="T27" i="8"/>
  <c r="W27" i="8"/>
  <c r="Z27" i="8"/>
  <c r="AC27" i="8"/>
  <c r="AD27" i="8"/>
  <c r="AE27" i="8"/>
  <c r="AF27" i="8"/>
  <c r="AI27" i="8"/>
  <c r="AL27" i="8"/>
  <c r="AO27" i="8"/>
  <c r="AR27" i="8"/>
  <c r="AU27" i="8"/>
  <c r="AX27" i="8"/>
  <c r="BA27" i="8"/>
  <c r="BD27" i="8"/>
  <c r="BG27" i="8"/>
  <c r="BJ27" i="8"/>
  <c r="BM27" i="8"/>
  <c r="BP27" i="8"/>
  <c r="BS27" i="8"/>
  <c r="BV27" i="8"/>
  <c r="BY27" i="8"/>
  <c r="CB27" i="8"/>
  <c r="CE27" i="8"/>
  <c r="CH27" i="8"/>
  <c r="CK27" i="8"/>
  <c r="CN27" i="8"/>
  <c r="CQ27" i="8"/>
  <c r="CT27" i="8"/>
  <c r="CW27" i="8"/>
  <c r="CZ27" i="8"/>
  <c r="DC27" i="8"/>
  <c r="DF27" i="8"/>
  <c r="DI27" i="8"/>
  <c r="DL27" i="8"/>
  <c r="DO27" i="8"/>
  <c r="DR27" i="8"/>
  <c r="DS27" i="8"/>
  <c r="DT27" i="8"/>
  <c r="DU27" i="8"/>
  <c r="A28" i="8"/>
  <c r="E28" i="8"/>
  <c r="H28" i="8"/>
  <c r="K28" i="8"/>
  <c r="M28" i="8"/>
  <c r="N28" i="8"/>
  <c r="Q28" i="8"/>
  <c r="T28" i="8"/>
  <c r="W28" i="8"/>
  <c r="Z28" i="8"/>
  <c r="AC28" i="8"/>
  <c r="AD28" i="8"/>
  <c r="AE28" i="8"/>
  <c r="AF28" i="8"/>
  <c r="AI28" i="8"/>
  <c r="AL28" i="8"/>
  <c r="AO28" i="8"/>
  <c r="AR28" i="8"/>
  <c r="AU28" i="8"/>
  <c r="AX28" i="8"/>
  <c r="BA28" i="8"/>
  <c r="BD28" i="8"/>
  <c r="BG28" i="8"/>
  <c r="BJ28" i="8"/>
  <c r="BM28" i="8"/>
  <c r="BP28" i="8"/>
  <c r="BS28" i="8"/>
  <c r="BV28" i="8"/>
  <c r="BY28" i="8"/>
  <c r="CB28" i="8"/>
  <c r="CE28" i="8"/>
  <c r="CH28" i="8"/>
  <c r="CK28" i="8"/>
  <c r="CN28" i="8"/>
  <c r="CQ28" i="8"/>
  <c r="CT28" i="8"/>
  <c r="CW28" i="8"/>
  <c r="CZ28" i="8"/>
  <c r="DC28" i="8"/>
  <c r="DF28" i="8"/>
  <c r="DI28" i="8"/>
  <c r="DL28" i="8"/>
  <c r="DO28" i="8"/>
  <c r="DR28" i="8"/>
  <c r="DS28" i="8"/>
  <c r="DT28" i="8"/>
  <c r="DU28" i="8"/>
  <c r="A29" i="8"/>
  <c r="E29" i="8"/>
  <c r="H29" i="8"/>
  <c r="K29" i="8"/>
  <c r="M29" i="8"/>
  <c r="N29" i="8"/>
  <c r="Q29" i="8"/>
  <c r="T29" i="8"/>
  <c r="W29" i="8"/>
  <c r="Z29" i="8"/>
  <c r="AC29" i="8"/>
  <c r="AD29" i="8"/>
  <c r="AE29" i="8"/>
  <c r="AF29" i="8"/>
  <c r="AI29" i="8"/>
  <c r="AL29" i="8"/>
  <c r="AO29" i="8"/>
  <c r="AR29" i="8"/>
  <c r="AU29" i="8"/>
  <c r="AX29" i="8"/>
  <c r="BA29" i="8"/>
  <c r="BD29" i="8"/>
  <c r="BG29" i="8"/>
  <c r="BJ29" i="8"/>
  <c r="BM29" i="8"/>
  <c r="BP29" i="8"/>
  <c r="BS29" i="8"/>
  <c r="BV29" i="8"/>
  <c r="BY29" i="8"/>
  <c r="CB29" i="8"/>
  <c r="CE29" i="8"/>
  <c r="CH29" i="8"/>
  <c r="CK29" i="8"/>
  <c r="CN29" i="8"/>
  <c r="CQ29" i="8"/>
  <c r="CT29" i="8"/>
  <c r="CW29" i="8"/>
  <c r="CZ29" i="8"/>
  <c r="DC29" i="8"/>
  <c r="DF29" i="8"/>
  <c r="DI29" i="8"/>
  <c r="DL29" i="8"/>
  <c r="DO29" i="8"/>
  <c r="DR29" i="8"/>
  <c r="DS29" i="8"/>
  <c r="DT29" i="8"/>
  <c r="DU29" i="8"/>
  <c r="A30" i="8"/>
  <c r="E30" i="8"/>
  <c r="H30" i="8"/>
  <c r="K30" i="8"/>
  <c r="M30" i="8"/>
  <c r="N30" i="8"/>
  <c r="Q30" i="8"/>
  <c r="T30" i="8"/>
  <c r="W30" i="8"/>
  <c r="Z30" i="8"/>
  <c r="AC30" i="8"/>
  <c r="AD30" i="8"/>
  <c r="AE30" i="8"/>
  <c r="AF30" i="8"/>
  <c r="AI30" i="8"/>
  <c r="AL30" i="8"/>
  <c r="AO30" i="8"/>
  <c r="AR30" i="8"/>
  <c r="AU30" i="8"/>
  <c r="AX30" i="8"/>
  <c r="BA30" i="8"/>
  <c r="BD30" i="8"/>
  <c r="BG30" i="8"/>
  <c r="BJ30" i="8"/>
  <c r="BM30" i="8"/>
  <c r="BP30" i="8"/>
  <c r="BS30" i="8"/>
  <c r="BV30" i="8"/>
  <c r="BY30" i="8"/>
  <c r="CB30" i="8"/>
  <c r="CE30" i="8"/>
  <c r="CH30" i="8"/>
  <c r="CK30" i="8"/>
  <c r="CN30" i="8"/>
  <c r="CQ30" i="8"/>
  <c r="CT30" i="8"/>
  <c r="CW30" i="8"/>
  <c r="CZ30" i="8"/>
  <c r="DC30" i="8"/>
  <c r="DF30" i="8"/>
  <c r="DI30" i="8"/>
  <c r="DL30" i="8"/>
  <c r="DO30" i="8"/>
  <c r="DR30" i="8"/>
  <c r="DS30" i="8"/>
  <c r="DT30" i="8"/>
  <c r="DU30" i="8"/>
  <c r="A31" i="8"/>
  <c r="E31" i="8"/>
  <c r="H31" i="8"/>
  <c r="K31" i="8"/>
  <c r="M31" i="8"/>
  <c r="N31" i="8"/>
  <c r="Q31" i="8"/>
  <c r="T31" i="8"/>
  <c r="W31" i="8"/>
  <c r="Z31" i="8"/>
  <c r="AC31" i="8"/>
  <c r="AD31" i="8"/>
  <c r="AE31" i="8"/>
  <c r="AF31" i="8"/>
  <c r="AI31" i="8"/>
  <c r="AL31" i="8"/>
  <c r="AO31" i="8"/>
  <c r="AR31" i="8"/>
  <c r="AU31" i="8"/>
  <c r="AX31" i="8"/>
  <c r="BA31" i="8"/>
  <c r="BD31" i="8"/>
  <c r="BG31" i="8"/>
  <c r="BJ31" i="8"/>
  <c r="BM31" i="8"/>
  <c r="BP31" i="8"/>
  <c r="BS31" i="8"/>
  <c r="BV31" i="8"/>
  <c r="BY31" i="8"/>
  <c r="CB31" i="8"/>
  <c r="CE31" i="8"/>
  <c r="CH31" i="8"/>
  <c r="CK31" i="8"/>
  <c r="CN31" i="8"/>
  <c r="CQ31" i="8"/>
  <c r="CT31" i="8"/>
  <c r="CW31" i="8"/>
  <c r="CZ31" i="8"/>
  <c r="DC31" i="8"/>
  <c r="DF31" i="8"/>
  <c r="DI31" i="8"/>
  <c r="DL31" i="8"/>
  <c r="DO31" i="8"/>
  <c r="DR31" i="8"/>
  <c r="DS31" i="8"/>
  <c r="DT31" i="8"/>
  <c r="DU31" i="8"/>
  <c r="A32" i="8"/>
  <c r="E32" i="8"/>
  <c r="H32" i="8"/>
  <c r="K32" i="8"/>
  <c r="M32" i="8"/>
  <c r="N32" i="8"/>
  <c r="Q32" i="8"/>
  <c r="T32" i="8"/>
  <c r="W32" i="8"/>
  <c r="Z32" i="8"/>
  <c r="AC32" i="8"/>
  <c r="AD32" i="8"/>
  <c r="AE32" i="8"/>
  <c r="AF32" i="8"/>
  <c r="AI32" i="8"/>
  <c r="AL32" i="8"/>
  <c r="AO32" i="8"/>
  <c r="AR32" i="8"/>
  <c r="AU32" i="8"/>
  <c r="AX32" i="8"/>
  <c r="BA32" i="8"/>
  <c r="BD32" i="8"/>
  <c r="BG32" i="8"/>
  <c r="BJ32" i="8"/>
  <c r="BM32" i="8"/>
  <c r="BP32" i="8"/>
  <c r="BS32" i="8"/>
  <c r="BV32" i="8"/>
  <c r="BY32" i="8"/>
  <c r="CB32" i="8"/>
  <c r="CE32" i="8"/>
  <c r="CH32" i="8"/>
  <c r="CK32" i="8"/>
  <c r="CN32" i="8"/>
  <c r="CQ32" i="8"/>
  <c r="CT32" i="8"/>
  <c r="CW32" i="8"/>
  <c r="CZ32" i="8"/>
  <c r="DC32" i="8"/>
  <c r="DF32" i="8"/>
  <c r="DI32" i="8"/>
  <c r="DL32" i="8"/>
  <c r="DO32" i="8"/>
  <c r="DR32" i="8"/>
  <c r="DS32" i="8"/>
  <c r="DT32" i="8"/>
  <c r="DU32" i="8"/>
  <c r="A33" i="8"/>
  <c r="E33" i="8"/>
  <c r="H33" i="8"/>
  <c r="K33" i="8"/>
  <c r="M33" i="8"/>
  <c r="N33" i="8"/>
  <c r="Q33" i="8"/>
  <c r="T33" i="8"/>
  <c r="W33" i="8"/>
  <c r="Z33" i="8"/>
  <c r="AC33" i="8"/>
  <c r="AD33" i="8"/>
  <c r="AE33" i="8"/>
  <c r="AF33" i="8"/>
  <c r="AI33" i="8"/>
  <c r="AL33" i="8"/>
  <c r="AO33" i="8"/>
  <c r="AR33" i="8"/>
  <c r="AU33" i="8"/>
  <c r="AX33" i="8"/>
  <c r="BA33" i="8"/>
  <c r="BC33" i="8"/>
  <c r="BD33" i="8"/>
  <c r="BG33" i="8"/>
  <c r="BJ33" i="8"/>
  <c r="BM33" i="8"/>
  <c r="BP33" i="8"/>
  <c r="BS33" i="8"/>
  <c r="BV33" i="8"/>
  <c r="BY33" i="8"/>
  <c r="CB33" i="8"/>
  <c r="CE33" i="8"/>
  <c r="CH33" i="8"/>
  <c r="CK33" i="8"/>
  <c r="CN33" i="8"/>
  <c r="CQ33" i="8"/>
  <c r="CT33" i="8"/>
  <c r="CW33" i="8"/>
  <c r="CZ33" i="8"/>
  <c r="DC33" i="8"/>
  <c r="DF33" i="8"/>
  <c r="DI33" i="8"/>
  <c r="DL33" i="8"/>
  <c r="DO33" i="8"/>
  <c r="DR33" i="8"/>
  <c r="DS33" i="8"/>
  <c r="DT33" i="8"/>
  <c r="DU33" i="8"/>
  <c r="A34" i="8"/>
  <c r="E34" i="8"/>
  <c r="H34" i="8"/>
  <c r="K34" i="8"/>
  <c r="M34" i="8"/>
  <c r="N34" i="8"/>
  <c r="Q34" i="8"/>
  <c r="T34" i="8"/>
  <c r="W34" i="8"/>
  <c r="Z34" i="8"/>
  <c r="AC34" i="8"/>
  <c r="AD34" i="8"/>
  <c r="AE34" i="8"/>
  <c r="AF34" i="8"/>
  <c r="AI34" i="8"/>
  <c r="AL34" i="8"/>
  <c r="AO34" i="8"/>
  <c r="AR34" i="8"/>
  <c r="AU34" i="8"/>
  <c r="AX34" i="8"/>
  <c r="BA34" i="8"/>
  <c r="BD34" i="8"/>
  <c r="BG34" i="8"/>
  <c r="BJ34" i="8"/>
  <c r="BM34" i="8"/>
  <c r="BP34" i="8"/>
  <c r="BS34" i="8"/>
  <c r="BV34" i="8"/>
  <c r="BY34" i="8"/>
  <c r="CB34" i="8"/>
  <c r="CE34" i="8"/>
  <c r="CH34" i="8"/>
  <c r="CK34" i="8"/>
  <c r="CN34" i="8"/>
  <c r="CQ34" i="8"/>
  <c r="CT34" i="8"/>
  <c r="CW34" i="8"/>
  <c r="CZ34" i="8"/>
  <c r="DC34" i="8"/>
  <c r="DF34" i="8"/>
  <c r="DI34" i="8"/>
  <c r="DL34" i="8"/>
  <c r="DO34" i="8"/>
  <c r="DR34" i="8"/>
  <c r="DS34" i="8"/>
  <c r="DT34" i="8"/>
  <c r="DU34" i="8"/>
  <c r="A35" i="8"/>
  <c r="E35" i="8"/>
  <c r="H35" i="8"/>
  <c r="K35" i="8"/>
  <c r="M35" i="8"/>
  <c r="N35" i="8"/>
  <c r="Q35" i="8"/>
  <c r="T35" i="8"/>
  <c r="W35" i="8"/>
  <c r="Z35" i="8"/>
  <c r="AC35" i="8"/>
  <c r="AD35" i="8"/>
  <c r="AE35" i="8"/>
  <c r="AF35" i="8"/>
  <c r="AI35" i="8"/>
  <c r="AL35" i="8"/>
  <c r="AO35" i="8"/>
  <c r="AR35" i="8"/>
  <c r="AU35" i="8"/>
  <c r="AX35" i="8"/>
  <c r="BA35" i="8"/>
  <c r="BD35" i="8"/>
  <c r="BG35" i="8"/>
  <c r="BJ35" i="8"/>
  <c r="BM35" i="8"/>
  <c r="BP35" i="8"/>
  <c r="BS35" i="8"/>
  <c r="BV35" i="8"/>
  <c r="BY35" i="8"/>
  <c r="CB35" i="8"/>
  <c r="CE35" i="8"/>
  <c r="CH35" i="8"/>
  <c r="CK35" i="8"/>
  <c r="CN35" i="8"/>
  <c r="CQ35" i="8"/>
  <c r="CT35" i="8"/>
  <c r="CW35" i="8"/>
  <c r="CZ35" i="8"/>
  <c r="DC35" i="8"/>
  <c r="DF35" i="8"/>
  <c r="DI35" i="8"/>
  <c r="DL35" i="8"/>
  <c r="DO35" i="8"/>
  <c r="DR35" i="8"/>
  <c r="DS35" i="8"/>
  <c r="DT35" i="8"/>
  <c r="DU35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A2" i="32"/>
  <c r="A4" i="32"/>
  <c r="B4" i="32"/>
  <c r="G4" i="32"/>
  <c r="H4" i="32"/>
  <c r="L4" i="32"/>
  <c r="M4" i="32"/>
  <c r="O4" i="32"/>
  <c r="P4" i="32"/>
  <c r="R4" i="32"/>
  <c r="S4" i="32"/>
  <c r="T4" i="32"/>
  <c r="V4" i="32"/>
  <c r="X4" i="32"/>
  <c r="Z4" i="32"/>
  <c r="AB4" i="32"/>
  <c r="A5" i="32"/>
  <c r="B5" i="32"/>
  <c r="G5" i="32"/>
  <c r="H5" i="32"/>
  <c r="L5" i="32"/>
  <c r="M5" i="32"/>
  <c r="O5" i="32"/>
  <c r="P5" i="32"/>
  <c r="R5" i="32"/>
  <c r="S5" i="32"/>
  <c r="T5" i="32"/>
  <c r="V5" i="32"/>
  <c r="X5" i="32"/>
  <c r="Z5" i="32"/>
  <c r="AB5" i="32"/>
  <c r="A6" i="32"/>
  <c r="B6" i="32"/>
  <c r="G6" i="32"/>
  <c r="H6" i="32"/>
  <c r="L6" i="32"/>
  <c r="M6" i="32"/>
  <c r="O6" i="32"/>
  <c r="P6" i="32"/>
  <c r="R6" i="32"/>
  <c r="S6" i="32"/>
  <c r="T6" i="32"/>
  <c r="V6" i="32"/>
  <c r="X6" i="32"/>
  <c r="Z6" i="32"/>
  <c r="AB6" i="32"/>
  <c r="A7" i="32"/>
  <c r="B7" i="32"/>
  <c r="G7" i="32"/>
  <c r="H7" i="32"/>
  <c r="L7" i="32"/>
  <c r="M7" i="32"/>
  <c r="O7" i="32"/>
  <c r="P7" i="32"/>
  <c r="R7" i="32"/>
  <c r="S7" i="32"/>
  <c r="T7" i="32"/>
  <c r="V7" i="32"/>
  <c r="X7" i="32"/>
  <c r="Z7" i="32"/>
  <c r="AB7" i="32"/>
  <c r="A8" i="32"/>
  <c r="B8" i="32"/>
  <c r="G8" i="32"/>
  <c r="H8" i="32"/>
  <c r="L8" i="32"/>
  <c r="M8" i="32"/>
  <c r="O8" i="32"/>
  <c r="P8" i="32"/>
  <c r="R8" i="32"/>
  <c r="S8" i="32"/>
  <c r="T8" i="32"/>
  <c r="V8" i="32"/>
  <c r="X8" i="32"/>
  <c r="Z8" i="32"/>
  <c r="AB8" i="32"/>
  <c r="A9" i="32"/>
  <c r="B9" i="32"/>
  <c r="G9" i="32"/>
  <c r="H9" i="32"/>
  <c r="L9" i="32"/>
  <c r="M9" i="32"/>
  <c r="O9" i="32"/>
  <c r="P9" i="32"/>
  <c r="R9" i="32"/>
  <c r="S9" i="32"/>
  <c r="T9" i="32"/>
  <c r="V9" i="32"/>
  <c r="X9" i="32"/>
  <c r="Z9" i="32"/>
  <c r="AB9" i="32"/>
  <c r="A10" i="32"/>
  <c r="B10" i="32"/>
  <c r="G10" i="32"/>
  <c r="H10" i="32"/>
  <c r="L10" i="32"/>
  <c r="M10" i="32"/>
  <c r="O10" i="32"/>
  <c r="P10" i="32"/>
  <c r="R10" i="32"/>
  <c r="S10" i="32"/>
  <c r="T10" i="32"/>
  <c r="V10" i="32"/>
  <c r="X10" i="32"/>
  <c r="Z10" i="32"/>
  <c r="AB10" i="32"/>
  <c r="A11" i="32"/>
  <c r="B11" i="32"/>
  <c r="G11" i="32"/>
  <c r="H11" i="32"/>
  <c r="L11" i="32"/>
  <c r="M11" i="32"/>
  <c r="O11" i="32"/>
  <c r="P11" i="32"/>
  <c r="R11" i="32"/>
  <c r="S11" i="32"/>
  <c r="T11" i="32"/>
  <c r="V11" i="32"/>
  <c r="X11" i="32"/>
  <c r="Z11" i="32"/>
  <c r="AB11" i="32"/>
  <c r="A12" i="32"/>
  <c r="B12" i="32"/>
  <c r="G12" i="32"/>
  <c r="H12" i="32"/>
  <c r="L12" i="32"/>
  <c r="M12" i="32"/>
  <c r="O12" i="32"/>
  <c r="P12" i="32"/>
  <c r="R12" i="32"/>
  <c r="S12" i="32"/>
  <c r="T12" i="32"/>
  <c r="V12" i="32"/>
  <c r="X12" i="32"/>
  <c r="Z12" i="32"/>
  <c r="AB12" i="32"/>
  <c r="A13" i="32"/>
  <c r="B13" i="32"/>
  <c r="G13" i="32"/>
  <c r="H13" i="32"/>
  <c r="L13" i="32"/>
  <c r="M13" i="32"/>
  <c r="O13" i="32"/>
  <c r="P13" i="32"/>
  <c r="R13" i="32"/>
  <c r="S13" i="32"/>
  <c r="T13" i="32"/>
  <c r="V13" i="32"/>
  <c r="X13" i="32"/>
  <c r="Z13" i="32"/>
  <c r="AB13" i="32"/>
  <c r="A14" i="32"/>
  <c r="B14" i="32"/>
  <c r="G14" i="32"/>
  <c r="H14" i="32"/>
  <c r="L14" i="32"/>
  <c r="M14" i="32"/>
  <c r="O14" i="32"/>
  <c r="P14" i="32"/>
  <c r="R14" i="32"/>
  <c r="S14" i="32"/>
  <c r="T14" i="32"/>
  <c r="V14" i="32"/>
  <c r="X14" i="32"/>
  <c r="Z14" i="32"/>
  <c r="AB14" i="32"/>
  <c r="A15" i="32"/>
  <c r="B15" i="32"/>
  <c r="G15" i="32"/>
  <c r="H15" i="32"/>
  <c r="L15" i="32"/>
  <c r="M15" i="32"/>
  <c r="O15" i="32"/>
  <c r="P15" i="32"/>
  <c r="R15" i="32"/>
  <c r="S15" i="32"/>
  <c r="T15" i="32"/>
  <c r="V15" i="32"/>
  <c r="X15" i="32"/>
  <c r="Z15" i="32"/>
  <c r="AB15" i="32"/>
  <c r="A16" i="32"/>
  <c r="B16" i="32"/>
  <c r="G16" i="32"/>
  <c r="H16" i="32"/>
  <c r="L16" i="32"/>
  <c r="M16" i="32"/>
  <c r="O16" i="32"/>
  <c r="P16" i="32"/>
  <c r="R16" i="32"/>
  <c r="S16" i="32"/>
  <c r="T16" i="32"/>
  <c r="V16" i="32"/>
  <c r="X16" i="32"/>
  <c r="Z16" i="32"/>
  <c r="AB16" i="32"/>
  <c r="A17" i="32"/>
  <c r="B17" i="32"/>
  <c r="G17" i="32"/>
  <c r="H17" i="32"/>
  <c r="L17" i="32"/>
  <c r="M17" i="32"/>
  <c r="O17" i="32"/>
  <c r="P17" i="32"/>
  <c r="R17" i="32"/>
  <c r="S17" i="32"/>
  <c r="T17" i="32"/>
  <c r="V17" i="32"/>
  <c r="X17" i="32"/>
  <c r="Z17" i="32"/>
  <c r="AB17" i="32"/>
  <c r="A18" i="32"/>
  <c r="B18" i="32"/>
  <c r="G18" i="32"/>
  <c r="H18" i="32"/>
  <c r="L18" i="32"/>
  <c r="M18" i="32"/>
  <c r="O18" i="32"/>
  <c r="P18" i="32"/>
  <c r="R18" i="32"/>
  <c r="S18" i="32"/>
  <c r="T18" i="32"/>
  <c r="V18" i="32"/>
  <c r="X18" i="32"/>
  <c r="Z18" i="32"/>
  <c r="AB18" i="32"/>
  <c r="A19" i="32"/>
  <c r="B19" i="32"/>
  <c r="G19" i="32"/>
  <c r="H19" i="32"/>
  <c r="L19" i="32"/>
  <c r="M19" i="32"/>
  <c r="O19" i="32"/>
  <c r="P19" i="32"/>
  <c r="R19" i="32"/>
  <c r="S19" i="32"/>
  <c r="T19" i="32"/>
  <c r="V19" i="32"/>
  <c r="X19" i="32"/>
  <c r="Z19" i="32"/>
  <c r="AB19" i="32"/>
  <c r="A20" i="32"/>
  <c r="B20" i="32"/>
  <c r="G20" i="32"/>
  <c r="H20" i="32"/>
  <c r="L20" i="32"/>
  <c r="M20" i="32"/>
  <c r="O20" i="32"/>
  <c r="P20" i="32"/>
  <c r="R20" i="32"/>
  <c r="S20" i="32"/>
  <c r="T20" i="32"/>
  <c r="V20" i="32"/>
  <c r="X20" i="32"/>
  <c r="Z20" i="32"/>
  <c r="AB20" i="32"/>
  <c r="A21" i="32"/>
  <c r="B21" i="32"/>
  <c r="G21" i="32"/>
  <c r="H21" i="32"/>
  <c r="L21" i="32"/>
  <c r="M21" i="32"/>
  <c r="O21" i="32"/>
  <c r="P21" i="32"/>
  <c r="R21" i="32"/>
  <c r="S21" i="32"/>
  <c r="T21" i="32"/>
  <c r="V21" i="32"/>
  <c r="X21" i="32"/>
  <c r="Z21" i="32"/>
  <c r="AB21" i="32"/>
  <c r="A22" i="32"/>
  <c r="B22" i="32"/>
  <c r="G22" i="32"/>
  <c r="H22" i="32"/>
  <c r="L22" i="32"/>
  <c r="M22" i="32"/>
  <c r="O22" i="32"/>
  <c r="P22" i="32"/>
  <c r="R22" i="32"/>
  <c r="S22" i="32"/>
  <c r="T22" i="32"/>
  <c r="V22" i="32"/>
  <c r="X22" i="32"/>
  <c r="Z22" i="32"/>
  <c r="AB22" i="32"/>
  <c r="A23" i="32"/>
  <c r="B23" i="32"/>
  <c r="G23" i="32"/>
  <c r="H23" i="32"/>
  <c r="L23" i="32"/>
  <c r="M23" i="32"/>
  <c r="O23" i="32"/>
  <c r="P23" i="32"/>
  <c r="R23" i="32"/>
  <c r="S23" i="32"/>
  <c r="T23" i="32"/>
  <c r="V23" i="32"/>
  <c r="X23" i="32"/>
  <c r="Z23" i="32"/>
  <c r="AB23" i="32"/>
  <c r="A24" i="32"/>
  <c r="B24" i="32"/>
  <c r="G24" i="32"/>
  <c r="H24" i="32"/>
  <c r="L24" i="32"/>
  <c r="M24" i="32"/>
  <c r="O24" i="32"/>
  <c r="P24" i="32"/>
  <c r="R24" i="32"/>
  <c r="S24" i="32"/>
  <c r="T24" i="32"/>
  <c r="V24" i="32"/>
  <c r="X24" i="32"/>
  <c r="Z24" i="32"/>
  <c r="AB24" i="32"/>
  <c r="A25" i="32"/>
  <c r="B25" i="32"/>
  <c r="G25" i="32"/>
  <c r="H25" i="32"/>
  <c r="L25" i="32"/>
  <c r="M25" i="32"/>
  <c r="O25" i="32"/>
  <c r="P25" i="32"/>
  <c r="R25" i="32"/>
  <c r="S25" i="32"/>
  <c r="T25" i="32"/>
  <c r="V25" i="32"/>
  <c r="X25" i="32"/>
  <c r="Z25" i="32"/>
  <c r="AB25" i="32"/>
  <c r="A26" i="32"/>
  <c r="B26" i="32"/>
  <c r="G26" i="32"/>
  <c r="H26" i="32"/>
  <c r="L26" i="32"/>
  <c r="M26" i="32"/>
  <c r="O26" i="32"/>
  <c r="P26" i="32"/>
  <c r="R26" i="32"/>
  <c r="S26" i="32"/>
  <c r="T26" i="32"/>
  <c r="V26" i="32"/>
  <c r="X26" i="32"/>
  <c r="Z26" i="32"/>
  <c r="AB26" i="32"/>
  <c r="A27" i="32"/>
  <c r="B27" i="32"/>
  <c r="G27" i="32"/>
  <c r="H27" i="32"/>
  <c r="L27" i="32"/>
  <c r="M27" i="32"/>
  <c r="O27" i="32"/>
  <c r="P27" i="32"/>
  <c r="R27" i="32"/>
  <c r="S27" i="32"/>
  <c r="T27" i="32"/>
  <c r="V27" i="32"/>
  <c r="X27" i="32"/>
  <c r="Z27" i="32"/>
  <c r="AB27" i="32"/>
  <c r="A28" i="32"/>
  <c r="B28" i="32"/>
  <c r="G28" i="32"/>
  <c r="H28" i="32"/>
  <c r="L28" i="32"/>
  <c r="M28" i="32"/>
  <c r="O28" i="32"/>
  <c r="P28" i="32"/>
  <c r="R28" i="32"/>
  <c r="S28" i="32"/>
  <c r="T28" i="32"/>
  <c r="V28" i="32"/>
  <c r="X28" i="32"/>
  <c r="Z28" i="32"/>
  <c r="AB28" i="32"/>
  <c r="A29" i="32"/>
  <c r="B29" i="32"/>
  <c r="G29" i="32"/>
  <c r="H29" i="32"/>
  <c r="L29" i="32"/>
  <c r="M29" i="32"/>
  <c r="O29" i="32"/>
  <c r="P29" i="32"/>
  <c r="R29" i="32"/>
  <c r="S29" i="32"/>
  <c r="T29" i="32"/>
  <c r="V29" i="32"/>
  <c r="X29" i="32"/>
  <c r="Z29" i="32"/>
  <c r="AB29" i="32"/>
  <c r="A30" i="32"/>
  <c r="B30" i="32"/>
  <c r="G30" i="32"/>
  <c r="H30" i="32"/>
  <c r="L30" i="32"/>
  <c r="M30" i="32"/>
  <c r="O30" i="32"/>
  <c r="P30" i="32"/>
  <c r="R30" i="32"/>
  <c r="S30" i="32"/>
  <c r="T30" i="32"/>
  <c r="V30" i="32"/>
  <c r="X30" i="32"/>
  <c r="Z30" i="32"/>
  <c r="AB30" i="32"/>
  <c r="A31" i="32"/>
  <c r="B31" i="32"/>
  <c r="G31" i="32"/>
  <c r="H31" i="32"/>
  <c r="L31" i="32"/>
  <c r="M31" i="32"/>
  <c r="O31" i="32"/>
  <c r="P31" i="32"/>
  <c r="R31" i="32"/>
  <c r="S31" i="32"/>
  <c r="T31" i="32"/>
  <c r="V31" i="32"/>
  <c r="X31" i="32"/>
  <c r="Z31" i="32"/>
  <c r="AB31" i="32"/>
  <c r="A32" i="32"/>
  <c r="B32" i="32"/>
  <c r="G32" i="32"/>
  <c r="H32" i="32"/>
  <c r="L32" i="32"/>
  <c r="M32" i="32"/>
  <c r="O32" i="32"/>
  <c r="P32" i="32"/>
  <c r="R32" i="32"/>
  <c r="S32" i="32"/>
  <c r="T32" i="32"/>
  <c r="V32" i="32"/>
  <c r="X32" i="32"/>
  <c r="Z32" i="32"/>
  <c r="AB32" i="32"/>
  <c r="A33" i="32"/>
  <c r="B33" i="32"/>
  <c r="G33" i="32"/>
  <c r="H33" i="32"/>
  <c r="L33" i="32"/>
  <c r="M33" i="32"/>
  <c r="O33" i="32"/>
  <c r="P33" i="32"/>
  <c r="R33" i="32"/>
  <c r="S33" i="32"/>
  <c r="T33" i="32"/>
  <c r="V33" i="32"/>
  <c r="X33" i="32"/>
  <c r="Z33" i="32"/>
  <c r="AB33" i="32"/>
  <c r="B35" i="32"/>
  <c r="C35" i="32"/>
  <c r="D35" i="32"/>
  <c r="E35" i="32"/>
  <c r="F35" i="32"/>
  <c r="G35" i="32"/>
  <c r="H35" i="32"/>
  <c r="J35" i="32"/>
  <c r="K35" i="32"/>
  <c r="L35" i="32"/>
  <c r="M35" i="32"/>
  <c r="N35" i="32"/>
  <c r="O35" i="32"/>
  <c r="R35" i="32"/>
  <c r="V35" i="32"/>
  <c r="AB35" i="32"/>
  <c r="E1" i="1024"/>
  <c r="A5" i="1024"/>
  <c r="H5" i="1024"/>
  <c r="K5" i="1024"/>
  <c r="L5" i="1024"/>
  <c r="M5" i="1024"/>
  <c r="AI5" i="1024"/>
  <c r="AJ5" i="1024"/>
  <c r="AK5" i="1024"/>
  <c r="AM5" i="1024"/>
  <c r="AO5" i="1024"/>
  <c r="AQ5" i="1024"/>
  <c r="A6" i="1024"/>
  <c r="H6" i="1024"/>
  <c r="M6" i="1024"/>
  <c r="AI6" i="1024"/>
  <c r="AJ6" i="1024"/>
  <c r="AK6" i="1024"/>
  <c r="AM6" i="1024"/>
  <c r="AO6" i="1024"/>
  <c r="AQ6" i="1024"/>
  <c r="A7" i="1024"/>
  <c r="M7" i="1024"/>
  <c r="AI7" i="1024"/>
  <c r="AJ7" i="1024"/>
  <c r="AK7" i="1024"/>
  <c r="AM7" i="1024"/>
  <c r="AO7" i="1024"/>
  <c r="AQ7" i="1024"/>
  <c r="A8" i="1024"/>
  <c r="I8" i="1024"/>
  <c r="M8" i="1024"/>
  <c r="AI8" i="1024"/>
  <c r="AJ8" i="1024"/>
  <c r="AK8" i="1024"/>
  <c r="AM8" i="1024"/>
  <c r="AO8" i="1024"/>
  <c r="AQ8" i="1024"/>
  <c r="A9" i="1024"/>
  <c r="I9" i="1024"/>
  <c r="M9" i="1024"/>
  <c r="AI9" i="1024"/>
  <c r="AJ9" i="1024"/>
  <c r="AK9" i="1024"/>
  <c r="AM9" i="1024"/>
  <c r="AO9" i="1024"/>
  <c r="AQ9" i="1024"/>
  <c r="A10" i="1024"/>
  <c r="M10" i="1024"/>
  <c r="AI10" i="1024"/>
  <c r="AJ10" i="1024"/>
  <c r="AK10" i="1024"/>
  <c r="AM10" i="1024"/>
  <c r="AO10" i="1024"/>
  <c r="AQ10" i="1024"/>
  <c r="A11" i="1024"/>
  <c r="M11" i="1024"/>
  <c r="T11" i="1024"/>
  <c r="AI11" i="1024"/>
  <c r="AJ11" i="1024"/>
  <c r="AK11" i="1024"/>
  <c r="AM11" i="1024"/>
  <c r="AO11" i="1024"/>
  <c r="AQ11" i="1024"/>
  <c r="A12" i="1024"/>
  <c r="M12" i="1024"/>
  <c r="P12" i="1024"/>
  <c r="T12" i="1024"/>
  <c r="W12" i="1024"/>
  <c r="X12" i="1024"/>
  <c r="AI12" i="1024"/>
  <c r="AJ12" i="1024"/>
  <c r="AK12" i="1024"/>
  <c r="AM12" i="1024"/>
  <c r="AO12" i="1024"/>
  <c r="AQ12" i="1024"/>
  <c r="A13" i="1024"/>
  <c r="M13" i="1024"/>
  <c r="T13" i="1024"/>
  <c r="U13" i="1024"/>
  <c r="AI13" i="1024"/>
  <c r="AJ13" i="1024"/>
  <c r="AK13" i="1024"/>
  <c r="AM13" i="1024"/>
  <c r="AO13" i="1024"/>
  <c r="AQ13" i="1024"/>
  <c r="A14" i="1024"/>
  <c r="H14" i="1024"/>
  <c r="K14" i="1024"/>
  <c r="M14" i="1024"/>
  <c r="P14" i="1024"/>
  <c r="AB14" i="1024"/>
  <c r="AI14" i="1024"/>
  <c r="AJ14" i="1024"/>
  <c r="AK14" i="1024"/>
  <c r="AM14" i="1024"/>
  <c r="AO14" i="1024"/>
  <c r="AQ14" i="1024"/>
  <c r="A15" i="1024"/>
  <c r="H15" i="1024"/>
  <c r="K15" i="1024"/>
  <c r="M15" i="1024"/>
  <c r="P15" i="1024"/>
  <c r="AB15" i="1024"/>
  <c r="AI15" i="1024"/>
  <c r="AJ15" i="1024"/>
  <c r="AK15" i="1024"/>
  <c r="AM15" i="1024"/>
  <c r="AO15" i="1024"/>
  <c r="AQ15" i="1024"/>
  <c r="A16" i="1024"/>
  <c r="H16" i="1024"/>
  <c r="K16" i="1024"/>
  <c r="M16" i="1024"/>
  <c r="N16" i="1024"/>
  <c r="P16" i="1024"/>
  <c r="U16" i="1024"/>
  <c r="AB16" i="1024"/>
  <c r="AC16" i="1024"/>
  <c r="AI16" i="1024"/>
  <c r="AJ16" i="1024"/>
  <c r="AK16" i="1024"/>
  <c r="AM16" i="1024"/>
  <c r="AO16" i="1024"/>
  <c r="AQ16" i="1024"/>
  <c r="A17" i="1024"/>
  <c r="E17" i="1024"/>
  <c r="M17" i="1024"/>
  <c r="AI17" i="1024"/>
  <c r="AJ17" i="1024"/>
  <c r="AK17" i="1024"/>
  <c r="AM17" i="1024"/>
  <c r="AO17" i="1024"/>
  <c r="AQ17" i="1024"/>
  <c r="A18" i="1024"/>
  <c r="E18" i="1024"/>
  <c r="M18" i="1024"/>
  <c r="AB18" i="1024"/>
  <c r="AI18" i="1024"/>
  <c r="AJ18" i="1024"/>
  <c r="AK18" i="1024"/>
  <c r="AM18" i="1024"/>
  <c r="AO18" i="1024"/>
  <c r="AQ18" i="1024"/>
  <c r="A19" i="1024"/>
  <c r="M19" i="1024"/>
  <c r="V19" i="1024"/>
  <c r="X19" i="1024"/>
  <c r="AB19" i="1024"/>
  <c r="AI19" i="1024"/>
  <c r="AJ19" i="1024"/>
  <c r="AK19" i="1024"/>
  <c r="AM19" i="1024"/>
  <c r="AO19" i="1024"/>
  <c r="AQ19" i="1024"/>
  <c r="A20" i="1024"/>
  <c r="M20" i="1024"/>
  <c r="AH20" i="1024"/>
  <c r="AI20" i="1024"/>
  <c r="AJ20" i="1024"/>
  <c r="AK20" i="1024"/>
  <c r="AM20" i="1024"/>
  <c r="AO20" i="1024"/>
  <c r="AQ20" i="1024"/>
  <c r="A21" i="1024"/>
  <c r="M21" i="1024"/>
  <c r="V21" i="1024"/>
  <c r="AB21" i="1024"/>
  <c r="AI21" i="1024"/>
  <c r="AJ21" i="1024"/>
  <c r="AK21" i="1024"/>
  <c r="AM21" i="1024"/>
  <c r="AO21" i="1024"/>
  <c r="AQ21" i="1024"/>
  <c r="A22" i="1024"/>
  <c r="M22" i="1024"/>
  <c r="V22" i="1024"/>
  <c r="AB22" i="1024"/>
  <c r="AI22" i="1024"/>
  <c r="AJ22" i="1024"/>
  <c r="AK22" i="1024"/>
  <c r="AM22" i="1024"/>
  <c r="AO22" i="1024"/>
  <c r="AQ22" i="1024"/>
  <c r="A23" i="1024"/>
  <c r="M23" i="1024"/>
  <c r="V23" i="1024"/>
  <c r="AB23" i="1024"/>
  <c r="AI23" i="1024"/>
  <c r="AJ23" i="1024"/>
  <c r="AK23" i="1024"/>
  <c r="AM23" i="1024"/>
  <c r="AO23" i="1024"/>
  <c r="AQ23" i="1024"/>
  <c r="A24" i="1024"/>
  <c r="M24" i="1024"/>
  <c r="AI24" i="1024"/>
  <c r="AJ24" i="1024"/>
  <c r="AK24" i="1024"/>
  <c r="AM24" i="1024"/>
  <c r="AO24" i="1024"/>
  <c r="AQ24" i="1024"/>
  <c r="A25" i="1024"/>
  <c r="M25" i="1024"/>
  <c r="AI25" i="1024"/>
  <c r="AJ25" i="1024"/>
  <c r="AK25" i="1024"/>
  <c r="AM25" i="1024"/>
  <c r="AO25" i="1024"/>
  <c r="AQ25" i="1024"/>
  <c r="A26" i="1024"/>
  <c r="M26" i="1024"/>
  <c r="AI26" i="1024"/>
  <c r="AJ26" i="1024"/>
  <c r="AK26" i="1024"/>
  <c r="AM26" i="1024"/>
  <c r="AO26" i="1024"/>
  <c r="AQ26" i="1024"/>
  <c r="A27" i="1024"/>
  <c r="Y27" i="1024"/>
  <c r="AB27" i="1024"/>
  <c r="AI27" i="1024"/>
  <c r="AJ27" i="1024"/>
  <c r="AK27" i="1024"/>
  <c r="AM27" i="1024"/>
  <c r="AO27" i="1024"/>
  <c r="AQ27" i="1024"/>
  <c r="A28" i="1024"/>
  <c r="AB28" i="1024"/>
  <c r="AI28" i="1024"/>
  <c r="AJ28" i="1024"/>
  <c r="AK28" i="1024"/>
  <c r="AM28" i="1024"/>
  <c r="AO28" i="1024"/>
  <c r="AQ28" i="1024"/>
  <c r="A29" i="1024"/>
  <c r="AB29" i="1024"/>
  <c r="AI29" i="1024"/>
  <c r="AJ29" i="1024"/>
  <c r="AK29" i="1024"/>
  <c r="AM29" i="1024"/>
  <c r="AO29" i="1024"/>
  <c r="AQ29" i="1024"/>
  <c r="A30" i="1024"/>
  <c r="U30" i="1024"/>
  <c r="AB30" i="1024"/>
  <c r="AI30" i="1024"/>
  <c r="AJ30" i="1024"/>
  <c r="AK30" i="1024"/>
  <c r="AM30" i="1024"/>
  <c r="AO30" i="1024"/>
  <c r="AQ30" i="1024"/>
  <c r="A31" i="1024"/>
  <c r="D31" i="1024"/>
  <c r="AB31" i="1024"/>
  <c r="AF31" i="1024"/>
  <c r="AI31" i="1024"/>
  <c r="AJ31" i="1024"/>
  <c r="AK31" i="1024"/>
  <c r="AM31" i="1024"/>
  <c r="AO31" i="1024"/>
  <c r="AQ31" i="1024"/>
  <c r="A32" i="1024"/>
  <c r="M32" i="1024"/>
  <c r="Q32" i="1024"/>
  <c r="AI32" i="1024"/>
  <c r="AJ32" i="1024"/>
  <c r="AK32" i="1024"/>
  <c r="AM32" i="1024"/>
  <c r="AO32" i="1024"/>
  <c r="AQ32" i="1024"/>
  <c r="A33" i="1024"/>
  <c r="M33" i="1024"/>
  <c r="AB33" i="1024"/>
  <c r="AI33" i="1024"/>
  <c r="AJ33" i="1024"/>
  <c r="AK33" i="1024"/>
  <c r="AM33" i="1024"/>
  <c r="AO33" i="1024"/>
  <c r="AQ33" i="1024"/>
  <c r="A34" i="1024"/>
  <c r="M34" i="1024"/>
  <c r="P34" i="1024"/>
  <c r="V34" i="1024"/>
  <c r="AI34" i="1024"/>
  <c r="AJ34" i="1024"/>
  <c r="AK34" i="1024"/>
  <c r="AM34" i="1024"/>
  <c r="AO34" i="1024"/>
  <c r="AQ34" i="1024"/>
  <c r="C36" i="1024"/>
  <c r="D36" i="1024"/>
  <c r="E36" i="1024"/>
  <c r="F36" i="1024"/>
  <c r="G36" i="1024"/>
  <c r="H36" i="1024"/>
  <c r="I36" i="1024"/>
  <c r="J36" i="1024"/>
  <c r="K36" i="1024"/>
  <c r="L36" i="1024"/>
  <c r="M36" i="1024"/>
  <c r="N36" i="1024"/>
  <c r="O36" i="1024"/>
  <c r="P36" i="1024"/>
  <c r="Q36" i="1024"/>
  <c r="R36" i="1024"/>
  <c r="S36" i="1024"/>
  <c r="T36" i="1024"/>
  <c r="U36" i="1024"/>
  <c r="V36" i="1024"/>
  <c r="W36" i="1024"/>
  <c r="X36" i="1024"/>
  <c r="Y36" i="1024"/>
  <c r="Z36" i="1024"/>
  <c r="AA36" i="1024"/>
  <c r="AB36" i="1024"/>
  <c r="AC36" i="1024"/>
  <c r="AD36" i="1024"/>
  <c r="AE36" i="1024"/>
  <c r="AF36" i="1024"/>
  <c r="AG36" i="1024"/>
  <c r="AH36" i="1024"/>
  <c r="AI36" i="1024"/>
  <c r="AJ36" i="1024"/>
  <c r="AK36" i="1024"/>
  <c r="B38" i="1024"/>
  <c r="C38" i="1024"/>
  <c r="D38" i="1024"/>
  <c r="E38" i="1024"/>
  <c r="F38" i="1024"/>
  <c r="G38" i="1024"/>
  <c r="H38" i="1024"/>
  <c r="I38" i="1024"/>
  <c r="J38" i="1024"/>
  <c r="K38" i="1024"/>
  <c r="L38" i="1024"/>
  <c r="M38" i="1024"/>
  <c r="N38" i="1024"/>
  <c r="O38" i="1024"/>
  <c r="P38" i="1024"/>
  <c r="Q38" i="1024"/>
  <c r="R38" i="1024"/>
  <c r="S38" i="1024"/>
  <c r="T38" i="1024"/>
  <c r="U38" i="1024"/>
  <c r="V38" i="1024"/>
  <c r="W38" i="1024"/>
  <c r="X38" i="1024"/>
  <c r="Y38" i="1024"/>
  <c r="Z38" i="1024"/>
  <c r="AA38" i="1024"/>
  <c r="AB38" i="1024"/>
  <c r="AC38" i="1024"/>
  <c r="AD38" i="1024"/>
  <c r="AE38" i="1024"/>
  <c r="AF38" i="1024"/>
  <c r="AG38" i="1024"/>
  <c r="AH38" i="1024"/>
  <c r="AI38" i="1024"/>
  <c r="AJ38" i="1024"/>
  <c r="AK38" i="1024"/>
  <c r="AL38" i="1024"/>
  <c r="AM38" i="1024"/>
  <c r="AN38" i="1024"/>
  <c r="AO38" i="1024"/>
  <c r="AP38" i="1024"/>
  <c r="AQ38" i="1024"/>
  <c r="AR38" i="1024"/>
  <c r="AS38" i="1024"/>
  <c r="AT38" i="1024"/>
  <c r="AU38" i="1024"/>
  <c r="AV38" i="1024"/>
  <c r="AW38" i="1024"/>
  <c r="AX38" i="1024"/>
  <c r="AY38" i="1024"/>
  <c r="AZ38" i="1024"/>
  <c r="BA38" i="1024"/>
  <c r="BB38" i="1024"/>
  <c r="BC38" i="1024"/>
  <c r="BD38" i="1024"/>
  <c r="BE38" i="1024"/>
  <c r="BF38" i="1024"/>
  <c r="BG38" i="1024"/>
  <c r="BH38" i="1024"/>
  <c r="BI38" i="1024"/>
  <c r="BJ38" i="1024"/>
  <c r="BK38" i="1024"/>
  <c r="BL38" i="1024"/>
  <c r="B1" i="5"/>
  <c r="A6" i="5"/>
  <c r="B6" i="5"/>
  <c r="C6" i="5"/>
  <c r="D6" i="5"/>
  <c r="E6" i="5"/>
  <c r="H6" i="5"/>
  <c r="K6" i="5"/>
  <c r="L6" i="5"/>
  <c r="M6" i="5"/>
  <c r="N6" i="5"/>
  <c r="Q6" i="5"/>
  <c r="T6" i="5"/>
  <c r="W6" i="5"/>
  <c r="Z6" i="5"/>
  <c r="AC6" i="5"/>
  <c r="AF6" i="5"/>
  <c r="AI6" i="5"/>
  <c r="AL6" i="5"/>
  <c r="AO6" i="5"/>
  <c r="AR6" i="5"/>
  <c r="AU6" i="5"/>
  <c r="AX6" i="5"/>
  <c r="BA6" i="5"/>
  <c r="BD6" i="5"/>
  <c r="BG6" i="5"/>
  <c r="BJ6" i="5"/>
  <c r="BM6" i="5"/>
  <c r="BP6" i="5"/>
  <c r="BS6" i="5"/>
  <c r="BV6" i="5"/>
  <c r="BY6" i="5"/>
  <c r="CB6" i="5"/>
  <c r="CE6" i="5"/>
  <c r="CH6" i="5"/>
  <c r="CK6" i="5"/>
  <c r="CN6" i="5"/>
  <c r="CQ6" i="5"/>
  <c r="CT6" i="5"/>
  <c r="CW6" i="5"/>
  <c r="CZ6" i="5"/>
  <c r="DC6" i="5"/>
  <c r="DF6" i="5"/>
  <c r="DI6" i="5"/>
  <c r="DL6" i="5"/>
  <c r="DO6" i="5"/>
  <c r="DR6" i="5"/>
  <c r="DU6" i="5"/>
  <c r="DX6" i="5"/>
  <c r="EA6" i="5"/>
  <c r="ED6" i="5"/>
  <c r="EG6" i="5"/>
  <c r="EJ6" i="5"/>
  <c r="EM6" i="5"/>
  <c r="EP6" i="5"/>
  <c r="EQ6" i="5"/>
  <c r="ER6" i="5"/>
  <c r="ES6" i="5"/>
  <c r="ET6" i="5"/>
  <c r="EV6" i="5"/>
  <c r="EW6" i="5"/>
  <c r="EX6" i="5"/>
  <c r="EY6" i="5"/>
  <c r="FA6" i="5"/>
  <c r="FB6" i="5"/>
  <c r="A7" i="5"/>
  <c r="B7" i="5"/>
  <c r="C7" i="5"/>
  <c r="D7" i="5"/>
  <c r="E7" i="5"/>
  <c r="H7" i="5"/>
  <c r="K7" i="5"/>
  <c r="L7" i="5"/>
  <c r="M7" i="5"/>
  <c r="N7" i="5"/>
  <c r="Q7" i="5"/>
  <c r="T7" i="5"/>
  <c r="W7" i="5"/>
  <c r="Z7" i="5"/>
  <c r="AC7" i="5"/>
  <c r="AF7" i="5"/>
  <c r="AH7" i="5"/>
  <c r="AI7" i="5"/>
  <c r="AL7" i="5"/>
  <c r="AO7" i="5"/>
  <c r="AR7" i="5"/>
  <c r="AU7" i="5"/>
  <c r="AX7" i="5"/>
  <c r="BA7" i="5"/>
  <c r="BD7" i="5"/>
  <c r="BG7" i="5"/>
  <c r="BJ7" i="5"/>
  <c r="BM7" i="5"/>
  <c r="BP7" i="5"/>
  <c r="BS7" i="5"/>
  <c r="BV7" i="5"/>
  <c r="BY7" i="5"/>
  <c r="CB7" i="5"/>
  <c r="CE7" i="5"/>
  <c r="CH7" i="5"/>
  <c r="CK7" i="5"/>
  <c r="CN7" i="5"/>
  <c r="CQ7" i="5"/>
  <c r="CT7" i="5"/>
  <c r="CW7" i="5"/>
  <c r="CZ7" i="5"/>
  <c r="DC7" i="5"/>
  <c r="DF7" i="5"/>
  <c r="DI7" i="5"/>
  <c r="DL7" i="5"/>
  <c r="DO7" i="5"/>
  <c r="DR7" i="5"/>
  <c r="DU7" i="5"/>
  <c r="DX7" i="5"/>
  <c r="EA7" i="5"/>
  <c r="ED7" i="5"/>
  <c r="EG7" i="5"/>
  <c r="EJ7" i="5"/>
  <c r="EM7" i="5"/>
  <c r="EP7" i="5"/>
  <c r="EQ7" i="5"/>
  <c r="ER7" i="5"/>
  <c r="ES7" i="5"/>
  <c r="ET7" i="5"/>
  <c r="EV7" i="5"/>
  <c r="EW7" i="5"/>
  <c r="EX7" i="5"/>
  <c r="EY7" i="5"/>
  <c r="FA7" i="5"/>
  <c r="FB7" i="5"/>
  <c r="A8" i="5"/>
  <c r="B8" i="5"/>
  <c r="C8" i="5"/>
  <c r="D8" i="5"/>
  <c r="E8" i="5"/>
  <c r="H8" i="5"/>
  <c r="K8" i="5"/>
  <c r="L8" i="5"/>
  <c r="M8" i="5"/>
  <c r="N8" i="5"/>
  <c r="Q8" i="5"/>
  <c r="T8" i="5"/>
  <c r="W8" i="5"/>
  <c r="Z8" i="5"/>
  <c r="AC8" i="5"/>
  <c r="AF8" i="5"/>
  <c r="AI8" i="5"/>
  <c r="AL8" i="5"/>
  <c r="AO8" i="5"/>
  <c r="AR8" i="5"/>
  <c r="AU8" i="5"/>
  <c r="AX8" i="5"/>
  <c r="BA8" i="5"/>
  <c r="BD8" i="5"/>
  <c r="BG8" i="5"/>
  <c r="BJ8" i="5"/>
  <c r="BM8" i="5"/>
  <c r="BP8" i="5"/>
  <c r="BS8" i="5"/>
  <c r="BV8" i="5"/>
  <c r="BY8" i="5"/>
  <c r="CB8" i="5"/>
  <c r="CE8" i="5"/>
  <c r="CH8" i="5"/>
  <c r="CK8" i="5"/>
  <c r="CN8" i="5"/>
  <c r="CQ8" i="5"/>
  <c r="CT8" i="5"/>
  <c r="CW8" i="5"/>
  <c r="CZ8" i="5"/>
  <c r="DC8" i="5"/>
  <c r="DF8" i="5"/>
  <c r="DI8" i="5"/>
  <c r="DL8" i="5"/>
  <c r="DO8" i="5"/>
  <c r="DR8" i="5"/>
  <c r="DU8" i="5"/>
  <c r="DX8" i="5"/>
  <c r="EA8" i="5"/>
  <c r="ED8" i="5"/>
  <c r="EG8" i="5"/>
  <c r="EJ8" i="5"/>
  <c r="EM8" i="5"/>
  <c r="EP8" i="5"/>
  <c r="EQ8" i="5"/>
  <c r="ER8" i="5"/>
  <c r="ES8" i="5"/>
  <c r="ET8" i="5"/>
  <c r="EV8" i="5"/>
  <c r="EW8" i="5"/>
  <c r="EX8" i="5"/>
  <c r="EY8" i="5"/>
  <c r="FA8" i="5"/>
  <c r="FB8" i="5"/>
  <c r="A9" i="5"/>
  <c r="B9" i="5"/>
  <c r="C9" i="5"/>
  <c r="D9" i="5"/>
  <c r="E9" i="5"/>
  <c r="H9" i="5"/>
  <c r="K9" i="5"/>
  <c r="L9" i="5"/>
  <c r="M9" i="5"/>
  <c r="N9" i="5"/>
  <c r="Q9" i="5"/>
  <c r="T9" i="5"/>
  <c r="W9" i="5"/>
  <c r="Z9" i="5"/>
  <c r="AC9" i="5"/>
  <c r="AF9" i="5"/>
  <c r="AI9" i="5"/>
  <c r="AL9" i="5"/>
  <c r="AO9" i="5"/>
  <c r="AR9" i="5"/>
  <c r="AU9" i="5"/>
  <c r="AX9" i="5"/>
  <c r="BA9" i="5"/>
  <c r="BD9" i="5"/>
  <c r="BG9" i="5"/>
  <c r="BJ9" i="5"/>
  <c r="BM9" i="5"/>
  <c r="BP9" i="5"/>
  <c r="BS9" i="5"/>
  <c r="BV9" i="5"/>
  <c r="BY9" i="5"/>
  <c r="CB9" i="5"/>
  <c r="CE9" i="5"/>
  <c r="CH9" i="5"/>
  <c r="CK9" i="5"/>
  <c r="CN9" i="5"/>
  <c r="CQ9" i="5"/>
  <c r="CT9" i="5"/>
  <c r="CW9" i="5"/>
  <c r="CZ9" i="5"/>
  <c r="DC9" i="5"/>
  <c r="DF9" i="5"/>
  <c r="DI9" i="5"/>
  <c r="DL9" i="5"/>
  <c r="DO9" i="5"/>
  <c r="DR9" i="5"/>
  <c r="DU9" i="5"/>
  <c r="DX9" i="5"/>
  <c r="EA9" i="5"/>
  <c r="ED9" i="5"/>
  <c r="EG9" i="5"/>
  <c r="EJ9" i="5"/>
  <c r="EM9" i="5"/>
  <c r="EP9" i="5"/>
  <c r="EQ9" i="5"/>
  <c r="ER9" i="5"/>
  <c r="ES9" i="5"/>
  <c r="ET9" i="5"/>
  <c r="EV9" i="5"/>
  <c r="EW9" i="5"/>
  <c r="EX9" i="5"/>
  <c r="EY9" i="5"/>
  <c r="FA9" i="5"/>
  <c r="FB9" i="5"/>
  <c r="A10" i="5"/>
  <c r="B10" i="5"/>
  <c r="C10" i="5"/>
  <c r="D10" i="5"/>
  <c r="E10" i="5"/>
  <c r="H10" i="5"/>
  <c r="K10" i="5"/>
  <c r="L10" i="5"/>
  <c r="M10" i="5"/>
  <c r="N10" i="5"/>
  <c r="Q10" i="5"/>
  <c r="T10" i="5"/>
  <c r="W10" i="5"/>
  <c r="Z10" i="5"/>
  <c r="AC10" i="5"/>
  <c r="AF10" i="5"/>
  <c r="AI10" i="5"/>
  <c r="AL10" i="5"/>
  <c r="AO10" i="5"/>
  <c r="AR10" i="5"/>
  <c r="AU10" i="5"/>
  <c r="AX10" i="5"/>
  <c r="BA10" i="5"/>
  <c r="BD10" i="5"/>
  <c r="BG10" i="5"/>
  <c r="BJ10" i="5"/>
  <c r="BM10" i="5"/>
  <c r="BP10" i="5"/>
  <c r="BS10" i="5"/>
  <c r="BV10" i="5"/>
  <c r="BY10" i="5"/>
  <c r="CB10" i="5"/>
  <c r="CE10" i="5"/>
  <c r="CH10" i="5"/>
  <c r="CK10" i="5"/>
  <c r="CN10" i="5"/>
  <c r="CQ10" i="5"/>
  <c r="CT10" i="5"/>
  <c r="CW10" i="5"/>
  <c r="CZ10" i="5"/>
  <c r="DC10" i="5"/>
  <c r="DF10" i="5"/>
  <c r="DI10" i="5"/>
  <c r="DL10" i="5"/>
  <c r="DO10" i="5"/>
  <c r="DR10" i="5"/>
  <c r="DU10" i="5"/>
  <c r="DX10" i="5"/>
  <c r="EA10" i="5"/>
  <c r="ED10" i="5"/>
  <c r="EG10" i="5"/>
  <c r="EJ10" i="5"/>
  <c r="EM10" i="5"/>
  <c r="EP10" i="5"/>
  <c r="EQ10" i="5"/>
  <c r="ER10" i="5"/>
  <c r="ES10" i="5"/>
  <c r="ET10" i="5"/>
  <c r="EV10" i="5"/>
  <c r="EW10" i="5"/>
  <c r="EX10" i="5"/>
  <c r="EY10" i="5"/>
  <c r="FA10" i="5"/>
  <c r="FB10" i="5"/>
  <c r="A11" i="5"/>
  <c r="B11" i="5"/>
  <c r="C11" i="5"/>
  <c r="D11" i="5"/>
  <c r="E11" i="5"/>
  <c r="H11" i="5"/>
  <c r="K11" i="5"/>
  <c r="L11" i="5"/>
  <c r="M11" i="5"/>
  <c r="N11" i="5"/>
  <c r="Q11" i="5"/>
  <c r="T11" i="5"/>
  <c r="W11" i="5"/>
  <c r="Z11" i="5"/>
  <c r="AC11" i="5"/>
  <c r="AF11" i="5"/>
  <c r="AI11" i="5"/>
  <c r="AL11" i="5"/>
  <c r="AO11" i="5"/>
  <c r="AR11" i="5"/>
  <c r="AU11" i="5"/>
  <c r="AX11" i="5"/>
  <c r="BA11" i="5"/>
  <c r="BD11" i="5"/>
  <c r="BG11" i="5"/>
  <c r="BJ11" i="5"/>
  <c r="BM11" i="5"/>
  <c r="BP11" i="5"/>
  <c r="BS11" i="5"/>
  <c r="BV11" i="5"/>
  <c r="BY11" i="5"/>
  <c r="CB11" i="5"/>
  <c r="CE11" i="5"/>
  <c r="CH11" i="5"/>
  <c r="CK11" i="5"/>
  <c r="CN11" i="5"/>
  <c r="CQ11" i="5"/>
  <c r="CT11" i="5"/>
  <c r="CW11" i="5"/>
  <c r="CZ11" i="5"/>
  <c r="DC11" i="5"/>
  <c r="DF11" i="5"/>
  <c r="DI11" i="5"/>
  <c r="DL11" i="5"/>
  <c r="DO11" i="5"/>
  <c r="DR11" i="5"/>
  <c r="DU11" i="5"/>
  <c r="DX11" i="5"/>
  <c r="EA11" i="5"/>
  <c r="ED11" i="5"/>
  <c r="EG11" i="5"/>
  <c r="EJ11" i="5"/>
  <c r="EM11" i="5"/>
  <c r="EP11" i="5"/>
  <c r="EQ11" i="5"/>
  <c r="ER11" i="5"/>
  <c r="ES11" i="5"/>
  <c r="ET11" i="5"/>
  <c r="EV11" i="5"/>
  <c r="EW11" i="5"/>
  <c r="EX11" i="5"/>
  <c r="EY11" i="5"/>
  <c r="FA11" i="5"/>
  <c r="FB11" i="5"/>
  <c r="A12" i="5"/>
  <c r="B12" i="5"/>
  <c r="C12" i="5"/>
  <c r="D12" i="5"/>
  <c r="E12" i="5"/>
  <c r="H12" i="5"/>
  <c r="K12" i="5"/>
  <c r="L12" i="5"/>
  <c r="M12" i="5"/>
  <c r="N12" i="5"/>
  <c r="Q12" i="5"/>
  <c r="T12" i="5"/>
  <c r="W12" i="5"/>
  <c r="Z12" i="5"/>
  <c r="AC12" i="5"/>
  <c r="AF12" i="5"/>
  <c r="AI12" i="5"/>
  <c r="AL12" i="5"/>
  <c r="AO12" i="5"/>
  <c r="AR12" i="5"/>
  <c r="AU12" i="5"/>
  <c r="AX12" i="5"/>
  <c r="BA12" i="5"/>
  <c r="BD12" i="5"/>
  <c r="BG12" i="5"/>
  <c r="BJ12" i="5"/>
  <c r="BM12" i="5"/>
  <c r="BP12" i="5"/>
  <c r="BS12" i="5"/>
  <c r="BV12" i="5"/>
  <c r="BY12" i="5"/>
  <c r="CB12" i="5"/>
  <c r="CE12" i="5"/>
  <c r="CH12" i="5"/>
  <c r="CK12" i="5"/>
  <c r="CN12" i="5"/>
  <c r="CQ12" i="5"/>
  <c r="CT12" i="5"/>
  <c r="CW12" i="5"/>
  <c r="CZ12" i="5"/>
  <c r="DC12" i="5"/>
  <c r="DF12" i="5"/>
  <c r="DI12" i="5"/>
  <c r="DL12" i="5"/>
  <c r="DO12" i="5"/>
  <c r="DR12" i="5"/>
  <c r="DU12" i="5"/>
  <c r="DX12" i="5"/>
  <c r="EA12" i="5"/>
  <c r="ED12" i="5"/>
  <c r="EG12" i="5"/>
  <c r="EJ12" i="5"/>
  <c r="EM12" i="5"/>
  <c r="EP12" i="5"/>
  <c r="EQ12" i="5"/>
  <c r="ER12" i="5"/>
  <c r="ES12" i="5"/>
  <c r="ET12" i="5"/>
  <c r="EV12" i="5"/>
  <c r="EW12" i="5"/>
  <c r="EX12" i="5"/>
  <c r="EY12" i="5"/>
  <c r="FA12" i="5"/>
  <c r="FB12" i="5"/>
  <c r="A13" i="5"/>
  <c r="B13" i="5"/>
  <c r="C13" i="5"/>
  <c r="D13" i="5"/>
  <c r="E13" i="5"/>
  <c r="H13" i="5"/>
  <c r="K13" i="5"/>
  <c r="L13" i="5"/>
  <c r="M13" i="5"/>
  <c r="N13" i="5"/>
  <c r="Q13" i="5"/>
  <c r="T13" i="5"/>
  <c r="W13" i="5"/>
  <c r="Z13" i="5"/>
  <c r="AC13" i="5"/>
  <c r="AF13" i="5"/>
  <c r="AH13" i="5"/>
  <c r="AI13" i="5"/>
  <c r="AL13" i="5"/>
  <c r="AO13" i="5"/>
  <c r="AR13" i="5"/>
  <c r="AU13" i="5"/>
  <c r="AX13" i="5"/>
  <c r="BA13" i="5"/>
  <c r="BD13" i="5"/>
  <c r="BG13" i="5"/>
  <c r="BJ13" i="5"/>
  <c r="BM13" i="5"/>
  <c r="BP13" i="5"/>
  <c r="BS13" i="5"/>
  <c r="BV13" i="5"/>
  <c r="BY13" i="5"/>
  <c r="CB13" i="5"/>
  <c r="CE13" i="5"/>
  <c r="CH13" i="5"/>
  <c r="CK13" i="5"/>
  <c r="CN13" i="5"/>
  <c r="CQ13" i="5"/>
  <c r="CT13" i="5"/>
  <c r="CW13" i="5"/>
  <c r="CZ13" i="5"/>
  <c r="DC13" i="5"/>
  <c r="DF13" i="5"/>
  <c r="DI13" i="5"/>
  <c r="DL13" i="5"/>
  <c r="DO13" i="5"/>
  <c r="DR13" i="5"/>
  <c r="DU13" i="5"/>
  <c r="DX13" i="5"/>
  <c r="EA13" i="5"/>
  <c r="ED13" i="5"/>
  <c r="EG13" i="5"/>
  <c r="EJ13" i="5"/>
  <c r="EM13" i="5"/>
  <c r="EP13" i="5"/>
  <c r="EQ13" i="5"/>
  <c r="ER13" i="5"/>
  <c r="ES13" i="5"/>
  <c r="ET13" i="5"/>
  <c r="EV13" i="5"/>
  <c r="EW13" i="5"/>
  <c r="EX13" i="5"/>
  <c r="EY13" i="5"/>
  <c r="FA13" i="5"/>
  <c r="FB13" i="5"/>
  <c r="A14" i="5"/>
  <c r="B14" i="5"/>
  <c r="C14" i="5"/>
  <c r="D14" i="5"/>
  <c r="E14" i="5"/>
  <c r="H14" i="5"/>
  <c r="K14" i="5"/>
  <c r="L14" i="5"/>
  <c r="M14" i="5"/>
  <c r="N14" i="5"/>
  <c r="Q14" i="5"/>
  <c r="T14" i="5"/>
  <c r="W14" i="5"/>
  <c r="Z14" i="5"/>
  <c r="AC14" i="5"/>
  <c r="AF14" i="5"/>
  <c r="AI14" i="5"/>
  <c r="AL14" i="5"/>
  <c r="AO14" i="5"/>
  <c r="AR14" i="5"/>
  <c r="AU14" i="5"/>
  <c r="AX14" i="5"/>
  <c r="BA14" i="5"/>
  <c r="BD14" i="5"/>
  <c r="BG14" i="5"/>
  <c r="BJ14" i="5"/>
  <c r="BM14" i="5"/>
  <c r="BP14" i="5"/>
  <c r="BS14" i="5"/>
  <c r="BV14" i="5"/>
  <c r="BY14" i="5"/>
  <c r="CB14" i="5"/>
  <c r="CE14" i="5"/>
  <c r="CH14" i="5"/>
  <c r="CK14" i="5"/>
  <c r="CN14" i="5"/>
  <c r="CQ14" i="5"/>
  <c r="CT14" i="5"/>
  <c r="CW14" i="5"/>
  <c r="CZ14" i="5"/>
  <c r="DC14" i="5"/>
  <c r="DF14" i="5"/>
  <c r="DI14" i="5"/>
  <c r="DL14" i="5"/>
  <c r="DO14" i="5"/>
  <c r="DR14" i="5"/>
  <c r="DU14" i="5"/>
  <c r="DX14" i="5"/>
  <c r="EA14" i="5"/>
  <c r="ED14" i="5"/>
  <c r="EG14" i="5"/>
  <c r="EJ14" i="5"/>
  <c r="EM14" i="5"/>
  <c r="EP14" i="5"/>
  <c r="EQ14" i="5"/>
  <c r="ER14" i="5"/>
  <c r="ES14" i="5"/>
  <c r="ET14" i="5"/>
  <c r="EV14" i="5"/>
  <c r="EW14" i="5"/>
  <c r="EX14" i="5"/>
  <c r="EY14" i="5"/>
  <c r="FA14" i="5"/>
  <c r="FB14" i="5"/>
  <c r="A15" i="5"/>
  <c r="B15" i="5"/>
  <c r="C15" i="5"/>
  <c r="D15" i="5"/>
  <c r="E15" i="5"/>
  <c r="H15" i="5"/>
  <c r="K15" i="5"/>
  <c r="L15" i="5"/>
  <c r="M15" i="5"/>
  <c r="N15" i="5"/>
  <c r="Q15" i="5"/>
  <c r="T15" i="5"/>
  <c r="W15" i="5"/>
  <c r="Z15" i="5"/>
  <c r="AC15" i="5"/>
  <c r="AF15" i="5"/>
  <c r="AI15" i="5"/>
  <c r="AL15" i="5"/>
  <c r="AO15" i="5"/>
  <c r="AR15" i="5"/>
  <c r="AU15" i="5"/>
  <c r="AX15" i="5"/>
  <c r="BA15" i="5"/>
  <c r="BD15" i="5"/>
  <c r="BG15" i="5"/>
  <c r="BJ15" i="5"/>
  <c r="BM15" i="5"/>
  <c r="BP15" i="5"/>
  <c r="BS15" i="5"/>
  <c r="BV15" i="5"/>
  <c r="BY15" i="5"/>
  <c r="CB15" i="5"/>
  <c r="CE15" i="5"/>
  <c r="CH15" i="5"/>
  <c r="CK15" i="5"/>
  <c r="CN15" i="5"/>
  <c r="CQ15" i="5"/>
  <c r="CT15" i="5"/>
  <c r="CW15" i="5"/>
  <c r="CZ15" i="5"/>
  <c r="DC15" i="5"/>
  <c r="DF15" i="5"/>
  <c r="DI15" i="5"/>
  <c r="DL15" i="5"/>
  <c r="DO15" i="5"/>
  <c r="DR15" i="5"/>
  <c r="DU15" i="5"/>
  <c r="DX15" i="5"/>
  <c r="EA15" i="5"/>
  <c r="ED15" i="5"/>
  <c r="EG15" i="5"/>
  <c r="EJ15" i="5"/>
  <c r="EM15" i="5"/>
  <c r="EP15" i="5"/>
  <c r="EQ15" i="5"/>
  <c r="ER15" i="5"/>
  <c r="ES15" i="5"/>
  <c r="ET15" i="5"/>
  <c r="EV15" i="5"/>
  <c r="EW15" i="5"/>
  <c r="EX15" i="5"/>
  <c r="EY15" i="5"/>
  <c r="FA15" i="5"/>
  <c r="FB15" i="5"/>
  <c r="A16" i="5"/>
  <c r="B16" i="5"/>
  <c r="C16" i="5"/>
  <c r="D16" i="5"/>
  <c r="E16" i="5"/>
  <c r="H16" i="5"/>
  <c r="K16" i="5"/>
  <c r="L16" i="5"/>
  <c r="M16" i="5"/>
  <c r="N16" i="5"/>
  <c r="Q16" i="5"/>
  <c r="T16" i="5"/>
  <c r="W16" i="5"/>
  <c r="Z16" i="5"/>
  <c r="AC16" i="5"/>
  <c r="AF16" i="5"/>
  <c r="AI16" i="5"/>
  <c r="AL16" i="5"/>
  <c r="AO16" i="5"/>
  <c r="AR16" i="5"/>
  <c r="AU16" i="5"/>
  <c r="AX16" i="5"/>
  <c r="BA16" i="5"/>
  <c r="BD16" i="5"/>
  <c r="BG16" i="5"/>
  <c r="BJ16" i="5"/>
  <c r="BM16" i="5"/>
  <c r="BP16" i="5"/>
  <c r="BS16" i="5"/>
  <c r="BV16" i="5"/>
  <c r="BY16" i="5"/>
  <c r="CB16" i="5"/>
  <c r="CE16" i="5"/>
  <c r="CH16" i="5"/>
  <c r="CK16" i="5"/>
  <c r="CN16" i="5"/>
  <c r="CQ16" i="5"/>
  <c r="CT16" i="5"/>
  <c r="CW16" i="5"/>
  <c r="CZ16" i="5"/>
  <c r="DC16" i="5"/>
  <c r="DF16" i="5"/>
  <c r="DI16" i="5"/>
  <c r="DL16" i="5"/>
  <c r="DO16" i="5"/>
  <c r="DR16" i="5"/>
  <c r="DU16" i="5"/>
  <c r="DX16" i="5"/>
  <c r="EA16" i="5"/>
  <c r="ED16" i="5"/>
  <c r="EG16" i="5"/>
  <c r="EJ16" i="5"/>
  <c r="EM16" i="5"/>
  <c r="EP16" i="5"/>
  <c r="EQ16" i="5"/>
  <c r="ER16" i="5"/>
  <c r="ES16" i="5"/>
  <c r="ET16" i="5"/>
  <c r="EV16" i="5"/>
  <c r="EW16" i="5"/>
  <c r="EX16" i="5"/>
  <c r="EY16" i="5"/>
  <c r="FA16" i="5"/>
  <c r="FB16" i="5"/>
  <c r="A17" i="5"/>
  <c r="B17" i="5"/>
  <c r="C17" i="5"/>
  <c r="D17" i="5"/>
  <c r="E17" i="5"/>
  <c r="H17" i="5"/>
  <c r="K17" i="5"/>
  <c r="L17" i="5"/>
  <c r="M17" i="5"/>
  <c r="N17" i="5"/>
  <c r="Q17" i="5"/>
  <c r="T17" i="5"/>
  <c r="W17" i="5"/>
  <c r="Z17" i="5"/>
  <c r="AC17" i="5"/>
  <c r="AF17" i="5"/>
  <c r="AI17" i="5"/>
  <c r="AL17" i="5"/>
  <c r="AO17" i="5"/>
  <c r="AR17" i="5"/>
  <c r="AU17" i="5"/>
  <c r="AX17" i="5"/>
  <c r="BA17" i="5"/>
  <c r="BD17" i="5"/>
  <c r="BG17" i="5"/>
  <c r="BJ17" i="5"/>
  <c r="BM17" i="5"/>
  <c r="BP17" i="5"/>
  <c r="BS17" i="5"/>
  <c r="BV17" i="5"/>
  <c r="BY17" i="5"/>
  <c r="CB17" i="5"/>
  <c r="CE17" i="5"/>
  <c r="CH17" i="5"/>
  <c r="CK17" i="5"/>
  <c r="CN17" i="5"/>
  <c r="CQ17" i="5"/>
  <c r="CT17" i="5"/>
  <c r="CW17" i="5"/>
  <c r="CZ17" i="5"/>
  <c r="DC17" i="5"/>
  <c r="DF17" i="5"/>
  <c r="DI17" i="5"/>
  <c r="DL17" i="5"/>
  <c r="DO17" i="5"/>
  <c r="DR17" i="5"/>
  <c r="DU17" i="5"/>
  <c r="DX17" i="5"/>
  <c r="EA17" i="5"/>
  <c r="ED17" i="5"/>
  <c r="EG17" i="5"/>
  <c r="EJ17" i="5"/>
  <c r="EM17" i="5"/>
  <c r="EP17" i="5"/>
  <c r="EQ17" i="5"/>
  <c r="ER17" i="5"/>
  <c r="ES17" i="5"/>
  <c r="ET17" i="5"/>
  <c r="EV17" i="5"/>
  <c r="EW17" i="5"/>
  <c r="EX17" i="5"/>
  <c r="EY17" i="5"/>
  <c r="FA17" i="5"/>
  <c r="FB17" i="5"/>
  <c r="A18" i="5"/>
  <c r="B18" i="5"/>
  <c r="C18" i="5"/>
  <c r="D18" i="5"/>
  <c r="E18" i="5"/>
  <c r="H18" i="5"/>
  <c r="K18" i="5"/>
  <c r="L18" i="5"/>
  <c r="M18" i="5"/>
  <c r="N18" i="5"/>
  <c r="Q18" i="5"/>
  <c r="T18" i="5"/>
  <c r="W18" i="5"/>
  <c r="Z18" i="5"/>
  <c r="AC18" i="5"/>
  <c r="AF18" i="5"/>
  <c r="AH18" i="5"/>
  <c r="AI18" i="5"/>
  <c r="AL18" i="5"/>
  <c r="AO18" i="5"/>
  <c r="AR18" i="5"/>
  <c r="AU18" i="5"/>
  <c r="AX18" i="5"/>
  <c r="BA18" i="5"/>
  <c r="BD18" i="5"/>
  <c r="BG18" i="5"/>
  <c r="BJ18" i="5"/>
  <c r="BM18" i="5"/>
  <c r="BP18" i="5"/>
  <c r="BS18" i="5"/>
  <c r="BV18" i="5"/>
  <c r="BY18" i="5"/>
  <c r="CB18" i="5"/>
  <c r="CE18" i="5"/>
  <c r="CH18" i="5"/>
  <c r="CK18" i="5"/>
  <c r="CN18" i="5"/>
  <c r="CQ18" i="5"/>
  <c r="CT18" i="5"/>
  <c r="CW18" i="5"/>
  <c r="CZ18" i="5"/>
  <c r="DC18" i="5"/>
  <c r="DF18" i="5"/>
  <c r="DI18" i="5"/>
  <c r="DL18" i="5"/>
  <c r="DO18" i="5"/>
  <c r="DR18" i="5"/>
  <c r="DU18" i="5"/>
  <c r="DX18" i="5"/>
  <c r="EA18" i="5"/>
  <c r="ED18" i="5"/>
  <c r="EG18" i="5"/>
  <c r="EJ18" i="5"/>
  <c r="EM18" i="5"/>
  <c r="EP18" i="5"/>
  <c r="EQ18" i="5"/>
  <c r="ER18" i="5"/>
  <c r="ES18" i="5"/>
  <c r="ET18" i="5"/>
  <c r="EV18" i="5"/>
  <c r="EW18" i="5"/>
  <c r="EX18" i="5"/>
  <c r="EY18" i="5"/>
  <c r="FA18" i="5"/>
  <c r="FB18" i="5"/>
  <c r="A19" i="5"/>
  <c r="B19" i="5"/>
  <c r="C19" i="5"/>
  <c r="D19" i="5"/>
  <c r="E19" i="5"/>
  <c r="H19" i="5"/>
  <c r="K19" i="5"/>
  <c r="L19" i="5"/>
  <c r="M19" i="5"/>
  <c r="N19" i="5"/>
  <c r="Q19" i="5"/>
  <c r="T19" i="5"/>
  <c r="W19" i="5"/>
  <c r="Z19" i="5"/>
  <c r="AC19" i="5"/>
  <c r="AF19" i="5"/>
  <c r="AH19" i="5"/>
  <c r="AI19" i="5"/>
  <c r="AL19" i="5"/>
  <c r="AO19" i="5"/>
  <c r="AR19" i="5"/>
  <c r="AU19" i="5"/>
  <c r="AX19" i="5"/>
  <c r="BA19" i="5"/>
  <c r="BD19" i="5"/>
  <c r="BG19" i="5"/>
  <c r="BJ19" i="5"/>
  <c r="BM19" i="5"/>
  <c r="BP19" i="5"/>
  <c r="BS19" i="5"/>
  <c r="BV19" i="5"/>
  <c r="BY19" i="5"/>
  <c r="CB19" i="5"/>
  <c r="CE19" i="5"/>
  <c r="CH19" i="5"/>
  <c r="CK19" i="5"/>
  <c r="CN19" i="5"/>
  <c r="CQ19" i="5"/>
  <c r="CT19" i="5"/>
  <c r="CW19" i="5"/>
  <c r="CZ19" i="5"/>
  <c r="DC19" i="5"/>
  <c r="DF19" i="5"/>
  <c r="DI19" i="5"/>
  <c r="DL19" i="5"/>
  <c r="DO19" i="5"/>
  <c r="DR19" i="5"/>
  <c r="DU19" i="5"/>
  <c r="DX19" i="5"/>
  <c r="EA19" i="5"/>
  <c r="ED19" i="5"/>
  <c r="EG19" i="5"/>
  <c r="EJ19" i="5"/>
  <c r="EM19" i="5"/>
  <c r="EP19" i="5"/>
  <c r="EQ19" i="5"/>
  <c r="ER19" i="5"/>
  <c r="ES19" i="5"/>
  <c r="ET19" i="5"/>
  <c r="EV19" i="5"/>
  <c r="EW19" i="5"/>
  <c r="EX19" i="5"/>
  <c r="EY19" i="5"/>
  <c r="FA19" i="5"/>
  <c r="FB19" i="5"/>
  <c r="A20" i="5"/>
  <c r="B20" i="5"/>
  <c r="C20" i="5"/>
  <c r="D20" i="5"/>
  <c r="E20" i="5"/>
  <c r="H20" i="5"/>
  <c r="K20" i="5"/>
  <c r="L20" i="5"/>
  <c r="M20" i="5"/>
  <c r="N20" i="5"/>
  <c r="Q20" i="5"/>
  <c r="T20" i="5"/>
  <c r="W20" i="5"/>
  <c r="Z20" i="5"/>
  <c r="AC20" i="5"/>
  <c r="AF20" i="5"/>
  <c r="AH20" i="5"/>
  <c r="AI20" i="5"/>
  <c r="AL20" i="5"/>
  <c r="AO20" i="5"/>
  <c r="AR20" i="5"/>
  <c r="AU20" i="5"/>
  <c r="AX20" i="5"/>
  <c r="BA20" i="5"/>
  <c r="BD20" i="5"/>
  <c r="BG20" i="5"/>
  <c r="BJ20" i="5"/>
  <c r="BM20" i="5"/>
  <c r="BP20" i="5"/>
  <c r="BS20" i="5"/>
  <c r="BV20" i="5"/>
  <c r="BY20" i="5"/>
  <c r="CB20" i="5"/>
  <c r="CE20" i="5"/>
  <c r="CH20" i="5"/>
  <c r="CK20" i="5"/>
  <c r="CN20" i="5"/>
  <c r="CQ20" i="5"/>
  <c r="CT20" i="5"/>
  <c r="CW20" i="5"/>
  <c r="CZ20" i="5"/>
  <c r="DC20" i="5"/>
  <c r="DF20" i="5"/>
  <c r="DI20" i="5"/>
  <c r="DL20" i="5"/>
  <c r="DO20" i="5"/>
  <c r="DR20" i="5"/>
  <c r="DU20" i="5"/>
  <c r="DX20" i="5"/>
  <c r="EA20" i="5"/>
  <c r="ED20" i="5"/>
  <c r="EG20" i="5"/>
  <c r="EJ20" i="5"/>
  <c r="EM20" i="5"/>
  <c r="EP20" i="5"/>
  <c r="EQ20" i="5"/>
  <c r="ER20" i="5"/>
  <c r="ES20" i="5"/>
  <c r="ET20" i="5"/>
  <c r="EV20" i="5"/>
  <c r="EW20" i="5"/>
  <c r="EX20" i="5"/>
  <c r="EY20" i="5"/>
  <c r="FA20" i="5"/>
  <c r="FB20" i="5"/>
  <c r="A21" i="5"/>
  <c r="B21" i="5"/>
  <c r="C21" i="5"/>
  <c r="D21" i="5"/>
  <c r="E21" i="5"/>
  <c r="H21" i="5"/>
  <c r="K21" i="5"/>
  <c r="L21" i="5"/>
  <c r="M21" i="5"/>
  <c r="N21" i="5"/>
  <c r="Q21" i="5"/>
  <c r="T21" i="5"/>
  <c r="W21" i="5"/>
  <c r="Z21" i="5"/>
  <c r="AC21" i="5"/>
  <c r="AF21" i="5"/>
  <c r="AH21" i="5"/>
  <c r="AI21" i="5"/>
  <c r="AL21" i="5"/>
  <c r="AO21" i="5"/>
  <c r="AR21" i="5"/>
  <c r="AU21" i="5"/>
  <c r="AX21" i="5"/>
  <c r="BA21" i="5"/>
  <c r="BD21" i="5"/>
  <c r="BG21" i="5"/>
  <c r="BJ21" i="5"/>
  <c r="BM21" i="5"/>
  <c r="BP21" i="5"/>
  <c r="BS21" i="5"/>
  <c r="BV21" i="5"/>
  <c r="BY21" i="5"/>
  <c r="CB21" i="5"/>
  <c r="CE21" i="5"/>
  <c r="CH21" i="5"/>
  <c r="CK21" i="5"/>
  <c r="CN21" i="5"/>
  <c r="CQ21" i="5"/>
  <c r="CT21" i="5"/>
  <c r="CW21" i="5"/>
  <c r="CZ21" i="5"/>
  <c r="DC21" i="5"/>
  <c r="DF21" i="5"/>
  <c r="DI21" i="5"/>
  <c r="DL21" i="5"/>
  <c r="DO21" i="5"/>
  <c r="DR21" i="5"/>
  <c r="DU21" i="5"/>
  <c r="DX21" i="5"/>
  <c r="EA21" i="5"/>
  <c r="ED21" i="5"/>
  <c r="EG21" i="5"/>
  <c r="EJ21" i="5"/>
  <c r="EM21" i="5"/>
  <c r="EP21" i="5"/>
  <c r="EQ21" i="5"/>
  <c r="ER21" i="5"/>
  <c r="ES21" i="5"/>
  <c r="ET21" i="5"/>
  <c r="EV21" i="5"/>
  <c r="EW21" i="5"/>
  <c r="EX21" i="5"/>
  <c r="EY21" i="5"/>
  <c r="FA21" i="5"/>
  <c r="FB21" i="5"/>
  <c r="A22" i="5"/>
  <c r="B22" i="5"/>
  <c r="C22" i="5"/>
  <c r="D22" i="5"/>
  <c r="E22" i="5"/>
  <c r="H22" i="5"/>
  <c r="K22" i="5"/>
  <c r="L22" i="5"/>
  <c r="M22" i="5"/>
  <c r="N22" i="5"/>
  <c r="Q22" i="5"/>
  <c r="T22" i="5"/>
  <c r="W22" i="5"/>
  <c r="Z22" i="5"/>
  <c r="AC22" i="5"/>
  <c r="AF22" i="5"/>
  <c r="AI22" i="5"/>
  <c r="AL22" i="5"/>
  <c r="AO22" i="5"/>
  <c r="AR22" i="5"/>
  <c r="AU22" i="5"/>
  <c r="AX22" i="5"/>
  <c r="BA22" i="5"/>
  <c r="BD22" i="5"/>
  <c r="BG22" i="5"/>
  <c r="BJ22" i="5"/>
  <c r="BM22" i="5"/>
  <c r="BP22" i="5"/>
  <c r="BS22" i="5"/>
  <c r="BV22" i="5"/>
  <c r="BY22" i="5"/>
  <c r="CB22" i="5"/>
  <c r="CE22" i="5"/>
  <c r="CH22" i="5"/>
  <c r="CK22" i="5"/>
  <c r="CN22" i="5"/>
  <c r="CQ22" i="5"/>
  <c r="CT22" i="5"/>
  <c r="CW22" i="5"/>
  <c r="CZ22" i="5"/>
  <c r="DC22" i="5"/>
  <c r="DF22" i="5"/>
  <c r="DI22" i="5"/>
  <c r="DL22" i="5"/>
  <c r="DO22" i="5"/>
  <c r="DR22" i="5"/>
  <c r="DU22" i="5"/>
  <c r="DX22" i="5"/>
  <c r="EA22" i="5"/>
  <c r="ED22" i="5"/>
  <c r="EG22" i="5"/>
  <c r="EJ22" i="5"/>
  <c r="EM22" i="5"/>
  <c r="EP22" i="5"/>
  <c r="EQ22" i="5"/>
  <c r="ER22" i="5"/>
  <c r="ES22" i="5"/>
  <c r="ET22" i="5"/>
  <c r="EV22" i="5"/>
  <c r="EW22" i="5"/>
  <c r="EX22" i="5"/>
  <c r="EY22" i="5"/>
  <c r="FA22" i="5"/>
  <c r="FB22" i="5"/>
  <c r="A23" i="5"/>
  <c r="B23" i="5"/>
  <c r="C23" i="5"/>
  <c r="D23" i="5"/>
  <c r="E23" i="5"/>
  <c r="H23" i="5"/>
  <c r="K23" i="5"/>
  <c r="L23" i="5"/>
  <c r="M23" i="5"/>
  <c r="N23" i="5"/>
  <c r="Q23" i="5"/>
  <c r="T23" i="5"/>
  <c r="W23" i="5"/>
  <c r="Z23" i="5"/>
  <c r="AC23" i="5"/>
  <c r="AF23" i="5"/>
  <c r="AI23" i="5"/>
  <c r="AL23" i="5"/>
  <c r="AO23" i="5"/>
  <c r="AR23" i="5"/>
  <c r="AU23" i="5"/>
  <c r="AX23" i="5"/>
  <c r="BA23" i="5"/>
  <c r="BD23" i="5"/>
  <c r="BG23" i="5"/>
  <c r="BJ23" i="5"/>
  <c r="BM23" i="5"/>
  <c r="BP23" i="5"/>
  <c r="BS23" i="5"/>
  <c r="BV23" i="5"/>
  <c r="BY23" i="5"/>
  <c r="CB23" i="5"/>
  <c r="CE23" i="5"/>
  <c r="CH23" i="5"/>
  <c r="CK23" i="5"/>
  <c r="CN23" i="5"/>
  <c r="CQ23" i="5"/>
  <c r="CT23" i="5"/>
  <c r="CW23" i="5"/>
  <c r="CZ23" i="5"/>
  <c r="DC23" i="5"/>
  <c r="DF23" i="5"/>
  <c r="DI23" i="5"/>
  <c r="DL23" i="5"/>
  <c r="DO23" i="5"/>
  <c r="DR23" i="5"/>
  <c r="DU23" i="5"/>
  <c r="DX23" i="5"/>
  <c r="EA23" i="5"/>
  <c r="ED23" i="5"/>
  <c r="EG23" i="5"/>
  <c r="EJ23" i="5"/>
  <c r="EM23" i="5"/>
  <c r="EP23" i="5"/>
  <c r="EQ23" i="5"/>
  <c r="ER23" i="5"/>
  <c r="ES23" i="5"/>
  <c r="ET23" i="5"/>
  <c r="EV23" i="5"/>
  <c r="EW23" i="5"/>
  <c r="EX23" i="5"/>
  <c r="EY23" i="5"/>
  <c r="FA23" i="5"/>
  <c r="FB23" i="5"/>
  <c r="A24" i="5"/>
  <c r="B24" i="5"/>
  <c r="C24" i="5"/>
  <c r="D24" i="5"/>
  <c r="E24" i="5"/>
  <c r="H24" i="5"/>
  <c r="K24" i="5"/>
  <c r="L24" i="5"/>
  <c r="M24" i="5"/>
  <c r="N24" i="5"/>
  <c r="Q24" i="5"/>
  <c r="T24" i="5"/>
  <c r="W24" i="5"/>
  <c r="Z24" i="5"/>
  <c r="AC24" i="5"/>
  <c r="AF24" i="5"/>
  <c r="AH24" i="5"/>
  <c r="AI24" i="5"/>
  <c r="AL24" i="5"/>
  <c r="AO24" i="5"/>
  <c r="AR24" i="5"/>
  <c r="AU24" i="5"/>
  <c r="AX24" i="5"/>
  <c r="BA24" i="5"/>
  <c r="BD24" i="5"/>
  <c r="BG24" i="5"/>
  <c r="BJ24" i="5"/>
  <c r="BM24" i="5"/>
  <c r="BP24" i="5"/>
  <c r="BS24" i="5"/>
  <c r="BV24" i="5"/>
  <c r="BY24" i="5"/>
  <c r="CB24" i="5"/>
  <c r="CE24" i="5"/>
  <c r="CH24" i="5"/>
  <c r="CK24" i="5"/>
  <c r="CN24" i="5"/>
  <c r="CQ24" i="5"/>
  <c r="CT24" i="5"/>
  <c r="CW24" i="5"/>
  <c r="CZ24" i="5"/>
  <c r="DC24" i="5"/>
  <c r="DF24" i="5"/>
  <c r="DI24" i="5"/>
  <c r="DL24" i="5"/>
  <c r="DO24" i="5"/>
  <c r="DR24" i="5"/>
  <c r="DU24" i="5"/>
  <c r="DX24" i="5"/>
  <c r="EA24" i="5"/>
  <c r="ED24" i="5"/>
  <c r="EG24" i="5"/>
  <c r="EJ24" i="5"/>
  <c r="EM24" i="5"/>
  <c r="EP24" i="5"/>
  <c r="EQ24" i="5"/>
  <c r="ER24" i="5"/>
  <c r="ES24" i="5"/>
  <c r="ET24" i="5"/>
  <c r="EV24" i="5"/>
  <c r="EW24" i="5"/>
  <c r="EX24" i="5"/>
  <c r="EY24" i="5"/>
  <c r="FA24" i="5"/>
  <c r="FB24" i="5"/>
  <c r="A25" i="5"/>
  <c r="B25" i="5"/>
  <c r="C25" i="5"/>
  <c r="D25" i="5"/>
  <c r="E25" i="5"/>
  <c r="H25" i="5"/>
  <c r="K25" i="5"/>
  <c r="L25" i="5"/>
  <c r="M25" i="5"/>
  <c r="N25" i="5"/>
  <c r="Q25" i="5"/>
  <c r="T25" i="5"/>
  <c r="W25" i="5"/>
  <c r="Z25" i="5"/>
  <c r="AC25" i="5"/>
  <c r="AF25" i="5"/>
  <c r="AI25" i="5"/>
  <c r="AL25" i="5"/>
  <c r="AO25" i="5"/>
  <c r="AR25" i="5"/>
  <c r="AU25" i="5"/>
  <c r="AX25" i="5"/>
  <c r="BA25" i="5"/>
  <c r="BD25" i="5"/>
  <c r="BG25" i="5"/>
  <c r="BJ25" i="5"/>
  <c r="BM25" i="5"/>
  <c r="BP25" i="5"/>
  <c r="BS25" i="5"/>
  <c r="BV25" i="5"/>
  <c r="BY25" i="5"/>
  <c r="CB25" i="5"/>
  <c r="CE25" i="5"/>
  <c r="CH25" i="5"/>
  <c r="CK25" i="5"/>
  <c r="CN25" i="5"/>
  <c r="CQ25" i="5"/>
  <c r="CT25" i="5"/>
  <c r="CW25" i="5"/>
  <c r="CZ25" i="5"/>
  <c r="DC25" i="5"/>
  <c r="DF25" i="5"/>
  <c r="DI25" i="5"/>
  <c r="DL25" i="5"/>
  <c r="DO25" i="5"/>
  <c r="DR25" i="5"/>
  <c r="DU25" i="5"/>
  <c r="DX25" i="5"/>
  <c r="EA25" i="5"/>
  <c r="ED25" i="5"/>
  <c r="EG25" i="5"/>
  <c r="EJ25" i="5"/>
  <c r="EM25" i="5"/>
  <c r="EP25" i="5"/>
  <c r="EQ25" i="5"/>
  <c r="ER25" i="5"/>
  <c r="ES25" i="5"/>
  <c r="ET25" i="5"/>
  <c r="EV25" i="5"/>
  <c r="EW25" i="5"/>
  <c r="EX25" i="5"/>
  <c r="EY25" i="5"/>
  <c r="FA25" i="5"/>
  <c r="FB25" i="5"/>
  <c r="A26" i="5"/>
  <c r="B26" i="5"/>
  <c r="C26" i="5"/>
  <c r="D26" i="5"/>
  <c r="E26" i="5"/>
  <c r="H26" i="5"/>
  <c r="K26" i="5"/>
  <c r="L26" i="5"/>
  <c r="M26" i="5"/>
  <c r="N26" i="5"/>
  <c r="Q26" i="5"/>
  <c r="T26" i="5"/>
  <c r="W26" i="5"/>
  <c r="Z26" i="5"/>
  <c r="AC26" i="5"/>
  <c r="AF26" i="5"/>
  <c r="AI26" i="5"/>
  <c r="AL26" i="5"/>
  <c r="AO26" i="5"/>
  <c r="AR26" i="5"/>
  <c r="AU26" i="5"/>
  <c r="AX26" i="5"/>
  <c r="BA26" i="5"/>
  <c r="BD26" i="5"/>
  <c r="BG26" i="5"/>
  <c r="BJ26" i="5"/>
  <c r="BM26" i="5"/>
  <c r="BP26" i="5"/>
  <c r="BS26" i="5"/>
  <c r="BV26" i="5"/>
  <c r="BY26" i="5"/>
  <c r="CB26" i="5"/>
  <c r="CE26" i="5"/>
  <c r="CH26" i="5"/>
  <c r="CK26" i="5"/>
  <c r="CN26" i="5"/>
  <c r="CQ26" i="5"/>
  <c r="CT26" i="5"/>
  <c r="CW26" i="5"/>
  <c r="CZ26" i="5"/>
  <c r="DC26" i="5"/>
  <c r="DF26" i="5"/>
  <c r="DI26" i="5"/>
  <c r="DL26" i="5"/>
  <c r="DO26" i="5"/>
  <c r="DR26" i="5"/>
  <c r="DU26" i="5"/>
  <c r="DX26" i="5"/>
  <c r="EA26" i="5"/>
  <c r="ED26" i="5"/>
  <c r="EG26" i="5"/>
  <c r="EJ26" i="5"/>
  <c r="EM26" i="5"/>
  <c r="EP26" i="5"/>
  <c r="EQ26" i="5"/>
  <c r="ER26" i="5"/>
  <c r="ES26" i="5"/>
  <c r="ET26" i="5"/>
  <c r="EV26" i="5"/>
  <c r="EW26" i="5"/>
  <c r="EX26" i="5"/>
  <c r="EY26" i="5"/>
  <c r="FA26" i="5"/>
  <c r="FB26" i="5"/>
  <c r="A27" i="5"/>
  <c r="B27" i="5"/>
  <c r="C27" i="5"/>
  <c r="D27" i="5"/>
  <c r="E27" i="5"/>
  <c r="H27" i="5"/>
  <c r="K27" i="5"/>
  <c r="L27" i="5"/>
  <c r="M27" i="5"/>
  <c r="N27" i="5"/>
  <c r="Q27" i="5"/>
  <c r="T27" i="5"/>
  <c r="W27" i="5"/>
  <c r="Z27" i="5"/>
  <c r="AC27" i="5"/>
  <c r="AF27" i="5"/>
  <c r="AH27" i="5"/>
  <c r="AI27" i="5"/>
  <c r="AL27" i="5"/>
  <c r="AO27" i="5"/>
  <c r="AR27" i="5"/>
  <c r="AU27" i="5"/>
  <c r="AX27" i="5"/>
  <c r="BA27" i="5"/>
  <c r="BD27" i="5"/>
  <c r="BG27" i="5"/>
  <c r="BJ27" i="5"/>
  <c r="BM27" i="5"/>
  <c r="BP27" i="5"/>
  <c r="BS27" i="5"/>
  <c r="BV27" i="5"/>
  <c r="BY27" i="5"/>
  <c r="CB27" i="5"/>
  <c r="CE27" i="5"/>
  <c r="CH27" i="5"/>
  <c r="CK27" i="5"/>
  <c r="CN27" i="5"/>
  <c r="CQ27" i="5"/>
  <c r="CT27" i="5"/>
  <c r="CW27" i="5"/>
  <c r="CZ27" i="5"/>
  <c r="DC27" i="5"/>
  <c r="DF27" i="5"/>
  <c r="DI27" i="5"/>
  <c r="DL27" i="5"/>
  <c r="DO27" i="5"/>
  <c r="DR27" i="5"/>
  <c r="DU27" i="5"/>
  <c r="DX27" i="5"/>
  <c r="EA27" i="5"/>
  <c r="ED27" i="5"/>
  <c r="EG27" i="5"/>
  <c r="EJ27" i="5"/>
  <c r="EM27" i="5"/>
  <c r="EP27" i="5"/>
  <c r="EQ27" i="5"/>
  <c r="ER27" i="5"/>
  <c r="ES27" i="5"/>
  <c r="ET27" i="5"/>
  <c r="EV27" i="5"/>
  <c r="EW27" i="5"/>
  <c r="EX27" i="5"/>
  <c r="EY27" i="5"/>
  <c r="FA27" i="5"/>
  <c r="FB27" i="5"/>
  <c r="A28" i="5"/>
  <c r="B28" i="5"/>
  <c r="C28" i="5"/>
  <c r="D28" i="5"/>
  <c r="E28" i="5"/>
  <c r="H28" i="5"/>
  <c r="K28" i="5"/>
  <c r="L28" i="5"/>
  <c r="M28" i="5"/>
  <c r="N28" i="5"/>
  <c r="Q28" i="5"/>
  <c r="T28" i="5"/>
  <c r="W28" i="5"/>
  <c r="Z28" i="5"/>
  <c r="AC28" i="5"/>
  <c r="AF28" i="5"/>
  <c r="AI28" i="5"/>
  <c r="AL28" i="5"/>
  <c r="AO28" i="5"/>
  <c r="AR28" i="5"/>
  <c r="AU28" i="5"/>
  <c r="AX28" i="5"/>
  <c r="BA28" i="5"/>
  <c r="BD28" i="5"/>
  <c r="BG28" i="5"/>
  <c r="BJ28" i="5"/>
  <c r="BM28" i="5"/>
  <c r="BP28" i="5"/>
  <c r="BS28" i="5"/>
  <c r="BV28" i="5"/>
  <c r="BY28" i="5"/>
  <c r="CB28" i="5"/>
  <c r="CE28" i="5"/>
  <c r="CH28" i="5"/>
  <c r="CK28" i="5"/>
  <c r="CN28" i="5"/>
  <c r="CQ28" i="5"/>
  <c r="CT28" i="5"/>
  <c r="CW28" i="5"/>
  <c r="CZ28" i="5"/>
  <c r="DC28" i="5"/>
  <c r="DF28" i="5"/>
  <c r="DI28" i="5"/>
  <c r="DL28" i="5"/>
  <c r="DO28" i="5"/>
  <c r="DR28" i="5"/>
  <c r="DU28" i="5"/>
  <c r="DX28" i="5"/>
  <c r="EA28" i="5"/>
  <c r="ED28" i="5"/>
  <c r="EG28" i="5"/>
  <c r="EJ28" i="5"/>
  <c r="EM28" i="5"/>
  <c r="EP28" i="5"/>
  <c r="EQ28" i="5"/>
  <c r="ER28" i="5"/>
  <c r="ES28" i="5"/>
  <c r="ET28" i="5"/>
  <c r="EV28" i="5"/>
  <c r="EW28" i="5"/>
  <c r="EX28" i="5"/>
  <c r="EY28" i="5"/>
  <c r="FA28" i="5"/>
  <c r="FB28" i="5"/>
  <c r="A29" i="5"/>
  <c r="B29" i="5"/>
  <c r="C29" i="5"/>
  <c r="D29" i="5"/>
  <c r="E29" i="5"/>
  <c r="H29" i="5"/>
  <c r="K29" i="5"/>
  <c r="L29" i="5"/>
  <c r="M29" i="5"/>
  <c r="N29" i="5"/>
  <c r="Q29" i="5"/>
  <c r="T29" i="5"/>
  <c r="W29" i="5"/>
  <c r="Z29" i="5"/>
  <c r="AC29" i="5"/>
  <c r="AF29" i="5"/>
  <c r="AI29" i="5"/>
  <c r="AL29" i="5"/>
  <c r="AO29" i="5"/>
  <c r="AR29" i="5"/>
  <c r="AU29" i="5"/>
  <c r="AX29" i="5"/>
  <c r="BA29" i="5"/>
  <c r="BD29" i="5"/>
  <c r="BG29" i="5"/>
  <c r="BJ29" i="5"/>
  <c r="BM29" i="5"/>
  <c r="BP29" i="5"/>
  <c r="BS29" i="5"/>
  <c r="BV29" i="5"/>
  <c r="BY29" i="5"/>
  <c r="CB29" i="5"/>
  <c r="CE29" i="5"/>
  <c r="CH29" i="5"/>
  <c r="CK29" i="5"/>
  <c r="CN29" i="5"/>
  <c r="CQ29" i="5"/>
  <c r="CT29" i="5"/>
  <c r="CW29" i="5"/>
  <c r="CZ29" i="5"/>
  <c r="DC29" i="5"/>
  <c r="DF29" i="5"/>
  <c r="DI29" i="5"/>
  <c r="DL29" i="5"/>
  <c r="DO29" i="5"/>
  <c r="DR29" i="5"/>
  <c r="DU29" i="5"/>
  <c r="DX29" i="5"/>
  <c r="EA29" i="5"/>
  <c r="ED29" i="5"/>
  <c r="EG29" i="5"/>
  <c r="EJ29" i="5"/>
  <c r="EM29" i="5"/>
  <c r="EP29" i="5"/>
  <c r="EQ29" i="5"/>
  <c r="ER29" i="5"/>
  <c r="ES29" i="5"/>
  <c r="ET29" i="5"/>
  <c r="EV29" i="5"/>
  <c r="EW29" i="5"/>
  <c r="EX29" i="5"/>
  <c r="EY29" i="5"/>
  <c r="FA29" i="5"/>
  <c r="FB29" i="5"/>
  <c r="A30" i="5"/>
  <c r="B30" i="5"/>
  <c r="C30" i="5"/>
  <c r="D30" i="5"/>
  <c r="E30" i="5"/>
  <c r="H30" i="5"/>
  <c r="K30" i="5"/>
  <c r="L30" i="5"/>
  <c r="M30" i="5"/>
  <c r="N30" i="5"/>
  <c r="Q30" i="5"/>
  <c r="T30" i="5"/>
  <c r="W30" i="5"/>
  <c r="Y30" i="5"/>
  <c r="Z30" i="5"/>
  <c r="AC30" i="5"/>
  <c r="AF30" i="5"/>
  <c r="AI30" i="5"/>
  <c r="AL30" i="5"/>
  <c r="AO30" i="5"/>
  <c r="AR30" i="5"/>
  <c r="AU30" i="5"/>
  <c r="AX30" i="5"/>
  <c r="BA30" i="5"/>
  <c r="BD30" i="5"/>
  <c r="BG30" i="5"/>
  <c r="BJ30" i="5"/>
  <c r="BM30" i="5"/>
  <c r="BP30" i="5"/>
  <c r="BS30" i="5"/>
  <c r="BV30" i="5"/>
  <c r="BY30" i="5"/>
  <c r="CB30" i="5"/>
  <c r="CE30" i="5"/>
  <c r="CH30" i="5"/>
  <c r="CK30" i="5"/>
  <c r="CN30" i="5"/>
  <c r="CQ30" i="5"/>
  <c r="CT30" i="5"/>
  <c r="CW30" i="5"/>
  <c r="CZ30" i="5"/>
  <c r="DC30" i="5"/>
  <c r="DF30" i="5"/>
  <c r="DI30" i="5"/>
  <c r="DL30" i="5"/>
  <c r="DO30" i="5"/>
  <c r="DR30" i="5"/>
  <c r="DU30" i="5"/>
  <c r="DX30" i="5"/>
  <c r="EA30" i="5"/>
  <c r="ED30" i="5"/>
  <c r="EG30" i="5"/>
  <c r="EJ30" i="5"/>
  <c r="EM30" i="5"/>
  <c r="EP30" i="5"/>
  <c r="EQ30" i="5"/>
  <c r="ER30" i="5"/>
  <c r="ES30" i="5"/>
  <c r="ET30" i="5"/>
  <c r="EV30" i="5"/>
  <c r="EW30" i="5"/>
  <c r="EX30" i="5"/>
  <c r="EY30" i="5"/>
  <c r="FA30" i="5"/>
  <c r="FB30" i="5"/>
  <c r="A31" i="5"/>
  <c r="B31" i="5"/>
  <c r="C31" i="5"/>
  <c r="D31" i="5"/>
  <c r="E31" i="5"/>
  <c r="H31" i="5"/>
  <c r="K31" i="5"/>
  <c r="L31" i="5"/>
  <c r="M31" i="5"/>
  <c r="N31" i="5"/>
  <c r="Q31" i="5"/>
  <c r="T31" i="5"/>
  <c r="W31" i="5"/>
  <c r="Y31" i="5"/>
  <c r="Z31" i="5"/>
  <c r="AC31" i="5"/>
  <c r="AF31" i="5"/>
  <c r="AI31" i="5"/>
  <c r="AL31" i="5"/>
  <c r="AO31" i="5"/>
  <c r="AR31" i="5"/>
  <c r="AU31" i="5"/>
  <c r="AX31" i="5"/>
  <c r="BA31" i="5"/>
  <c r="BD31" i="5"/>
  <c r="BG31" i="5"/>
  <c r="BJ31" i="5"/>
  <c r="BM31" i="5"/>
  <c r="BP31" i="5"/>
  <c r="BS31" i="5"/>
  <c r="BV31" i="5"/>
  <c r="BY31" i="5"/>
  <c r="CB31" i="5"/>
  <c r="CE31" i="5"/>
  <c r="CH31" i="5"/>
  <c r="CK31" i="5"/>
  <c r="CN31" i="5"/>
  <c r="CQ31" i="5"/>
  <c r="CT31" i="5"/>
  <c r="CW31" i="5"/>
  <c r="CZ31" i="5"/>
  <c r="DC31" i="5"/>
  <c r="DF31" i="5"/>
  <c r="DI31" i="5"/>
  <c r="DL31" i="5"/>
  <c r="DO31" i="5"/>
  <c r="DR31" i="5"/>
  <c r="DU31" i="5"/>
  <c r="DX31" i="5"/>
  <c r="EA31" i="5"/>
  <c r="ED31" i="5"/>
  <c r="EG31" i="5"/>
  <c r="EJ31" i="5"/>
  <c r="EM31" i="5"/>
  <c r="EP31" i="5"/>
  <c r="EQ31" i="5"/>
  <c r="ER31" i="5"/>
  <c r="ES31" i="5"/>
  <c r="ET31" i="5"/>
  <c r="EV31" i="5"/>
  <c r="EW31" i="5"/>
  <c r="EX31" i="5"/>
  <c r="EY31" i="5"/>
  <c r="FA31" i="5"/>
  <c r="FB31" i="5"/>
  <c r="A32" i="5"/>
  <c r="B32" i="5"/>
  <c r="C32" i="5"/>
  <c r="D32" i="5"/>
  <c r="E32" i="5"/>
  <c r="H32" i="5"/>
  <c r="K32" i="5"/>
  <c r="L32" i="5"/>
  <c r="M32" i="5"/>
  <c r="N32" i="5"/>
  <c r="Q32" i="5"/>
  <c r="T32" i="5"/>
  <c r="W32" i="5"/>
  <c r="Z32" i="5"/>
  <c r="AC32" i="5"/>
  <c r="AF32" i="5"/>
  <c r="AH32" i="5"/>
  <c r="AI32" i="5"/>
  <c r="AL32" i="5"/>
  <c r="AO32" i="5"/>
  <c r="AR32" i="5"/>
  <c r="AU32" i="5"/>
  <c r="AX32" i="5"/>
  <c r="BA32" i="5"/>
  <c r="BD32" i="5"/>
  <c r="BG32" i="5"/>
  <c r="BJ32" i="5"/>
  <c r="BM32" i="5"/>
  <c r="BP32" i="5"/>
  <c r="BS32" i="5"/>
  <c r="BV32" i="5"/>
  <c r="BY32" i="5"/>
  <c r="CB32" i="5"/>
  <c r="CE32" i="5"/>
  <c r="CH32" i="5"/>
  <c r="CK32" i="5"/>
  <c r="CN32" i="5"/>
  <c r="CQ32" i="5"/>
  <c r="CT32" i="5"/>
  <c r="CW32" i="5"/>
  <c r="CZ32" i="5"/>
  <c r="DC32" i="5"/>
  <c r="DF32" i="5"/>
  <c r="DI32" i="5"/>
  <c r="DL32" i="5"/>
  <c r="DO32" i="5"/>
  <c r="DR32" i="5"/>
  <c r="DU32" i="5"/>
  <c r="DX32" i="5"/>
  <c r="EA32" i="5"/>
  <c r="ED32" i="5"/>
  <c r="EG32" i="5"/>
  <c r="EJ32" i="5"/>
  <c r="EM32" i="5"/>
  <c r="EP32" i="5"/>
  <c r="EQ32" i="5"/>
  <c r="ER32" i="5"/>
  <c r="ES32" i="5"/>
  <c r="ET32" i="5"/>
  <c r="EV32" i="5"/>
  <c r="EW32" i="5"/>
  <c r="EX32" i="5"/>
  <c r="EY32" i="5"/>
  <c r="FA32" i="5"/>
  <c r="FB32" i="5"/>
  <c r="A33" i="5"/>
  <c r="B33" i="5"/>
  <c r="C33" i="5"/>
  <c r="D33" i="5"/>
  <c r="E33" i="5"/>
  <c r="H33" i="5"/>
  <c r="K33" i="5"/>
  <c r="L33" i="5"/>
  <c r="M33" i="5"/>
  <c r="N33" i="5"/>
  <c r="Q33" i="5"/>
  <c r="T33" i="5"/>
  <c r="W33" i="5"/>
  <c r="Z33" i="5"/>
  <c r="AC33" i="5"/>
  <c r="AF33" i="5"/>
  <c r="AH33" i="5"/>
  <c r="AI33" i="5"/>
  <c r="AL33" i="5"/>
  <c r="AO33" i="5"/>
  <c r="AR33" i="5"/>
  <c r="AU33" i="5"/>
  <c r="AX33" i="5"/>
  <c r="BA33" i="5"/>
  <c r="BD33" i="5"/>
  <c r="BG33" i="5"/>
  <c r="BJ33" i="5"/>
  <c r="BM33" i="5"/>
  <c r="BP33" i="5"/>
  <c r="BS33" i="5"/>
  <c r="BV33" i="5"/>
  <c r="BY33" i="5"/>
  <c r="CB33" i="5"/>
  <c r="CE33" i="5"/>
  <c r="CH33" i="5"/>
  <c r="CK33" i="5"/>
  <c r="CN33" i="5"/>
  <c r="CQ33" i="5"/>
  <c r="CT33" i="5"/>
  <c r="CW33" i="5"/>
  <c r="CZ33" i="5"/>
  <c r="DC33" i="5"/>
  <c r="DF33" i="5"/>
  <c r="DI33" i="5"/>
  <c r="DL33" i="5"/>
  <c r="DO33" i="5"/>
  <c r="DR33" i="5"/>
  <c r="DU33" i="5"/>
  <c r="DX33" i="5"/>
  <c r="EA33" i="5"/>
  <c r="ED33" i="5"/>
  <c r="EG33" i="5"/>
  <c r="EJ33" i="5"/>
  <c r="EM33" i="5"/>
  <c r="EP33" i="5"/>
  <c r="EQ33" i="5"/>
  <c r="ER33" i="5"/>
  <c r="ES33" i="5"/>
  <c r="ET33" i="5"/>
  <c r="EV33" i="5"/>
  <c r="EW33" i="5"/>
  <c r="EX33" i="5"/>
  <c r="EY33" i="5"/>
  <c r="FA33" i="5"/>
  <c r="FB33" i="5"/>
  <c r="A34" i="5"/>
  <c r="B34" i="5"/>
  <c r="C34" i="5"/>
  <c r="D34" i="5"/>
  <c r="E34" i="5"/>
  <c r="H34" i="5"/>
  <c r="K34" i="5"/>
  <c r="L34" i="5"/>
  <c r="M34" i="5"/>
  <c r="N34" i="5"/>
  <c r="Q34" i="5"/>
  <c r="T34" i="5"/>
  <c r="W34" i="5"/>
  <c r="Z34" i="5"/>
  <c r="AC34" i="5"/>
  <c r="AF34" i="5"/>
  <c r="AH34" i="5"/>
  <c r="AI34" i="5"/>
  <c r="AL34" i="5"/>
  <c r="AO34" i="5"/>
  <c r="AR34" i="5"/>
  <c r="AU34" i="5"/>
  <c r="AX34" i="5"/>
  <c r="BA34" i="5"/>
  <c r="BD34" i="5"/>
  <c r="BG34" i="5"/>
  <c r="BJ34" i="5"/>
  <c r="BM34" i="5"/>
  <c r="BP34" i="5"/>
  <c r="BS34" i="5"/>
  <c r="BV34" i="5"/>
  <c r="BY34" i="5"/>
  <c r="CB34" i="5"/>
  <c r="CE34" i="5"/>
  <c r="CH34" i="5"/>
  <c r="CK34" i="5"/>
  <c r="CN34" i="5"/>
  <c r="CQ34" i="5"/>
  <c r="CT34" i="5"/>
  <c r="CW34" i="5"/>
  <c r="CZ34" i="5"/>
  <c r="DC34" i="5"/>
  <c r="DF34" i="5"/>
  <c r="DI34" i="5"/>
  <c r="DL34" i="5"/>
  <c r="DO34" i="5"/>
  <c r="DR34" i="5"/>
  <c r="DU34" i="5"/>
  <c r="DX34" i="5"/>
  <c r="EA34" i="5"/>
  <c r="ED34" i="5"/>
  <c r="EG34" i="5"/>
  <c r="EJ34" i="5"/>
  <c r="EM34" i="5"/>
  <c r="EP34" i="5"/>
  <c r="EQ34" i="5"/>
  <c r="ER34" i="5"/>
  <c r="ES34" i="5"/>
  <c r="ET34" i="5"/>
  <c r="EV34" i="5"/>
  <c r="EW34" i="5"/>
  <c r="EX34" i="5"/>
  <c r="EY34" i="5"/>
  <c r="FA34" i="5"/>
  <c r="FB34" i="5"/>
  <c r="A35" i="5"/>
  <c r="B35" i="5"/>
  <c r="C35" i="5"/>
  <c r="D35" i="5"/>
  <c r="E35" i="5"/>
  <c r="H35" i="5"/>
  <c r="K35" i="5"/>
  <c r="L35" i="5"/>
  <c r="M35" i="5"/>
  <c r="N35" i="5"/>
  <c r="Q35" i="5"/>
  <c r="T35" i="5"/>
  <c r="W35" i="5"/>
  <c r="Z35" i="5"/>
  <c r="AC35" i="5"/>
  <c r="AF35" i="5"/>
  <c r="AI35" i="5"/>
  <c r="AL35" i="5"/>
  <c r="AO35" i="5"/>
  <c r="AR35" i="5"/>
  <c r="AU35" i="5"/>
  <c r="AX35" i="5"/>
  <c r="BA35" i="5"/>
  <c r="BD35" i="5"/>
  <c r="BG35" i="5"/>
  <c r="BJ35" i="5"/>
  <c r="BM35" i="5"/>
  <c r="BP35" i="5"/>
  <c r="BS35" i="5"/>
  <c r="BV35" i="5"/>
  <c r="BY35" i="5"/>
  <c r="CB35" i="5"/>
  <c r="CE35" i="5"/>
  <c r="CH35" i="5"/>
  <c r="CK35" i="5"/>
  <c r="CN35" i="5"/>
  <c r="CQ35" i="5"/>
  <c r="CT35" i="5"/>
  <c r="CW35" i="5"/>
  <c r="CZ35" i="5"/>
  <c r="DC35" i="5"/>
  <c r="DF35" i="5"/>
  <c r="DI35" i="5"/>
  <c r="DL35" i="5"/>
  <c r="DO35" i="5"/>
  <c r="DR35" i="5"/>
  <c r="DU35" i="5"/>
  <c r="DX35" i="5"/>
  <c r="EA35" i="5"/>
  <c r="ED35" i="5"/>
  <c r="EG35" i="5"/>
  <c r="EJ35" i="5"/>
  <c r="EM35" i="5"/>
  <c r="EP35" i="5"/>
  <c r="EQ35" i="5"/>
  <c r="ER35" i="5"/>
  <c r="ES35" i="5"/>
  <c r="ET35" i="5"/>
  <c r="EV35" i="5"/>
  <c r="EW35" i="5"/>
  <c r="EX35" i="5"/>
  <c r="EY35" i="5"/>
  <c r="FA35" i="5"/>
  <c r="FB35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ES37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D39" i="5"/>
  <c r="EE39" i="5"/>
  <c r="EF39" i="5"/>
  <c r="EG39" i="5"/>
  <c r="EH39" i="5"/>
  <c r="EI39" i="5"/>
  <c r="EJ39" i="5"/>
  <c r="EK39" i="5"/>
  <c r="EL39" i="5"/>
  <c r="EM39" i="5"/>
  <c r="EN39" i="5"/>
  <c r="EO39" i="5"/>
  <c r="EP39" i="5"/>
  <c r="EQ39" i="5"/>
  <c r="ER39" i="5"/>
  <c r="ES39" i="5"/>
  <c r="ET39" i="5"/>
  <c r="EU39" i="5"/>
  <c r="EV39" i="5"/>
  <c r="EW39" i="5"/>
  <c r="EX39" i="5"/>
  <c r="EY39" i="5"/>
  <c r="EZ39" i="5"/>
  <c r="FA39" i="5"/>
  <c r="FB39" i="5"/>
  <c r="FC39" i="5"/>
  <c r="FD39" i="5"/>
  <c r="FE39" i="5"/>
  <c r="FF39" i="5"/>
  <c r="FG39" i="5"/>
  <c r="FH39" i="5"/>
  <c r="FI39" i="5"/>
  <c r="FJ39" i="5"/>
  <c r="FK39" i="5"/>
  <c r="FL39" i="5"/>
  <c r="FM39" i="5"/>
  <c r="B1" i="2"/>
  <c r="A6" i="2"/>
  <c r="B6" i="2"/>
  <c r="E6" i="2"/>
  <c r="H6" i="2"/>
  <c r="K6" i="2"/>
  <c r="N6" i="2"/>
  <c r="Q6" i="2"/>
  <c r="T6" i="2"/>
  <c r="W6" i="2"/>
  <c r="X6" i="2"/>
  <c r="Y6" i="2"/>
  <c r="Z6" i="2"/>
  <c r="AC6" i="2"/>
  <c r="AD6" i="2"/>
  <c r="AE6" i="2"/>
  <c r="AF6" i="2"/>
  <c r="AI6" i="2"/>
  <c r="AJ6" i="2"/>
  <c r="AK6" i="2"/>
  <c r="AL6" i="2"/>
  <c r="AO6" i="2"/>
  <c r="AP6" i="2"/>
  <c r="AQ6" i="2"/>
  <c r="AR6" i="2"/>
  <c r="AU6" i="2"/>
  <c r="AV6" i="2"/>
  <c r="AX6" i="2"/>
  <c r="BA6" i="2"/>
  <c r="BD6" i="2"/>
  <c r="BG6" i="2"/>
  <c r="BJ6" i="2"/>
  <c r="BM6" i="2"/>
  <c r="BP6" i="2"/>
  <c r="BS6" i="2"/>
  <c r="BV6" i="2"/>
  <c r="BY6" i="2"/>
  <c r="CB6" i="2"/>
  <c r="CE6" i="2"/>
  <c r="CH6" i="2"/>
  <c r="CK6" i="2"/>
  <c r="CN6" i="2"/>
  <c r="CQ6" i="2"/>
  <c r="CT6" i="2"/>
  <c r="CW6" i="2"/>
  <c r="CZ6" i="2"/>
  <c r="DC6" i="2"/>
  <c r="DF6" i="2"/>
  <c r="DI6" i="2"/>
  <c r="DL6" i="2"/>
  <c r="DO6" i="2"/>
  <c r="DR6" i="2"/>
  <c r="DS6" i="2"/>
  <c r="DT6" i="2"/>
  <c r="DU6" i="2"/>
  <c r="DV6" i="2"/>
  <c r="DX6" i="2"/>
  <c r="DY6" i="2"/>
  <c r="DZ6" i="2"/>
  <c r="EA6" i="2"/>
  <c r="EC6" i="2"/>
  <c r="ED6" i="2"/>
  <c r="A7" i="2"/>
  <c r="B7" i="2"/>
  <c r="E7" i="2"/>
  <c r="H7" i="2"/>
  <c r="K7" i="2"/>
  <c r="N7" i="2"/>
  <c r="Q7" i="2"/>
  <c r="T7" i="2"/>
  <c r="W7" i="2"/>
  <c r="X7" i="2"/>
  <c r="Y7" i="2"/>
  <c r="Z7" i="2"/>
  <c r="AC7" i="2"/>
  <c r="AD7" i="2"/>
  <c r="AE7" i="2"/>
  <c r="AF7" i="2"/>
  <c r="AI7" i="2"/>
  <c r="AJ7" i="2"/>
  <c r="AK7" i="2"/>
  <c r="AL7" i="2"/>
  <c r="AO7" i="2"/>
  <c r="AP7" i="2"/>
  <c r="AQ7" i="2"/>
  <c r="AR7" i="2"/>
  <c r="AU7" i="2"/>
  <c r="AV7" i="2"/>
  <c r="AX7" i="2"/>
  <c r="BA7" i="2"/>
  <c r="BD7" i="2"/>
  <c r="BG7" i="2"/>
  <c r="BJ7" i="2"/>
  <c r="BM7" i="2"/>
  <c r="BP7" i="2"/>
  <c r="BS7" i="2"/>
  <c r="BV7" i="2"/>
  <c r="BY7" i="2"/>
  <c r="CB7" i="2"/>
  <c r="CE7" i="2"/>
  <c r="CH7" i="2"/>
  <c r="CK7" i="2"/>
  <c r="CN7" i="2"/>
  <c r="CQ7" i="2"/>
  <c r="CT7" i="2"/>
  <c r="CW7" i="2"/>
  <c r="CZ7" i="2"/>
  <c r="DC7" i="2"/>
  <c r="DF7" i="2"/>
  <c r="DI7" i="2"/>
  <c r="DL7" i="2"/>
  <c r="DO7" i="2"/>
  <c r="DR7" i="2"/>
  <c r="DS7" i="2"/>
  <c r="DT7" i="2"/>
  <c r="DU7" i="2"/>
  <c r="DV7" i="2"/>
  <c r="DX7" i="2"/>
  <c r="DY7" i="2"/>
  <c r="DZ7" i="2"/>
  <c r="EA7" i="2"/>
  <c r="EC7" i="2"/>
  <c r="ED7" i="2"/>
  <c r="A8" i="2"/>
  <c r="B8" i="2"/>
  <c r="E8" i="2"/>
  <c r="H8" i="2"/>
  <c r="K8" i="2"/>
  <c r="N8" i="2"/>
  <c r="Q8" i="2"/>
  <c r="T8" i="2"/>
  <c r="W8" i="2"/>
  <c r="X8" i="2"/>
  <c r="Y8" i="2"/>
  <c r="Z8" i="2"/>
  <c r="AC8" i="2"/>
  <c r="AD8" i="2"/>
  <c r="AE8" i="2"/>
  <c r="AF8" i="2"/>
  <c r="AI8" i="2"/>
  <c r="AJ8" i="2"/>
  <c r="AK8" i="2"/>
  <c r="AL8" i="2"/>
  <c r="AO8" i="2"/>
  <c r="AP8" i="2"/>
  <c r="AQ8" i="2"/>
  <c r="AR8" i="2"/>
  <c r="AU8" i="2"/>
  <c r="AX8" i="2"/>
  <c r="BA8" i="2"/>
  <c r="BD8" i="2"/>
  <c r="BG8" i="2"/>
  <c r="BJ8" i="2"/>
  <c r="BM8" i="2"/>
  <c r="BP8" i="2"/>
  <c r="BS8" i="2"/>
  <c r="BV8" i="2"/>
  <c r="BY8" i="2"/>
  <c r="CB8" i="2"/>
  <c r="CE8" i="2"/>
  <c r="CH8" i="2"/>
  <c r="CK8" i="2"/>
  <c r="CN8" i="2"/>
  <c r="CQ8" i="2"/>
  <c r="CT8" i="2"/>
  <c r="CW8" i="2"/>
  <c r="CZ8" i="2"/>
  <c r="DC8" i="2"/>
  <c r="DF8" i="2"/>
  <c r="DI8" i="2"/>
  <c r="DL8" i="2"/>
  <c r="DO8" i="2"/>
  <c r="DR8" i="2"/>
  <c r="DS8" i="2"/>
  <c r="DT8" i="2"/>
  <c r="DU8" i="2"/>
  <c r="DV8" i="2"/>
  <c r="DX8" i="2"/>
  <c r="DY8" i="2"/>
  <c r="DZ8" i="2"/>
  <c r="EA8" i="2"/>
  <c r="EC8" i="2"/>
  <c r="ED8" i="2"/>
  <c r="A9" i="2"/>
  <c r="B9" i="2"/>
  <c r="E9" i="2"/>
  <c r="H9" i="2"/>
  <c r="K9" i="2"/>
  <c r="N9" i="2"/>
  <c r="Q9" i="2"/>
  <c r="T9" i="2"/>
  <c r="W9" i="2"/>
  <c r="X9" i="2"/>
  <c r="Y9" i="2"/>
  <c r="Z9" i="2"/>
  <c r="AC9" i="2"/>
  <c r="AD9" i="2"/>
  <c r="AE9" i="2"/>
  <c r="AF9" i="2"/>
  <c r="AI9" i="2"/>
  <c r="AJ9" i="2"/>
  <c r="AK9" i="2"/>
  <c r="AL9" i="2"/>
  <c r="AO9" i="2"/>
  <c r="AP9" i="2"/>
  <c r="AQ9" i="2"/>
  <c r="AR9" i="2"/>
  <c r="AU9" i="2"/>
  <c r="AX9" i="2"/>
  <c r="BA9" i="2"/>
  <c r="BD9" i="2"/>
  <c r="BG9" i="2"/>
  <c r="BJ9" i="2"/>
  <c r="BM9" i="2"/>
  <c r="BP9" i="2"/>
  <c r="BS9" i="2"/>
  <c r="BV9" i="2"/>
  <c r="BY9" i="2"/>
  <c r="CB9" i="2"/>
  <c r="CE9" i="2"/>
  <c r="CH9" i="2"/>
  <c r="CK9" i="2"/>
  <c r="CN9" i="2"/>
  <c r="CQ9" i="2"/>
  <c r="CT9" i="2"/>
  <c r="CW9" i="2"/>
  <c r="CZ9" i="2"/>
  <c r="DC9" i="2"/>
  <c r="DF9" i="2"/>
  <c r="DI9" i="2"/>
  <c r="DL9" i="2"/>
  <c r="DO9" i="2"/>
  <c r="DR9" i="2"/>
  <c r="DS9" i="2"/>
  <c r="DT9" i="2"/>
  <c r="DU9" i="2"/>
  <c r="DV9" i="2"/>
  <c r="DX9" i="2"/>
  <c r="DY9" i="2"/>
  <c r="DZ9" i="2"/>
  <c r="EA9" i="2"/>
  <c r="EC9" i="2"/>
  <c r="ED9" i="2"/>
  <c r="A10" i="2"/>
  <c r="B10" i="2"/>
  <c r="E10" i="2"/>
  <c r="H10" i="2"/>
  <c r="K10" i="2"/>
  <c r="N10" i="2"/>
  <c r="Q10" i="2"/>
  <c r="T10" i="2"/>
  <c r="W10" i="2"/>
  <c r="X10" i="2"/>
  <c r="Y10" i="2"/>
  <c r="Z10" i="2"/>
  <c r="AC10" i="2"/>
  <c r="AD10" i="2"/>
  <c r="AE10" i="2"/>
  <c r="AF10" i="2"/>
  <c r="AI10" i="2"/>
  <c r="AJ10" i="2"/>
  <c r="AK10" i="2"/>
  <c r="AL10" i="2"/>
  <c r="AO10" i="2"/>
  <c r="AP10" i="2"/>
  <c r="AQ10" i="2"/>
  <c r="AR10" i="2"/>
  <c r="AU10" i="2"/>
  <c r="AX10" i="2"/>
  <c r="BA10" i="2"/>
  <c r="BD10" i="2"/>
  <c r="BG10" i="2"/>
  <c r="BJ10" i="2"/>
  <c r="BM10" i="2"/>
  <c r="BP10" i="2"/>
  <c r="BS10" i="2"/>
  <c r="BV10" i="2"/>
  <c r="BY10" i="2"/>
  <c r="CB10" i="2"/>
  <c r="CE10" i="2"/>
  <c r="CH10" i="2"/>
  <c r="CK10" i="2"/>
  <c r="CN10" i="2"/>
  <c r="CQ10" i="2"/>
  <c r="CT10" i="2"/>
  <c r="CW10" i="2"/>
  <c r="CZ10" i="2"/>
  <c r="DC10" i="2"/>
  <c r="DF10" i="2"/>
  <c r="DI10" i="2"/>
  <c r="DL10" i="2"/>
  <c r="DO10" i="2"/>
  <c r="DR10" i="2"/>
  <c r="DS10" i="2"/>
  <c r="DT10" i="2"/>
  <c r="DU10" i="2"/>
  <c r="DV10" i="2"/>
  <c r="DX10" i="2"/>
  <c r="DY10" i="2"/>
  <c r="DZ10" i="2"/>
  <c r="EA10" i="2"/>
  <c r="EC10" i="2"/>
  <c r="ED10" i="2"/>
  <c r="A11" i="2"/>
  <c r="B11" i="2"/>
  <c r="E11" i="2"/>
  <c r="H11" i="2"/>
  <c r="K11" i="2"/>
  <c r="N11" i="2"/>
  <c r="Q11" i="2"/>
  <c r="T11" i="2"/>
  <c r="W11" i="2"/>
  <c r="X11" i="2"/>
  <c r="Y11" i="2"/>
  <c r="Z11" i="2"/>
  <c r="AC11" i="2"/>
  <c r="AD11" i="2"/>
  <c r="AE11" i="2"/>
  <c r="AF11" i="2"/>
  <c r="AI11" i="2"/>
  <c r="AJ11" i="2"/>
  <c r="AK11" i="2"/>
  <c r="AL11" i="2"/>
  <c r="AO11" i="2"/>
  <c r="AP11" i="2"/>
  <c r="AQ11" i="2"/>
  <c r="AR11" i="2"/>
  <c r="AU11" i="2"/>
  <c r="AX11" i="2"/>
  <c r="BA11" i="2"/>
  <c r="BD11" i="2"/>
  <c r="BG11" i="2"/>
  <c r="BJ11" i="2"/>
  <c r="BM11" i="2"/>
  <c r="BP11" i="2"/>
  <c r="BS11" i="2"/>
  <c r="BV11" i="2"/>
  <c r="BY11" i="2"/>
  <c r="CB11" i="2"/>
  <c r="CE11" i="2"/>
  <c r="CH11" i="2"/>
  <c r="CK11" i="2"/>
  <c r="CN11" i="2"/>
  <c r="CQ11" i="2"/>
  <c r="CT11" i="2"/>
  <c r="CW11" i="2"/>
  <c r="CZ11" i="2"/>
  <c r="DC11" i="2"/>
  <c r="DF11" i="2"/>
  <c r="DI11" i="2"/>
  <c r="DL11" i="2"/>
  <c r="DO11" i="2"/>
  <c r="DR11" i="2"/>
  <c r="DS11" i="2"/>
  <c r="DT11" i="2"/>
  <c r="DU11" i="2"/>
  <c r="DV11" i="2"/>
  <c r="DX11" i="2"/>
  <c r="DY11" i="2"/>
  <c r="DZ11" i="2"/>
  <c r="EA11" i="2"/>
  <c r="EC11" i="2"/>
  <c r="ED11" i="2"/>
  <c r="A12" i="2"/>
  <c r="B12" i="2"/>
  <c r="E12" i="2"/>
  <c r="H12" i="2"/>
  <c r="K12" i="2"/>
  <c r="N12" i="2"/>
  <c r="Q12" i="2"/>
  <c r="T12" i="2"/>
  <c r="W12" i="2"/>
  <c r="X12" i="2"/>
  <c r="Y12" i="2"/>
  <c r="Z12" i="2"/>
  <c r="AC12" i="2"/>
  <c r="AD12" i="2"/>
  <c r="AE12" i="2"/>
  <c r="AF12" i="2"/>
  <c r="AI12" i="2"/>
  <c r="AJ12" i="2"/>
  <c r="AL12" i="2"/>
  <c r="AO12" i="2"/>
  <c r="AP12" i="2"/>
  <c r="AR12" i="2"/>
  <c r="AU12" i="2"/>
  <c r="AW12" i="2"/>
  <c r="AX12" i="2"/>
  <c r="BA12" i="2"/>
  <c r="BD12" i="2"/>
  <c r="BG12" i="2"/>
  <c r="BJ12" i="2"/>
  <c r="BM12" i="2"/>
  <c r="BP12" i="2"/>
  <c r="BS12" i="2"/>
  <c r="BV12" i="2"/>
  <c r="BY12" i="2"/>
  <c r="CB12" i="2"/>
  <c r="CE12" i="2"/>
  <c r="CH12" i="2"/>
  <c r="CK12" i="2"/>
  <c r="CN12" i="2"/>
  <c r="CQ12" i="2"/>
  <c r="CT12" i="2"/>
  <c r="CW12" i="2"/>
  <c r="CZ12" i="2"/>
  <c r="DC12" i="2"/>
  <c r="DF12" i="2"/>
  <c r="DI12" i="2"/>
  <c r="DL12" i="2"/>
  <c r="DO12" i="2"/>
  <c r="DR12" i="2"/>
  <c r="DS12" i="2"/>
  <c r="DT12" i="2"/>
  <c r="DU12" i="2"/>
  <c r="DV12" i="2"/>
  <c r="DX12" i="2"/>
  <c r="DY12" i="2"/>
  <c r="DZ12" i="2"/>
  <c r="EA12" i="2"/>
  <c r="EC12" i="2"/>
  <c r="ED12" i="2"/>
  <c r="A13" i="2"/>
  <c r="B13" i="2"/>
  <c r="E13" i="2"/>
  <c r="H13" i="2"/>
  <c r="K13" i="2"/>
  <c r="N13" i="2"/>
  <c r="Q13" i="2"/>
  <c r="T13" i="2"/>
  <c r="W13" i="2"/>
  <c r="X13" i="2"/>
  <c r="Y13" i="2"/>
  <c r="Z13" i="2"/>
  <c r="AC13" i="2"/>
  <c r="AD13" i="2"/>
  <c r="AE13" i="2"/>
  <c r="AF13" i="2"/>
  <c r="AI13" i="2"/>
  <c r="AJ13" i="2"/>
  <c r="AK13" i="2"/>
  <c r="AL13" i="2"/>
  <c r="AO13" i="2"/>
  <c r="AP13" i="2"/>
  <c r="AQ13" i="2"/>
  <c r="AR13" i="2"/>
  <c r="AU13" i="2"/>
  <c r="AW13" i="2"/>
  <c r="AX13" i="2"/>
  <c r="BA13" i="2"/>
  <c r="BD13" i="2"/>
  <c r="BG13" i="2"/>
  <c r="BJ13" i="2"/>
  <c r="BM13" i="2"/>
  <c r="BP13" i="2"/>
  <c r="BS13" i="2"/>
  <c r="BV13" i="2"/>
  <c r="BY13" i="2"/>
  <c r="CB13" i="2"/>
  <c r="CE13" i="2"/>
  <c r="CH13" i="2"/>
  <c r="CK13" i="2"/>
  <c r="CN13" i="2"/>
  <c r="CQ13" i="2"/>
  <c r="CT13" i="2"/>
  <c r="CW13" i="2"/>
  <c r="CZ13" i="2"/>
  <c r="DC13" i="2"/>
  <c r="DF13" i="2"/>
  <c r="DI13" i="2"/>
  <c r="DL13" i="2"/>
  <c r="DO13" i="2"/>
  <c r="DR13" i="2"/>
  <c r="DS13" i="2"/>
  <c r="DT13" i="2"/>
  <c r="DU13" i="2"/>
  <c r="DV13" i="2"/>
  <c r="DX13" i="2"/>
  <c r="DY13" i="2"/>
  <c r="DZ13" i="2"/>
  <c r="EA13" i="2"/>
  <c r="EC13" i="2"/>
  <c r="ED13" i="2"/>
  <c r="A14" i="2"/>
  <c r="B14" i="2"/>
  <c r="E14" i="2"/>
  <c r="H14" i="2"/>
  <c r="K14" i="2"/>
  <c r="N14" i="2"/>
  <c r="Q14" i="2"/>
  <c r="T14" i="2"/>
  <c r="W14" i="2"/>
  <c r="X14" i="2"/>
  <c r="Y14" i="2"/>
  <c r="Z14" i="2"/>
  <c r="AC14" i="2"/>
  <c r="AD14" i="2"/>
  <c r="AE14" i="2"/>
  <c r="AF14" i="2"/>
  <c r="AI14" i="2"/>
  <c r="AJ14" i="2"/>
  <c r="AK14" i="2"/>
  <c r="AL14" i="2"/>
  <c r="AO14" i="2"/>
  <c r="AP14" i="2"/>
  <c r="AQ14" i="2"/>
  <c r="AR14" i="2"/>
  <c r="AU14" i="2"/>
  <c r="AX14" i="2"/>
  <c r="BA14" i="2"/>
  <c r="BD14" i="2"/>
  <c r="BG14" i="2"/>
  <c r="BJ14" i="2"/>
  <c r="BM14" i="2"/>
  <c r="BP14" i="2"/>
  <c r="BS14" i="2"/>
  <c r="BV14" i="2"/>
  <c r="BY14" i="2"/>
  <c r="CB14" i="2"/>
  <c r="CE14" i="2"/>
  <c r="CH14" i="2"/>
  <c r="CK14" i="2"/>
  <c r="CN14" i="2"/>
  <c r="CQ14" i="2"/>
  <c r="CT14" i="2"/>
  <c r="CW14" i="2"/>
  <c r="CZ14" i="2"/>
  <c r="DC14" i="2"/>
  <c r="DF14" i="2"/>
  <c r="DI14" i="2"/>
  <c r="DL14" i="2"/>
  <c r="DO14" i="2"/>
  <c r="DR14" i="2"/>
  <c r="DS14" i="2"/>
  <c r="DT14" i="2"/>
  <c r="DU14" i="2"/>
  <c r="DV14" i="2"/>
  <c r="DX14" i="2"/>
  <c r="DY14" i="2"/>
  <c r="DZ14" i="2"/>
  <c r="EA14" i="2"/>
  <c r="EC14" i="2"/>
  <c r="ED14" i="2"/>
  <c r="A15" i="2"/>
  <c r="B15" i="2"/>
  <c r="E15" i="2"/>
  <c r="H15" i="2"/>
  <c r="K15" i="2"/>
  <c r="N15" i="2"/>
  <c r="Q15" i="2"/>
  <c r="T15" i="2"/>
  <c r="W15" i="2"/>
  <c r="X15" i="2"/>
  <c r="Y15" i="2"/>
  <c r="Z15" i="2"/>
  <c r="AB15" i="2"/>
  <c r="AC15" i="2"/>
  <c r="AD15" i="2"/>
  <c r="AE15" i="2"/>
  <c r="AF15" i="2"/>
  <c r="AI15" i="2"/>
  <c r="AJ15" i="2"/>
  <c r="AL15" i="2"/>
  <c r="AO15" i="2"/>
  <c r="AR15" i="2"/>
  <c r="AU15" i="2"/>
  <c r="AW15" i="2"/>
  <c r="AX15" i="2"/>
  <c r="BA15" i="2"/>
  <c r="BD15" i="2"/>
  <c r="BG15" i="2"/>
  <c r="BJ15" i="2"/>
  <c r="BM15" i="2"/>
  <c r="BP15" i="2"/>
  <c r="BS15" i="2"/>
  <c r="BV15" i="2"/>
  <c r="BY15" i="2"/>
  <c r="CB15" i="2"/>
  <c r="CE15" i="2"/>
  <c r="CH15" i="2"/>
  <c r="CK15" i="2"/>
  <c r="CN15" i="2"/>
  <c r="CQ15" i="2"/>
  <c r="CT15" i="2"/>
  <c r="CW15" i="2"/>
  <c r="CZ15" i="2"/>
  <c r="DC15" i="2"/>
  <c r="DF15" i="2"/>
  <c r="DI15" i="2"/>
  <c r="DL15" i="2"/>
  <c r="DO15" i="2"/>
  <c r="DR15" i="2"/>
  <c r="DS15" i="2"/>
  <c r="DT15" i="2"/>
  <c r="DU15" i="2"/>
  <c r="DV15" i="2"/>
  <c r="DX15" i="2"/>
  <c r="DY15" i="2"/>
  <c r="DZ15" i="2"/>
  <c r="EA15" i="2"/>
  <c r="EC15" i="2"/>
  <c r="ED15" i="2"/>
  <c r="A16" i="2"/>
  <c r="B16" i="2"/>
  <c r="E16" i="2"/>
  <c r="H16" i="2"/>
  <c r="K16" i="2"/>
  <c r="N16" i="2"/>
  <c r="Q16" i="2"/>
  <c r="T16" i="2"/>
  <c r="W16" i="2"/>
  <c r="X16" i="2"/>
  <c r="Y16" i="2"/>
  <c r="Z16" i="2"/>
  <c r="AB16" i="2"/>
  <c r="AC16" i="2"/>
  <c r="AD16" i="2"/>
  <c r="AE16" i="2"/>
  <c r="AF16" i="2"/>
  <c r="AI16" i="2"/>
  <c r="AJ16" i="2"/>
  <c r="AK16" i="2"/>
  <c r="AL16" i="2"/>
  <c r="AO16" i="2"/>
  <c r="AP16" i="2"/>
  <c r="AQ16" i="2"/>
  <c r="AR16" i="2"/>
  <c r="AU16" i="2"/>
  <c r="AW16" i="2"/>
  <c r="AX16" i="2"/>
  <c r="BA16" i="2"/>
  <c r="BD16" i="2"/>
  <c r="BG16" i="2"/>
  <c r="BJ16" i="2"/>
  <c r="BM16" i="2"/>
  <c r="BP16" i="2"/>
  <c r="BS16" i="2"/>
  <c r="BV16" i="2"/>
  <c r="BY16" i="2"/>
  <c r="CB16" i="2"/>
  <c r="CE16" i="2"/>
  <c r="CH16" i="2"/>
  <c r="CK16" i="2"/>
  <c r="CN16" i="2"/>
  <c r="CQ16" i="2"/>
  <c r="CT16" i="2"/>
  <c r="CW16" i="2"/>
  <c r="CZ16" i="2"/>
  <c r="DC16" i="2"/>
  <c r="DF16" i="2"/>
  <c r="DI16" i="2"/>
  <c r="DL16" i="2"/>
  <c r="DO16" i="2"/>
  <c r="DR16" i="2"/>
  <c r="DS16" i="2"/>
  <c r="DT16" i="2"/>
  <c r="DU16" i="2"/>
  <c r="DV16" i="2"/>
  <c r="DX16" i="2"/>
  <c r="DY16" i="2"/>
  <c r="DZ16" i="2"/>
  <c r="EA16" i="2"/>
  <c r="EC16" i="2"/>
  <c r="ED16" i="2"/>
  <c r="A17" i="2"/>
  <c r="B17" i="2"/>
  <c r="E17" i="2"/>
  <c r="H17" i="2"/>
  <c r="K17" i="2"/>
  <c r="N17" i="2"/>
  <c r="Q17" i="2"/>
  <c r="T17" i="2"/>
  <c r="W17" i="2"/>
  <c r="X17" i="2"/>
  <c r="Y17" i="2"/>
  <c r="Z17" i="2"/>
  <c r="AB17" i="2"/>
  <c r="AC17" i="2"/>
  <c r="AD17" i="2"/>
  <c r="AE17" i="2"/>
  <c r="AF17" i="2"/>
  <c r="AI17" i="2"/>
  <c r="AJ17" i="2"/>
  <c r="AL17" i="2"/>
  <c r="AO17" i="2"/>
  <c r="AP17" i="2"/>
  <c r="AR17" i="2"/>
  <c r="AU17" i="2"/>
  <c r="AW17" i="2"/>
  <c r="AX17" i="2"/>
  <c r="BA17" i="2"/>
  <c r="BD17" i="2"/>
  <c r="BG17" i="2"/>
  <c r="BJ17" i="2"/>
  <c r="BM17" i="2"/>
  <c r="BP17" i="2"/>
  <c r="BS17" i="2"/>
  <c r="BV17" i="2"/>
  <c r="BY17" i="2"/>
  <c r="CB17" i="2"/>
  <c r="CE17" i="2"/>
  <c r="CH17" i="2"/>
  <c r="CK17" i="2"/>
  <c r="CN17" i="2"/>
  <c r="CQ17" i="2"/>
  <c r="CT17" i="2"/>
  <c r="CW17" i="2"/>
  <c r="CZ17" i="2"/>
  <c r="DC17" i="2"/>
  <c r="DF17" i="2"/>
  <c r="DI17" i="2"/>
  <c r="DL17" i="2"/>
  <c r="DO17" i="2"/>
  <c r="DR17" i="2"/>
  <c r="DS17" i="2"/>
  <c r="DT17" i="2"/>
  <c r="DU17" i="2"/>
  <c r="DV17" i="2"/>
  <c r="DX17" i="2"/>
  <c r="DY17" i="2"/>
  <c r="DZ17" i="2"/>
  <c r="EA17" i="2"/>
  <c r="EC17" i="2"/>
  <c r="ED17" i="2"/>
  <c r="A18" i="2"/>
  <c r="B18" i="2"/>
  <c r="E18" i="2"/>
  <c r="H18" i="2"/>
  <c r="K18" i="2"/>
  <c r="N18" i="2"/>
  <c r="Q18" i="2"/>
  <c r="T18" i="2"/>
  <c r="W18" i="2"/>
  <c r="X18" i="2"/>
  <c r="Y18" i="2"/>
  <c r="Z18" i="2"/>
  <c r="AC18" i="2"/>
  <c r="AD18" i="2"/>
  <c r="AE18" i="2"/>
  <c r="AF18" i="2"/>
  <c r="AI18" i="2"/>
  <c r="AJ18" i="2"/>
  <c r="AK18" i="2"/>
  <c r="AL18" i="2"/>
  <c r="AO18" i="2"/>
  <c r="AP18" i="2"/>
  <c r="AQ18" i="2"/>
  <c r="AR18" i="2"/>
  <c r="AU18" i="2"/>
  <c r="AX18" i="2"/>
  <c r="BA18" i="2"/>
  <c r="BD18" i="2"/>
  <c r="BG18" i="2"/>
  <c r="BJ18" i="2"/>
  <c r="BM18" i="2"/>
  <c r="BP18" i="2"/>
  <c r="BS18" i="2"/>
  <c r="BV18" i="2"/>
  <c r="BY18" i="2"/>
  <c r="CB18" i="2"/>
  <c r="CE18" i="2"/>
  <c r="CH18" i="2"/>
  <c r="CK18" i="2"/>
  <c r="CN18" i="2"/>
  <c r="CQ18" i="2"/>
  <c r="CT18" i="2"/>
  <c r="CW18" i="2"/>
  <c r="CZ18" i="2"/>
  <c r="DC18" i="2"/>
  <c r="DF18" i="2"/>
  <c r="DI18" i="2"/>
  <c r="DL18" i="2"/>
  <c r="DO18" i="2"/>
  <c r="DR18" i="2"/>
  <c r="DS18" i="2"/>
  <c r="DT18" i="2"/>
  <c r="DU18" i="2"/>
  <c r="DV18" i="2"/>
  <c r="DX18" i="2"/>
  <c r="DY18" i="2"/>
  <c r="DZ18" i="2"/>
  <c r="EA18" i="2"/>
  <c r="EC18" i="2"/>
  <c r="ED18" i="2"/>
  <c r="A19" i="2"/>
  <c r="B19" i="2"/>
  <c r="E19" i="2"/>
  <c r="H19" i="2"/>
  <c r="K19" i="2"/>
  <c r="N19" i="2"/>
  <c r="Q19" i="2"/>
  <c r="T19" i="2"/>
  <c r="W19" i="2"/>
  <c r="X19" i="2"/>
  <c r="Y19" i="2"/>
  <c r="Z19" i="2"/>
  <c r="AC19" i="2"/>
  <c r="AD19" i="2"/>
  <c r="AE19" i="2"/>
  <c r="AF19" i="2"/>
  <c r="AI19" i="2"/>
  <c r="AJ19" i="2"/>
  <c r="AK19" i="2"/>
  <c r="AL19" i="2"/>
  <c r="AO19" i="2"/>
  <c r="AP19" i="2"/>
  <c r="AQ19" i="2"/>
  <c r="AR19" i="2"/>
  <c r="AU19" i="2"/>
  <c r="AW19" i="2"/>
  <c r="AX19" i="2"/>
  <c r="BA19" i="2"/>
  <c r="BD19" i="2"/>
  <c r="BG19" i="2"/>
  <c r="BJ19" i="2"/>
  <c r="BM19" i="2"/>
  <c r="BP19" i="2"/>
  <c r="BS19" i="2"/>
  <c r="BV19" i="2"/>
  <c r="BY19" i="2"/>
  <c r="CB19" i="2"/>
  <c r="CE19" i="2"/>
  <c r="CH19" i="2"/>
  <c r="CK19" i="2"/>
  <c r="CN19" i="2"/>
  <c r="CQ19" i="2"/>
  <c r="CT19" i="2"/>
  <c r="CW19" i="2"/>
  <c r="CZ19" i="2"/>
  <c r="DC19" i="2"/>
  <c r="DF19" i="2"/>
  <c r="DI19" i="2"/>
  <c r="DL19" i="2"/>
  <c r="DO19" i="2"/>
  <c r="DR19" i="2"/>
  <c r="DS19" i="2"/>
  <c r="DT19" i="2"/>
  <c r="DU19" i="2"/>
  <c r="DV19" i="2"/>
  <c r="DX19" i="2"/>
  <c r="DY19" i="2"/>
  <c r="DZ19" i="2"/>
  <c r="EA19" i="2"/>
  <c r="EC19" i="2"/>
  <c r="ED19" i="2"/>
  <c r="A20" i="2"/>
  <c r="B20" i="2"/>
  <c r="E20" i="2"/>
  <c r="H20" i="2"/>
  <c r="K20" i="2"/>
  <c r="N20" i="2"/>
  <c r="Q20" i="2"/>
  <c r="T20" i="2"/>
  <c r="W20" i="2"/>
  <c r="X20" i="2"/>
  <c r="Y20" i="2"/>
  <c r="Z20" i="2"/>
  <c r="AC20" i="2"/>
  <c r="AD20" i="2"/>
  <c r="AE20" i="2"/>
  <c r="AF20" i="2"/>
  <c r="AI20" i="2"/>
  <c r="AJ20" i="2"/>
  <c r="AK20" i="2"/>
  <c r="AL20" i="2"/>
  <c r="AO20" i="2"/>
  <c r="AP20" i="2"/>
  <c r="AQ20" i="2"/>
  <c r="AR20" i="2"/>
  <c r="AU20" i="2"/>
  <c r="AW20" i="2"/>
  <c r="AX20" i="2"/>
  <c r="BA20" i="2"/>
  <c r="BD20" i="2"/>
  <c r="BG20" i="2"/>
  <c r="BJ20" i="2"/>
  <c r="BM20" i="2"/>
  <c r="BP20" i="2"/>
  <c r="BS20" i="2"/>
  <c r="BV20" i="2"/>
  <c r="BY20" i="2"/>
  <c r="CB20" i="2"/>
  <c r="CE20" i="2"/>
  <c r="CH20" i="2"/>
  <c r="CK20" i="2"/>
  <c r="CN20" i="2"/>
  <c r="CQ20" i="2"/>
  <c r="CT20" i="2"/>
  <c r="CW20" i="2"/>
  <c r="CZ20" i="2"/>
  <c r="DC20" i="2"/>
  <c r="DF20" i="2"/>
  <c r="DI20" i="2"/>
  <c r="DL20" i="2"/>
  <c r="DO20" i="2"/>
  <c r="DR20" i="2"/>
  <c r="DS20" i="2"/>
  <c r="DT20" i="2"/>
  <c r="DU20" i="2"/>
  <c r="DV20" i="2"/>
  <c r="DX20" i="2"/>
  <c r="DY20" i="2"/>
  <c r="DZ20" i="2"/>
  <c r="EA20" i="2"/>
  <c r="EC20" i="2"/>
  <c r="ED20" i="2"/>
  <c r="A21" i="2"/>
  <c r="B21" i="2"/>
  <c r="E21" i="2"/>
  <c r="H21" i="2"/>
  <c r="K21" i="2"/>
  <c r="N21" i="2"/>
  <c r="Q21" i="2"/>
  <c r="T21" i="2"/>
  <c r="W21" i="2"/>
  <c r="X21" i="2"/>
  <c r="Y21" i="2"/>
  <c r="Z21" i="2"/>
  <c r="AC21" i="2"/>
  <c r="AD21" i="2"/>
  <c r="AE21" i="2"/>
  <c r="AF21" i="2"/>
  <c r="AI21" i="2"/>
  <c r="AJ21" i="2"/>
  <c r="AK21" i="2"/>
  <c r="AL21" i="2"/>
  <c r="AO21" i="2"/>
  <c r="AP21" i="2"/>
  <c r="AQ21" i="2"/>
  <c r="AR21" i="2"/>
  <c r="AU21" i="2"/>
  <c r="AX21" i="2"/>
  <c r="BA21" i="2"/>
  <c r="BD21" i="2"/>
  <c r="BG21" i="2"/>
  <c r="BJ21" i="2"/>
  <c r="BM21" i="2"/>
  <c r="BP21" i="2"/>
  <c r="BS21" i="2"/>
  <c r="BV21" i="2"/>
  <c r="BY21" i="2"/>
  <c r="CB21" i="2"/>
  <c r="CE21" i="2"/>
  <c r="CH21" i="2"/>
  <c r="CK21" i="2"/>
  <c r="CN21" i="2"/>
  <c r="CQ21" i="2"/>
  <c r="CT21" i="2"/>
  <c r="CW21" i="2"/>
  <c r="CZ21" i="2"/>
  <c r="DC21" i="2"/>
  <c r="DF21" i="2"/>
  <c r="DI21" i="2"/>
  <c r="DL21" i="2"/>
  <c r="DO21" i="2"/>
  <c r="DR21" i="2"/>
  <c r="DS21" i="2"/>
  <c r="DT21" i="2"/>
  <c r="DU21" i="2"/>
  <c r="DV21" i="2"/>
  <c r="DX21" i="2"/>
  <c r="DY21" i="2"/>
  <c r="DZ21" i="2"/>
  <c r="EA21" i="2"/>
  <c r="EC21" i="2"/>
  <c r="ED21" i="2"/>
  <c r="A22" i="2"/>
  <c r="B22" i="2"/>
  <c r="E22" i="2"/>
  <c r="H22" i="2"/>
  <c r="K22" i="2"/>
  <c r="N22" i="2"/>
  <c r="Q22" i="2"/>
  <c r="T22" i="2"/>
  <c r="W22" i="2"/>
  <c r="X22" i="2"/>
  <c r="Y22" i="2"/>
  <c r="Z22" i="2"/>
  <c r="AC22" i="2"/>
  <c r="AD22" i="2"/>
  <c r="AE22" i="2"/>
  <c r="AF22" i="2"/>
  <c r="AI22" i="2"/>
  <c r="AJ22" i="2"/>
  <c r="AK22" i="2"/>
  <c r="AL22" i="2"/>
  <c r="AO22" i="2"/>
  <c r="AP22" i="2"/>
  <c r="AQ22" i="2"/>
  <c r="AR22" i="2"/>
  <c r="AU22" i="2"/>
  <c r="AX22" i="2"/>
  <c r="BA22" i="2"/>
  <c r="BD22" i="2"/>
  <c r="BG22" i="2"/>
  <c r="BJ22" i="2"/>
  <c r="BM22" i="2"/>
  <c r="BP22" i="2"/>
  <c r="BS22" i="2"/>
  <c r="BV22" i="2"/>
  <c r="BY22" i="2"/>
  <c r="CB22" i="2"/>
  <c r="CE22" i="2"/>
  <c r="CH22" i="2"/>
  <c r="CK22" i="2"/>
  <c r="CN22" i="2"/>
  <c r="CQ22" i="2"/>
  <c r="CT22" i="2"/>
  <c r="CW22" i="2"/>
  <c r="CZ22" i="2"/>
  <c r="DC22" i="2"/>
  <c r="DF22" i="2"/>
  <c r="DI22" i="2"/>
  <c r="DL22" i="2"/>
  <c r="DO22" i="2"/>
  <c r="DR22" i="2"/>
  <c r="DS22" i="2"/>
  <c r="DT22" i="2"/>
  <c r="DU22" i="2"/>
  <c r="DV22" i="2"/>
  <c r="DX22" i="2"/>
  <c r="DY22" i="2"/>
  <c r="DZ22" i="2"/>
  <c r="EA22" i="2"/>
  <c r="EC22" i="2"/>
  <c r="ED22" i="2"/>
  <c r="A23" i="2"/>
  <c r="B23" i="2"/>
  <c r="E23" i="2"/>
  <c r="H23" i="2"/>
  <c r="K23" i="2"/>
  <c r="N23" i="2"/>
  <c r="Q23" i="2"/>
  <c r="T23" i="2"/>
  <c r="W23" i="2"/>
  <c r="X23" i="2"/>
  <c r="Y23" i="2"/>
  <c r="Z23" i="2"/>
  <c r="AC23" i="2"/>
  <c r="AD23" i="2"/>
  <c r="AE23" i="2"/>
  <c r="AF23" i="2"/>
  <c r="AI23" i="2"/>
  <c r="AJ23" i="2"/>
  <c r="AK23" i="2"/>
  <c r="AL23" i="2"/>
  <c r="AO23" i="2"/>
  <c r="AP23" i="2"/>
  <c r="AQ23" i="2"/>
  <c r="AR23" i="2"/>
  <c r="AU23" i="2"/>
  <c r="AX23" i="2"/>
  <c r="BA23" i="2"/>
  <c r="BD23" i="2"/>
  <c r="BG23" i="2"/>
  <c r="BJ23" i="2"/>
  <c r="BM23" i="2"/>
  <c r="BP23" i="2"/>
  <c r="BS23" i="2"/>
  <c r="BV23" i="2"/>
  <c r="BY23" i="2"/>
  <c r="CB23" i="2"/>
  <c r="CE23" i="2"/>
  <c r="CH23" i="2"/>
  <c r="CK23" i="2"/>
  <c r="CN23" i="2"/>
  <c r="CQ23" i="2"/>
  <c r="CT23" i="2"/>
  <c r="CW23" i="2"/>
  <c r="CZ23" i="2"/>
  <c r="DC23" i="2"/>
  <c r="DF23" i="2"/>
  <c r="DI23" i="2"/>
  <c r="DL23" i="2"/>
  <c r="DO23" i="2"/>
  <c r="DR23" i="2"/>
  <c r="DS23" i="2"/>
  <c r="DT23" i="2"/>
  <c r="DU23" i="2"/>
  <c r="DV23" i="2"/>
  <c r="DX23" i="2"/>
  <c r="DY23" i="2"/>
  <c r="DZ23" i="2"/>
  <c r="EA23" i="2"/>
  <c r="EC23" i="2"/>
  <c r="ED23" i="2"/>
  <c r="A24" i="2"/>
  <c r="B24" i="2"/>
  <c r="E24" i="2"/>
  <c r="H24" i="2"/>
  <c r="K24" i="2"/>
  <c r="N24" i="2"/>
  <c r="Q24" i="2"/>
  <c r="T24" i="2"/>
  <c r="W24" i="2"/>
  <c r="X24" i="2"/>
  <c r="Y24" i="2"/>
  <c r="Z24" i="2"/>
  <c r="AC24" i="2"/>
  <c r="AD24" i="2"/>
  <c r="AE24" i="2"/>
  <c r="AF24" i="2"/>
  <c r="AI24" i="2"/>
  <c r="AJ24" i="2"/>
  <c r="AK24" i="2"/>
  <c r="AL24" i="2"/>
  <c r="AO24" i="2"/>
  <c r="AP24" i="2"/>
  <c r="AQ24" i="2"/>
  <c r="AR24" i="2"/>
  <c r="AU24" i="2"/>
  <c r="AW24" i="2"/>
  <c r="AX24" i="2"/>
  <c r="BA24" i="2"/>
  <c r="BD24" i="2"/>
  <c r="BG24" i="2"/>
  <c r="BJ24" i="2"/>
  <c r="BM24" i="2"/>
  <c r="BP24" i="2"/>
  <c r="BS24" i="2"/>
  <c r="BV24" i="2"/>
  <c r="BY24" i="2"/>
  <c r="CB24" i="2"/>
  <c r="CE24" i="2"/>
  <c r="CH24" i="2"/>
  <c r="CK24" i="2"/>
  <c r="CN24" i="2"/>
  <c r="CQ24" i="2"/>
  <c r="CT24" i="2"/>
  <c r="CW24" i="2"/>
  <c r="CZ24" i="2"/>
  <c r="DC24" i="2"/>
  <c r="DF24" i="2"/>
  <c r="DI24" i="2"/>
  <c r="DL24" i="2"/>
  <c r="DO24" i="2"/>
  <c r="DR24" i="2"/>
  <c r="DS24" i="2"/>
  <c r="DT24" i="2"/>
  <c r="DU24" i="2"/>
  <c r="DV24" i="2"/>
  <c r="DX24" i="2"/>
  <c r="DY24" i="2"/>
  <c r="DZ24" i="2"/>
  <c r="EA24" i="2"/>
  <c r="EC24" i="2"/>
  <c r="ED24" i="2"/>
  <c r="A25" i="2"/>
  <c r="B25" i="2"/>
  <c r="E25" i="2"/>
  <c r="H25" i="2"/>
  <c r="K25" i="2"/>
  <c r="N25" i="2"/>
  <c r="Q25" i="2"/>
  <c r="T25" i="2"/>
  <c r="W25" i="2"/>
  <c r="X25" i="2"/>
  <c r="Y25" i="2"/>
  <c r="Z25" i="2"/>
  <c r="AC25" i="2"/>
  <c r="AD25" i="2"/>
  <c r="AE25" i="2"/>
  <c r="AF25" i="2"/>
  <c r="AI25" i="2"/>
  <c r="AJ25" i="2"/>
  <c r="AK25" i="2"/>
  <c r="AL25" i="2"/>
  <c r="AO25" i="2"/>
  <c r="AP25" i="2"/>
  <c r="AQ25" i="2"/>
  <c r="AR25" i="2"/>
  <c r="AU25" i="2"/>
  <c r="AX25" i="2"/>
  <c r="BA25" i="2"/>
  <c r="BD25" i="2"/>
  <c r="BG25" i="2"/>
  <c r="BJ25" i="2"/>
  <c r="BM25" i="2"/>
  <c r="BP25" i="2"/>
  <c r="BS25" i="2"/>
  <c r="BV25" i="2"/>
  <c r="BY25" i="2"/>
  <c r="CB25" i="2"/>
  <c r="CE25" i="2"/>
  <c r="CH25" i="2"/>
  <c r="CK25" i="2"/>
  <c r="CN25" i="2"/>
  <c r="CQ25" i="2"/>
  <c r="CT25" i="2"/>
  <c r="CW25" i="2"/>
  <c r="CZ25" i="2"/>
  <c r="DC25" i="2"/>
  <c r="DF25" i="2"/>
  <c r="DI25" i="2"/>
  <c r="DL25" i="2"/>
  <c r="DO25" i="2"/>
  <c r="DR25" i="2"/>
  <c r="DS25" i="2"/>
  <c r="DT25" i="2"/>
  <c r="DU25" i="2"/>
  <c r="DV25" i="2"/>
  <c r="DX25" i="2"/>
  <c r="DY25" i="2"/>
  <c r="DZ25" i="2"/>
  <c r="EA25" i="2"/>
  <c r="EC25" i="2"/>
  <c r="ED25" i="2"/>
  <c r="A26" i="2"/>
  <c r="B26" i="2"/>
  <c r="E26" i="2"/>
  <c r="H26" i="2"/>
  <c r="K26" i="2"/>
  <c r="N26" i="2"/>
  <c r="Q26" i="2"/>
  <c r="T26" i="2"/>
  <c r="W26" i="2"/>
  <c r="X26" i="2"/>
  <c r="Y26" i="2"/>
  <c r="Z26" i="2"/>
  <c r="AC26" i="2"/>
  <c r="AD26" i="2"/>
  <c r="AE26" i="2"/>
  <c r="AF26" i="2"/>
  <c r="AI26" i="2"/>
  <c r="AJ26" i="2"/>
  <c r="AK26" i="2"/>
  <c r="AL26" i="2"/>
  <c r="AO26" i="2"/>
  <c r="AP26" i="2"/>
  <c r="AQ26" i="2"/>
  <c r="AR26" i="2"/>
  <c r="AU26" i="2"/>
  <c r="AX26" i="2"/>
  <c r="BA26" i="2"/>
  <c r="BD26" i="2"/>
  <c r="BG26" i="2"/>
  <c r="BJ26" i="2"/>
  <c r="BM26" i="2"/>
  <c r="BP26" i="2"/>
  <c r="BS26" i="2"/>
  <c r="BV26" i="2"/>
  <c r="BY26" i="2"/>
  <c r="CB26" i="2"/>
  <c r="CE26" i="2"/>
  <c r="CH26" i="2"/>
  <c r="CK26" i="2"/>
  <c r="CN26" i="2"/>
  <c r="CQ26" i="2"/>
  <c r="CT26" i="2"/>
  <c r="CW26" i="2"/>
  <c r="CZ26" i="2"/>
  <c r="DC26" i="2"/>
  <c r="DF26" i="2"/>
  <c r="DI26" i="2"/>
  <c r="DL26" i="2"/>
  <c r="DO26" i="2"/>
  <c r="DR26" i="2"/>
  <c r="DS26" i="2"/>
  <c r="DT26" i="2"/>
  <c r="DU26" i="2"/>
  <c r="DV26" i="2"/>
  <c r="DX26" i="2"/>
  <c r="DY26" i="2"/>
  <c r="DZ26" i="2"/>
  <c r="EA26" i="2"/>
  <c r="EC26" i="2"/>
  <c r="ED26" i="2"/>
  <c r="A27" i="2"/>
  <c r="B27" i="2"/>
  <c r="E27" i="2"/>
  <c r="H27" i="2"/>
  <c r="K27" i="2"/>
  <c r="N27" i="2"/>
  <c r="Q27" i="2"/>
  <c r="T27" i="2"/>
  <c r="W27" i="2"/>
  <c r="X27" i="2"/>
  <c r="Y27" i="2"/>
  <c r="Z27" i="2"/>
  <c r="AC27" i="2"/>
  <c r="AD27" i="2"/>
  <c r="AE27" i="2"/>
  <c r="AF27" i="2"/>
  <c r="AI27" i="2"/>
  <c r="AJ27" i="2"/>
  <c r="AK27" i="2"/>
  <c r="AL27" i="2"/>
  <c r="AO27" i="2"/>
  <c r="AP27" i="2"/>
  <c r="AQ27" i="2"/>
  <c r="AR27" i="2"/>
  <c r="AU27" i="2"/>
  <c r="AW27" i="2"/>
  <c r="AX27" i="2"/>
  <c r="BA27" i="2"/>
  <c r="BD27" i="2"/>
  <c r="BG27" i="2"/>
  <c r="BJ27" i="2"/>
  <c r="BM27" i="2"/>
  <c r="BP27" i="2"/>
  <c r="BS27" i="2"/>
  <c r="BV27" i="2"/>
  <c r="BY27" i="2"/>
  <c r="CB27" i="2"/>
  <c r="CE27" i="2"/>
  <c r="CH27" i="2"/>
  <c r="CK27" i="2"/>
  <c r="CN27" i="2"/>
  <c r="CQ27" i="2"/>
  <c r="CT27" i="2"/>
  <c r="CW27" i="2"/>
  <c r="CZ27" i="2"/>
  <c r="DC27" i="2"/>
  <c r="DF27" i="2"/>
  <c r="DI27" i="2"/>
  <c r="DL27" i="2"/>
  <c r="DO27" i="2"/>
  <c r="DR27" i="2"/>
  <c r="DS27" i="2"/>
  <c r="DT27" i="2"/>
  <c r="DU27" i="2"/>
  <c r="DV27" i="2"/>
  <c r="DX27" i="2"/>
  <c r="DY27" i="2"/>
  <c r="DZ27" i="2"/>
  <c r="EA27" i="2"/>
  <c r="EC27" i="2"/>
  <c r="ED27" i="2"/>
  <c r="A28" i="2"/>
  <c r="B28" i="2"/>
  <c r="E28" i="2"/>
  <c r="H28" i="2"/>
  <c r="K28" i="2"/>
  <c r="N28" i="2"/>
  <c r="Q28" i="2"/>
  <c r="T28" i="2"/>
  <c r="W28" i="2"/>
  <c r="X28" i="2"/>
  <c r="Y28" i="2"/>
  <c r="Z28" i="2"/>
  <c r="AC28" i="2"/>
  <c r="AD28" i="2"/>
  <c r="AE28" i="2"/>
  <c r="AF28" i="2"/>
  <c r="AI28" i="2"/>
  <c r="AJ28" i="2"/>
  <c r="AK28" i="2"/>
  <c r="AL28" i="2"/>
  <c r="AO28" i="2"/>
  <c r="AP28" i="2"/>
  <c r="AQ28" i="2"/>
  <c r="AR28" i="2"/>
  <c r="AU28" i="2"/>
  <c r="AW28" i="2"/>
  <c r="AX28" i="2"/>
  <c r="BA28" i="2"/>
  <c r="BD28" i="2"/>
  <c r="BG28" i="2"/>
  <c r="BJ28" i="2"/>
  <c r="BM28" i="2"/>
  <c r="BP28" i="2"/>
  <c r="BS28" i="2"/>
  <c r="BV28" i="2"/>
  <c r="BY28" i="2"/>
  <c r="CB28" i="2"/>
  <c r="CE28" i="2"/>
  <c r="CH28" i="2"/>
  <c r="CK28" i="2"/>
  <c r="CN28" i="2"/>
  <c r="CQ28" i="2"/>
  <c r="CT28" i="2"/>
  <c r="CW28" i="2"/>
  <c r="CZ28" i="2"/>
  <c r="DC28" i="2"/>
  <c r="DF28" i="2"/>
  <c r="DI28" i="2"/>
  <c r="DL28" i="2"/>
  <c r="DO28" i="2"/>
  <c r="DR28" i="2"/>
  <c r="DS28" i="2"/>
  <c r="DT28" i="2"/>
  <c r="DU28" i="2"/>
  <c r="DV28" i="2"/>
  <c r="DX28" i="2"/>
  <c r="DY28" i="2"/>
  <c r="DZ28" i="2"/>
  <c r="EA28" i="2"/>
  <c r="EC28" i="2"/>
  <c r="ED28" i="2"/>
  <c r="A29" i="2"/>
  <c r="B29" i="2"/>
  <c r="E29" i="2"/>
  <c r="H29" i="2"/>
  <c r="K29" i="2"/>
  <c r="N29" i="2"/>
  <c r="Q29" i="2"/>
  <c r="T29" i="2"/>
  <c r="W29" i="2"/>
  <c r="X29" i="2"/>
  <c r="Y29" i="2"/>
  <c r="Z29" i="2"/>
  <c r="AC29" i="2"/>
  <c r="AD29" i="2"/>
  <c r="AE29" i="2"/>
  <c r="AF29" i="2"/>
  <c r="AI29" i="2"/>
  <c r="AJ29" i="2"/>
  <c r="AK29" i="2"/>
  <c r="AL29" i="2"/>
  <c r="AO29" i="2"/>
  <c r="AP29" i="2"/>
  <c r="AQ29" i="2"/>
  <c r="AR29" i="2"/>
  <c r="AU29" i="2"/>
  <c r="AW29" i="2"/>
  <c r="AX29" i="2"/>
  <c r="BA29" i="2"/>
  <c r="BD29" i="2"/>
  <c r="BG29" i="2"/>
  <c r="BJ29" i="2"/>
  <c r="BM29" i="2"/>
  <c r="BP29" i="2"/>
  <c r="BS29" i="2"/>
  <c r="BV29" i="2"/>
  <c r="BY29" i="2"/>
  <c r="CB29" i="2"/>
  <c r="CE29" i="2"/>
  <c r="CH29" i="2"/>
  <c r="CK29" i="2"/>
  <c r="CN29" i="2"/>
  <c r="CQ29" i="2"/>
  <c r="CT29" i="2"/>
  <c r="CW29" i="2"/>
  <c r="CZ29" i="2"/>
  <c r="DC29" i="2"/>
  <c r="DF29" i="2"/>
  <c r="DI29" i="2"/>
  <c r="DL29" i="2"/>
  <c r="DO29" i="2"/>
  <c r="DR29" i="2"/>
  <c r="DS29" i="2"/>
  <c r="DT29" i="2"/>
  <c r="DU29" i="2"/>
  <c r="DV29" i="2"/>
  <c r="DX29" i="2"/>
  <c r="DY29" i="2"/>
  <c r="DZ29" i="2"/>
  <c r="EA29" i="2"/>
  <c r="EC29" i="2"/>
  <c r="ED29" i="2"/>
  <c r="A30" i="2"/>
  <c r="B30" i="2"/>
  <c r="E30" i="2"/>
  <c r="H30" i="2"/>
  <c r="K30" i="2"/>
  <c r="N30" i="2"/>
  <c r="Q30" i="2"/>
  <c r="T30" i="2"/>
  <c r="W30" i="2"/>
  <c r="X30" i="2"/>
  <c r="Y30" i="2"/>
  <c r="Z30" i="2"/>
  <c r="AC30" i="2"/>
  <c r="AD30" i="2"/>
  <c r="AE30" i="2"/>
  <c r="AF30" i="2"/>
  <c r="AI30" i="2"/>
  <c r="AJ30" i="2"/>
  <c r="AK30" i="2"/>
  <c r="AL30" i="2"/>
  <c r="AO30" i="2"/>
  <c r="AP30" i="2"/>
  <c r="AQ30" i="2"/>
  <c r="AR30" i="2"/>
  <c r="AU30" i="2"/>
  <c r="AW30" i="2"/>
  <c r="AX30" i="2"/>
  <c r="BA30" i="2"/>
  <c r="BD30" i="2"/>
  <c r="BG30" i="2"/>
  <c r="BJ30" i="2"/>
  <c r="BM30" i="2"/>
  <c r="BP30" i="2"/>
  <c r="BS30" i="2"/>
  <c r="BV30" i="2"/>
  <c r="BY30" i="2"/>
  <c r="CB30" i="2"/>
  <c r="CE30" i="2"/>
  <c r="CH30" i="2"/>
  <c r="CK30" i="2"/>
  <c r="CN30" i="2"/>
  <c r="CQ30" i="2"/>
  <c r="CT30" i="2"/>
  <c r="CW30" i="2"/>
  <c r="CZ30" i="2"/>
  <c r="DC30" i="2"/>
  <c r="DF30" i="2"/>
  <c r="DI30" i="2"/>
  <c r="DL30" i="2"/>
  <c r="DO30" i="2"/>
  <c r="DR30" i="2"/>
  <c r="DS30" i="2"/>
  <c r="DT30" i="2"/>
  <c r="DU30" i="2"/>
  <c r="DV30" i="2"/>
  <c r="DX30" i="2"/>
  <c r="DY30" i="2"/>
  <c r="DZ30" i="2"/>
  <c r="EA30" i="2"/>
  <c r="EC30" i="2"/>
  <c r="ED30" i="2"/>
  <c r="A31" i="2"/>
  <c r="B31" i="2"/>
  <c r="E31" i="2"/>
  <c r="H31" i="2"/>
  <c r="K31" i="2"/>
  <c r="N31" i="2"/>
  <c r="Q31" i="2"/>
  <c r="T31" i="2"/>
  <c r="W31" i="2"/>
  <c r="X31" i="2"/>
  <c r="Y31" i="2"/>
  <c r="Z31" i="2"/>
  <c r="AC31" i="2"/>
  <c r="AD31" i="2"/>
  <c r="AE31" i="2"/>
  <c r="AF31" i="2"/>
  <c r="AI31" i="2"/>
  <c r="AJ31" i="2"/>
  <c r="AK31" i="2"/>
  <c r="AL31" i="2"/>
  <c r="AO31" i="2"/>
  <c r="AP31" i="2"/>
  <c r="AQ31" i="2"/>
  <c r="AR31" i="2"/>
  <c r="AU31" i="2"/>
  <c r="AW31" i="2"/>
  <c r="AX31" i="2"/>
  <c r="BA31" i="2"/>
  <c r="BD31" i="2"/>
  <c r="BG31" i="2"/>
  <c r="BJ31" i="2"/>
  <c r="BM31" i="2"/>
  <c r="BP31" i="2"/>
  <c r="BS31" i="2"/>
  <c r="BV31" i="2"/>
  <c r="BY31" i="2"/>
  <c r="CB31" i="2"/>
  <c r="CE31" i="2"/>
  <c r="CH31" i="2"/>
  <c r="CK31" i="2"/>
  <c r="CN31" i="2"/>
  <c r="CQ31" i="2"/>
  <c r="CT31" i="2"/>
  <c r="CW31" i="2"/>
  <c r="CZ31" i="2"/>
  <c r="DC31" i="2"/>
  <c r="DF31" i="2"/>
  <c r="DI31" i="2"/>
  <c r="DL31" i="2"/>
  <c r="DO31" i="2"/>
  <c r="DR31" i="2"/>
  <c r="DS31" i="2"/>
  <c r="DT31" i="2"/>
  <c r="DU31" i="2"/>
  <c r="DV31" i="2"/>
  <c r="DX31" i="2"/>
  <c r="DY31" i="2"/>
  <c r="DZ31" i="2"/>
  <c r="EA31" i="2"/>
  <c r="EC31" i="2"/>
  <c r="ED31" i="2"/>
  <c r="A32" i="2"/>
  <c r="B32" i="2"/>
  <c r="E32" i="2"/>
  <c r="H32" i="2"/>
  <c r="K32" i="2"/>
  <c r="N32" i="2"/>
  <c r="Q32" i="2"/>
  <c r="T32" i="2"/>
  <c r="W32" i="2"/>
  <c r="X32" i="2"/>
  <c r="Y32" i="2"/>
  <c r="Z32" i="2"/>
  <c r="AC32" i="2"/>
  <c r="AD32" i="2"/>
  <c r="AE32" i="2"/>
  <c r="AF32" i="2"/>
  <c r="AI32" i="2"/>
  <c r="AJ32" i="2"/>
  <c r="AK32" i="2"/>
  <c r="AL32" i="2"/>
  <c r="AO32" i="2"/>
  <c r="AP32" i="2"/>
  <c r="AQ32" i="2"/>
  <c r="AR32" i="2"/>
  <c r="AU32" i="2"/>
  <c r="AW32" i="2"/>
  <c r="AX32" i="2"/>
  <c r="BA32" i="2"/>
  <c r="BD32" i="2"/>
  <c r="BG32" i="2"/>
  <c r="BJ32" i="2"/>
  <c r="BM32" i="2"/>
  <c r="BP32" i="2"/>
  <c r="BS32" i="2"/>
  <c r="BV32" i="2"/>
  <c r="BY32" i="2"/>
  <c r="CB32" i="2"/>
  <c r="CE32" i="2"/>
  <c r="CH32" i="2"/>
  <c r="CK32" i="2"/>
  <c r="CN32" i="2"/>
  <c r="CQ32" i="2"/>
  <c r="CT32" i="2"/>
  <c r="CW32" i="2"/>
  <c r="CZ32" i="2"/>
  <c r="DC32" i="2"/>
  <c r="DF32" i="2"/>
  <c r="DI32" i="2"/>
  <c r="DL32" i="2"/>
  <c r="DO32" i="2"/>
  <c r="DR32" i="2"/>
  <c r="DS32" i="2"/>
  <c r="DT32" i="2"/>
  <c r="DU32" i="2"/>
  <c r="DV32" i="2"/>
  <c r="DX32" i="2"/>
  <c r="DY32" i="2"/>
  <c r="DZ32" i="2"/>
  <c r="EA32" i="2"/>
  <c r="EC32" i="2"/>
  <c r="ED32" i="2"/>
  <c r="A33" i="2"/>
  <c r="B33" i="2"/>
  <c r="E33" i="2"/>
  <c r="H33" i="2"/>
  <c r="K33" i="2"/>
  <c r="N33" i="2"/>
  <c r="Q33" i="2"/>
  <c r="T33" i="2"/>
  <c r="W33" i="2"/>
  <c r="X33" i="2"/>
  <c r="Y33" i="2"/>
  <c r="Z33" i="2"/>
  <c r="AC33" i="2"/>
  <c r="AD33" i="2"/>
  <c r="AE33" i="2"/>
  <c r="AF33" i="2"/>
  <c r="AI33" i="2"/>
  <c r="AJ33" i="2"/>
  <c r="AK33" i="2"/>
  <c r="AL33" i="2"/>
  <c r="AO33" i="2"/>
  <c r="AP33" i="2"/>
  <c r="AQ33" i="2"/>
  <c r="AR33" i="2"/>
  <c r="AU33" i="2"/>
  <c r="AW33" i="2"/>
  <c r="AX33" i="2"/>
  <c r="BA33" i="2"/>
  <c r="BD33" i="2"/>
  <c r="BG33" i="2"/>
  <c r="BJ33" i="2"/>
  <c r="BM33" i="2"/>
  <c r="BP33" i="2"/>
  <c r="BS33" i="2"/>
  <c r="BV33" i="2"/>
  <c r="BY33" i="2"/>
  <c r="CB33" i="2"/>
  <c r="CE33" i="2"/>
  <c r="CH33" i="2"/>
  <c r="CK33" i="2"/>
  <c r="CN33" i="2"/>
  <c r="CQ33" i="2"/>
  <c r="CT33" i="2"/>
  <c r="CW33" i="2"/>
  <c r="CZ33" i="2"/>
  <c r="DC33" i="2"/>
  <c r="DF33" i="2"/>
  <c r="DI33" i="2"/>
  <c r="DL33" i="2"/>
  <c r="DO33" i="2"/>
  <c r="DR33" i="2"/>
  <c r="DS33" i="2"/>
  <c r="DT33" i="2"/>
  <c r="DU33" i="2"/>
  <c r="DV33" i="2"/>
  <c r="DX33" i="2"/>
  <c r="DY33" i="2"/>
  <c r="DZ33" i="2"/>
  <c r="EA33" i="2"/>
  <c r="EC33" i="2"/>
  <c r="ED33" i="2"/>
  <c r="A34" i="2"/>
  <c r="B34" i="2"/>
  <c r="E34" i="2"/>
  <c r="H34" i="2"/>
  <c r="K34" i="2"/>
  <c r="N34" i="2"/>
  <c r="Q34" i="2"/>
  <c r="T34" i="2"/>
  <c r="W34" i="2"/>
  <c r="X34" i="2"/>
  <c r="Y34" i="2"/>
  <c r="Z34" i="2"/>
  <c r="AC34" i="2"/>
  <c r="AD34" i="2"/>
  <c r="AE34" i="2"/>
  <c r="AF34" i="2"/>
  <c r="AI34" i="2"/>
  <c r="AJ34" i="2"/>
  <c r="AK34" i="2"/>
  <c r="AL34" i="2"/>
  <c r="AO34" i="2"/>
  <c r="AP34" i="2"/>
  <c r="AR34" i="2"/>
  <c r="AU34" i="2"/>
  <c r="AW34" i="2"/>
  <c r="AX34" i="2"/>
  <c r="BA34" i="2"/>
  <c r="BD34" i="2"/>
  <c r="BG34" i="2"/>
  <c r="BJ34" i="2"/>
  <c r="BM34" i="2"/>
  <c r="BP34" i="2"/>
  <c r="BS34" i="2"/>
  <c r="BV34" i="2"/>
  <c r="BY34" i="2"/>
  <c r="CB34" i="2"/>
  <c r="CE34" i="2"/>
  <c r="CH34" i="2"/>
  <c r="CK34" i="2"/>
  <c r="CN34" i="2"/>
  <c r="CQ34" i="2"/>
  <c r="CT34" i="2"/>
  <c r="CW34" i="2"/>
  <c r="CZ34" i="2"/>
  <c r="DC34" i="2"/>
  <c r="DF34" i="2"/>
  <c r="DI34" i="2"/>
  <c r="DL34" i="2"/>
  <c r="DO34" i="2"/>
  <c r="DR34" i="2"/>
  <c r="DS34" i="2"/>
  <c r="DT34" i="2"/>
  <c r="DU34" i="2"/>
  <c r="DV34" i="2"/>
  <c r="DX34" i="2"/>
  <c r="DY34" i="2"/>
  <c r="DZ34" i="2"/>
  <c r="EA34" i="2"/>
  <c r="EC34" i="2"/>
  <c r="ED34" i="2"/>
  <c r="A35" i="2"/>
  <c r="B35" i="2"/>
  <c r="E35" i="2"/>
  <c r="H35" i="2"/>
  <c r="K35" i="2"/>
  <c r="N35" i="2"/>
  <c r="Q35" i="2"/>
  <c r="T35" i="2"/>
  <c r="W35" i="2"/>
  <c r="X35" i="2"/>
  <c r="Y35" i="2"/>
  <c r="Z35" i="2"/>
  <c r="AC35" i="2"/>
  <c r="AD35" i="2"/>
  <c r="AE35" i="2"/>
  <c r="AF35" i="2"/>
  <c r="AI35" i="2"/>
  <c r="AJ35" i="2"/>
  <c r="AK35" i="2"/>
  <c r="AL35" i="2"/>
  <c r="AO35" i="2"/>
  <c r="AP35" i="2"/>
  <c r="AQ35" i="2"/>
  <c r="AR35" i="2"/>
  <c r="AU35" i="2"/>
  <c r="AX35" i="2"/>
  <c r="BA35" i="2"/>
  <c r="BD35" i="2"/>
  <c r="BG35" i="2"/>
  <c r="BJ35" i="2"/>
  <c r="BM35" i="2"/>
  <c r="BP35" i="2"/>
  <c r="BS35" i="2"/>
  <c r="BV35" i="2"/>
  <c r="BY35" i="2"/>
  <c r="CB35" i="2"/>
  <c r="CE35" i="2"/>
  <c r="CH35" i="2"/>
  <c r="CK35" i="2"/>
  <c r="CN35" i="2"/>
  <c r="CQ35" i="2"/>
  <c r="CT35" i="2"/>
  <c r="CW35" i="2"/>
  <c r="CZ35" i="2"/>
  <c r="DC35" i="2"/>
  <c r="DF35" i="2"/>
  <c r="DI35" i="2"/>
  <c r="DL35" i="2"/>
  <c r="DO35" i="2"/>
  <c r="DR35" i="2"/>
  <c r="DS35" i="2"/>
  <c r="DT35" i="2"/>
  <c r="DU35" i="2"/>
  <c r="DV35" i="2"/>
  <c r="DX35" i="2"/>
  <c r="DY35" i="2"/>
  <c r="DZ35" i="2"/>
  <c r="EA35" i="2"/>
  <c r="EC35" i="2"/>
  <c r="ED35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A2" i="2561"/>
  <c r="V2" i="2561"/>
  <c r="AB2" i="2561"/>
  <c r="V4" i="2561"/>
  <c r="A6" i="2561"/>
  <c r="C6" i="2561"/>
  <c r="D6" i="2561"/>
  <c r="E6" i="2561"/>
  <c r="F6" i="2561"/>
  <c r="G6" i="2561"/>
  <c r="J6" i="2561"/>
  <c r="K6" i="2561"/>
  <c r="L6" i="2561"/>
  <c r="M6" i="2561"/>
  <c r="N6" i="2561"/>
  <c r="Q6" i="2561"/>
  <c r="R6" i="2561"/>
  <c r="S6" i="2561"/>
  <c r="T6" i="2561"/>
  <c r="V6" i="2561"/>
  <c r="W6" i="2561"/>
  <c r="X6" i="2561"/>
  <c r="Y6" i="2561"/>
  <c r="Z6" i="2561"/>
  <c r="AC6" i="2561"/>
  <c r="AD6" i="2561"/>
  <c r="AE6" i="2561"/>
  <c r="AF6" i="2561"/>
  <c r="AJ6" i="2561"/>
  <c r="AK6" i="2561"/>
  <c r="AL6" i="2561"/>
  <c r="A7" i="2561"/>
  <c r="C7" i="2561"/>
  <c r="D7" i="2561"/>
  <c r="E7" i="2561"/>
  <c r="F7" i="2561"/>
  <c r="G7" i="2561"/>
  <c r="J7" i="2561"/>
  <c r="K7" i="2561"/>
  <c r="L7" i="2561"/>
  <c r="M7" i="2561"/>
  <c r="N7" i="2561"/>
  <c r="Q7" i="2561"/>
  <c r="R7" i="2561"/>
  <c r="S7" i="2561"/>
  <c r="T7" i="2561"/>
  <c r="V7" i="2561"/>
  <c r="W7" i="2561"/>
  <c r="X7" i="2561"/>
  <c r="Y7" i="2561"/>
  <c r="Z7" i="2561"/>
  <c r="AC7" i="2561"/>
  <c r="AD7" i="2561"/>
  <c r="AE7" i="2561"/>
  <c r="AF7" i="2561"/>
  <c r="AJ7" i="2561"/>
  <c r="AK7" i="2561"/>
  <c r="AL7" i="2561"/>
  <c r="A8" i="2561"/>
  <c r="C8" i="2561"/>
  <c r="D8" i="2561"/>
  <c r="E8" i="2561"/>
  <c r="F8" i="2561"/>
  <c r="G8" i="2561"/>
  <c r="J8" i="2561"/>
  <c r="K8" i="2561"/>
  <c r="L8" i="2561"/>
  <c r="M8" i="2561"/>
  <c r="N8" i="2561"/>
  <c r="Q8" i="2561"/>
  <c r="R8" i="2561"/>
  <c r="S8" i="2561"/>
  <c r="T8" i="2561"/>
  <c r="V8" i="2561"/>
  <c r="W8" i="2561"/>
  <c r="X8" i="2561"/>
  <c r="Y8" i="2561"/>
  <c r="Z8" i="2561"/>
  <c r="AC8" i="2561"/>
  <c r="AD8" i="2561"/>
  <c r="AE8" i="2561"/>
  <c r="AF8" i="2561"/>
  <c r="AJ8" i="2561"/>
  <c r="AK8" i="2561"/>
  <c r="AL8" i="2561"/>
  <c r="A9" i="2561"/>
  <c r="C9" i="2561"/>
  <c r="D9" i="2561"/>
  <c r="E9" i="2561"/>
  <c r="F9" i="2561"/>
  <c r="G9" i="2561"/>
  <c r="J9" i="2561"/>
  <c r="K9" i="2561"/>
  <c r="L9" i="2561"/>
  <c r="M9" i="2561"/>
  <c r="N9" i="2561"/>
  <c r="Q9" i="2561"/>
  <c r="R9" i="2561"/>
  <c r="S9" i="2561"/>
  <c r="T9" i="2561"/>
  <c r="V9" i="2561"/>
  <c r="W9" i="2561"/>
  <c r="X9" i="2561"/>
  <c r="Y9" i="2561"/>
  <c r="Z9" i="2561"/>
  <c r="AC9" i="2561"/>
  <c r="AD9" i="2561"/>
  <c r="AE9" i="2561"/>
  <c r="AF9" i="2561"/>
  <c r="AJ9" i="2561"/>
  <c r="AK9" i="2561"/>
  <c r="AL9" i="2561"/>
  <c r="A10" i="2561"/>
  <c r="C10" i="2561"/>
  <c r="D10" i="2561"/>
  <c r="E10" i="2561"/>
  <c r="F10" i="2561"/>
  <c r="G10" i="2561"/>
  <c r="J10" i="2561"/>
  <c r="K10" i="2561"/>
  <c r="L10" i="2561"/>
  <c r="M10" i="2561"/>
  <c r="N10" i="2561"/>
  <c r="Q10" i="2561"/>
  <c r="R10" i="2561"/>
  <c r="S10" i="2561"/>
  <c r="T10" i="2561"/>
  <c r="V10" i="2561"/>
  <c r="W10" i="2561"/>
  <c r="X10" i="2561"/>
  <c r="Y10" i="2561"/>
  <c r="Z10" i="2561"/>
  <c r="AC10" i="2561"/>
  <c r="AD10" i="2561"/>
  <c r="AE10" i="2561"/>
  <c r="AF10" i="2561"/>
  <c r="AJ10" i="2561"/>
  <c r="AK10" i="2561"/>
  <c r="AL10" i="2561"/>
  <c r="A11" i="2561"/>
  <c r="C11" i="2561"/>
  <c r="D11" i="2561"/>
  <c r="E11" i="2561"/>
  <c r="F11" i="2561"/>
  <c r="G11" i="2561"/>
  <c r="J11" i="2561"/>
  <c r="K11" i="2561"/>
  <c r="L11" i="2561"/>
  <c r="M11" i="2561"/>
  <c r="N11" i="2561"/>
  <c r="Q11" i="2561"/>
  <c r="R11" i="2561"/>
  <c r="S11" i="2561"/>
  <c r="T11" i="2561"/>
  <c r="V11" i="2561"/>
  <c r="W11" i="2561"/>
  <c r="X11" i="2561"/>
  <c r="Y11" i="2561"/>
  <c r="Z11" i="2561"/>
  <c r="AC11" i="2561"/>
  <c r="AD11" i="2561"/>
  <c r="AE11" i="2561"/>
  <c r="AF11" i="2561"/>
  <c r="AJ11" i="2561"/>
  <c r="AK11" i="2561"/>
  <c r="AL11" i="2561"/>
  <c r="A12" i="2561"/>
  <c r="C12" i="2561"/>
  <c r="D12" i="2561"/>
  <c r="E12" i="2561"/>
  <c r="F12" i="2561"/>
  <c r="G12" i="2561"/>
  <c r="J12" i="2561"/>
  <c r="K12" i="2561"/>
  <c r="L12" i="2561"/>
  <c r="M12" i="2561"/>
  <c r="N12" i="2561"/>
  <c r="Q12" i="2561"/>
  <c r="R12" i="2561"/>
  <c r="S12" i="2561"/>
  <c r="T12" i="2561"/>
  <c r="V12" i="2561"/>
  <c r="W12" i="2561"/>
  <c r="X12" i="2561"/>
  <c r="Y12" i="2561"/>
  <c r="Z12" i="2561"/>
  <c r="AC12" i="2561"/>
  <c r="AD12" i="2561"/>
  <c r="AE12" i="2561"/>
  <c r="AF12" i="2561"/>
  <c r="AJ12" i="2561"/>
  <c r="AK12" i="2561"/>
  <c r="AL12" i="2561"/>
  <c r="A13" i="2561"/>
  <c r="C13" i="2561"/>
  <c r="D13" i="2561"/>
  <c r="E13" i="2561"/>
  <c r="F13" i="2561"/>
  <c r="G13" i="2561"/>
  <c r="J13" i="2561"/>
  <c r="K13" i="2561"/>
  <c r="L13" i="2561"/>
  <c r="M13" i="2561"/>
  <c r="N13" i="2561"/>
  <c r="Q13" i="2561"/>
  <c r="R13" i="2561"/>
  <c r="S13" i="2561"/>
  <c r="T13" i="2561"/>
  <c r="V13" i="2561"/>
  <c r="W13" i="2561"/>
  <c r="X13" i="2561"/>
  <c r="Y13" i="2561"/>
  <c r="Z13" i="2561"/>
  <c r="AC13" i="2561"/>
  <c r="AD13" i="2561"/>
  <c r="AE13" i="2561"/>
  <c r="AF13" i="2561"/>
  <c r="AJ13" i="2561"/>
  <c r="AK13" i="2561"/>
  <c r="AL13" i="2561"/>
  <c r="A14" i="2561"/>
  <c r="C14" i="2561"/>
  <c r="D14" i="2561"/>
  <c r="E14" i="2561"/>
  <c r="F14" i="2561"/>
  <c r="G14" i="2561"/>
  <c r="J14" i="2561"/>
  <c r="K14" i="2561"/>
  <c r="L14" i="2561"/>
  <c r="M14" i="2561"/>
  <c r="N14" i="2561"/>
  <c r="Q14" i="2561"/>
  <c r="R14" i="2561"/>
  <c r="S14" i="2561"/>
  <c r="T14" i="2561"/>
  <c r="V14" i="2561"/>
  <c r="W14" i="2561"/>
  <c r="X14" i="2561"/>
  <c r="Y14" i="2561"/>
  <c r="Z14" i="2561"/>
  <c r="AC14" i="2561"/>
  <c r="AD14" i="2561"/>
  <c r="AE14" i="2561"/>
  <c r="AF14" i="2561"/>
  <c r="AJ14" i="2561"/>
  <c r="AK14" i="2561"/>
  <c r="AL14" i="2561"/>
  <c r="A15" i="2561"/>
  <c r="C15" i="2561"/>
  <c r="D15" i="2561"/>
  <c r="E15" i="2561"/>
  <c r="F15" i="2561"/>
  <c r="G15" i="2561"/>
  <c r="J15" i="2561"/>
  <c r="K15" i="2561"/>
  <c r="L15" i="2561"/>
  <c r="M15" i="2561"/>
  <c r="N15" i="2561"/>
  <c r="Q15" i="2561"/>
  <c r="R15" i="2561"/>
  <c r="S15" i="2561"/>
  <c r="T15" i="2561"/>
  <c r="V15" i="2561"/>
  <c r="W15" i="2561"/>
  <c r="X15" i="2561"/>
  <c r="Y15" i="2561"/>
  <c r="Z15" i="2561"/>
  <c r="AC15" i="2561"/>
  <c r="AD15" i="2561"/>
  <c r="AE15" i="2561"/>
  <c r="AF15" i="2561"/>
  <c r="AJ15" i="2561"/>
  <c r="AK15" i="2561"/>
  <c r="AL15" i="2561"/>
  <c r="A16" i="2561"/>
  <c r="C16" i="2561"/>
  <c r="D16" i="2561"/>
  <c r="E16" i="2561"/>
  <c r="F16" i="2561"/>
  <c r="G16" i="2561"/>
  <c r="J16" i="2561"/>
  <c r="K16" i="2561"/>
  <c r="L16" i="2561"/>
  <c r="M16" i="2561"/>
  <c r="N16" i="2561"/>
  <c r="Q16" i="2561"/>
  <c r="R16" i="2561"/>
  <c r="S16" i="2561"/>
  <c r="T16" i="2561"/>
  <c r="V16" i="2561"/>
  <c r="W16" i="2561"/>
  <c r="X16" i="2561"/>
  <c r="Y16" i="2561"/>
  <c r="Z16" i="2561"/>
  <c r="AC16" i="2561"/>
  <c r="AD16" i="2561"/>
  <c r="AE16" i="2561"/>
  <c r="AF16" i="2561"/>
  <c r="AJ16" i="2561"/>
  <c r="AK16" i="2561"/>
  <c r="AL16" i="2561"/>
  <c r="A17" i="2561"/>
  <c r="C17" i="2561"/>
  <c r="D17" i="2561"/>
  <c r="E17" i="2561"/>
  <c r="F17" i="2561"/>
  <c r="G17" i="2561"/>
  <c r="J17" i="2561"/>
  <c r="K17" i="2561"/>
  <c r="L17" i="2561"/>
  <c r="M17" i="2561"/>
  <c r="N17" i="2561"/>
  <c r="Q17" i="2561"/>
  <c r="R17" i="2561"/>
  <c r="S17" i="2561"/>
  <c r="T17" i="2561"/>
  <c r="V17" i="2561"/>
  <c r="W17" i="2561"/>
  <c r="X17" i="2561"/>
  <c r="Y17" i="2561"/>
  <c r="Z17" i="2561"/>
  <c r="AC17" i="2561"/>
  <c r="AD17" i="2561"/>
  <c r="AE17" i="2561"/>
  <c r="AF17" i="2561"/>
  <c r="AJ17" i="2561"/>
  <c r="AK17" i="2561"/>
  <c r="AL17" i="2561"/>
  <c r="A18" i="2561"/>
  <c r="C18" i="2561"/>
  <c r="D18" i="2561"/>
  <c r="E18" i="2561"/>
  <c r="F18" i="2561"/>
  <c r="G18" i="2561"/>
  <c r="J18" i="2561"/>
  <c r="K18" i="2561"/>
  <c r="L18" i="2561"/>
  <c r="M18" i="2561"/>
  <c r="N18" i="2561"/>
  <c r="Q18" i="2561"/>
  <c r="R18" i="2561"/>
  <c r="S18" i="2561"/>
  <c r="T18" i="2561"/>
  <c r="V18" i="2561"/>
  <c r="W18" i="2561"/>
  <c r="X18" i="2561"/>
  <c r="Y18" i="2561"/>
  <c r="Z18" i="2561"/>
  <c r="AC18" i="2561"/>
  <c r="AD18" i="2561"/>
  <c r="AE18" i="2561"/>
  <c r="AF18" i="2561"/>
  <c r="AJ18" i="2561"/>
  <c r="AK18" i="2561"/>
  <c r="AL18" i="2561"/>
  <c r="A19" i="2561"/>
  <c r="C19" i="2561"/>
  <c r="D19" i="2561"/>
  <c r="E19" i="2561"/>
  <c r="F19" i="2561"/>
  <c r="G19" i="2561"/>
  <c r="J19" i="2561"/>
  <c r="K19" i="2561"/>
  <c r="L19" i="2561"/>
  <c r="M19" i="2561"/>
  <c r="N19" i="2561"/>
  <c r="Q19" i="2561"/>
  <c r="R19" i="2561"/>
  <c r="S19" i="2561"/>
  <c r="T19" i="2561"/>
  <c r="V19" i="2561"/>
  <c r="W19" i="2561"/>
  <c r="X19" i="2561"/>
  <c r="Y19" i="2561"/>
  <c r="Z19" i="2561"/>
  <c r="AC19" i="2561"/>
  <c r="AD19" i="2561"/>
  <c r="AE19" i="2561"/>
  <c r="AF19" i="2561"/>
  <c r="AJ19" i="2561"/>
  <c r="AK19" i="2561"/>
  <c r="AL19" i="2561"/>
  <c r="A20" i="2561"/>
  <c r="C20" i="2561"/>
  <c r="D20" i="2561"/>
  <c r="E20" i="2561"/>
  <c r="F20" i="2561"/>
  <c r="G20" i="2561"/>
  <c r="J20" i="2561"/>
  <c r="K20" i="2561"/>
  <c r="L20" i="2561"/>
  <c r="M20" i="2561"/>
  <c r="N20" i="2561"/>
  <c r="Q20" i="2561"/>
  <c r="R20" i="2561"/>
  <c r="S20" i="2561"/>
  <c r="T20" i="2561"/>
  <c r="V20" i="2561"/>
  <c r="W20" i="2561"/>
  <c r="X20" i="2561"/>
  <c r="Y20" i="2561"/>
  <c r="Z20" i="2561"/>
  <c r="AC20" i="2561"/>
  <c r="AD20" i="2561"/>
  <c r="AE20" i="2561"/>
  <c r="AF20" i="2561"/>
  <c r="AJ20" i="2561"/>
  <c r="AK20" i="2561"/>
  <c r="AL20" i="2561"/>
  <c r="A21" i="2561"/>
  <c r="C21" i="2561"/>
  <c r="D21" i="2561"/>
  <c r="E21" i="2561"/>
  <c r="F21" i="2561"/>
  <c r="G21" i="2561"/>
  <c r="J21" i="2561"/>
  <c r="K21" i="2561"/>
  <c r="L21" i="2561"/>
  <c r="M21" i="2561"/>
  <c r="N21" i="2561"/>
  <c r="Q21" i="2561"/>
  <c r="R21" i="2561"/>
  <c r="S21" i="2561"/>
  <c r="T21" i="2561"/>
  <c r="V21" i="2561"/>
  <c r="W21" i="2561"/>
  <c r="X21" i="2561"/>
  <c r="Y21" i="2561"/>
  <c r="Z21" i="2561"/>
  <c r="AC21" i="2561"/>
  <c r="AD21" i="2561"/>
  <c r="AE21" i="2561"/>
  <c r="AF21" i="2561"/>
  <c r="AJ21" i="2561"/>
  <c r="AK21" i="2561"/>
  <c r="AL21" i="2561"/>
  <c r="A22" i="2561"/>
  <c r="C22" i="2561"/>
  <c r="D22" i="2561"/>
  <c r="E22" i="2561"/>
  <c r="F22" i="2561"/>
  <c r="G22" i="2561"/>
  <c r="J22" i="2561"/>
  <c r="K22" i="2561"/>
  <c r="L22" i="2561"/>
  <c r="M22" i="2561"/>
  <c r="N22" i="2561"/>
  <c r="Q22" i="2561"/>
  <c r="R22" i="2561"/>
  <c r="S22" i="2561"/>
  <c r="T22" i="2561"/>
  <c r="V22" i="2561"/>
  <c r="W22" i="2561"/>
  <c r="X22" i="2561"/>
  <c r="Y22" i="2561"/>
  <c r="Z22" i="2561"/>
  <c r="AC22" i="2561"/>
  <c r="AD22" i="2561"/>
  <c r="AE22" i="2561"/>
  <c r="AF22" i="2561"/>
  <c r="AJ22" i="2561"/>
  <c r="AK22" i="2561"/>
  <c r="AL22" i="2561"/>
  <c r="A23" i="2561"/>
  <c r="C23" i="2561"/>
  <c r="D23" i="2561"/>
  <c r="E23" i="2561"/>
  <c r="F23" i="2561"/>
  <c r="G23" i="2561"/>
  <c r="J23" i="2561"/>
  <c r="K23" i="2561"/>
  <c r="L23" i="2561"/>
  <c r="M23" i="2561"/>
  <c r="N23" i="2561"/>
  <c r="Q23" i="2561"/>
  <c r="R23" i="2561"/>
  <c r="S23" i="2561"/>
  <c r="T23" i="2561"/>
  <c r="V23" i="2561"/>
  <c r="W23" i="2561"/>
  <c r="X23" i="2561"/>
  <c r="Y23" i="2561"/>
  <c r="Z23" i="2561"/>
  <c r="AC23" i="2561"/>
  <c r="AD23" i="2561"/>
  <c r="AE23" i="2561"/>
  <c r="AF23" i="2561"/>
  <c r="AJ23" i="2561"/>
  <c r="AK23" i="2561"/>
  <c r="AL23" i="2561"/>
  <c r="A24" i="2561"/>
  <c r="C24" i="2561"/>
  <c r="D24" i="2561"/>
  <c r="E24" i="2561"/>
  <c r="F24" i="2561"/>
  <c r="G24" i="2561"/>
  <c r="J24" i="2561"/>
  <c r="K24" i="2561"/>
  <c r="L24" i="2561"/>
  <c r="M24" i="2561"/>
  <c r="N24" i="2561"/>
  <c r="Q24" i="2561"/>
  <c r="R24" i="2561"/>
  <c r="S24" i="2561"/>
  <c r="T24" i="2561"/>
  <c r="V24" i="2561"/>
  <c r="W24" i="2561"/>
  <c r="X24" i="2561"/>
  <c r="Y24" i="2561"/>
  <c r="Z24" i="2561"/>
  <c r="AC24" i="2561"/>
  <c r="AD24" i="2561"/>
  <c r="AE24" i="2561"/>
  <c r="AF24" i="2561"/>
  <c r="AJ24" i="2561"/>
  <c r="AK24" i="2561"/>
  <c r="AL24" i="2561"/>
  <c r="A25" i="2561"/>
  <c r="C25" i="2561"/>
  <c r="D25" i="2561"/>
  <c r="E25" i="2561"/>
  <c r="F25" i="2561"/>
  <c r="G25" i="2561"/>
  <c r="J25" i="2561"/>
  <c r="K25" i="2561"/>
  <c r="L25" i="2561"/>
  <c r="M25" i="2561"/>
  <c r="N25" i="2561"/>
  <c r="Q25" i="2561"/>
  <c r="R25" i="2561"/>
  <c r="S25" i="2561"/>
  <c r="T25" i="2561"/>
  <c r="V25" i="2561"/>
  <c r="W25" i="2561"/>
  <c r="X25" i="2561"/>
  <c r="Y25" i="2561"/>
  <c r="Z25" i="2561"/>
  <c r="AC25" i="2561"/>
  <c r="AD25" i="2561"/>
  <c r="AE25" i="2561"/>
  <c r="AF25" i="2561"/>
  <c r="AJ25" i="2561"/>
  <c r="AK25" i="2561"/>
  <c r="AL25" i="2561"/>
  <c r="A26" i="2561"/>
  <c r="C26" i="2561"/>
  <c r="D26" i="2561"/>
  <c r="E26" i="2561"/>
  <c r="F26" i="2561"/>
  <c r="G26" i="2561"/>
  <c r="J26" i="2561"/>
  <c r="K26" i="2561"/>
  <c r="L26" i="2561"/>
  <c r="M26" i="2561"/>
  <c r="N26" i="2561"/>
  <c r="Q26" i="2561"/>
  <c r="R26" i="2561"/>
  <c r="S26" i="2561"/>
  <c r="T26" i="2561"/>
  <c r="V26" i="2561"/>
  <c r="W26" i="2561"/>
  <c r="X26" i="2561"/>
  <c r="Y26" i="2561"/>
  <c r="Z26" i="2561"/>
  <c r="AC26" i="2561"/>
  <c r="AD26" i="2561"/>
  <c r="AE26" i="2561"/>
  <c r="AF26" i="2561"/>
  <c r="AJ26" i="2561"/>
  <c r="AK26" i="2561"/>
  <c r="AL26" i="2561"/>
  <c r="A27" i="2561"/>
  <c r="C27" i="2561"/>
  <c r="D27" i="2561"/>
  <c r="E27" i="2561"/>
  <c r="F27" i="2561"/>
  <c r="G27" i="2561"/>
  <c r="J27" i="2561"/>
  <c r="K27" i="2561"/>
  <c r="L27" i="2561"/>
  <c r="M27" i="2561"/>
  <c r="N27" i="2561"/>
  <c r="Q27" i="2561"/>
  <c r="R27" i="2561"/>
  <c r="S27" i="2561"/>
  <c r="T27" i="2561"/>
  <c r="V27" i="2561"/>
  <c r="W27" i="2561"/>
  <c r="X27" i="2561"/>
  <c r="Y27" i="2561"/>
  <c r="Z27" i="2561"/>
  <c r="AC27" i="2561"/>
  <c r="AD27" i="2561"/>
  <c r="AE27" i="2561"/>
  <c r="AF27" i="2561"/>
  <c r="AJ27" i="2561"/>
  <c r="AK27" i="2561"/>
  <c r="AL27" i="2561"/>
  <c r="A28" i="2561"/>
  <c r="C28" i="2561"/>
  <c r="D28" i="2561"/>
  <c r="E28" i="2561"/>
  <c r="F28" i="2561"/>
  <c r="G28" i="2561"/>
  <c r="J28" i="2561"/>
  <c r="K28" i="2561"/>
  <c r="L28" i="2561"/>
  <c r="M28" i="2561"/>
  <c r="N28" i="2561"/>
  <c r="Q28" i="2561"/>
  <c r="R28" i="2561"/>
  <c r="S28" i="2561"/>
  <c r="T28" i="2561"/>
  <c r="V28" i="2561"/>
  <c r="W28" i="2561"/>
  <c r="X28" i="2561"/>
  <c r="Y28" i="2561"/>
  <c r="Z28" i="2561"/>
  <c r="AC28" i="2561"/>
  <c r="AD28" i="2561"/>
  <c r="AE28" i="2561"/>
  <c r="AF28" i="2561"/>
  <c r="AJ28" i="2561"/>
  <c r="AK28" i="2561"/>
  <c r="AL28" i="2561"/>
  <c r="A29" i="2561"/>
  <c r="C29" i="2561"/>
  <c r="D29" i="2561"/>
  <c r="E29" i="2561"/>
  <c r="F29" i="2561"/>
  <c r="G29" i="2561"/>
  <c r="J29" i="2561"/>
  <c r="K29" i="2561"/>
  <c r="L29" i="2561"/>
  <c r="M29" i="2561"/>
  <c r="N29" i="2561"/>
  <c r="Q29" i="2561"/>
  <c r="R29" i="2561"/>
  <c r="S29" i="2561"/>
  <c r="T29" i="2561"/>
  <c r="V29" i="2561"/>
  <c r="W29" i="2561"/>
  <c r="X29" i="2561"/>
  <c r="Y29" i="2561"/>
  <c r="Z29" i="2561"/>
  <c r="AC29" i="2561"/>
  <c r="AD29" i="2561"/>
  <c r="AE29" i="2561"/>
  <c r="AF29" i="2561"/>
  <c r="AJ29" i="2561"/>
  <c r="AK29" i="2561"/>
  <c r="AL29" i="2561"/>
  <c r="A30" i="2561"/>
  <c r="C30" i="2561"/>
  <c r="D30" i="2561"/>
  <c r="E30" i="2561"/>
  <c r="F30" i="2561"/>
  <c r="G30" i="2561"/>
  <c r="J30" i="2561"/>
  <c r="K30" i="2561"/>
  <c r="L30" i="2561"/>
  <c r="M30" i="2561"/>
  <c r="N30" i="2561"/>
  <c r="Q30" i="2561"/>
  <c r="R30" i="2561"/>
  <c r="S30" i="2561"/>
  <c r="T30" i="2561"/>
  <c r="V30" i="2561"/>
  <c r="W30" i="2561"/>
  <c r="X30" i="2561"/>
  <c r="Y30" i="2561"/>
  <c r="Z30" i="2561"/>
  <c r="AC30" i="2561"/>
  <c r="AD30" i="2561"/>
  <c r="AE30" i="2561"/>
  <c r="AF30" i="2561"/>
  <c r="AJ30" i="2561"/>
  <c r="AK30" i="2561"/>
  <c r="AL30" i="2561"/>
  <c r="A31" i="2561"/>
  <c r="C31" i="2561"/>
  <c r="D31" i="2561"/>
  <c r="E31" i="2561"/>
  <c r="F31" i="2561"/>
  <c r="G31" i="2561"/>
  <c r="J31" i="2561"/>
  <c r="K31" i="2561"/>
  <c r="L31" i="2561"/>
  <c r="M31" i="2561"/>
  <c r="N31" i="2561"/>
  <c r="Q31" i="2561"/>
  <c r="R31" i="2561"/>
  <c r="S31" i="2561"/>
  <c r="T31" i="2561"/>
  <c r="V31" i="2561"/>
  <c r="W31" i="2561"/>
  <c r="X31" i="2561"/>
  <c r="Y31" i="2561"/>
  <c r="Z31" i="2561"/>
  <c r="AC31" i="2561"/>
  <c r="AD31" i="2561"/>
  <c r="AE31" i="2561"/>
  <c r="AF31" i="2561"/>
  <c r="AJ31" i="2561"/>
  <c r="AK31" i="2561"/>
  <c r="AL31" i="2561"/>
  <c r="A32" i="2561"/>
  <c r="C32" i="2561"/>
  <c r="D32" i="2561"/>
  <c r="E32" i="2561"/>
  <c r="F32" i="2561"/>
  <c r="G32" i="2561"/>
  <c r="J32" i="2561"/>
  <c r="K32" i="2561"/>
  <c r="L32" i="2561"/>
  <c r="M32" i="2561"/>
  <c r="N32" i="2561"/>
  <c r="Q32" i="2561"/>
  <c r="R32" i="2561"/>
  <c r="S32" i="2561"/>
  <c r="T32" i="2561"/>
  <c r="V32" i="2561"/>
  <c r="W32" i="2561"/>
  <c r="X32" i="2561"/>
  <c r="Y32" i="2561"/>
  <c r="Z32" i="2561"/>
  <c r="AC32" i="2561"/>
  <c r="AD32" i="2561"/>
  <c r="AE32" i="2561"/>
  <c r="AF32" i="2561"/>
  <c r="AJ32" i="2561"/>
  <c r="AK32" i="2561"/>
  <c r="AL32" i="2561"/>
  <c r="A33" i="2561"/>
  <c r="C33" i="2561"/>
  <c r="D33" i="2561"/>
  <c r="E33" i="2561"/>
  <c r="F33" i="2561"/>
  <c r="G33" i="2561"/>
  <c r="J33" i="2561"/>
  <c r="K33" i="2561"/>
  <c r="L33" i="2561"/>
  <c r="M33" i="2561"/>
  <c r="N33" i="2561"/>
  <c r="Q33" i="2561"/>
  <c r="R33" i="2561"/>
  <c r="S33" i="2561"/>
  <c r="T33" i="2561"/>
  <c r="V33" i="2561"/>
  <c r="W33" i="2561"/>
  <c r="X33" i="2561"/>
  <c r="Y33" i="2561"/>
  <c r="Z33" i="2561"/>
  <c r="AC33" i="2561"/>
  <c r="AD33" i="2561"/>
  <c r="AE33" i="2561"/>
  <c r="AF33" i="2561"/>
  <c r="AJ33" i="2561"/>
  <c r="AK33" i="2561"/>
  <c r="AL33" i="2561"/>
  <c r="A34" i="2561"/>
  <c r="C34" i="2561"/>
  <c r="D34" i="2561"/>
  <c r="E34" i="2561"/>
  <c r="F34" i="2561"/>
  <c r="G34" i="2561"/>
  <c r="J34" i="2561"/>
  <c r="K34" i="2561"/>
  <c r="L34" i="2561"/>
  <c r="M34" i="2561"/>
  <c r="N34" i="2561"/>
  <c r="Q34" i="2561"/>
  <c r="R34" i="2561"/>
  <c r="S34" i="2561"/>
  <c r="T34" i="2561"/>
  <c r="V34" i="2561"/>
  <c r="W34" i="2561"/>
  <c r="X34" i="2561"/>
  <c r="Y34" i="2561"/>
  <c r="Z34" i="2561"/>
  <c r="AC34" i="2561"/>
  <c r="AD34" i="2561"/>
  <c r="AE34" i="2561"/>
  <c r="AF34" i="2561"/>
  <c r="AJ34" i="2561"/>
  <c r="AK34" i="2561"/>
  <c r="AL34" i="2561"/>
  <c r="A35" i="2561"/>
  <c r="C35" i="2561"/>
  <c r="D35" i="2561"/>
  <c r="E35" i="2561"/>
  <c r="F35" i="2561"/>
  <c r="G35" i="2561"/>
  <c r="J35" i="2561"/>
  <c r="K35" i="2561"/>
  <c r="L35" i="2561"/>
  <c r="M35" i="2561"/>
  <c r="N35" i="2561"/>
  <c r="Q35" i="2561"/>
  <c r="R35" i="2561"/>
  <c r="S35" i="2561"/>
  <c r="T35" i="2561"/>
  <c r="V35" i="2561"/>
  <c r="W35" i="2561"/>
  <c r="X35" i="2561"/>
  <c r="Y35" i="2561"/>
  <c r="Z35" i="2561"/>
  <c r="AC35" i="2561"/>
  <c r="AD35" i="2561"/>
  <c r="AE35" i="2561"/>
  <c r="AF35" i="2561"/>
  <c r="AJ35" i="2561"/>
  <c r="AK35" i="2561"/>
  <c r="AL35" i="2561"/>
  <c r="A37" i="2561"/>
  <c r="B37" i="2561"/>
  <c r="C37" i="2561"/>
  <c r="D37" i="2561"/>
  <c r="I37" i="2561"/>
  <c r="J37" i="2561"/>
  <c r="K37" i="2561"/>
  <c r="P37" i="2561"/>
  <c r="Q37" i="2561"/>
  <c r="R37" i="2561"/>
  <c r="V37" i="2561"/>
  <c r="W37" i="2561"/>
  <c r="X37" i="2561"/>
  <c r="AB37" i="2561"/>
  <c r="AC37" i="2561"/>
  <c r="AD37" i="2561"/>
  <c r="AH37" i="2561"/>
  <c r="AI37" i="2561"/>
  <c r="AJ37" i="2561"/>
  <c r="B40" i="2561"/>
  <c r="C40" i="2561"/>
  <c r="D40" i="2561"/>
  <c r="E40" i="2561"/>
  <c r="F40" i="2561"/>
  <c r="G40" i="2561"/>
  <c r="H40" i="2561"/>
  <c r="I40" i="2561"/>
  <c r="J40" i="2561"/>
  <c r="K40" i="2561"/>
  <c r="L40" i="2561"/>
  <c r="M40" i="2561"/>
  <c r="N40" i="2561"/>
  <c r="O40" i="2561"/>
  <c r="P40" i="2561"/>
  <c r="Q40" i="2561"/>
  <c r="R40" i="2561"/>
  <c r="S40" i="2561"/>
  <c r="T40" i="2561"/>
  <c r="U40" i="2561"/>
  <c r="V40" i="2561"/>
  <c r="W40" i="2561"/>
  <c r="X40" i="2561"/>
  <c r="Y40" i="2561"/>
  <c r="Z40" i="2561"/>
  <c r="AA40" i="2561"/>
  <c r="AB40" i="2561"/>
  <c r="AC40" i="2561"/>
  <c r="AD40" i="2561"/>
  <c r="AE40" i="2561"/>
  <c r="AF40" i="2561"/>
  <c r="AG40" i="2561"/>
  <c r="AH40" i="2561"/>
  <c r="AI40" i="2561"/>
  <c r="AJ40" i="2561"/>
  <c r="AK40" i="2561"/>
  <c r="AL40" i="2561"/>
  <c r="AM40" i="2561"/>
  <c r="AN40" i="2561"/>
  <c r="AO40" i="2561"/>
  <c r="AP40" i="2561"/>
  <c r="AQ40" i="2561"/>
  <c r="AR40" i="2561"/>
  <c r="AS40" i="2561"/>
  <c r="AT40" i="2561"/>
  <c r="AU40" i="2561"/>
  <c r="AV40" i="2561"/>
  <c r="AW40" i="2561"/>
  <c r="AX40" i="2561"/>
  <c r="AY40" i="2561"/>
  <c r="AZ40" i="2561"/>
  <c r="BA40" i="2561"/>
  <c r="BB40" i="2561"/>
  <c r="BC40" i="2561"/>
  <c r="BD40" i="2561"/>
  <c r="BE40" i="2561"/>
  <c r="BF40" i="2561"/>
  <c r="BG40" i="2561"/>
  <c r="BH40" i="2561"/>
  <c r="BI40" i="2561"/>
  <c r="BJ40" i="2561"/>
  <c r="BK40" i="2561"/>
  <c r="BL40" i="2561"/>
  <c r="BM40" i="2561"/>
  <c r="BN40" i="2561"/>
  <c r="BO40" i="2561"/>
  <c r="BP40" i="2561"/>
  <c r="BQ40" i="2561"/>
  <c r="BR40" i="2561"/>
  <c r="BS40" i="2561"/>
  <c r="BT40" i="2561"/>
  <c r="BU40" i="2561"/>
  <c r="BV40" i="2561"/>
  <c r="BW40" i="2561"/>
  <c r="BX40" i="2561"/>
  <c r="BY40" i="2561"/>
  <c r="BZ40" i="2561"/>
  <c r="CA40" i="2561"/>
  <c r="CB40" i="2561"/>
  <c r="CC40" i="2561"/>
  <c r="CD40" i="2561"/>
  <c r="CE40" i="2561"/>
  <c r="CF40" i="2561"/>
  <c r="CG40" i="2561"/>
  <c r="CH40" i="2561"/>
  <c r="CI40" i="2561"/>
  <c r="CJ40" i="2561"/>
  <c r="CK40" i="2561"/>
  <c r="CL40" i="2561"/>
  <c r="CM40" i="2561"/>
  <c r="CN40" i="2561"/>
  <c r="CO40" i="2561"/>
  <c r="CP40" i="2561"/>
  <c r="CQ40" i="2561"/>
  <c r="CR40" i="2561"/>
  <c r="CS40" i="2561"/>
  <c r="CT40" i="2561"/>
  <c r="CU40" i="2561"/>
  <c r="CV40" i="2561"/>
  <c r="CW40" i="2561"/>
  <c r="CX40" i="2561"/>
  <c r="CY40" i="2561"/>
  <c r="CZ40" i="2561"/>
  <c r="DA40" i="2561"/>
  <c r="DB40" i="2561"/>
  <c r="DC40" i="2561"/>
  <c r="DD40" i="2561"/>
  <c r="DE40" i="2561"/>
  <c r="DF40" i="2561"/>
  <c r="DG40" i="2561"/>
  <c r="DH40" i="2561"/>
  <c r="DI40" i="2561"/>
  <c r="DJ40" i="2561"/>
  <c r="DK40" i="2561"/>
  <c r="DL40" i="2561"/>
  <c r="DM40" i="2561"/>
  <c r="DN40" i="2561"/>
  <c r="DO40" i="2561"/>
  <c r="DP40" i="2561"/>
  <c r="DQ40" i="2561"/>
  <c r="B1" i="13"/>
  <c r="A6" i="13"/>
  <c r="B6" i="13"/>
  <c r="E6" i="13"/>
  <c r="H6" i="13"/>
  <c r="L6" i="13"/>
  <c r="M6" i="13"/>
  <c r="N6" i="13"/>
  <c r="S6" i="13"/>
  <c r="T6" i="13"/>
  <c r="U6" i="13"/>
  <c r="Z6" i="13"/>
  <c r="AA6" i="13"/>
  <c r="AB6" i="13"/>
  <c r="AG6" i="13"/>
  <c r="AH6" i="13"/>
  <c r="AI6" i="13"/>
  <c r="AK6" i="13"/>
  <c r="AN6" i="13"/>
  <c r="AO6" i="13"/>
  <c r="AP6" i="13"/>
  <c r="AU6" i="13"/>
  <c r="AV6" i="13"/>
  <c r="AW6" i="13"/>
  <c r="BB6" i="13"/>
  <c r="BC6" i="13"/>
  <c r="BD6" i="13"/>
  <c r="BI6" i="13"/>
  <c r="BJ6" i="13"/>
  <c r="BK6" i="13"/>
  <c r="BP6" i="13"/>
  <c r="BQ6" i="13"/>
  <c r="BR6" i="13"/>
  <c r="BW6" i="13"/>
  <c r="BX6" i="13"/>
  <c r="BY6" i="13"/>
  <c r="CD6" i="13"/>
  <c r="CE6" i="13"/>
  <c r="CF6" i="13"/>
  <c r="CK6" i="13"/>
  <c r="CL6" i="13"/>
  <c r="CM6" i="13"/>
  <c r="CN6" i="13"/>
  <c r="CO6" i="13"/>
  <c r="CP6" i="13"/>
  <c r="CQ6" i="13"/>
  <c r="A7" i="13"/>
  <c r="B7" i="13"/>
  <c r="E7" i="13"/>
  <c r="H7" i="13"/>
  <c r="L7" i="13"/>
  <c r="M7" i="13"/>
  <c r="N7" i="13"/>
  <c r="S7" i="13"/>
  <c r="T7" i="13"/>
  <c r="U7" i="13"/>
  <c r="Z7" i="13"/>
  <c r="AA7" i="13"/>
  <c r="AB7" i="13"/>
  <c r="AG7" i="13"/>
  <c r="AH7" i="13"/>
  <c r="AI7" i="13"/>
  <c r="AK7" i="13"/>
  <c r="AN7" i="13"/>
  <c r="AO7" i="13"/>
  <c r="AP7" i="13"/>
  <c r="AU7" i="13"/>
  <c r="AV7" i="13"/>
  <c r="AW7" i="13"/>
  <c r="BB7" i="13"/>
  <c r="BC7" i="13"/>
  <c r="BD7" i="13"/>
  <c r="BI7" i="13"/>
  <c r="BJ7" i="13"/>
  <c r="BK7" i="13"/>
  <c r="BP7" i="13"/>
  <c r="BQ7" i="13"/>
  <c r="BR7" i="13"/>
  <c r="BW7" i="13"/>
  <c r="BX7" i="13"/>
  <c r="BY7" i="13"/>
  <c r="CD7" i="13"/>
  <c r="CE7" i="13"/>
  <c r="CF7" i="13"/>
  <c r="CK7" i="13"/>
  <c r="CL7" i="13"/>
  <c r="CM7" i="13"/>
  <c r="CN7" i="13"/>
  <c r="CO7" i="13"/>
  <c r="CP7" i="13"/>
  <c r="CQ7" i="13"/>
  <c r="A8" i="13"/>
  <c r="B8" i="13"/>
  <c r="H8" i="13"/>
  <c r="L8" i="13"/>
  <c r="M8" i="13"/>
  <c r="N8" i="13"/>
  <c r="S8" i="13"/>
  <c r="T8" i="13"/>
  <c r="U8" i="13"/>
  <c r="Z8" i="13"/>
  <c r="AA8" i="13"/>
  <c r="AB8" i="13"/>
  <c r="AG8" i="13"/>
  <c r="AH8" i="13"/>
  <c r="AI8" i="13"/>
  <c r="AN8" i="13"/>
  <c r="AO8" i="13"/>
  <c r="AP8" i="13"/>
  <c r="AU8" i="13"/>
  <c r="AV8" i="13"/>
  <c r="AW8" i="13"/>
  <c r="BB8" i="13"/>
  <c r="BC8" i="13"/>
  <c r="BD8" i="13"/>
  <c r="BI8" i="13"/>
  <c r="BJ8" i="13"/>
  <c r="BK8" i="13"/>
  <c r="BP8" i="13"/>
  <c r="BQ8" i="13"/>
  <c r="BR8" i="13"/>
  <c r="BW8" i="13"/>
  <c r="BX8" i="13"/>
  <c r="BY8" i="13"/>
  <c r="CD8" i="13"/>
  <c r="CE8" i="13"/>
  <c r="CF8" i="13"/>
  <c r="CK8" i="13"/>
  <c r="CL8" i="13"/>
  <c r="CM8" i="13"/>
  <c r="CN8" i="13"/>
  <c r="CO8" i="13"/>
  <c r="CP8" i="13"/>
  <c r="CQ8" i="13"/>
  <c r="A9" i="13"/>
  <c r="B9" i="13"/>
  <c r="H9" i="13"/>
  <c r="L9" i="13"/>
  <c r="M9" i="13"/>
  <c r="N9" i="13"/>
  <c r="S9" i="13"/>
  <c r="T9" i="13"/>
  <c r="U9" i="13"/>
  <c r="Z9" i="13"/>
  <c r="AA9" i="13"/>
  <c r="AB9" i="13"/>
  <c r="AG9" i="13"/>
  <c r="AH9" i="13"/>
  <c r="AI9" i="13"/>
  <c r="AN9" i="13"/>
  <c r="AO9" i="13"/>
  <c r="AP9" i="13"/>
  <c r="AU9" i="13"/>
  <c r="AV9" i="13"/>
  <c r="AW9" i="13"/>
  <c r="BB9" i="13"/>
  <c r="BC9" i="13"/>
  <c r="BD9" i="13"/>
  <c r="BI9" i="13"/>
  <c r="BJ9" i="13"/>
  <c r="BK9" i="13"/>
  <c r="BP9" i="13"/>
  <c r="BQ9" i="13"/>
  <c r="BR9" i="13"/>
  <c r="BW9" i="13"/>
  <c r="BX9" i="13"/>
  <c r="BY9" i="13"/>
  <c r="CD9" i="13"/>
  <c r="CE9" i="13"/>
  <c r="CF9" i="13"/>
  <c r="CK9" i="13"/>
  <c r="CL9" i="13"/>
  <c r="CM9" i="13"/>
  <c r="CN9" i="13"/>
  <c r="CO9" i="13"/>
  <c r="CP9" i="13"/>
  <c r="CQ9" i="13"/>
  <c r="A10" i="13"/>
  <c r="B10" i="13"/>
  <c r="H10" i="13"/>
  <c r="L10" i="13"/>
  <c r="M10" i="13"/>
  <c r="N10" i="13"/>
  <c r="S10" i="13"/>
  <c r="T10" i="13"/>
  <c r="U10" i="13"/>
  <c r="Z10" i="13"/>
  <c r="AA10" i="13"/>
  <c r="AB10" i="13"/>
  <c r="AG10" i="13"/>
  <c r="AH10" i="13"/>
  <c r="AI10" i="13"/>
  <c r="AN10" i="13"/>
  <c r="AO10" i="13"/>
  <c r="AP10" i="13"/>
  <c r="AU10" i="13"/>
  <c r="AV10" i="13"/>
  <c r="AW10" i="13"/>
  <c r="BB10" i="13"/>
  <c r="BC10" i="13"/>
  <c r="BD10" i="13"/>
  <c r="BI10" i="13"/>
  <c r="BJ10" i="13"/>
  <c r="BK10" i="13"/>
  <c r="BP10" i="13"/>
  <c r="BQ10" i="13"/>
  <c r="BR10" i="13"/>
  <c r="BW10" i="13"/>
  <c r="BX10" i="13"/>
  <c r="BY10" i="13"/>
  <c r="CD10" i="13"/>
  <c r="CE10" i="13"/>
  <c r="CF10" i="13"/>
  <c r="CK10" i="13"/>
  <c r="CL10" i="13"/>
  <c r="CM10" i="13"/>
  <c r="CN10" i="13"/>
  <c r="CO10" i="13"/>
  <c r="CP10" i="13"/>
  <c r="CQ10" i="13"/>
  <c r="A11" i="13"/>
  <c r="B11" i="13"/>
  <c r="H11" i="13"/>
  <c r="L11" i="13"/>
  <c r="M11" i="13"/>
  <c r="N11" i="13"/>
  <c r="S11" i="13"/>
  <c r="T11" i="13"/>
  <c r="U11" i="13"/>
  <c r="Z11" i="13"/>
  <c r="AA11" i="13"/>
  <c r="AB11" i="13"/>
  <c r="AG11" i="13"/>
  <c r="AH11" i="13"/>
  <c r="AI11" i="13"/>
  <c r="AK11" i="13"/>
  <c r="AM11" i="13"/>
  <c r="AN11" i="13"/>
  <c r="AO11" i="13"/>
  <c r="AP11" i="13"/>
  <c r="AU11" i="13"/>
  <c r="AV11" i="13"/>
  <c r="AW11" i="13"/>
  <c r="BB11" i="13"/>
  <c r="BC11" i="13"/>
  <c r="BD11" i="13"/>
  <c r="BI11" i="13"/>
  <c r="BJ11" i="13"/>
  <c r="BK11" i="13"/>
  <c r="BP11" i="13"/>
  <c r="BQ11" i="13"/>
  <c r="BR11" i="13"/>
  <c r="BW11" i="13"/>
  <c r="BX11" i="13"/>
  <c r="BY11" i="13"/>
  <c r="CD11" i="13"/>
  <c r="CE11" i="13"/>
  <c r="CF11" i="13"/>
  <c r="CK11" i="13"/>
  <c r="CL11" i="13"/>
  <c r="CM11" i="13"/>
  <c r="CN11" i="13"/>
  <c r="CO11" i="13"/>
  <c r="CP11" i="13"/>
  <c r="CQ11" i="13"/>
  <c r="A12" i="13"/>
  <c r="B12" i="13"/>
  <c r="G12" i="13"/>
  <c r="H12" i="13"/>
  <c r="L12" i="13"/>
  <c r="M12" i="13"/>
  <c r="N12" i="13"/>
  <c r="S12" i="13"/>
  <c r="T12" i="13"/>
  <c r="U12" i="13"/>
  <c r="Z12" i="13"/>
  <c r="AA12" i="13"/>
  <c r="AB12" i="13"/>
  <c r="AG12" i="13"/>
  <c r="AH12" i="13"/>
  <c r="AI12" i="13"/>
  <c r="AK12" i="13"/>
  <c r="AM12" i="13"/>
  <c r="AN12" i="13"/>
  <c r="AO12" i="13"/>
  <c r="AP12" i="13"/>
  <c r="AU12" i="13"/>
  <c r="AV12" i="13"/>
  <c r="AW12" i="13"/>
  <c r="BB12" i="13"/>
  <c r="BC12" i="13"/>
  <c r="BD12" i="13"/>
  <c r="BI12" i="13"/>
  <c r="BJ12" i="13"/>
  <c r="BK12" i="13"/>
  <c r="BP12" i="13"/>
  <c r="BQ12" i="13"/>
  <c r="BR12" i="13"/>
  <c r="BW12" i="13"/>
  <c r="BX12" i="13"/>
  <c r="BY12" i="13"/>
  <c r="CD12" i="13"/>
  <c r="CE12" i="13"/>
  <c r="CF12" i="13"/>
  <c r="CK12" i="13"/>
  <c r="CL12" i="13"/>
  <c r="CM12" i="13"/>
  <c r="CN12" i="13"/>
  <c r="CO12" i="13"/>
  <c r="CP12" i="13"/>
  <c r="CQ12" i="13"/>
  <c r="A13" i="13"/>
  <c r="B13" i="13"/>
  <c r="E13" i="13"/>
  <c r="H13" i="13"/>
  <c r="L13" i="13"/>
  <c r="M13" i="13"/>
  <c r="N13" i="13"/>
  <c r="S13" i="13"/>
  <c r="T13" i="13"/>
  <c r="U13" i="13"/>
  <c r="Z13" i="13"/>
  <c r="AA13" i="13"/>
  <c r="AB13" i="13"/>
  <c r="AG13" i="13"/>
  <c r="AH13" i="13"/>
  <c r="AI13" i="13"/>
  <c r="AM13" i="13"/>
  <c r="AN13" i="13"/>
  <c r="AO13" i="13"/>
  <c r="AP13" i="13"/>
  <c r="AU13" i="13"/>
  <c r="AV13" i="13"/>
  <c r="AW13" i="13"/>
  <c r="BB13" i="13"/>
  <c r="BC13" i="13"/>
  <c r="BD13" i="13"/>
  <c r="BI13" i="13"/>
  <c r="BJ13" i="13"/>
  <c r="BK13" i="13"/>
  <c r="BP13" i="13"/>
  <c r="BQ13" i="13"/>
  <c r="BR13" i="13"/>
  <c r="BW13" i="13"/>
  <c r="BX13" i="13"/>
  <c r="BY13" i="13"/>
  <c r="CD13" i="13"/>
  <c r="CE13" i="13"/>
  <c r="CF13" i="13"/>
  <c r="CK13" i="13"/>
  <c r="CL13" i="13"/>
  <c r="CM13" i="13"/>
  <c r="CN13" i="13"/>
  <c r="CO13" i="13"/>
  <c r="CP13" i="13"/>
  <c r="CQ13" i="13"/>
  <c r="A14" i="13"/>
  <c r="B14" i="13"/>
  <c r="H14" i="13"/>
  <c r="L14" i="13"/>
  <c r="M14" i="13"/>
  <c r="N14" i="13"/>
  <c r="S14" i="13"/>
  <c r="T14" i="13"/>
  <c r="U14" i="13"/>
  <c r="Z14" i="13"/>
  <c r="AA14" i="13"/>
  <c r="AB14" i="13"/>
  <c r="AG14" i="13"/>
  <c r="AH14" i="13"/>
  <c r="AI14" i="13"/>
  <c r="AM14" i="13"/>
  <c r="AN14" i="13"/>
  <c r="AO14" i="13"/>
  <c r="AP14" i="13"/>
  <c r="AU14" i="13"/>
  <c r="AV14" i="13"/>
  <c r="AW14" i="13"/>
  <c r="BB14" i="13"/>
  <c r="BC14" i="13"/>
  <c r="BD14" i="13"/>
  <c r="BI14" i="13"/>
  <c r="BJ14" i="13"/>
  <c r="BK14" i="13"/>
  <c r="BP14" i="13"/>
  <c r="BQ14" i="13"/>
  <c r="BR14" i="13"/>
  <c r="BW14" i="13"/>
  <c r="BX14" i="13"/>
  <c r="BY14" i="13"/>
  <c r="CD14" i="13"/>
  <c r="CE14" i="13"/>
  <c r="CF14" i="13"/>
  <c r="CK14" i="13"/>
  <c r="CL14" i="13"/>
  <c r="CM14" i="13"/>
  <c r="CN14" i="13"/>
  <c r="CO14" i="13"/>
  <c r="CP14" i="13"/>
  <c r="CQ14" i="13"/>
  <c r="A15" i="13"/>
  <c r="B15" i="13"/>
  <c r="H15" i="13"/>
  <c r="L15" i="13"/>
  <c r="M15" i="13"/>
  <c r="N15" i="13"/>
  <c r="S15" i="13"/>
  <c r="T15" i="13"/>
  <c r="U15" i="13"/>
  <c r="Z15" i="13"/>
  <c r="AA15" i="13"/>
  <c r="AB15" i="13"/>
  <c r="AG15" i="13"/>
  <c r="AH15" i="13"/>
  <c r="AI15" i="13"/>
  <c r="AM15" i="13"/>
  <c r="AN15" i="13"/>
  <c r="AO15" i="13"/>
  <c r="AP15" i="13"/>
  <c r="AU15" i="13"/>
  <c r="AV15" i="13"/>
  <c r="AW15" i="13"/>
  <c r="BB15" i="13"/>
  <c r="BC15" i="13"/>
  <c r="BD15" i="13"/>
  <c r="BI15" i="13"/>
  <c r="BJ15" i="13"/>
  <c r="BK15" i="13"/>
  <c r="BP15" i="13"/>
  <c r="BQ15" i="13"/>
  <c r="BR15" i="13"/>
  <c r="BW15" i="13"/>
  <c r="BX15" i="13"/>
  <c r="BY15" i="13"/>
  <c r="CD15" i="13"/>
  <c r="CE15" i="13"/>
  <c r="CF15" i="13"/>
  <c r="CK15" i="13"/>
  <c r="CL15" i="13"/>
  <c r="CM15" i="13"/>
  <c r="CN15" i="13"/>
  <c r="CO15" i="13"/>
  <c r="CP15" i="13"/>
  <c r="CQ15" i="13"/>
  <c r="A16" i="13"/>
  <c r="B16" i="13"/>
  <c r="H16" i="13"/>
  <c r="L16" i="13"/>
  <c r="M16" i="13"/>
  <c r="N16" i="13"/>
  <c r="S16" i="13"/>
  <c r="T16" i="13"/>
  <c r="U16" i="13"/>
  <c r="Z16" i="13"/>
  <c r="AA16" i="13"/>
  <c r="AB16" i="13"/>
  <c r="AG16" i="13"/>
  <c r="AH16" i="13"/>
  <c r="AI16" i="13"/>
  <c r="AM16" i="13"/>
  <c r="AN16" i="13"/>
  <c r="AO16" i="13"/>
  <c r="AP16" i="13"/>
  <c r="AU16" i="13"/>
  <c r="AV16" i="13"/>
  <c r="AW16" i="13"/>
  <c r="BB16" i="13"/>
  <c r="BC16" i="13"/>
  <c r="BD16" i="13"/>
  <c r="BI16" i="13"/>
  <c r="BJ16" i="13"/>
  <c r="BK16" i="13"/>
  <c r="BP16" i="13"/>
  <c r="BQ16" i="13"/>
  <c r="BR16" i="13"/>
  <c r="BW16" i="13"/>
  <c r="BX16" i="13"/>
  <c r="BY16" i="13"/>
  <c r="CD16" i="13"/>
  <c r="CE16" i="13"/>
  <c r="CF16" i="13"/>
  <c r="CK16" i="13"/>
  <c r="CL16" i="13"/>
  <c r="CM16" i="13"/>
  <c r="CN16" i="13"/>
  <c r="CO16" i="13"/>
  <c r="CP16" i="13"/>
  <c r="CQ16" i="13"/>
  <c r="A17" i="13"/>
  <c r="B17" i="13"/>
  <c r="H17" i="13"/>
  <c r="L17" i="13"/>
  <c r="M17" i="13"/>
  <c r="N17" i="13"/>
  <c r="S17" i="13"/>
  <c r="T17" i="13"/>
  <c r="U17" i="13"/>
  <c r="Z17" i="13"/>
  <c r="AA17" i="13"/>
  <c r="AB17" i="13"/>
  <c r="AG17" i="13"/>
  <c r="AH17" i="13"/>
  <c r="AI17" i="13"/>
  <c r="AM17" i="13"/>
  <c r="AN17" i="13"/>
  <c r="AO17" i="13"/>
  <c r="AP17" i="13"/>
  <c r="AU17" i="13"/>
  <c r="AV17" i="13"/>
  <c r="AW17" i="13"/>
  <c r="BB17" i="13"/>
  <c r="BC17" i="13"/>
  <c r="BD17" i="13"/>
  <c r="BI17" i="13"/>
  <c r="BJ17" i="13"/>
  <c r="BK17" i="13"/>
  <c r="BP17" i="13"/>
  <c r="BQ17" i="13"/>
  <c r="BR17" i="13"/>
  <c r="BW17" i="13"/>
  <c r="BX17" i="13"/>
  <c r="BY17" i="13"/>
  <c r="CD17" i="13"/>
  <c r="CE17" i="13"/>
  <c r="CF17" i="13"/>
  <c r="CK17" i="13"/>
  <c r="CL17" i="13"/>
  <c r="CM17" i="13"/>
  <c r="CN17" i="13"/>
  <c r="CO17" i="13"/>
  <c r="CP17" i="13"/>
  <c r="CQ17" i="13"/>
  <c r="A18" i="13"/>
  <c r="B18" i="13"/>
  <c r="G18" i="13"/>
  <c r="H18" i="13"/>
  <c r="L18" i="13"/>
  <c r="M18" i="13"/>
  <c r="N18" i="13"/>
  <c r="S18" i="13"/>
  <c r="T18" i="13"/>
  <c r="U18" i="13"/>
  <c r="Z18" i="13"/>
  <c r="AA18" i="13"/>
  <c r="AB18" i="13"/>
  <c r="AG18" i="13"/>
  <c r="AH18" i="13"/>
  <c r="AI18" i="13"/>
  <c r="AM18" i="13"/>
  <c r="AN18" i="13"/>
  <c r="AO18" i="13"/>
  <c r="AP18" i="13"/>
  <c r="AU18" i="13"/>
  <c r="AV18" i="13"/>
  <c r="AW18" i="13"/>
  <c r="BB18" i="13"/>
  <c r="BC18" i="13"/>
  <c r="BD18" i="13"/>
  <c r="BI18" i="13"/>
  <c r="BJ18" i="13"/>
  <c r="BK18" i="13"/>
  <c r="BP18" i="13"/>
  <c r="BQ18" i="13"/>
  <c r="BR18" i="13"/>
  <c r="BW18" i="13"/>
  <c r="BX18" i="13"/>
  <c r="BY18" i="13"/>
  <c r="CD18" i="13"/>
  <c r="CE18" i="13"/>
  <c r="CF18" i="13"/>
  <c r="CK18" i="13"/>
  <c r="CL18" i="13"/>
  <c r="CM18" i="13"/>
  <c r="CN18" i="13"/>
  <c r="CO18" i="13"/>
  <c r="CP18" i="13"/>
  <c r="CQ18" i="13"/>
  <c r="A19" i="13"/>
  <c r="B19" i="13"/>
  <c r="H19" i="13"/>
  <c r="L19" i="13"/>
  <c r="M19" i="13"/>
  <c r="N19" i="13"/>
  <c r="S19" i="13"/>
  <c r="T19" i="13"/>
  <c r="U19" i="13"/>
  <c r="Z19" i="13"/>
  <c r="AA19" i="13"/>
  <c r="AB19" i="13"/>
  <c r="AG19" i="13"/>
  <c r="AH19" i="13"/>
  <c r="AI19" i="13"/>
  <c r="AM19" i="13"/>
  <c r="AN19" i="13"/>
  <c r="AO19" i="13"/>
  <c r="AP19" i="13"/>
  <c r="AU19" i="13"/>
  <c r="AV19" i="13"/>
  <c r="AW19" i="13"/>
  <c r="BB19" i="13"/>
  <c r="BC19" i="13"/>
  <c r="BD19" i="13"/>
  <c r="BI19" i="13"/>
  <c r="BJ19" i="13"/>
  <c r="BK19" i="13"/>
  <c r="BP19" i="13"/>
  <c r="BQ19" i="13"/>
  <c r="BR19" i="13"/>
  <c r="BW19" i="13"/>
  <c r="BX19" i="13"/>
  <c r="BY19" i="13"/>
  <c r="CD19" i="13"/>
  <c r="CE19" i="13"/>
  <c r="CF19" i="13"/>
  <c r="CK19" i="13"/>
  <c r="CL19" i="13"/>
  <c r="CM19" i="13"/>
  <c r="CN19" i="13"/>
  <c r="CO19" i="13"/>
  <c r="CP19" i="13"/>
  <c r="CQ19" i="13"/>
  <c r="A20" i="13"/>
  <c r="B20" i="13"/>
  <c r="H20" i="13"/>
  <c r="L20" i="13"/>
  <c r="M20" i="13"/>
  <c r="N20" i="13"/>
  <c r="S20" i="13"/>
  <c r="T20" i="13"/>
  <c r="U20" i="13"/>
  <c r="Z20" i="13"/>
  <c r="AA20" i="13"/>
  <c r="AB20" i="13"/>
  <c r="AG20" i="13"/>
  <c r="AH20" i="13"/>
  <c r="AI20" i="13"/>
  <c r="AM20" i="13"/>
  <c r="AN20" i="13"/>
  <c r="AO20" i="13"/>
  <c r="AP20" i="13"/>
  <c r="AU20" i="13"/>
  <c r="AV20" i="13"/>
  <c r="AW20" i="13"/>
  <c r="BB20" i="13"/>
  <c r="BC20" i="13"/>
  <c r="BD20" i="13"/>
  <c r="BI20" i="13"/>
  <c r="BJ20" i="13"/>
  <c r="BK20" i="13"/>
  <c r="BP20" i="13"/>
  <c r="BQ20" i="13"/>
  <c r="BR20" i="13"/>
  <c r="BW20" i="13"/>
  <c r="BX20" i="13"/>
  <c r="BY20" i="13"/>
  <c r="CD20" i="13"/>
  <c r="CE20" i="13"/>
  <c r="CF20" i="13"/>
  <c r="CK20" i="13"/>
  <c r="CL20" i="13"/>
  <c r="CM20" i="13"/>
  <c r="CN20" i="13"/>
  <c r="CO20" i="13"/>
  <c r="CP20" i="13"/>
  <c r="CQ20" i="13"/>
  <c r="A21" i="13"/>
  <c r="B21" i="13"/>
  <c r="E21" i="13"/>
  <c r="H21" i="13"/>
  <c r="L21" i="13"/>
  <c r="M21" i="13"/>
  <c r="N21" i="13"/>
  <c r="S21" i="13"/>
  <c r="T21" i="13"/>
  <c r="U21" i="13"/>
  <c r="Z21" i="13"/>
  <c r="AA21" i="13"/>
  <c r="AB21" i="13"/>
  <c r="AG21" i="13"/>
  <c r="AH21" i="13"/>
  <c r="AI21" i="13"/>
  <c r="AO21" i="13"/>
  <c r="AP21" i="13"/>
  <c r="AU21" i="13"/>
  <c r="AV21" i="13"/>
  <c r="AW21" i="13"/>
  <c r="BB21" i="13"/>
  <c r="BC21" i="13"/>
  <c r="BD21" i="13"/>
  <c r="BI21" i="13"/>
  <c r="BJ21" i="13"/>
  <c r="BK21" i="13"/>
  <c r="BP21" i="13"/>
  <c r="BQ21" i="13"/>
  <c r="BR21" i="13"/>
  <c r="BW21" i="13"/>
  <c r="BX21" i="13"/>
  <c r="BY21" i="13"/>
  <c r="CD21" i="13"/>
  <c r="CE21" i="13"/>
  <c r="CF21" i="13"/>
  <c r="CK21" i="13"/>
  <c r="CL21" i="13"/>
  <c r="CM21" i="13"/>
  <c r="CN21" i="13"/>
  <c r="CO21" i="13"/>
  <c r="CP21" i="13"/>
  <c r="CQ21" i="13"/>
  <c r="A22" i="13"/>
  <c r="B22" i="13"/>
  <c r="H22" i="13"/>
  <c r="L22" i="13"/>
  <c r="M22" i="13"/>
  <c r="N22" i="13"/>
  <c r="S22" i="13"/>
  <c r="T22" i="13"/>
  <c r="U22" i="13"/>
  <c r="Z22" i="13"/>
  <c r="AA22" i="13"/>
  <c r="AB22" i="13"/>
  <c r="AG22" i="13"/>
  <c r="AH22" i="13"/>
  <c r="AI22" i="13"/>
  <c r="AN22" i="13"/>
  <c r="AO22" i="13"/>
  <c r="AP22" i="13"/>
  <c r="AU22" i="13"/>
  <c r="AV22" i="13"/>
  <c r="AW22" i="13"/>
  <c r="BB22" i="13"/>
  <c r="BC22" i="13"/>
  <c r="BD22" i="13"/>
  <c r="BI22" i="13"/>
  <c r="BJ22" i="13"/>
  <c r="BK22" i="13"/>
  <c r="BP22" i="13"/>
  <c r="BQ22" i="13"/>
  <c r="BR22" i="13"/>
  <c r="BW22" i="13"/>
  <c r="BX22" i="13"/>
  <c r="BY22" i="13"/>
  <c r="CD22" i="13"/>
  <c r="CE22" i="13"/>
  <c r="CF22" i="13"/>
  <c r="CK22" i="13"/>
  <c r="CL22" i="13"/>
  <c r="CM22" i="13"/>
  <c r="CN22" i="13"/>
  <c r="CO22" i="13"/>
  <c r="CP22" i="13"/>
  <c r="CQ22" i="13"/>
  <c r="A23" i="13"/>
  <c r="B23" i="13"/>
  <c r="H23" i="13"/>
  <c r="L23" i="13"/>
  <c r="M23" i="13"/>
  <c r="N23" i="13"/>
  <c r="S23" i="13"/>
  <c r="T23" i="13"/>
  <c r="U23" i="13"/>
  <c r="Z23" i="13"/>
  <c r="AA23" i="13"/>
  <c r="AB23" i="13"/>
  <c r="AG23" i="13"/>
  <c r="AH23" i="13"/>
  <c r="AI23" i="13"/>
  <c r="AN23" i="13"/>
  <c r="AO23" i="13"/>
  <c r="AP23" i="13"/>
  <c r="AU23" i="13"/>
  <c r="AV23" i="13"/>
  <c r="AW23" i="13"/>
  <c r="BB23" i="13"/>
  <c r="BC23" i="13"/>
  <c r="BD23" i="13"/>
  <c r="BI23" i="13"/>
  <c r="BJ23" i="13"/>
  <c r="BK23" i="13"/>
  <c r="BP23" i="13"/>
  <c r="BQ23" i="13"/>
  <c r="BR23" i="13"/>
  <c r="BW23" i="13"/>
  <c r="BX23" i="13"/>
  <c r="BY23" i="13"/>
  <c r="CD23" i="13"/>
  <c r="CE23" i="13"/>
  <c r="CF23" i="13"/>
  <c r="CK23" i="13"/>
  <c r="CL23" i="13"/>
  <c r="CM23" i="13"/>
  <c r="CN23" i="13"/>
  <c r="CO23" i="13"/>
  <c r="CP23" i="13"/>
  <c r="CQ23" i="13"/>
  <c r="A24" i="13"/>
  <c r="B24" i="13"/>
  <c r="H24" i="13"/>
  <c r="L24" i="13"/>
  <c r="M24" i="13"/>
  <c r="N24" i="13"/>
  <c r="S24" i="13"/>
  <c r="T24" i="13"/>
  <c r="U24" i="13"/>
  <c r="Z24" i="13"/>
  <c r="AA24" i="13"/>
  <c r="AB24" i="13"/>
  <c r="AG24" i="13"/>
  <c r="AH24" i="13"/>
  <c r="AI24" i="13"/>
  <c r="AN24" i="13"/>
  <c r="AO24" i="13"/>
  <c r="AP24" i="13"/>
  <c r="AU24" i="13"/>
  <c r="AV24" i="13"/>
  <c r="AW24" i="13"/>
  <c r="BB24" i="13"/>
  <c r="BC24" i="13"/>
  <c r="BD24" i="13"/>
  <c r="BI24" i="13"/>
  <c r="BJ24" i="13"/>
  <c r="BK24" i="13"/>
  <c r="BP24" i="13"/>
  <c r="BQ24" i="13"/>
  <c r="BR24" i="13"/>
  <c r="BW24" i="13"/>
  <c r="BX24" i="13"/>
  <c r="BY24" i="13"/>
  <c r="CD24" i="13"/>
  <c r="CE24" i="13"/>
  <c r="CF24" i="13"/>
  <c r="CK24" i="13"/>
  <c r="CL24" i="13"/>
  <c r="CM24" i="13"/>
  <c r="CN24" i="13"/>
  <c r="CO24" i="13"/>
  <c r="CP24" i="13"/>
  <c r="CQ24" i="13"/>
  <c r="A25" i="13"/>
  <c r="B25" i="13"/>
  <c r="H25" i="13"/>
  <c r="L25" i="13"/>
  <c r="M25" i="13"/>
  <c r="N25" i="13"/>
  <c r="S25" i="13"/>
  <c r="T25" i="13"/>
  <c r="U25" i="13"/>
  <c r="Z25" i="13"/>
  <c r="AA25" i="13"/>
  <c r="AB25" i="13"/>
  <c r="AG25" i="13"/>
  <c r="AH25" i="13"/>
  <c r="AI25" i="13"/>
  <c r="AN25" i="13"/>
  <c r="AO25" i="13"/>
  <c r="AP25" i="13"/>
  <c r="AU25" i="13"/>
  <c r="AV25" i="13"/>
  <c r="AW25" i="13"/>
  <c r="BB25" i="13"/>
  <c r="BC25" i="13"/>
  <c r="BD25" i="13"/>
  <c r="BI25" i="13"/>
  <c r="BJ25" i="13"/>
  <c r="BK25" i="13"/>
  <c r="BP25" i="13"/>
  <c r="BQ25" i="13"/>
  <c r="BR25" i="13"/>
  <c r="BW25" i="13"/>
  <c r="BX25" i="13"/>
  <c r="BY25" i="13"/>
  <c r="CD25" i="13"/>
  <c r="CE25" i="13"/>
  <c r="CF25" i="13"/>
  <c r="CK25" i="13"/>
  <c r="CL25" i="13"/>
  <c r="CM25" i="13"/>
  <c r="CN25" i="13"/>
  <c r="CO25" i="13"/>
  <c r="CP25" i="13"/>
  <c r="CQ25" i="13"/>
  <c r="A26" i="13"/>
  <c r="B26" i="13"/>
  <c r="H26" i="13"/>
  <c r="L26" i="13"/>
  <c r="M26" i="13"/>
  <c r="N26" i="13"/>
  <c r="S26" i="13"/>
  <c r="T26" i="13"/>
  <c r="U26" i="13"/>
  <c r="Z26" i="13"/>
  <c r="AA26" i="13"/>
  <c r="AB26" i="13"/>
  <c r="AG26" i="13"/>
  <c r="AH26" i="13"/>
  <c r="AI26" i="13"/>
  <c r="AN26" i="13"/>
  <c r="AO26" i="13"/>
  <c r="AP26" i="13"/>
  <c r="AU26" i="13"/>
  <c r="AV26" i="13"/>
  <c r="AW26" i="13"/>
  <c r="BB26" i="13"/>
  <c r="BC26" i="13"/>
  <c r="BD26" i="13"/>
  <c r="BI26" i="13"/>
  <c r="BJ26" i="13"/>
  <c r="BK26" i="13"/>
  <c r="BP26" i="13"/>
  <c r="BQ26" i="13"/>
  <c r="BR26" i="13"/>
  <c r="BW26" i="13"/>
  <c r="BX26" i="13"/>
  <c r="BY26" i="13"/>
  <c r="CD26" i="13"/>
  <c r="CE26" i="13"/>
  <c r="CF26" i="13"/>
  <c r="CK26" i="13"/>
  <c r="CL26" i="13"/>
  <c r="CM26" i="13"/>
  <c r="CN26" i="13"/>
  <c r="CO26" i="13"/>
  <c r="CP26" i="13"/>
  <c r="CQ26" i="13"/>
  <c r="A27" i="13"/>
  <c r="B27" i="13"/>
  <c r="H27" i="13"/>
  <c r="L27" i="13"/>
  <c r="M27" i="13"/>
  <c r="N27" i="13"/>
  <c r="S27" i="13"/>
  <c r="T27" i="13"/>
  <c r="U27" i="13"/>
  <c r="Z27" i="13"/>
  <c r="AA27" i="13"/>
  <c r="AB27" i="13"/>
  <c r="AG27" i="13"/>
  <c r="AH27" i="13"/>
  <c r="AI27" i="13"/>
  <c r="AK27" i="13"/>
  <c r="AN27" i="13"/>
  <c r="AO27" i="13"/>
  <c r="AP27" i="13"/>
  <c r="AU27" i="13"/>
  <c r="AV27" i="13"/>
  <c r="AW27" i="13"/>
  <c r="BB27" i="13"/>
  <c r="BC27" i="13"/>
  <c r="BD27" i="13"/>
  <c r="BI27" i="13"/>
  <c r="BJ27" i="13"/>
  <c r="BK27" i="13"/>
  <c r="BP27" i="13"/>
  <c r="BQ27" i="13"/>
  <c r="BR27" i="13"/>
  <c r="BW27" i="13"/>
  <c r="BX27" i="13"/>
  <c r="BY27" i="13"/>
  <c r="CD27" i="13"/>
  <c r="CE27" i="13"/>
  <c r="CF27" i="13"/>
  <c r="CK27" i="13"/>
  <c r="CL27" i="13"/>
  <c r="CM27" i="13"/>
  <c r="CN27" i="13"/>
  <c r="CO27" i="13"/>
  <c r="CP27" i="13"/>
  <c r="CQ27" i="13"/>
  <c r="A28" i="13"/>
  <c r="B28" i="13"/>
  <c r="L28" i="13"/>
  <c r="M28" i="13"/>
  <c r="N28" i="13"/>
  <c r="S28" i="13"/>
  <c r="T28" i="13"/>
  <c r="U28" i="13"/>
  <c r="Z28" i="13"/>
  <c r="AA28" i="13"/>
  <c r="AB28" i="13"/>
  <c r="AG28" i="13"/>
  <c r="AH28" i="13"/>
  <c r="AI28" i="13"/>
  <c r="AK28" i="13"/>
  <c r="AN28" i="13"/>
  <c r="AO28" i="13"/>
  <c r="AP28" i="13"/>
  <c r="AU28" i="13"/>
  <c r="AV28" i="13"/>
  <c r="AW28" i="13"/>
  <c r="BB28" i="13"/>
  <c r="BC28" i="13"/>
  <c r="BD28" i="13"/>
  <c r="BI28" i="13"/>
  <c r="BJ28" i="13"/>
  <c r="BK28" i="13"/>
  <c r="BP28" i="13"/>
  <c r="BQ28" i="13"/>
  <c r="BR28" i="13"/>
  <c r="BW28" i="13"/>
  <c r="BX28" i="13"/>
  <c r="BY28" i="13"/>
  <c r="CD28" i="13"/>
  <c r="CE28" i="13"/>
  <c r="CF28" i="13"/>
  <c r="CK28" i="13"/>
  <c r="CL28" i="13"/>
  <c r="CM28" i="13"/>
  <c r="CN28" i="13"/>
  <c r="CO28" i="13"/>
  <c r="CP28" i="13"/>
  <c r="CQ28" i="13"/>
  <c r="A29" i="13"/>
  <c r="B29" i="13"/>
  <c r="L29" i="13"/>
  <c r="M29" i="13"/>
  <c r="N29" i="13"/>
  <c r="S29" i="13"/>
  <c r="T29" i="13"/>
  <c r="U29" i="13"/>
  <c r="Z29" i="13"/>
  <c r="AA29" i="13"/>
  <c r="AB29" i="13"/>
  <c r="AG29" i="13"/>
  <c r="AH29" i="13"/>
  <c r="AI29" i="13"/>
  <c r="AN29" i="13"/>
  <c r="AO29" i="13"/>
  <c r="AP29" i="13"/>
  <c r="AU29" i="13"/>
  <c r="AV29" i="13"/>
  <c r="AW29" i="13"/>
  <c r="BB29" i="13"/>
  <c r="BC29" i="13"/>
  <c r="BD29" i="13"/>
  <c r="BI29" i="13"/>
  <c r="BJ29" i="13"/>
  <c r="BK29" i="13"/>
  <c r="BP29" i="13"/>
  <c r="BQ29" i="13"/>
  <c r="BR29" i="13"/>
  <c r="BW29" i="13"/>
  <c r="BX29" i="13"/>
  <c r="BY29" i="13"/>
  <c r="CD29" i="13"/>
  <c r="CE29" i="13"/>
  <c r="CF29" i="13"/>
  <c r="CK29" i="13"/>
  <c r="CL29" i="13"/>
  <c r="CM29" i="13"/>
  <c r="CN29" i="13"/>
  <c r="CO29" i="13"/>
  <c r="CP29" i="13"/>
  <c r="CQ29" i="13"/>
  <c r="A30" i="13"/>
  <c r="B30" i="13"/>
  <c r="L30" i="13"/>
  <c r="M30" i="13"/>
  <c r="N30" i="13"/>
  <c r="S30" i="13"/>
  <c r="T30" i="13"/>
  <c r="U30" i="13"/>
  <c r="Z30" i="13"/>
  <c r="AA30" i="13"/>
  <c r="AB30" i="13"/>
  <c r="AG30" i="13"/>
  <c r="AH30" i="13"/>
  <c r="AI30" i="13"/>
  <c r="AN30" i="13"/>
  <c r="AO30" i="13"/>
  <c r="AP30" i="13"/>
  <c r="AU30" i="13"/>
  <c r="AV30" i="13"/>
  <c r="AW30" i="13"/>
  <c r="BB30" i="13"/>
  <c r="BC30" i="13"/>
  <c r="BD30" i="13"/>
  <c r="BI30" i="13"/>
  <c r="BJ30" i="13"/>
  <c r="BK30" i="13"/>
  <c r="BP30" i="13"/>
  <c r="BQ30" i="13"/>
  <c r="BR30" i="13"/>
  <c r="BW30" i="13"/>
  <c r="BX30" i="13"/>
  <c r="BY30" i="13"/>
  <c r="CD30" i="13"/>
  <c r="CE30" i="13"/>
  <c r="CF30" i="13"/>
  <c r="CK30" i="13"/>
  <c r="CL30" i="13"/>
  <c r="CM30" i="13"/>
  <c r="CN30" i="13"/>
  <c r="CO30" i="13"/>
  <c r="CP30" i="13"/>
  <c r="CQ30" i="13"/>
  <c r="A31" i="13"/>
  <c r="B31" i="13"/>
  <c r="L31" i="13"/>
  <c r="M31" i="13"/>
  <c r="N31" i="13"/>
  <c r="S31" i="13"/>
  <c r="T31" i="13"/>
  <c r="U31" i="13"/>
  <c r="Z31" i="13"/>
  <c r="AA31" i="13"/>
  <c r="AB31" i="13"/>
  <c r="AG31" i="13"/>
  <c r="AH31" i="13"/>
  <c r="AI31" i="13"/>
  <c r="AN31" i="13"/>
  <c r="AO31" i="13"/>
  <c r="AP31" i="13"/>
  <c r="AU31" i="13"/>
  <c r="AV31" i="13"/>
  <c r="AW31" i="13"/>
  <c r="BB31" i="13"/>
  <c r="BC31" i="13"/>
  <c r="BD31" i="13"/>
  <c r="BI31" i="13"/>
  <c r="BJ31" i="13"/>
  <c r="BK31" i="13"/>
  <c r="BP31" i="13"/>
  <c r="BQ31" i="13"/>
  <c r="BR31" i="13"/>
  <c r="BW31" i="13"/>
  <c r="BX31" i="13"/>
  <c r="BY31" i="13"/>
  <c r="CD31" i="13"/>
  <c r="CE31" i="13"/>
  <c r="CF31" i="13"/>
  <c r="CK31" i="13"/>
  <c r="CL31" i="13"/>
  <c r="CM31" i="13"/>
  <c r="CN31" i="13"/>
  <c r="CO31" i="13"/>
  <c r="CP31" i="13"/>
  <c r="CQ31" i="13"/>
  <c r="A32" i="13"/>
  <c r="B32" i="13"/>
  <c r="D32" i="13"/>
  <c r="L32" i="13"/>
  <c r="M32" i="13"/>
  <c r="N32" i="13"/>
  <c r="S32" i="13"/>
  <c r="T32" i="13"/>
  <c r="U32" i="13"/>
  <c r="Z32" i="13"/>
  <c r="AA32" i="13"/>
  <c r="AB32" i="13"/>
  <c r="AG32" i="13"/>
  <c r="AH32" i="13"/>
  <c r="AI32" i="13"/>
  <c r="AN32" i="13"/>
  <c r="AO32" i="13"/>
  <c r="AP32" i="13"/>
  <c r="AU32" i="13"/>
  <c r="AV32" i="13"/>
  <c r="AW32" i="13"/>
  <c r="BB32" i="13"/>
  <c r="BC32" i="13"/>
  <c r="BD32" i="13"/>
  <c r="BI32" i="13"/>
  <c r="BJ32" i="13"/>
  <c r="BK32" i="13"/>
  <c r="BP32" i="13"/>
  <c r="BQ32" i="13"/>
  <c r="BR32" i="13"/>
  <c r="BW32" i="13"/>
  <c r="BX32" i="13"/>
  <c r="BY32" i="13"/>
  <c r="CD32" i="13"/>
  <c r="CE32" i="13"/>
  <c r="CF32" i="13"/>
  <c r="CK32" i="13"/>
  <c r="CL32" i="13"/>
  <c r="CM32" i="13"/>
  <c r="CN32" i="13"/>
  <c r="CO32" i="13"/>
  <c r="CP32" i="13"/>
  <c r="CQ32" i="13"/>
  <c r="A33" i="13"/>
  <c r="B33" i="13"/>
  <c r="G33" i="13"/>
  <c r="H33" i="13"/>
  <c r="L33" i="13"/>
  <c r="M33" i="13"/>
  <c r="N33" i="13"/>
  <c r="R33" i="13"/>
  <c r="S33" i="13"/>
  <c r="T33" i="13"/>
  <c r="U33" i="13"/>
  <c r="Z33" i="13"/>
  <c r="AA33" i="13"/>
  <c r="AB33" i="13"/>
  <c r="AG33" i="13"/>
  <c r="AH33" i="13"/>
  <c r="AI33" i="13"/>
  <c r="AM33" i="13"/>
  <c r="AN33" i="13"/>
  <c r="AO33" i="13"/>
  <c r="AP33" i="13"/>
  <c r="AU33" i="13"/>
  <c r="AV33" i="13"/>
  <c r="AW33" i="13"/>
  <c r="BB33" i="13"/>
  <c r="BC33" i="13"/>
  <c r="BD33" i="13"/>
  <c r="BI33" i="13"/>
  <c r="BJ33" i="13"/>
  <c r="BK33" i="13"/>
  <c r="BP33" i="13"/>
  <c r="BQ33" i="13"/>
  <c r="BR33" i="13"/>
  <c r="BW33" i="13"/>
  <c r="BX33" i="13"/>
  <c r="BY33" i="13"/>
  <c r="CD33" i="13"/>
  <c r="CE33" i="13"/>
  <c r="CF33" i="13"/>
  <c r="CK33" i="13"/>
  <c r="CL33" i="13"/>
  <c r="CM33" i="13"/>
  <c r="CN33" i="13"/>
  <c r="CO33" i="13"/>
  <c r="CP33" i="13"/>
  <c r="CQ33" i="13"/>
  <c r="A34" i="13"/>
  <c r="B34" i="13"/>
  <c r="H34" i="13"/>
  <c r="L34" i="13"/>
  <c r="M34" i="13"/>
  <c r="N34" i="13"/>
  <c r="S34" i="13"/>
  <c r="T34" i="13"/>
  <c r="U34" i="13"/>
  <c r="Z34" i="13"/>
  <c r="AA34" i="13"/>
  <c r="AB34" i="13"/>
  <c r="AG34" i="13"/>
  <c r="AH34" i="13"/>
  <c r="AI34" i="13"/>
  <c r="AN34" i="13"/>
  <c r="AO34" i="13"/>
  <c r="AP34" i="13"/>
  <c r="AU34" i="13"/>
  <c r="AV34" i="13"/>
  <c r="AW34" i="13"/>
  <c r="BB34" i="13"/>
  <c r="BC34" i="13"/>
  <c r="BD34" i="13"/>
  <c r="BI34" i="13"/>
  <c r="BJ34" i="13"/>
  <c r="BK34" i="13"/>
  <c r="BP34" i="13"/>
  <c r="BQ34" i="13"/>
  <c r="BR34" i="13"/>
  <c r="BW34" i="13"/>
  <c r="BX34" i="13"/>
  <c r="BY34" i="13"/>
  <c r="CD34" i="13"/>
  <c r="CE34" i="13"/>
  <c r="CF34" i="13"/>
  <c r="CK34" i="13"/>
  <c r="CL34" i="13"/>
  <c r="CM34" i="13"/>
  <c r="CN34" i="13"/>
  <c r="CO34" i="13"/>
  <c r="CP34" i="13"/>
  <c r="CQ34" i="13"/>
  <c r="A35" i="13"/>
  <c r="B35" i="13"/>
  <c r="E35" i="13"/>
  <c r="H35" i="13"/>
  <c r="L35" i="13"/>
  <c r="M35" i="13"/>
  <c r="N35" i="13"/>
  <c r="R35" i="13"/>
  <c r="S35" i="13"/>
  <c r="T35" i="13"/>
  <c r="U35" i="13"/>
  <c r="Z35" i="13"/>
  <c r="AA35" i="13"/>
  <c r="AB35" i="13"/>
  <c r="AG35" i="13"/>
  <c r="AH35" i="13"/>
  <c r="AI35" i="13"/>
  <c r="AN35" i="13"/>
  <c r="AO35" i="13"/>
  <c r="AP35" i="13"/>
  <c r="AU35" i="13"/>
  <c r="AV35" i="13"/>
  <c r="AW35" i="13"/>
  <c r="BB35" i="13"/>
  <c r="BC35" i="13"/>
  <c r="BD35" i="13"/>
  <c r="BI35" i="13"/>
  <c r="BJ35" i="13"/>
  <c r="BK35" i="13"/>
  <c r="BP35" i="13"/>
  <c r="BQ35" i="13"/>
  <c r="BR35" i="13"/>
  <c r="BW35" i="13"/>
  <c r="BX35" i="13"/>
  <c r="BY35" i="13"/>
  <c r="CD35" i="13"/>
  <c r="CE35" i="13"/>
  <c r="CF35" i="13"/>
  <c r="CK35" i="13"/>
  <c r="CL35" i="13"/>
  <c r="CM35" i="13"/>
  <c r="CN35" i="13"/>
  <c r="CO35" i="13"/>
  <c r="CP35" i="13"/>
  <c r="CQ35" i="13"/>
  <c r="C37" i="13"/>
  <c r="D37" i="13"/>
  <c r="E37" i="13"/>
  <c r="F37" i="13"/>
  <c r="G37" i="13"/>
  <c r="H37" i="13"/>
  <c r="I37" i="13"/>
  <c r="J37" i="13"/>
  <c r="K37" i="13"/>
  <c r="L37" i="13"/>
  <c r="M37" i="13"/>
  <c r="O37" i="13"/>
  <c r="P37" i="13"/>
  <c r="Q37" i="13"/>
  <c r="R37" i="13"/>
  <c r="S37" i="13"/>
  <c r="T37" i="13"/>
  <c r="V37" i="13"/>
  <c r="W37" i="13"/>
  <c r="X37" i="13"/>
  <c r="Y37" i="13"/>
  <c r="Z37" i="13"/>
  <c r="AA37" i="13"/>
  <c r="AC37" i="13"/>
  <c r="AD37" i="13"/>
  <c r="AE37" i="13"/>
  <c r="AF37" i="13"/>
  <c r="AG37" i="13"/>
  <c r="AH37" i="13"/>
  <c r="AJ37" i="13"/>
  <c r="AK37" i="13"/>
  <c r="AL37" i="13"/>
  <c r="AM37" i="13"/>
  <c r="AN37" i="13"/>
  <c r="AO37" i="13"/>
  <c r="AQ37" i="13"/>
  <c r="AR37" i="13"/>
  <c r="AS37" i="13"/>
  <c r="AT37" i="13"/>
  <c r="AU37" i="13"/>
  <c r="AV37" i="13"/>
  <c r="AX37" i="13"/>
  <c r="AY37" i="13"/>
  <c r="AZ37" i="13"/>
  <c r="BA37" i="13"/>
  <c r="BB37" i="13"/>
  <c r="BC37" i="13"/>
  <c r="BE37" i="13"/>
  <c r="BF37" i="13"/>
  <c r="BG37" i="13"/>
  <c r="BH37" i="13"/>
  <c r="BI37" i="13"/>
  <c r="BJ37" i="13"/>
  <c r="BL37" i="13"/>
  <c r="BM37" i="13"/>
  <c r="BN37" i="13"/>
  <c r="BO37" i="13"/>
  <c r="BP37" i="13"/>
  <c r="BQ37" i="13"/>
  <c r="BS37" i="13"/>
  <c r="BT37" i="13"/>
  <c r="BU37" i="13"/>
  <c r="BV37" i="13"/>
  <c r="BW37" i="13"/>
  <c r="BX37" i="13"/>
  <c r="BZ37" i="13"/>
  <c r="CA37" i="13"/>
  <c r="CB37" i="13"/>
  <c r="CC37" i="13"/>
  <c r="CD37" i="13"/>
  <c r="CE37" i="13"/>
  <c r="CG37" i="13"/>
  <c r="CH37" i="13"/>
  <c r="CI37" i="13"/>
  <c r="CJ37" i="13"/>
  <c r="CK37" i="13"/>
  <c r="CL37" i="13"/>
  <c r="CN37" i="13"/>
  <c r="CO37" i="13"/>
  <c r="CP37" i="13"/>
  <c r="D100" i="13"/>
  <c r="E100" i="13"/>
  <c r="F100" i="13"/>
  <c r="G100" i="13"/>
  <c r="I100" i="13"/>
  <c r="J100" i="13"/>
  <c r="K100" i="13"/>
  <c r="P100" i="13"/>
  <c r="Q100" i="13"/>
  <c r="R100" i="13"/>
  <c r="W100" i="13"/>
  <c r="X100" i="13"/>
  <c r="Y100" i="13"/>
  <c r="D101" i="13"/>
  <c r="E101" i="13"/>
  <c r="F101" i="13"/>
  <c r="G101" i="13"/>
  <c r="I101" i="13"/>
  <c r="J101" i="13"/>
  <c r="K101" i="13"/>
  <c r="P101" i="13"/>
  <c r="Q101" i="13"/>
  <c r="R101" i="13"/>
  <c r="W101" i="13"/>
  <c r="X101" i="13"/>
  <c r="Y101" i="13"/>
  <c r="D102" i="13"/>
  <c r="E102" i="13"/>
  <c r="F102" i="13"/>
  <c r="G102" i="13"/>
  <c r="I102" i="13"/>
  <c r="J102" i="13"/>
  <c r="K102" i="13"/>
  <c r="P102" i="13"/>
  <c r="Q102" i="13"/>
  <c r="R102" i="13"/>
  <c r="W102" i="13"/>
  <c r="X102" i="13"/>
  <c r="Y102" i="13"/>
  <c r="D103" i="13"/>
  <c r="E103" i="13"/>
  <c r="F103" i="13"/>
  <c r="G103" i="13"/>
  <c r="I103" i="13"/>
  <c r="J103" i="13"/>
  <c r="K103" i="13"/>
  <c r="P103" i="13"/>
  <c r="Q103" i="13"/>
  <c r="R103" i="13"/>
  <c r="W103" i="13"/>
  <c r="X103" i="13"/>
  <c r="Y103" i="13"/>
  <c r="C105" i="13"/>
  <c r="D105" i="13"/>
  <c r="E105" i="13"/>
  <c r="F105" i="13"/>
  <c r="G105" i="13"/>
  <c r="I105" i="13"/>
  <c r="J105" i="13"/>
  <c r="K105" i="13"/>
  <c r="P105" i="13"/>
  <c r="Q105" i="13"/>
  <c r="R105" i="13"/>
  <c r="W105" i="13"/>
  <c r="X105" i="13"/>
  <c r="Y105" i="13"/>
  <c r="A2" i="267"/>
  <c r="A6" i="267"/>
  <c r="C6" i="267"/>
  <c r="D6" i="267"/>
  <c r="E6" i="267"/>
  <c r="F6" i="267"/>
  <c r="G6" i="267"/>
  <c r="A7" i="267"/>
  <c r="C7" i="267"/>
  <c r="D7" i="267"/>
  <c r="E7" i="267"/>
  <c r="F7" i="267"/>
  <c r="G7" i="267"/>
  <c r="A8" i="267"/>
  <c r="C8" i="267"/>
  <c r="D8" i="267"/>
  <c r="E8" i="267"/>
  <c r="F8" i="267"/>
  <c r="G8" i="267"/>
  <c r="A9" i="267"/>
  <c r="C9" i="267"/>
  <c r="D9" i="267"/>
  <c r="E9" i="267"/>
  <c r="F9" i="267"/>
  <c r="G9" i="267"/>
  <c r="A10" i="267"/>
  <c r="C10" i="267"/>
  <c r="D10" i="267"/>
  <c r="E10" i="267"/>
  <c r="F10" i="267"/>
  <c r="G10" i="267"/>
  <c r="A11" i="267"/>
  <c r="C11" i="267"/>
  <c r="D11" i="267"/>
  <c r="E11" i="267"/>
  <c r="F11" i="267"/>
  <c r="G11" i="267"/>
  <c r="A12" i="267"/>
  <c r="C12" i="267"/>
  <c r="D12" i="267"/>
  <c r="E12" i="267"/>
  <c r="F12" i="267"/>
  <c r="G12" i="267"/>
  <c r="A13" i="267"/>
  <c r="C13" i="267"/>
  <c r="D13" i="267"/>
  <c r="E13" i="267"/>
  <c r="F13" i="267"/>
  <c r="G13" i="267"/>
  <c r="A14" i="267"/>
  <c r="C14" i="267"/>
  <c r="D14" i="267"/>
  <c r="E14" i="267"/>
  <c r="F14" i="267"/>
  <c r="G14" i="267"/>
  <c r="A15" i="267"/>
  <c r="C15" i="267"/>
  <c r="D15" i="267"/>
  <c r="E15" i="267"/>
  <c r="F15" i="267"/>
  <c r="G15" i="267"/>
  <c r="A16" i="267"/>
  <c r="C16" i="267"/>
  <c r="D16" i="267"/>
  <c r="E16" i="267"/>
  <c r="F16" i="267"/>
  <c r="G16" i="267"/>
  <c r="A17" i="267"/>
  <c r="C17" i="267"/>
  <c r="D17" i="267"/>
  <c r="E17" i="267"/>
  <c r="F17" i="267"/>
  <c r="G17" i="267"/>
  <c r="A18" i="267"/>
  <c r="C18" i="267"/>
  <c r="D18" i="267"/>
  <c r="E18" i="267"/>
  <c r="F18" i="267"/>
  <c r="G18" i="267"/>
  <c r="A19" i="267"/>
  <c r="C19" i="267"/>
  <c r="D19" i="267"/>
  <c r="E19" i="267"/>
  <c r="F19" i="267"/>
  <c r="G19" i="267"/>
  <c r="A20" i="267"/>
  <c r="C20" i="267"/>
  <c r="D20" i="267"/>
  <c r="E20" i="267"/>
  <c r="F20" i="267"/>
  <c r="G20" i="267"/>
  <c r="A21" i="267"/>
  <c r="C21" i="267"/>
  <c r="D21" i="267"/>
  <c r="E21" i="267"/>
  <c r="F21" i="267"/>
  <c r="G21" i="267"/>
  <c r="A22" i="267"/>
  <c r="C22" i="267"/>
  <c r="D22" i="267"/>
  <c r="E22" i="267"/>
  <c r="F22" i="267"/>
  <c r="G22" i="267"/>
  <c r="A23" i="267"/>
  <c r="C23" i="267"/>
  <c r="D23" i="267"/>
  <c r="E23" i="267"/>
  <c r="F23" i="267"/>
  <c r="G23" i="267"/>
  <c r="A24" i="267"/>
  <c r="C24" i="267"/>
  <c r="D24" i="267"/>
  <c r="E24" i="267"/>
  <c r="F24" i="267"/>
  <c r="G24" i="267"/>
  <c r="A25" i="267"/>
  <c r="C25" i="267"/>
  <c r="D25" i="267"/>
  <c r="E25" i="267"/>
  <c r="F25" i="267"/>
  <c r="G25" i="267"/>
  <c r="A26" i="267"/>
  <c r="C26" i="267"/>
  <c r="D26" i="267"/>
  <c r="E26" i="267"/>
  <c r="F26" i="267"/>
  <c r="G26" i="267"/>
  <c r="A27" i="267"/>
  <c r="C27" i="267"/>
  <c r="D27" i="267"/>
  <c r="E27" i="267"/>
  <c r="F27" i="267"/>
  <c r="G27" i="267"/>
  <c r="A28" i="267"/>
  <c r="C28" i="267"/>
  <c r="D28" i="267"/>
  <c r="E28" i="267"/>
  <c r="F28" i="267"/>
  <c r="G28" i="267"/>
  <c r="A29" i="267"/>
  <c r="C29" i="267"/>
  <c r="D29" i="267"/>
  <c r="E29" i="267"/>
  <c r="F29" i="267"/>
  <c r="G29" i="267"/>
  <c r="A30" i="267"/>
  <c r="C30" i="267"/>
  <c r="D30" i="267"/>
  <c r="E30" i="267"/>
  <c r="F30" i="267"/>
  <c r="G30" i="267"/>
  <c r="A31" i="267"/>
  <c r="C31" i="267"/>
  <c r="D31" i="267"/>
  <c r="E31" i="267"/>
  <c r="F31" i="267"/>
  <c r="G31" i="267"/>
  <c r="A32" i="267"/>
  <c r="C32" i="267"/>
  <c r="D32" i="267"/>
  <c r="E32" i="267"/>
  <c r="F32" i="267"/>
  <c r="G32" i="267"/>
  <c r="A33" i="267"/>
  <c r="C33" i="267"/>
  <c r="D33" i="267"/>
  <c r="E33" i="267"/>
  <c r="F33" i="267"/>
  <c r="G33" i="267"/>
  <c r="A34" i="267"/>
  <c r="C34" i="267"/>
  <c r="D34" i="267"/>
  <c r="E34" i="267"/>
  <c r="F34" i="267"/>
  <c r="G34" i="267"/>
  <c r="A35" i="267"/>
  <c r="C35" i="267"/>
  <c r="D35" i="267"/>
  <c r="E35" i="267"/>
  <c r="F35" i="267"/>
  <c r="G35" i="267"/>
  <c r="A37" i="267"/>
  <c r="B37" i="267"/>
  <c r="C37" i="267"/>
  <c r="D37" i="267"/>
  <c r="C1" i="10541"/>
  <c r="A3" i="10541"/>
  <c r="B3" i="10541"/>
  <c r="F3" i="10541"/>
  <c r="I3" i="10541"/>
  <c r="M3" i="10541"/>
  <c r="P3" i="10541"/>
  <c r="T3" i="10541"/>
  <c r="W3" i="10541"/>
  <c r="AA3" i="10541"/>
  <c r="AD3" i="10541"/>
  <c r="AH3" i="10541"/>
  <c r="A4" i="10541"/>
  <c r="B4" i="10541"/>
  <c r="C4" i="10541"/>
  <c r="F4" i="10541"/>
  <c r="G4" i="10541"/>
  <c r="H4" i="10541"/>
  <c r="I4" i="10541"/>
  <c r="J4" i="10541"/>
  <c r="K4" i="10541"/>
  <c r="M4" i="10541"/>
  <c r="N4" i="10541"/>
  <c r="O4" i="10541"/>
  <c r="P4" i="10541"/>
  <c r="Q4" i="10541"/>
  <c r="T4" i="10541"/>
  <c r="U4" i="10541"/>
  <c r="V4" i="10541"/>
  <c r="W4" i="10541"/>
  <c r="AA4" i="10541"/>
  <c r="AB4" i="10541"/>
  <c r="AC4" i="10541"/>
  <c r="AD4" i="10541"/>
  <c r="AH4" i="10541"/>
  <c r="AI4" i="10541"/>
  <c r="AJ4" i="10541"/>
  <c r="A5" i="10541"/>
  <c r="B5" i="10541"/>
  <c r="C5" i="10541"/>
  <c r="D5" i="10541"/>
  <c r="E5" i="10541"/>
  <c r="F5" i="10541"/>
  <c r="G5" i="10541"/>
  <c r="H5" i="10541"/>
  <c r="I5" i="10541"/>
  <c r="J5" i="10541"/>
  <c r="K5" i="10541"/>
  <c r="M5" i="10541"/>
  <c r="N5" i="10541"/>
  <c r="O5" i="10541"/>
  <c r="P5" i="10541"/>
  <c r="Q5" i="10541"/>
  <c r="R5" i="10541"/>
  <c r="T5" i="10541"/>
  <c r="U5" i="10541"/>
  <c r="V5" i="10541"/>
  <c r="W5" i="10541"/>
  <c r="X5" i="10541"/>
  <c r="AA5" i="10541"/>
  <c r="AB5" i="10541"/>
  <c r="AC5" i="10541"/>
  <c r="AD5" i="10541"/>
  <c r="AE5" i="10541"/>
  <c r="AH5" i="10541"/>
  <c r="AI5" i="10541"/>
  <c r="AJ5" i="10541"/>
  <c r="A6" i="10541"/>
  <c r="B6" i="10541"/>
  <c r="C6" i="10541"/>
  <c r="D6" i="10541"/>
  <c r="E6" i="10541"/>
  <c r="F6" i="10541"/>
  <c r="G6" i="10541"/>
  <c r="H6" i="10541"/>
  <c r="I6" i="10541"/>
  <c r="J6" i="10541"/>
  <c r="K6" i="10541"/>
  <c r="L6" i="10541"/>
  <c r="M6" i="10541"/>
  <c r="N6" i="10541"/>
  <c r="O6" i="10541"/>
  <c r="P6" i="10541"/>
  <c r="Q6" i="10541"/>
  <c r="R6" i="10541"/>
  <c r="S6" i="10541"/>
  <c r="T6" i="10541"/>
  <c r="U6" i="10541"/>
  <c r="V6" i="10541"/>
  <c r="W6" i="10541"/>
  <c r="X6" i="10541"/>
  <c r="Y6" i="10541"/>
  <c r="Z6" i="10541"/>
  <c r="AA6" i="10541"/>
  <c r="AB6" i="10541"/>
  <c r="AC6" i="10541"/>
  <c r="AD6" i="10541"/>
  <c r="AE6" i="10541"/>
  <c r="AF6" i="10541"/>
  <c r="AG6" i="10541"/>
  <c r="AH6" i="10541"/>
  <c r="AI6" i="10541"/>
  <c r="AJ6" i="10541"/>
  <c r="AL6" i="10541"/>
  <c r="AM6" i="10541"/>
  <c r="AN6" i="10541"/>
  <c r="AO6" i="10541"/>
  <c r="A7" i="10541"/>
  <c r="B7" i="10541"/>
  <c r="C7" i="10541"/>
  <c r="D7" i="10541"/>
  <c r="E7" i="10541"/>
  <c r="F7" i="10541"/>
  <c r="G7" i="10541"/>
  <c r="H7" i="10541"/>
  <c r="I7" i="10541"/>
  <c r="J7" i="10541"/>
  <c r="K7" i="10541"/>
  <c r="L7" i="10541"/>
  <c r="M7" i="10541"/>
  <c r="N7" i="10541"/>
  <c r="O7" i="10541"/>
  <c r="P7" i="10541"/>
  <c r="Q7" i="10541"/>
  <c r="R7" i="10541"/>
  <c r="S7" i="10541"/>
  <c r="T7" i="10541"/>
  <c r="U7" i="10541"/>
  <c r="V7" i="10541"/>
  <c r="W7" i="10541"/>
  <c r="X7" i="10541"/>
  <c r="Y7" i="10541"/>
  <c r="Z7" i="10541"/>
  <c r="AA7" i="10541"/>
  <c r="AB7" i="10541"/>
  <c r="AC7" i="10541"/>
  <c r="AD7" i="10541"/>
  <c r="AE7" i="10541"/>
  <c r="AF7" i="10541"/>
  <c r="AG7" i="10541"/>
  <c r="AH7" i="10541"/>
  <c r="AI7" i="10541"/>
  <c r="AJ7" i="10541"/>
  <c r="AL7" i="10541"/>
  <c r="AM7" i="10541"/>
  <c r="AN7" i="10541"/>
  <c r="AO7" i="10541"/>
  <c r="A8" i="10541"/>
  <c r="B8" i="10541"/>
  <c r="C8" i="10541"/>
  <c r="D8" i="10541"/>
  <c r="E8" i="10541"/>
  <c r="F8" i="10541"/>
  <c r="G8" i="10541"/>
  <c r="H8" i="10541"/>
  <c r="I8" i="10541"/>
  <c r="J8" i="10541"/>
  <c r="K8" i="10541"/>
  <c r="L8" i="10541"/>
  <c r="M8" i="10541"/>
  <c r="N8" i="10541"/>
  <c r="O8" i="10541"/>
  <c r="P8" i="10541"/>
  <c r="Q8" i="10541"/>
  <c r="R8" i="10541"/>
  <c r="S8" i="10541"/>
  <c r="T8" i="10541"/>
  <c r="U8" i="10541"/>
  <c r="V8" i="10541"/>
  <c r="W8" i="10541"/>
  <c r="X8" i="10541"/>
  <c r="Y8" i="10541"/>
  <c r="Z8" i="10541"/>
  <c r="AA8" i="10541"/>
  <c r="AB8" i="10541"/>
  <c r="AC8" i="10541"/>
  <c r="AD8" i="10541"/>
  <c r="AE8" i="10541"/>
  <c r="AF8" i="10541"/>
  <c r="AG8" i="10541"/>
  <c r="AH8" i="10541"/>
  <c r="AI8" i="10541"/>
  <c r="AJ8" i="10541"/>
  <c r="AL8" i="10541"/>
  <c r="AM8" i="10541"/>
  <c r="AN8" i="10541"/>
  <c r="AO8" i="10541"/>
  <c r="A9" i="10541"/>
  <c r="B9" i="10541"/>
  <c r="C9" i="10541"/>
  <c r="D9" i="10541"/>
  <c r="E9" i="10541"/>
  <c r="F9" i="10541"/>
  <c r="G9" i="10541"/>
  <c r="H9" i="10541"/>
  <c r="I9" i="10541"/>
  <c r="J9" i="10541"/>
  <c r="K9" i="10541"/>
  <c r="L9" i="10541"/>
  <c r="M9" i="10541"/>
  <c r="N9" i="10541"/>
  <c r="O9" i="10541"/>
  <c r="P9" i="10541"/>
  <c r="Q9" i="10541"/>
  <c r="R9" i="10541"/>
  <c r="S9" i="10541"/>
  <c r="T9" i="10541"/>
  <c r="U9" i="10541"/>
  <c r="V9" i="10541"/>
  <c r="W9" i="10541"/>
  <c r="X9" i="10541"/>
  <c r="Y9" i="10541"/>
  <c r="Z9" i="10541"/>
  <c r="AA9" i="10541"/>
  <c r="AB9" i="10541"/>
  <c r="AC9" i="10541"/>
  <c r="AD9" i="10541"/>
  <c r="AE9" i="10541"/>
  <c r="AF9" i="10541"/>
  <c r="AG9" i="10541"/>
  <c r="AH9" i="10541"/>
  <c r="AI9" i="10541"/>
  <c r="AJ9" i="10541"/>
  <c r="AL9" i="10541"/>
  <c r="AM9" i="10541"/>
  <c r="AN9" i="10541"/>
  <c r="AO9" i="10541"/>
  <c r="A10" i="10541"/>
  <c r="B10" i="10541"/>
  <c r="C10" i="10541"/>
  <c r="D10" i="10541"/>
  <c r="E10" i="10541"/>
  <c r="F10" i="10541"/>
  <c r="G10" i="10541"/>
  <c r="H10" i="10541"/>
  <c r="I10" i="10541"/>
  <c r="J10" i="10541"/>
  <c r="K10" i="10541"/>
  <c r="L10" i="10541"/>
  <c r="M10" i="10541"/>
  <c r="N10" i="10541"/>
  <c r="O10" i="10541"/>
  <c r="P10" i="10541"/>
  <c r="Q10" i="10541"/>
  <c r="R10" i="10541"/>
  <c r="S10" i="10541"/>
  <c r="T10" i="10541"/>
  <c r="U10" i="10541"/>
  <c r="V10" i="10541"/>
  <c r="W10" i="10541"/>
  <c r="X10" i="10541"/>
  <c r="Y10" i="10541"/>
  <c r="Z10" i="10541"/>
  <c r="AA10" i="10541"/>
  <c r="AB10" i="10541"/>
  <c r="AC10" i="10541"/>
  <c r="AD10" i="10541"/>
  <c r="AE10" i="10541"/>
  <c r="AF10" i="10541"/>
  <c r="AG10" i="10541"/>
  <c r="AH10" i="10541"/>
  <c r="AI10" i="10541"/>
  <c r="AJ10" i="10541"/>
  <c r="AL10" i="10541"/>
  <c r="AM10" i="10541"/>
  <c r="AN10" i="10541"/>
  <c r="AO10" i="10541"/>
  <c r="A11" i="10541"/>
  <c r="B11" i="10541"/>
  <c r="C11" i="10541"/>
  <c r="D11" i="10541"/>
  <c r="E11" i="10541"/>
  <c r="F11" i="10541"/>
  <c r="G11" i="10541"/>
  <c r="H11" i="10541"/>
  <c r="I11" i="10541"/>
  <c r="J11" i="10541"/>
  <c r="K11" i="10541"/>
  <c r="L11" i="10541"/>
  <c r="M11" i="10541"/>
  <c r="N11" i="10541"/>
  <c r="O11" i="10541"/>
  <c r="P11" i="10541"/>
  <c r="Q11" i="10541"/>
  <c r="R11" i="10541"/>
  <c r="S11" i="10541"/>
  <c r="T11" i="10541"/>
  <c r="U11" i="10541"/>
  <c r="V11" i="10541"/>
  <c r="W11" i="10541"/>
  <c r="X11" i="10541"/>
  <c r="Y11" i="10541"/>
  <c r="Z11" i="10541"/>
  <c r="AA11" i="10541"/>
  <c r="AB11" i="10541"/>
  <c r="AC11" i="10541"/>
  <c r="AD11" i="10541"/>
  <c r="AE11" i="10541"/>
  <c r="AF11" i="10541"/>
  <c r="AG11" i="10541"/>
  <c r="AH11" i="10541"/>
  <c r="AI11" i="10541"/>
  <c r="AJ11" i="10541"/>
  <c r="AL11" i="10541"/>
  <c r="AM11" i="10541"/>
  <c r="AN11" i="10541"/>
  <c r="AO11" i="10541"/>
  <c r="A12" i="10541"/>
  <c r="B12" i="10541"/>
  <c r="C12" i="10541"/>
  <c r="D12" i="10541"/>
  <c r="E12" i="10541"/>
  <c r="F12" i="10541"/>
  <c r="G12" i="10541"/>
  <c r="H12" i="10541"/>
  <c r="I12" i="10541"/>
  <c r="J12" i="10541"/>
  <c r="K12" i="10541"/>
  <c r="L12" i="10541"/>
  <c r="M12" i="10541"/>
  <c r="N12" i="10541"/>
  <c r="O12" i="10541"/>
  <c r="P12" i="10541"/>
  <c r="Q12" i="10541"/>
  <c r="R12" i="10541"/>
  <c r="S12" i="10541"/>
  <c r="T12" i="10541"/>
  <c r="U12" i="10541"/>
  <c r="V12" i="10541"/>
  <c r="W12" i="10541"/>
  <c r="X12" i="10541"/>
  <c r="Y12" i="10541"/>
  <c r="Z12" i="10541"/>
  <c r="AA12" i="10541"/>
  <c r="AB12" i="10541"/>
  <c r="AC12" i="10541"/>
  <c r="AD12" i="10541"/>
  <c r="AE12" i="10541"/>
  <c r="AF12" i="10541"/>
  <c r="AG12" i="10541"/>
  <c r="AH12" i="10541"/>
  <c r="AI12" i="10541"/>
  <c r="AJ12" i="10541"/>
  <c r="AL12" i="10541"/>
  <c r="AM12" i="10541"/>
  <c r="AN12" i="10541"/>
  <c r="AO12" i="10541"/>
  <c r="A13" i="10541"/>
  <c r="B13" i="10541"/>
  <c r="C13" i="10541"/>
  <c r="D13" i="10541"/>
  <c r="E13" i="10541"/>
  <c r="F13" i="10541"/>
  <c r="G13" i="10541"/>
  <c r="H13" i="10541"/>
  <c r="I13" i="10541"/>
  <c r="J13" i="10541"/>
  <c r="K13" i="10541"/>
  <c r="L13" i="10541"/>
  <c r="M13" i="10541"/>
  <c r="N13" i="10541"/>
  <c r="O13" i="10541"/>
  <c r="P13" i="10541"/>
  <c r="Q13" i="10541"/>
  <c r="R13" i="10541"/>
  <c r="S13" i="10541"/>
  <c r="T13" i="10541"/>
  <c r="U13" i="10541"/>
  <c r="V13" i="10541"/>
  <c r="W13" i="10541"/>
  <c r="X13" i="10541"/>
  <c r="Y13" i="10541"/>
  <c r="Z13" i="10541"/>
  <c r="AA13" i="10541"/>
  <c r="AB13" i="10541"/>
  <c r="AC13" i="10541"/>
  <c r="AD13" i="10541"/>
  <c r="AE13" i="10541"/>
  <c r="AF13" i="10541"/>
  <c r="AG13" i="10541"/>
  <c r="AH13" i="10541"/>
  <c r="AI13" i="10541"/>
  <c r="AJ13" i="10541"/>
  <c r="AL13" i="10541"/>
  <c r="AM13" i="10541"/>
  <c r="AN13" i="10541"/>
  <c r="AO13" i="10541"/>
  <c r="A14" i="10541"/>
  <c r="B14" i="10541"/>
  <c r="C14" i="10541"/>
  <c r="D14" i="10541"/>
  <c r="E14" i="10541"/>
  <c r="F14" i="10541"/>
  <c r="G14" i="10541"/>
  <c r="H14" i="10541"/>
  <c r="I14" i="10541"/>
  <c r="J14" i="10541"/>
  <c r="K14" i="10541"/>
  <c r="L14" i="10541"/>
  <c r="M14" i="10541"/>
  <c r="N14" i="10541"/>
  <c r="O14" i="10541"/>
  <c r="P14" i="10541"/>
  <c r="Q14" i="10541"/>
  <c r="R14" i="10541"/>
  <c r="S14" i="10541"/>
  <c r="T14" i="10541"/>
  <c r="U14" i="10541"/>
  <c r="V14" i="10541"/>
  <c r="W14" i="10541"/>
  <c r="X14" i="10541"/>
  <c r="Y14" i="10541"/>
  <c r="Z14" i="10541"/>
  <c r="AA14" i="10541"/>
  <c r="AB14" i="10541"/>
  <c r="AC14" i="10541"/>
  <c r="AD14" i="10541"/>
  <c r="AE14" i="10541"/>
  <c r="AF14" i="10541"/>
  <c r="AG14" i="10541"/>
  <c r="AH14" i="10541"/>
  <c r="AI14" i="10541"/>
  <c r="AJ14" i="10541"/>
  <c r="AL14" i="10541"/>
  <c r="AM14" i="10541"/>
  <c r="AN14" i="10541"/>
  <c r="AO14" i="10541"/>
  <c r="A15" i="10541"/>
  <c r="B15" i="10541"/>
  <c r="C15" i="10541"/>
  <c r="D15" i="10541"/>
  <c r="E15" i="10541"/>
  <c r="F15" i="10541"/>
  <c r="G15" i="10541"/>
  <c r="H15" i="10541"/>
  <c r="I15" i="10541"/>
  <c r="J15" i="10541"/>
  <c r="K15" i="10541"/>
  <c r="L15" i="10541"/>
  <c r="M15" i="10541"/>
  <c r="N15" i="10541"/>
  <c r="O15" i="10541"/>
  <c r="P15" i="10541"/>
  <c r="Q15" i="10541"/>
  <c r="R15" i="10541"/>
  <c r="S15" i="10541"/>
  <c r="T15" i="10541"/>
  <c r="U15" i="10541"/>
  <c r="V15" i="10541"/>
  <c r="W15" i="10541"/>
  <c r="X15" i="10541"/>
  <c r="Y15" i="10541"/>
  <c r="Z15" i="10541"/>
  <c r="AA15" i="10541"/>
  <c r="AB15" i="10541"/>
  <c r="AC15" i="10541"/>
  <c r="AD15" i="10541"/>
  <c r="AE15" i="10541"/>
  <c r="AF15" i="10541"/>
  <c r="AG15" i="10541"/>
  <c r="AH15" i="10541"/>
  <c r="AI15" i="10541"/>
  <c r="AJ15" i="10541"/>
  <c r="AL15" i="10541"/>
  <c r="AM15" i="10541"/>
  <c r="AN15" i="10541"/>
  <c r="AO15" i="10541"/>
  <c r="A16" i="10541"/>
  <c r="B16" i="10541"/>
  <c r="C16" i="10541"/>
  <c r="D16" i="10541"/>
  <c r="E16" i="10541"/>
  <c r="F16" i="10541"/>
  <c r="G16" i="10541"/>
  <c r="H16" i="10541"/>
  <c r="I16" i="10541"/>
  <c r="J16" i="10541"/>
  <c r="K16" i="10541"/>
  <c r="L16" i="10541"/>
  <c r="M16" i="10541"/>
  <c r="N16" i="10541"/>
  <c r="O16" i="10541"/>
  <c r="P16" i="10541"/>
  <c r="Q16" i="10541"/>
  <c r="R16" i="10541"/>
  <c r="S16" i="10541"/>
  <c r="T16" i="10541"/>
  <c r="U16" i="10541"/>
  <c r="V16" i="10541"/>
  <c r="W16" i="10541"/>
  <c r="X16" i="10541"/>
  <c r="Y16" i="10541"/>
  <c r="Z16" i="10541"/>
  <c r="AA16" i="10541"/>
  <c r="AB16" i="10541"/>
  <c r="AC16" i="10541"/>
  <c r="AD16" i="10541"/>
  <c r="AE16" i="10541"/>
  <c r="AF16" i="10541"/>
  <c r="AG16" i="10541"/>
  <c r="AH16" i="10541"/>
  <c r="AI16" i="10541"/>
  <c r="AJ16" i="10541"/>
  <c r="AL16" i="10541"/>
  <c r="AM16" i="10541"/>
  <c r="AN16" i="10541"/>
  <c r="AO16" i="10541"/>
  <c r="A17" i="10541"/>
  <c r="B17" i="10541"/>
  <c r="C17" i="10541"/>
  <c r="D17" i="10541"/>
  <c r="E17" i="10541"/>
  <c r="F17" i="10541"/>
  <c r="G17" i="10541"/>
  <c r="H17" i="10541"/>
  <c r="I17" i="10541"/>
  <c r="J17" i="10541"/>
  <c r="K17" i="10541"/>
  <c r="L17" i="10541"/>
  <c r="M17" i="10541"/>
  <c r="N17" i="10541"/>
  <c r="O17" i="10541"/>
  <c r="P17" i="10541"/>
  <c r="Q17" i="10541"/>
  <c r="R17" i="10541"/>
  <c r="S17" i="10541"/>
  <c r="T17" i="10541"/>
  <c r="U17" i="10541"/>
  <c r="V17" i="10541"/>
  <c r="W17" i="10541"/>
  <c r="X17" i="10541"/>
  <c r="Y17" i="10541"/>
  <c r="Z17" i="10541"/>
  <c r="AA17" i="10541"/>
  <c r="AB17" i="10541"/>
  <c r="AC17" i="10541"/>
  <c r="AD17" i="10541"/>
  <c r="AE17" i="10541"/>
  <c r="AF17" i="10541"/>
  <c r="AG17" i="10541"/>
  <c r="AH17" i="10541"/>
  <c r="AI17" i="10541"/>
  <c r="AJ17" i="10541"/>
  <c r="AL17" i="10541"/>
  <c r="AM17" i="10541"/>
  <c r="AN17" i="10541"/>
  <c r="AO17" i="10541"/>
  <c r="A18" i="10541"/>
  <c r="B18" i="10541"/>
  <c r="C18" i="10541"/>
  <c r="D18" i="10541"/>
  <c r="E18" i="10541"/>
  <c r="F18" i="10541"/>
  <c r="G18" i="10541"/>
  <c r="H18" i="10541"/>
  <c r="I18" i="10541"/>
  <c r="J18" i="10541"/>
  <c r="K18" i="10541"/>
  <c r="L18" i="10541"/>
  <c r="M18" i="10541"/>
  <c r="N18" i="10541"/>
  <c r="O18" i="10541"/>
  <c r="P18" i="10541"/>
  <c r="Q18" i="10541"/>
  <c r="R18" i="10541"/>
  <c r="S18" i="10541"/>
  <c r="T18" i="10541"/>
  <c r="U18" i="10541"/>
  <c r="V18" i="10541"/>
  <c r="W18" i="10541"/>
  <c r="X18" i="10541"/>
  <c r="Y18" i="10541"/>
  <c r="Z18" i="10541"/>
  <c r="AA18" i="10541"/>
  <c r="AB18" i="10541"/>
  <c r="AC18" i="10541"/>
  <c r="AD18" i="10541"/>
  <c r="AE18" i="10541"/>
  <c r="AF18" i="10541"/>
  <c r="AG18" i="10541"/>
  <c r="AH18" i="10541"/>
  <c r="AI18" i="10541"/>
  <c r="AJ18" i="10541"/>
  <c r="AL18" i="10541"/>
  <c r="AM18" i="10541"/>
  <c r="AN18" i="10541"/>
  <c r="AO18" i="10541"/>
  <c r="A19" i="10541"/>
  <c r="B19" i="10541"/>
  <c r="C19" i="10541"/>
  <c r="D19" i="10541"/>
  <c r="E19" i="10541"/>
  <c r="F19" i="10541"/>
  <c r="G19" i="10541"/>
  <c r="H19" i="10541"/>
  <c r="I19" i="10541"/>
  <c r="J19" i="10541"/>
  <c r="K19" i="10541"/>
  <c r="L19" i="10541"/>
  <c r="M19" i="10541"/>
  <c r="N19" i="10541"/>
  <c r="O19" i="10541"/>
  <c r="P19" i="10541"/>
  <c r="Q19" i="10541"/>
  <c r="R19" i="10541"/>
  <c r="S19" i="10541"/>
  <c r="T19" i="10541"/>
  <c r="U19" i="10541"/>
  <c r="V19" i="10541"/>
  <c r="W19" i="10541"/>
  <c r="X19" i="10541"/>
  <c r="Y19" i="10541"/>
  <c r="Z19" i="10541"/>
  <c r="AA19" i="10541"/>
  <c r="AB19" i="10541"/>
  <c r="AC19" i="10541"/>
  <c r="AD19" i="10541"/>
  <c r="AE19" i="10541"/>
  <c r="AF19" i="10541"/>
  <c r="AG19" i="10541"/>
  <c r="AH19" i="10541"/>
  <c r="AI19" i="10541"/>
  <c r="AJ19" i="10541"/>
  <c r="AL19" i="10541"/>
  <c r="AM19" i="10541"/>
  <c r="AN19" i="10541"/>
  <c r="AO19" i="10541"/>
  <c r="A20" i="10541"/>
  <c r="B20" i="10541"/>
  <c r="C20" i="10541"/>
  <c r="D20" i="10541"/>
  <c r="E20" i="10541"/>
  <c r="F20" i="10541"/>
  <c r="G20" i="10541"/>
  <c r="H20" i="10541"/>
  <c r="I20" i="10541"/>
  <c r="J20" i="10541"/>
  <c r="K20" i="10541"/>
  <c r="L20" i="10541"/>
  <c r="M20" i="10541"/>
  <c r="N20" i="10541"/>
  <c r="O20" i="10541"/>
  <c r="P20" i="10541"/>
  <c r="Q20" i="10541"/>
  <c r="R20" i="10541"/>
  <c r="S20" i="10541"/>
  <c r="T20" i="10541"/>
  <c r="U20" i="10541"/>
  <c r="V20" i="10541"/>
  <c r="W20" i="10541"/>
  <c r="X20" i="10541"/>
  <c r="Y20" i="10541"/>
  <c r="Z20" i="10541"/>
  <c r="AA20" i="10541"/>
  <c r="AB20" i="10541"/>
  <c r="AC20" i="10541"/>
  <c r="AD20" i="10541"/>
  <c r="AE20" i="10541"/>
  <c r="AF20" i="10541"/>
  <c r="AG20" i="10541"/>
  <c r="AH20" i="10541"/>
  <c r="AI20" i="10541"/>
  <c r="AJ20" i="10541"/>
  <c r="AL20" i="10541"/>
  <c r="AM20" i="10541"/>
  <c r="AN20" i="10541"/>
  <c r="AO20" i="10541"/>
  <c r="A21" i="10541"/>
  <c r="B21" i="10541"/>
  <c r="C21" i="10541"/>
  <c r="D21" i="10541"/>
  <c r="E21" i="10541"/>
  <c r="F21" i="10541"/>
  <c r="G21" i="10541"/>
  <c r="H21" i="10541"/>
  <c r="I21" i="10541"/>
  <c r="J21" i="10541"/>
  <c r="K21" i="10541"/>
  <c r="L21" i="10541"/>
  <c r="M21" i="10541"/>
  <c r="N21" i="10541"/>
  <c r="O21" i="10541"/>
  <c r="P21" i="10541"/>
  <c r="Q21" i="10541"/>
  <c r="R21" i="10541"/>
  <c r="S21" i="10541"/>
  <c r="T21" i="10541"/>
  <c r="U21" i="10541"/>
  <c r="V21" i="10541"/>
  <c r="W21" i="10541"/>
  <c r="X21" i="10541"/>
  <c r="Y21" i="10541"/>
  <c r="Z21" i="10541"/>
  <c r="AA21" i="10541"/>
  <c r="AB21" i="10541"/>
  <c r="AC21" i="10541"/>
  <c r="AD21" i="10541"/>
  <c r="AE21" i="10541"/>
  <c r="AF21" i="10541"/>
  <c r="AG21" i="10541"/>
  <c r="AH21" i="10541"/>
  <c r="AI21" i="10541"/>
  <c r="AJ21" i="10541"/>
  <c r="AL21" i="10541"/>
  <c r="AM21" i="10541"/>
  <c r="AN21" i="10541"/>
  <c r="AO21" i="10541"/>
  <c r="A22" i="10541"/>
  <c r="B22" i="10541"/>
  <c r="C22" i="10541"/>
  <c r="D22" i="10541"/>
  <c r="E22" i="10541"/>
  <c r="F22" i="10541"/>
  <c r="G22" i="10541"/>
  <c r="H22" i="10541"/>
  <c r="I22" i="10541"/>
  <c r="J22" i="10541"/>
  <c r="K22" i="10541"/>
  <c r="L22" i="10541"/>
  <c r="M22" i="10541"/>
  <c r="N22" i="10541"/>
  <c r="O22" i="10541"/>
  <c r="P22" i="10541"/>
  <c r="Q22" i="10541"/>
  <c r="R22" i="10541"/>
  <c r="S22" i="10541"/>
  <c r="T22" i="10541"/>
  <c r="U22" i="10541"/>
  <c r="V22" i="10541"/>
  <c r="W22" i="10541"/>
  <c r="X22" i="10541"/>
  <c r="Y22" i="10541"/>
  <c r="Z22" i="10541"/>
  <c r="AA22" i="10541"/>
  <c r="AB22" i="10541"/>
  <c r="AC22" i="10541"/>
  <c r="AD22" i="10541"/>
  <c r="AE22" i="10541"/>
  <c r="AF22" i="10541"/>
  <c r="AG22" i="10541"/>
  <c r="AH22" i="10541"/>
  <c r="AI22" i="10541"/>
  <c r="AJ22" i="10541"/>
  <c r="AL22" i="10541"/>
  <c r="AM22" i="10541"/>
  <c r="AN22" i="10541"/>
  <c r="AO22" i="10541"/>
  <c r="A23" i="10541"/>
  <c r="B23" i="10541"/>
  <c r="C23" i="10541"/>
  <c r="D23" i="10541"/>
  <c r="E23" i="10541"/>
  <c r="F23" i="10541"/>
  <c r="G23" i="10541"/>
  <c r="H23" i="10541"/>
  <c r="I23" i="10541"/>
  <c r="J23" i="10541"/>
  <c r="K23" i="10541"/>
  <c r="L23" i="10541"/>
  <c r="M23" i="10541"/>
  <c r="N23" i="10541"/>
  <c r="O23" i="10541"/>
  <c r="P23" i="10541"/>
  <c r="Q23" i="10541"/>
  <c r="R23" i="10541"/>
  <c r="S23" i="10541"/>
  <c r="T23" i="10541"/>
  <c r="U23" i="10541"/>
  <c r="V23" i="10541"/>
  <c r="W23" i="10541"/>
  <c r="X23" i="10541"/>
  <c r="Y23" i="10541"/>
  <c r="Z23" i="10541"/>
  <c r="AA23" i="10541"/>
  <c r="AB23" i="10541"/>
  <c r="AC23" i="10541"/>
  <c r="AD23" i="10541"/>
  <c r="AE23" i="10541"/>
  <c r="AF23" i="10541"/>
  <c r="AG23" i="10541"/>
  <c r="AH23" i="10541"/>
  <c r="AI23" i="10541"/>
  <c r="AJ23" i="10541"/>
  <c r="AL23" i="10541"/>
  <c r="AM23" i="10541"/>
  <c r="AN23" i="10541"/>
  <c r="AO23" i="10541"/>
  <c r="A24" i="10541"/>
  <c r="B24" i="10541"/>
  <c r="C24" i="10541"/>
  <c r="D24" i="10541"/>
  <c r="E24" i="10541"/>
  <c r="F24" i="10541"/>
  <c r="G24" i="10541"/>
  <c r="H24" i="10541"/>
  <c r="I24" i="10541"/>
  <c r="J24" i="10541"/>
  <c r="K24" i="10541"/>
  <c r="L24" i="10541"/>
  <c r="M24" i="10541"/>
  <c r="N24" i="10541"/>
  <c r="O24" i="10541"/>
  <c r="P24" i="10541"/>
  <c r="Q24" i="10541"/>
  <c r="R24" i="10541"/>
  <c r="S24" i="10541"/>
  <c r="T24" i="10541"/>
  <c r="U24" i="10541"/>
  <c r="V24" i="10541"/>
  <c r="W24" i="10541"/>
  <c r="X24" i="10541"/>
  <c r="Y24" i="10541"/>
  <c r="Z24" i="10541"/>
  <c r="AA24" i="10541"/>
  <c r="AB24" i="10541"/>
  <c r="AC24" i="10541"/>
  <c r="AD24" i="10541"/>
  <c r="AE24" i="10541"/>
  <c r="AF24" i="10541"/>
  <c r="AG24" i="10541"/>
  <c r="AH24" i="10541"/>
  <c r="AI24" i="10541"/>
  <c r="AJ24" i="10541"/>
  <c r="AL24" i="10541"/>
  <c r="AM24" i="10541"/>
  <c r="AN24" i="10541"/>
  <c r="AO24" i="10541"/>
  <c r="A25" i="10541"/>
  <c r="B25" i="10541"/>
  <c r="C25" i="10541"/>
  <c r="D25" i="10541"/>
  <c r="E25" i="10541"/>
  <c r="F25" i="10541"/>
  <c r="G25" i="10541"/>
  <c r="H25" i="10541"/>
  <c r="I25" i="10541"/>
  <c r="J25" i="10541"/>
  <c r="K25" i="10541"/>
  <c r="L25" i="10541"/>
  <c r="M25" i="10541"/>
  <c r="N25" i="10541"/>
  <c r="O25" i="10541"/>
  <c r="P25" i="10541"/>
  <c r="Q25" i="10541"/>
  <c r="R25" i="10541"/>
  <c r="S25" i="10541"/>
  <c r="T25" i="10541"/>
  <c r="U25" i="10541"/>
  <c r="V25" i="10541"/>
  <c r="W25" i="10541"/>
  <c r="X25" i="10541"/>
  <c r="Y25" i="10541"/>
  <c r="Z25" i="10541"/>
  <c r="AA25" i="10541"/>
  <c r="AB25" i="10541"/>
  <c r="AC25" i="10541"/>
  <c r="AD25" i="10541"/>
  <c r="AE25" i="10541"/>
  <c r="AF25" i="10541"/>
  <c r="AG25" i="10541"/>
  <c r="AH25" i="10541"/>
  <c r="AI25" i="10541"/>
  <c r="AJ25" i="10541"/>
  <c r="AL25" i="10541"/>
  <c r="AM25" i="10541"/>
  <c r="AN25" i="10541"/>
  <c r="AO25" i="10541"/>
  <c r="A26" i="10541"/>
  <c r="B26" i="10541"/>
  <c r="C26" i="10541"/>
  <c r="D26" i="10541"/>
  <c r="E26" i="10541"/>
  <c r="F26" i="10541"/>
  <c r="G26" i="10541"/>
  <c r="H26" i="10541"/>
  <c r="I26" i="10541"/>
  <c r="J26" i="10541"/>
  <c r="K26" i="10541"/>
  <c r="L26" i="10541"/>
  <c r="M26" i="10541"/>
  <c r="N26" i="10541"/>
  <c r="O26" i="10541"/>
  <c r="P26" i="10541"/>
  <c r="Q26" i="10541"/>
  <c r="R26" i="10541"/>
  <c r="S26" i="10541"/>
  <c r="T26" i="10541"/>
  <c r="U26" i="10541"/>
  <c r="V26" i="10541"/>
  <c r="W26" i="10541"/>
  <c r="X26" i="10541"/>
  <c r="Y26" i="10541"/>
  <c r="Z26" i="10541"/>
  <c r="AA26" i="10541"/>
  <c r="AB26" i="10541"/>
  <c r="AC26" i="10541"/>
  <c r="AD26" i="10541"/>
  <c r="AE26" i="10541"/>
  <c r="AF26" i="10541"/>
  <c r="AG26" i="10541"/>
  <c r="AH26" i="10541"/>
  <c r="AI26" i="10541"/>
  <c r="AJ26" i="10541"/>
  <c r="AL26" i="10541"/>
  <c r="AM26" i="10541"/>
  <c r="AN26" i="10541"/>
  <c r="AO26" i="10541"/>
  <c r="A27" i="10541"/>
  <c r="B27" i="10541"/>
  <c r="C27" i="10541"/>
  <c r="D27" i="10541"/>
  <c r="E27" i="10541"/>
  <c r="F27" i="10541"/>
  <c r="G27" i="10541"/>
  <c r="H27" i="10541"/>
  <c r="I27" i="10541"/>
  <c r="J27" i="10541"/>
  <c r="K27" i="10541"/>
  <c r="L27" i="10541"/>
  <c r="M27" i="10541"/>
  <c r="N27" i="10541"/>
  <c r="O27" i="10541"/>
  <c r="P27" i="10541"/>
  <c r="Q27" i="10541"/>
  <c r="R27" i="10541"/>
  <c r="S27" i="10541"/>
  <c r="T27" i="10541"/>
  <c r="U27" i="10541"/>
  <c r="V27" i="10541"/>
  <c r="W27" i="10541"/>
  <c r="X27" i="10541"/>
  <c r="Y27" i="10541"/>
  <c r="Z27" i="10541"/>
  <c r="AA27" i="10541"/>
  <c r="AB27" i="10541"/>
  <c r="AC27" i="10541"/>
  <c r="AD27" i="10541"/>
  <c r="AE27" i="10541"/>
  <c r="AF27" i="10541"/>
  <c r="AG27" i="10541"/>
  <c r="AH27" i="10541"/>
  <c r="AI27" i="10541"/>
  <c r="AJ27" i="10541"/>
  <c r="AL27" i="10541"/>
  <c r="AM27" i="10541"/>
  <c r="AN27" i="10541"/>
  <c r="AO27" i="10541"/>
  <c r="A28" i="10541"/>
  <c r="B28" i="10541"/>
  <c r="C28" i="10541"/>
  <c r="D28" i="10541"/>
  <c r="E28" i="10541"/>
  <c r="F28" i="10541"/>
  <c r="G28" i="10541"/>
  <c r="H28" i="10541"/>
  <c r="I28" i="10541"/>
  <c r="J28" i="10541"/>
  <c r="K28" i="10541"/>
  <c r="L28" i="10541"/>
  <c r="M28" i="10541"/>
  <c r="N28" i="10541"/>
  <c r="O28" i="10541"/>
  <c r="P28" i="10541"/>
  <c r="Q28" i="10541"/>
  <c r="R28" i="10541"/>
  <c r="S28" i="10541"/>
  <c r="T28" i="10541"/>
  <c r="U28" i="10541"/>
  <c r="V28" i="10541"/>
  <c r="W28" i="10541"/>
  <c r="X28" i="10541"/>
  <c r="Y28" i="10541"/>
  <c r="Z28" i="10541"/>
  <c r="AA28" i="10541"/>
  <c r="AB28" i="10541"/>
  <c r="AC28" i="10541"/>
  <c r="AD28" i="10541"/>
  <c r="AE28" i="10541"/>
  <c r="AF28" i="10541"/>
  <c r="AG28" i="10541"/>
  <c r="AH28" i="10541"/>
  <c r="AI28" i="10541"/>
  <c r="AJ28" i="10541"/>
  <c r="AL28" i="10541"/>
  <c r="AM28" i="10541"/>
  <c r="AN28" i="10541"/>
  <c r="AO28" i="10541"/>
  <c r="A29" i="10541"/>
  <c r="B29" i="10541"/>
  <c r="C29" i="10541"/>
  <c r="D29" i="10541"/>
  <c r="E29" i="10541"/>
  <c r="F29" i="10541"/>
  <c r="G29" i="10541"/>
  <c r="H29" i="10541"/>
  <c r="I29" i="10541"/>
  <c r="J29" i="10541"/>
  <c r="K29" i="10541"/>
  <c r="L29" i="10541"/>
  <c r="M29" i="10541"/>
  <c r="N29" i="10541"/>
  <c r="O29" i="10541"/>
  <c r="P29" i="10541"/>
  <c r="Q29" i="10541"/>
  <c r="R29" i="10541"/>
  <c r="S29" i="10541"/>
  <c r="T29" i="10541"/>
  <c r="U29" i="10541"/>
  <c r="V29" i="10541"/>
  <c r="W29" i="10541"/>
  <c r="X29" i="10541"/>
  <c r="Y29" i="10541"/>
  <c r="Z29" i="10541"/>
  <c r="AA29" i="10541"/>
  <c r="AB29" i="10541"/>
  <c r="AC29" i="10541"/>
  <c r="AD29" i="10541"/>
  <c r="AE29" i="10541"/>
  <c r="AF29" i="10541"/>
  <c r="AG29" i="10541"/>
  <c r="AH29" i="10541"/>
  <c r="AI29" i="10541"/>
  <c r="AJ29" i="10541"/>
  <c r="AL29" i="10541"/>
  <c r="AM29" i="10541"/>
  <c r="AN29" i="10541"/>
  <c r="AO29" i="10541"/>
  <c r="A30" i="10541"/>
  <c r="B30" i="10541"/>
  <c r="C30" i="10541"/>
  <c r="D30" i="10541"/>
  <c r="E30" i="10541"/>
  <c r="F30" i="10541"/>
  <c r="G30" i="10541"/>
  <c r="H30" i="10541"/>
  <c r="I30" i="10541"/>
  <c r="J30" i="10541"/>
  <c r="K30" i="10541"/>
  <c r="L30" i="10541"/>
  <c r="M30" i="10541"/>
  <c r="N30" i="10541"/>
  <c r="O30" i="10541"/>
  <c r="P30" i="10541"/>
  <c r="Q30" i="10541"/>
  <c r="R30" i="10541"/>
  <c r="S30" i="10541"/>
  <c r="T30" i="10541"/>
  <c r="U30" i="10541"/>
  <c r="V30" i="10541"/>
  <c r="W30" i="10541"/>
  <c r="X30" i="10541"/>
  <c r="Y30" i="10541"/>
  <c r="Z30" i="10541"/>
  <c r="AA30" i="10541"/>
  <c r="AB30" i="10541"/>
  <c r="AC30" i="10541"/>
  <c r="AD30" i="10541"/>
  <c r="AE30" i="10541"/>
  <c r="AF30" i="10541"/>
  <c r="AG30" i="10541"/>
  <c r="AH30" i="10541"/>
  <c r="AI30" i="10541"/>
  <c r="AJ30" i="10541"/>
  <c r="AL30" i="10541"/>
  <c r="AM30" i="10541"/>
  <c r="AN30" i="10541"/>
  <c r="AO30" i="10541"/>
  <c r="A31" i="10541"/>
  <c r="B31" i="10541"/>
  <c r="C31" i="10541"/>
  <c r="D31" i="10541"/>
  <c r="E31" i="10541"/>
  <c r="F31" i="10541"/>
  <c r="G31" i="10541"/>
  <c r="H31" i="10541"/>
  <c r="I31" i="10541"/>
  <c r="J31" i="10541"/>
  <c r="K31" i="10541"/>
  <c r="L31" i="10541"/>
  <c r="M31" i="10541"/>
  <c r="N31" i="10541"/>
  <c r="O31" i="10541"/>
  <c r="P31" i="10541"/>
  <c r="Q31" i="10541"/>
  <c r="R31" i="10541"/>
  <c r="S31" i="10541"/>
  <c r="T31" i="10541"/>
  <c r="U31" i="10541"/>
  <c r="V31" i="10541"/>
  <c r="W31" i="10541"/>
  <c r="X31" i="10541"/>
  <c r="Y31" i="10541"/>
  <c r="Z31" i="10541"/>
  <c r="AA31" i="10541"/>
  <c r="AB31" i="10541"/>
  <c r="AC31" i="10541"/>
  <c r="AD31" i="10541"/>
  <c r="AE31" i="10541"/>
  <c r="AF31" i="10541"/>
  <c r="AG31" i="10541"/>
  <c r="AH31" i="10541"/>
  <c r="AI31" i="10541"/>
  <c r="AJ31" i="10541"/>
  <c r="AL31" i="10541"/>
  <c r="AM31" i="10541"/>
  <c r="AN31" i="10541"/>
  <c r="AO31" i="10541"/>
  <c r="A32" i="10541"/>
  <c r="B32" i="10541"/>
  <c r="C32" i="10541"/>
  <c r="D32" i="10541"/>
  <c r="E32" i="10541"/>
  <c r="F32" i="10541"/>
  <c r="G32" i="10541"/>
  <c r="H32" i="10541"/>
  <c r="I32" i="10541"/>
  <c r="J32" i="10541"/>
  <c r="K32" i="10541"/>
  <c r="L32" i="10541"/>
  <c r="M32" i="10541"/>
  <c r="N32" i="10541"/>
  <c r="O32" i="10541"/>
  <c r="P32" i="10541"/>
  <c r="Q32" i="10541"/>
  <c r="R32" i="10541"/>
  <c r="S32" i="10541"/>
  <c r="T32" i="10541"/>
  <c r="U32" i="10541"/>
  <c r="V32" i="10541"/>
  <c r="W32" i="10541"/>
  <c r="X32" i="10541"/>
  <c r="Y32" i="10541"/>
  <c r="Z32" i="10541"/>
  <c r="AA32" i="10541"/>
  <c r="AB32" i="10541"/>
  <c r="AC32" i="10541"/>
  <c r="AD32" i="10541"/>
  <c r="AE32" i="10541"/>
  <c r="AF32" i="10541"/>
  <c r="AG32" i="10541"/>
  <c r="AH32" i="10541"/>
  <c r="AI32" i="10541"/>
  <c r="AJ32" i="10541"/>
  <c r="AL32" i="10541"/>
  <c r="AM32" i="10541"/>
  <c r="AN32" i="10541"/>
  <c r="AO32" i="10541"/>
  <c r="A33" i="10541"/>
  <c r="B33" i="10541"/>
  <c r="C33" i="10541"/>
  <c r="D33" i="10541"/>
  <c r="E33" i="10541"/>
  <c r="F33" i="10541"/>
  <c r="G33" i="10541"/>
  <c r="H33" i="10541"/>
  <c r="I33" i="10541"/>
  <c r="J33" i="10541"/>
  <c r="K33" i="10541"/>
  <c r="L33" i="10541"/>
  <c r="M33" i="10541"/>
  <c r="N33" i="10541"/>
  <c r="O33" i="10541"/>
  <c r="P33" i="10541"/>
  <c r="Q33" i="10541"/>
  <c r="R33" i="10541"/>
  <c r="S33" i="10541"/>
  <c r="T33" i="10541"/>
  <c r="U33" i="10541"/>
  <c r="V33" i="10541"/>
  <c r="W33" i="10541"/>
  <c r="X33" i="10541"/>
  <c r="Y33" i="10541"/>
  <c r="Z33" i="10541"/>
  <c r="AA33" i="10541"/>
  <c r="AB33" i="10541"/>
  <c r="AC33" i="10541"/>
  <c r="AD33" i="10541"/>
  <c r="AE33" i="10541"/>
  <c r="AF33" i="10541"/>
  <c r="AG33" i="10541"/>
  <c r="AH33" i="10541"/>
  <c r="AI33" i="10541"/>
  <c r="AJ33" i="10541"/>
  <c r="AL33" i="10541"/>
  <c r="AM33" i="10541"/>
  <c r="AN33" i="10541"/>
  <c r="AO33" i="10541"/>
  <c r="A34" i="10541"/>
  <c r="B34" i="10541"/>
  <c r="C34" i="10541"/>
  <c r="D34" i="10541"/>
  <c r="E34" i="10541"/>
  <c r="F34" i="10541"/>
  <c r="G34" i="10541"/>
  <c r="H34" i="10541"/>
  <c r="I34" i="10541"/>
  <c r="J34" i="10541"/>
  <c r="K34" i="10541"/>
  <c r="L34" i="10541"/>
  <c r="M34" i="10541"/>
  <c r="N34" i="10541"/>
  <c r="O34" i="10541"/>
  <c r="P34" i="10541"/>
  <c r="Q34" i="10541"/>
  <c r="R34" i="10541"/>
  <c r="S34" i="10541"/>
  <c r="T34" i="10541"/>
  <c r="U34" i="10541"/>
  <c r="V34" i="10541"/>
  <c r="W34" i="10541"/>
  <c r="X34" i="10541"/>
  <c r="Y34" i="10541"/>
  <c r="Z34" i="10541"/>
  <c r="AA34" i="10541"/>
  <c r="AB34" i="10541"/>
  <c r="AC34" i="10541"/>
  <c r="AD34" i="10541"/>
  <c r="AE34" i="10541"/>
  <c r="AF34" i="10541"/>
  <c r="AG34" i="10541"/>
  <c r="AH34" i="10541"/>
  <c r="AI34" i="10541"/>
  <c r="AJ34" i="10541"/>
  <c r="AL34" i="10541"/>
  <c r="AM34" i="10541"/>
  <c r="AN34" i="10541"/>
  <c r="AO34" i="10541"/>
  <c r="A35" i="10541"/>
  <c r="B35" i="10541"/>
  <c r="C35" i="10541"/>
  <c r="D35" i="10541"/>
  <c r="E35" i="10541"/>
  <c r="F35" i="10541"/>
  <c r="G35" i="10541"/>
  <c r="H35" i="10541"/>
  <c r="I35" i="10541"/>
  <c r="J35" i="10541"/>
  <c r="K35" i="10541"/>
  <c r="L35" i="10541"/>
  <c r="M35" i="10541"/>
  <c r="N35" i="10541"/>
  <c r="O35" i="10541"/>
  <c r="P35" i="10541"/>
  <c r="Q35" i="10541"/>
  <c r="R35" i="10541"/>
  <c r="S35" i="10541"/>
  <c r="T35" i="10541"/>
  <c r="U35" i="10541"/>
  <c r="V35" i="10541"/>
  <c r="W35" i="10541"/>
  <c r="X35" i="10541"/>
  <c r="Y35" i="10541"/>
  <c r="Z35" i="10541"/>
  <c r="AA35" i="10541"/>
  <c r="AB35" i="10541"/>
  <c r="AC35" i="10541"/>
  <c r="AD35" i="10541"/>
  <c r="AE35" i="10541"/>
  <c r="AF35" i="10541"/>
  <c r="AG35" i="10541"/>
  <c r="AH35" i="10541"/>
  <c r="AI35" i="10541"/>
  <c r="AJ35" i="10541"/>
  <c r="AL35" i="10541"/>
  <c r="AM35" i="10541"/>
  <c r="AN35" i="10541"/>
  <c r="AO35" i="10541"/>
  <c r="P37" i="10541"/>
  <c r="Q37" i="10541"/>
  <c r="R37" i="10541"/>
  <c r="S37" i="10541"/>
  <c r="T37" i="10541"/>
  <c r="U37" i="10541"/>
  <c r="V37" i="10541"/>
  <c r="B38" i="10541"/>
  <c r="C38" i="10541"/>
  <c r="D38" i="10541"/>
  <c r="E38" i="10541"/>
  <c r="F38" i="10541"/>
  <c r="G38" i="10541"/>
  <c r="I38" i="10541"/>
  <c r="J38" i="10541"/>
  <c r="K38" i="10541"/>
  <c r="L38" i="10541"/>
  <c r="M38" i="10541"/>
  <c r="N38" i="10541"/>
  <c r="P38" i="10541"/>
  <c r="Q38" i="10541"/>
  <c r="R38" i="10541"/>
  <c r="S38" i="10541"/>
  <c r="T38" i="10541"/>
  <c r="U38" i="10541"/>
  <c r="W38" i="10541"/>
  <c r="X38" i="10541"/>
  <c r="Y38" i="10541"/>
  <c r="Z38" i="10541"/>
  <c r="AA38" i="10541"/>
  <c r="AB38" i="10541"/>
  <c r="AD38" i="10541"/>
  <c r="AE38" i="10541"/>
  <c r="AF38" i="10541"/>
  <c r="AG38" i="10541"/>
  <c r="AH38" i="10541"/>
  <c r="AI38" i="10541"/>
  <c r="AL38" i="10541"/>
  <c r="AM38" i="10541"/>
  <c r="AN38" i="10541"/>
  <c r="B40" i="10541"/>
  <c r="C40" i="10541"/>
  <c r="D40" i="10541"/>
  <c r="E40" i="10541"/>
  <c r="F40" i="10541"/>
  <c r="G40" i="10541"/>
  <c r="H40" i="10541"/>
  <c r="I40" i="10541"/>
  <c r="J40" i="10541"/>
  <c r="K40" i="10541"/>
  <c r="L40" i="10541"/>
  <c r="M40" i="10541"/>
  <c r="N40" i="10541"/>
  <c r="O40" i="10541"/>
  <c r="P40" i="10541"/>
  <c r="Q40" i="10541"/>
  <c r="R40" i="10541"/>
  <c r="S40" i="10541"/>
  <c r="T40" i="10541"/>
  <c r="U40" i="10541"/>
  <c r="V40" i="10541"/>
  <c r="W40" i="10541"/>
  <c r="X40" i="10541"/>
  <c r="Y40" i="10541"/>
  <c r="Z40" i="10541"/>
  <c r="AA40" i="10541"/>
  <c r="AB40" i="10541"/>
  <c r="AC40" i="10541"/>
  <c r="AD40" i="10541"/>
  <c r="AE40" i="10541"/>
  <c r="AF40" i="10541"/>
  <c r="AG40" i="10541"/>
  <c r="AH40" i="10541"/>
  <c r="AI40" i="10541"/>
  <c r="AJ40" i="10541"/>
  <c r="AK40" i="10541"/>
  <c r="AL40" i="10541"/>
  <c r="AM40" i="10541"/>
  <c r="AN40" i="10541"/>
  <c r="AO40" i="10541"/>
  <c r="A5" i="2316"/>
  <c r="B5" i="2316"/>
  <c r="F5" i="2316"/>
  <c r="H5" i="2316"/>
  <c r="J5" i="2316"/>
  <c r="A6" i="2316"/>
  <c r="B6" i="2316"/>
  <c r="F6" i="2316"/>
  <c r="H6" i="2316"/>
  <c r="J6" i="2316"/>
  <c r="A7" i="2316"/>
  <c r="B7" i="2316"/>
  <c r="F7" i="2316"/>
  <c r="H7" i="2316"/>
  <c r="J7" i="2316"/>
  <c r="B8" i="2316"/>
  <c r="F8" i="2316"/>
  <c r="H8" i="2316"/>
  <c r="J8" i="2316"/>
  <c r="B14" i="2316"/>
  <c r="B20" i="2316"/>
  <c r="D22" i="2316"/>
  <c r="B24" i="2316"/>
  <c r="H24" i="2316"/>
  <c r="J24" i="2316"/>
  <c r="B25" i="2316"/>
  <c r="H25" i="2316"/>
  <c r="J25" i="2316"/>
  <c r="B27" i="2316"/>
  <c r="O29" i="2316"/>
  <c r="N31" i="2316"/>
  <c r="R31" i="2316"/>
  <c r="D32" i="2316"/>
  <c r="N32" i="2316"/>
  <c r="R32" i="2316"/>
  <c r="B33" i="2316"/>
  <c r="F33" i="2316"/>
  <c r="H33" i="2316"/>
  <c r="J33" i="2316"/>
  <c r="N33" i="2316"/>
  <c r="R33" i="2316"/>
  <c r="O36" i="2316"/>
  <c r="O37" i="2316"/>
  <c r="B38" i="2316"/>
  <c r="N39" i="2316"/>
  <c r="R39" i="2316"/>
  <c r="N40" i="2316"/>
  <c r="R40" i="2316"/>
  <c r="N41" i="2316"/>
  <c r="R41" i="2316"/>
  <c r="O45" i="2316"/>
  <c r="N47" i="2316"/>
  <c r="R47" i="2316"/>
  <c r="N48" i="2316"/>
  <c r="R48" i="2316"/>
  <c r="N49" i="2316"/>
  <c r="R49" i="2316"/>
  <c r="B51" i="2316"/>
  <c r="O53" i="2316"/>
  <c r="B54" i="2316"/>
  <c r="N55" i="2316"/>
  <c r="R55" i="2316"/>
  <c r="N56" i="2316"/>
  <c r="R56" i="2316"/>
  <c r="N57" i="2316"/>
  <c r="R57" i="2316"/>
  <c r="D60" i="2316"/>
  <c r="O61" i="2316"/>
  <c r="N63" i="2316"/>
  <c r="R63" i="2316"/>
  <c r="B64" i="2316"/>
  <c r="F64" i="2316"/>
  <c r="H64" i="2316"/>
  <c r="N64" i="2316"/>
  <c r="R64" i="2316"/>
  <c r="B65" i="2316"/>
  <c r="F65" i="2316"/>
  <c r="H65" i="2316"/>
  <c r="N65" i="2316"/>
  <c r="R65" i="2316"/>
  <c r="O69" i="2316"/>
  <c r="N71" i="2316"/>
  <c r="R71" i="2316"/>
  <c r="D72" i="2316"/>
  <c r="F72" i="2316"/>
  <c r="N72" i="2316"/>
  <c r="R72" i="2316"/>
  <c r="B73" i="2316"/>
  <c r="N73" i="2316"/>
  <c r="R73" i="2316"/>
  <c r="B75" i="2316"/>
  <c r="L77" i="2316"/>
  <c r="B78" i="2316"/>
  <c r="D78" i="2316"/>
  <c r="F78" i="2316"/>
  <c r="L78" i="2316"/>
  <c r="D79" i="2316"/>
  <c r="L79" i="2316"/>
  <c r="B80" i="2316"/>
  <c r="D80" i="2316"/>
  <c r="F80" i="2316"/>
  <c r="L80" i="2316"/>
  <c r="D81" i="2316"/>
  <c r="L82" i="2316"/>
  <c r="B84" i="2316"/>
  <c r="D84" i="2316"/>
  <c r="F84" i="2316"/>
  <c r="L84" i="2316"/>
  <c r="B85" i="2316"/>
  <c r="B86" i="2316"/>
  <c r="L86" i="2316"/>
  <c r="L90" i="2316"/>
  <c r="B91" i="2316"/>
  <c r="D91" i="2316"/>
  <c r="F91" i="2316"/>
  <c r="F93" i="2316"/>
  <c r="N93" i="2316"/>
  <c r="P93" i="2316"/>
  <c r="F94" i="2316"/>
  <c r="P94" i="2316"/>
  <c r="F95" i="2316"/>
  <c r="N95" i="2316"/>
  <c r="P95" i="2316"/>
  <c r="P96" i="2316"/>
  <c r="F97" i="2316"/>
  <c r="P97" i="2316"/>
  <c r="F98" i="2316"/>
  <c r="N98" i="2316"/>
  <c r="P98" i="2316"/>
  <c r="F99" i="2316"/>
  <c r="P99" i="2316"/>
  <c r="P100" i="2316"/>
  <c r="F101" i="2316"/>
  <c r="P101" i="2316"/>
  <c r="F102" i="2316"/>
  <c r="P102" i="2316"/>
  <c r="F103" i="2316"/>
  <c r="P103" i="2316"/>
  <c r="L104" i="2316"/>
  <c r="N104" i="2316"/>
  <c r="M105" i="2316"/>
  <c r="M106" i="2316"/>
  <c r="F107" i="2316"/>
  <c r="M107" i="2316"/>
  <c r="F108" i="2316"/>
  <c r="M109" i="2316"/>
  <c r="C1" i="1"/>
  <c r="A6" i="1"/>
  <c r="D6" i="1"/>
  <c r="BD6" i="1"/>
  <c r="BE6" i="1"/>
  <c r="A7" i="1"/>
  <c r="C7" i="1"/>
  <c r="BD7" i="1"/>
  <c r="BE7" i="1"/>
  <c r="A8" i="1"/>
  <c r="U8" i="1"/>
  <c r="BD8" i="1"/>
  <c r="BE8" i="1"/>
  <c r="A9" i="1"/>
  <c r="U9" i="1"/>
  <c r="BD9" i="1"/>
  <c r="BE9" i="1"/>
  <c r="A10" i="1"/>
  <c r="G10" i="1"/>
  <c r="U10" i="1"/>
  <c r="BD10" i="1"/>
  <c r="BE10" i="1"/>
  <c r="A11" i="1"/>
  <c r="U11" i="1"/>
  <c r="AC11" i="1"/>
  <c r="BD11" i="1"/>
  <c r="BE11" i="1"/>
  <c r="A12" i="1"/>
  <c r="U12" i="1"/>
  <c r="AD12" i="1"/>
  <c r="BD12" i="1"/>
  <c r="BE12" i="1"/>
  <c r="A13" i="1"/>
  <c r="U13" i="1"/>
  <c r="BD13" i="1"/>
  <c r="BE13" i="1"/>
  <c r="A14" i="1"/>
  <c r="U14" i="1"/>
  <c r="AD14" i="1"/>
  <c r="BD14" i="1"/>
  <c r="BE14" i="1"/>
  <c r="A15" i="1"/>
  <c r="U15" i="1"/>
  <c r="BD15" i="1"/>
  <c r="BE15" i="1"/>
  <c r="A16" i="1"/>
  <c r="U16" i="1"/>
  <c r="BD16" i="1"/>
  <c r="BE16" i="1"/>
  <c r="A17" i="1"/>
  <c r="U17" i="1"/>
  <c r="Y17" i="1"/>
  <c r="BD17" i="1"/>
  <c r="BE17" i="1"/>
  <c r="A18" i="1"/>
  <c r="U18" i="1"/>
  <c r="BD18" i="1"/>
  <c r="BE18" i="1"/>
  <c r="A19" i="1"/>
  <c r="U19" i="1"/>
  <c r="BD19" i="1"/>
  <c r="BE19" i="1"/>
  <c r="A20" i="1"/>
  <c r="BD20" i="1"/>
  <c r="BE20" i="1"/>
  <c r="A21" i="1"/>
  <c r="BD21" i="1"/>
  <c r="BE21" i="1"/>
  <c r="A22" i="1"/>
  <c r="BD22" i="1"/>
  <c r="BE22" i="1"/>
  <c r="A23" i="1"/>
  <c r="BD23" i="1"/>
  <c r="BE23" i="1"/>
  <c r="A24" i="1"/>
  <c r="BD24" i="1"/>
  <c r="BE24" i="1"/>
  <c r="A25" i="1"/>
  <c r="BD25" i="1"/>
  <c r="BE25" i="1"/>
  <c r="A26" i="1"/>
  <c r="BD26" i="1"/>
  <c r="BE26" i="1"/>
  <c r="A27" i="1"/>
  <c r="BD27" i="1"/>
  <c r="BE27" i="1"/>
  <c r="A28" i="1"/>
  <c r="BD28" i="1"/>
  <c r="BE28" i="1"/>
  <c r="A29" i="1"/>
  <c r="BD29" i="1"/>
  <c r="BE29" i="1"/>
  <c r="A30" i="1"/>
  <c r="BD30" i="1"/>
  <c r="BE30" i="1"/>
  <c r="A31" i="1"/>
  <c r="BD31" i="1"/>
  <c r="BE31" i="1"/>
  <c r="A32" i="1"/>
  <c r="BD32" i="1"/>
  <c r="BE32" i="1"/>
  <c r="A33" i="1"/>
  <c r="AO33" i="1"/>
  <c r="AP33" i="1"/>
  <c r="AZ33" i="1"/>
  <c r="BA33" i="1"/>
  <c r="BD33" i="1"/>
  <c r="BE33" i="1"/>
  <c r="A34" i="1"/>
  <c r="B34" i="1"/>
  <c r="D34" i="1"/>
  <c r="BD34" i="1"/>
  <c r="BE34" i="1"/>
  <c r="A35" i="1"/>
  <c r="C35" i="1"/>
  <c r="AL35" i="1"/>
  <c r="BD35" i="1"/>
  <c r="BE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BB37" i="1"/>
  <c r="BC37" i="1"/>
  <c r="BD37" i="1"/>
  <c r="B39" i="1"/>
  <c r="AR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1" i="9"/>
  <c r="A6" i="9"/>
  <c r="B6" i="9"/>
  <c r="C6" i="9"/>
  <c r="D6" i="9"/>
  <c r="E6" i="9"/>
  <c r="H6" i="9"/>
  <c r="K6" i="9"/>
  <c r="N6" i="9"/>
  <c r="Q6" i="9"/>
  <c r="T6" i="9"/>
  <c r="W6" i="9"/>
  <c r="Z6" i="9"/>
  <c r="AC6" i="9"/>
  <c r="AF6" i="9"/>
  <c r="AI6" i="9"/>
  <c r="AL6" i="9"/>
  <c r="AO6" i="9"/>
  <c r="AR6" i="9"/>
  <c r="AU6" i="9"/>
  <c r="AX6" i="9"/>
  <c r="BA6" i="9"/>
  <c r="BD6" i="9"/>
  <c r="BG6" i="9"/>
  <c r="BJ6" i="9"/>
  <c r="BM6" i="9"/>
  <c r="BP6" i="9"/>
  <c r="BS6" i="9"/>
  <c r="BV6" i="9"/>
  <c r="BY6" i="9"/>
  <c r="CB6" i="9"/>
  <c r="CE6" i="9"/>
  <c r="CH6" i="9"/>
  <c r="CK6" i="9"/>
  <c r="CN6" i="9"/>
  <c r="CQ6" i="9"/>
  <c r="CT6" i="9"/>
  <c r="CW6" i="9"/>
  <c r="CZ6" i="9"/>
  <c r="DC6" i="9"/>
  <c r="DF6" i="9"/>
  <c r="DI6" i="9"/>
  <c r="DL6" i="9"/>
  <c r="DO6" i="9"/>
  <c r="DR6" i="9"/>
  <c r="DS6" i="9"/>
  <c r="DT6" i="9"/>
  <c r="DU6" i="9"/>
  <c r="A7" i="9"/>
  <c r="B7" i="9"/>
  <c r="E7" i="9"/>
  <c r="H7" i="9"/>
  <c r="K7" i="9"/>
  <c r="N7" i="9"/>
  <c r="Q7" i="9"/>
  <c r="T7" i="9"/>
  <c r="W7" i="9"/>
  <c r="Z7" i="9"/>
  <c r="AC7" i="9"/>
  <c r="AF7" i="9"/>
  <c r="AI7" i="9"/>
  <c r="AL7" i="9"/>
  <c r="AO7" i="9"/>
  <c r="AR7" i="9"/>
  <c r="AU7" i="9"/>
  <c r="AX7" i="9"/>
  <c r="BA7" i="9"/>
  <c r="BD7" i="9"/>
  <c r="BG7" i="9"/>
  <c r="BJ7" i="9"/>
  <c r="BM7" i="9"/>
  <c r="BP7" i="9"/>
  <c r="BS7" i="9"/>
  <c r="BV7" i="9"/>
  <c r="BY7" i="9"/>
  <c r="CB7" i="9"/>
  <c r="CE7" i="9"/>
  <c r="CH7" i="9"/>
  <c r="CK7" i="9"/>
  <c r="CN7" i="9"/>
  <c r="CQ7" i="9"/>
  <c r="CT7" i="9"/>
  <c r="CW7" i="9"/>
  <c r="CZ7" i="9"/>
  <c r="DC7" i="9"/>
  <c r="DF7" i="9"/>
  <c r="DI7" i="9"/>
  <c r="DL7" i="9"/>
  <c r="DO7" i="9"/>
  <c r="DR7" i="9"/>
  <c r="DS7" i="9"/>
  <c r="DT7" i="9"/>
  <c r="DU7" i="9"/>
  <c r="A8" i="9"/>
  <c r="B8" i="9"/>
  <c r="E8" i="9"/>
  <c r="H8" i="9"/>
  <c r="K8" i="9"/>
  <c r="N8" i="9"/>
  <c r="Q8" i="9"/>
  <c r="T8" i="9"/>
  <c r="W8" i="9"/>
  <c r="Z8" i="9"/>
  <c r="AC8" i="9"/>
  <c r="AF8" i="9"/>
  <c r="AI8" i="9"/>
  <c r="AL8" i="9"/>
  <c r="AO8" i="9"/>
  <c r="AR8" i="9"/>
  <c r="AU8" i="9"/>
  <c r="AX8" i="9"/>
  <c r="BA8" i="9"/>
  <c r="BD8" i="9"/>
  <c r="BG8" i="9"/>
  <c r="BJ8" i="9"/>
  <c r="BM8" i="9"/>
  <c r="BP8" i="9"/>
  <c r="BS8" i="9"/>
  <c r="BV8" i="9"/>
  <c r="BY8" i="9"/>
  <c r="CB8" i="9"/>
  <c r="CE8" i="9"/>
  <c r="CH8" i="9"/>
  <c r="CK8" i="9"/>
  <c r="CN8" i="9"/>
  <c r="CQ8" i="9"/>
  <c r="CT8" i="9"/>
  <c r="CW8" i="9"/>
  <c r="CZ8" i="9"/>
  <c r="DC8" i="9"/>
  <c r="DF8" i="9"/>
  <c r="DI8" i="9"/>
  <c r="DL8" i="9"/>
  <c r="DO8" i="9"/>
  <c r="DR8" i="9"/>
  <c r="DS8" i="9"/>
  <c r="DT8" i="9"/>
  <c r="DU8" i="9"/>
  <c r="A9" i="9"/>
  <c r="B9" i="9"/>
  <c r="E9" i="9"/>
  <c r="H9" i="9"/>
  <c r="K9" i="9"/>
  <c r="N9" i="9"/>
  <c r="Q9" i="9"/>
  <c r="T9" i="9"/>
  <c r="W9" i="9"/>
  <c r="Z9" i="9"/>
  <c r="AC9" i="9"/>
  <c r="AF9" i="9"/>
  <c r="AI9" i="9"/>
  <c r="AL9" i="9"/>
  <c r="AO9" i="9"/>
  <c r="AR9" i="9"/>
  <c r="AU9" i="9"/>
  <c r="AX9" i="9"/>
  <c r="BA9" i="9"/>
  <c r="BD9" i="9"/>
  <c r="BG9" i="9"/>
  <c r="BJ9" i="9"/>
  <c r="BM9" i="9"/>
  <c r="BP9" i="9"/>
  <c r="BS9" i="9"/>
  <c r="BV9" i="9"/>
  <c r="BY9" i="9"/>
  <c r="CB9" i="9"/>
  <c r="CE9" i="9"/>
  <c r="CH9" i="9"/>
  <c r="CK9" i="9"/>
  <c r="CN9" i="9"/>
  <c r="CQ9" i="9"/>
  <c r="CT9" i="9"/>
  <c r="CW9" i="9"/>
  <c r="CZ9" i="9"/>
  <c r="DC9" i="9"/>
  <c r="DF9" i="9"/>
  <c r="DI9" i="9"/>
  <c r="DL9" i="9"/>
  <c r="DO9" i="9"/>
  <c r="DR9" i="9"/>
  <c r="DS9" i="9"/>
  <c r="DT9" i="9"/>
  <c r="DU9" i="9"/>
  <c r="A10" i="9"/>
  <c r="B10" i="9"/>
  <c r="E10" i="9"/>
  <c r="H10" i="9"/>
  <c r="K10" i="9"/>
  <c r="N10" i="9"/>
  <c r="Q10" i="9"/>
  <c r="T10" i="9"/>
  <c r="W10" i="9"/>
  <c r="Z10" i="9"/>
  <c r="AC10" i="9"/>
  <c r="AF10" i="9"/>
  <c r="AI10" i="9"/>
  <c r="AL10" i="9"/>
  <c r="AO10" i="9"/>
  <c r="AR10" i="9"/>
  <c r="AU10" i="9"/>
  <c r="AX10" i="9"/>
  <c r="BA10" i="9"/>
  <c r="BD10" i="9"/>
  <c r="BG10" i="9"/>
  <c r="BJ10" i="9"/>
  <c r="BM10" i="9"/>
  <c r="BP10" i="9"/>
  <c r="BS10" i="9"/>
  <c r="BV10" i="9"/>
  <c r="BY10" i="9"/>
  <c r="CB10" i="9"/>
  <c r="CE10" i="9"/>
  <c r="CH10" i="9"/>
  <c r="CK10" i="9"/>
  <c r="CN10" i="9"/>
  <c r="CQ10" i="9"/>
  <c r="CT10" i="9"/>
  <c r="CW10" i="9"/>
  <c r="CZ10" i="9"/>
  <c r="DC10" i="9"/>
  <c r="DF10" i="9"/>
  <c r="DI10" i="9"/>
  <c r="DL10" i="9"/>
  <c r="DO10" i="9"/>
  <c r="DR10" i="9"/>
  <c r="DS10" i="9"/>
  <c r="DT10" i="9"/>
  <c r="DU10" i="9"/>
  <c r="A11" i="9"/>
  <c r="B11" i="9"/>
  <c r="E11" i="9"/>
  <c r="H11" i="9"/>
  <c r="K11" i="9"/>
  <c r="N11" i="9"/>
  <c r="Q11" i="9"/>
  <c r="T11" i="9"/>
  <c r="W11" i="9"/>
  <c r="Z11" i="9"/>
  <c r="AC11" i="9"/>
  <c r="AF11" i="9"/>
  <c r="AI11" i="9"/>
  <c r="AL11" i="9"/>
  <c r="AO11" i="9"/>
  <c r="AR11" i="9"/>
  <c r="AU11" i="9"/>
  <c r="AX11" i="9"/>
  <c r="BA11" i="9"/>
  <c r="BD11" i="9"/>
  <c r="BG11" i="9"/>
  <c r="BJ11" i="9"/>
  <c r="BM11" i="9"/>
  <c r="BP11" i="9"/>
  <c r="BS11" i="9"/>
  <c r="BV11" i="9"/>
  <c r="BY11" i="9"/>
  <c r="CB11" i="9"/>
  <c r="CE11" i="9"/>
  <c r="CH11" i="9"/>
  <c r="CK11" i="9"/>
  <c r="CN11" i="9"/>
  <c r="CQ11" i="9"/>
  <c r="CT11" i="9"/>
  <c r="CW11" i="9"/>
  <c r="CZ11" i="9"/>
  <c r="DC11" i="9"/>
  <c r="DF11" i="9"/>
  <c r="DI11" i="9"/>
  <c r="DL11" i="9"/>
  <c r="DO11" i="9"/>
  <c r="DR11" i="9"/>
  <c r="DS11" i="9"/>
  <c r="DT11" i="9"/>
  <c r="DU11" i="9"/>
  <c r="A12" i="9"/>
  <c r="B12" i="9"/>
  <c r="E12" i="9"/>
  <c r="H12" i="9"/>
  <c r="K12" i="9"/>
  <c r="N12" i="9"/>
  <c r="Q12" i="9"/>
  <c r="T12" i="9"/>
  <c r="W12" i="9"/>
  <c r="Z12" i="9"/>
  <c r="AC12" i="9"/>
  <c r="AF12" i="9"/>
  <c r="AI12" i="9"/>
  <c r="AL12" i="9"/>
  <c r="AO12" i="9"/>
  <c r="AR12" i="9"/>
  <c r="AU12" i="9"/>
  <c r="AX12" i="9"/>
  <c r="BA12" i="9"/>
  <c r="BD12" i="9"/>
  <c r="BG12" i="9"/>
  <c r="BJ12" i="9"/>
  <c r="BM12" i="9"/>
  <c r="BP12" i="9"/>
  <c r="BS12" i="9"/>
  <c r="BV12" i="9"/>
  <c r="BY12" i="9"/>
  <c r="CB12" i="9"/>
  <c r="CE12" i="9"/>
  <c r="CH12" i="9"/>
  <c r="CK12" i="9"/>
  <c r="CN12" i="9"/>
  <c r="CQ12" i="9"/>
  <c r="CT12" i="9"/>
  <c r="CW12" i="9"/>
  <c r="CZ12" i="9"/>
  <c r="DC12" i="9"/>
  <c r="DF12" i="9"/>
  <c r="DI12" i="9"/>
  <c r="DL12" i="9"/>
  <c r="DO12" i="9"/>
  <c r="DR12" i="9"/>
  <c r="DS12" i="9"/>
  <c r="DT12" i="9"/>
  <c r="DU12" i="9"/>
  <c r="A13" i="9"/>
  <c r="B13" i="9"/>
  <c r="E13" i="9"/>
  <c r="H13" i="9"/>
  <c r="K13" i="9"/>
  <c r="N13" i="9"/>
  <c r="Q13" i="9"/>
  <c r="T13" i="9"/>
  <c r="W13" i="9"/>
  <c r="Z13" i="9"/>
  <c r="AC13" i="9"/>
  <c r="AF13" i="9"/>
  <c r="AI13" i="9"/>
  <c r="AL13" i="9"/>
  <c r="AO13" i="9"/>
  <c r="AR13" i="9"/>
  <c r="AU13" i="9"/>
  <c r="AX13" i="9"/>
  <c r="BA13" i="9"/>
  <c r="BD13" i="9"/>
  <c r="BG13" i="9"/>
  <c r="BJ13" i="9"/>
  <c r="BM13" i="9"/>
  <c r="BP13" i="9"/>
  <c r="BS13" i="9"/>
  <c r="BV13" i="9"/>
  <c r="BY13" i="9"/>
  <c r="CB13" i="9"/>
  <c r="CE13" i="9"/>
  <c r="CH13" i="9"/>
  <c r="CK13" i="9"/>
  <c r="CN13" i="9"/>
  <c r="CQ13" i="9"/>
  <c r="CT13" i="9"/>
  <c r="CW13" i="9"/>
  <c r="CZ13" i="9"/>
  <c r="DC13" i="9"/>
  <c r="DF13" i="9"/>
  <c r="DI13" i="9"/>
  <c r="DL13" i="9"/>
  <c r="DO13" i="9"/>
  <c r="DR13" i="9"/>
  <c r="DS13" i="9"/>
  <c r="DT13" i="9"/>
  <c r="DU13" i="9"/>
  <c r="A14" i="9"/>
  <c r="B14" i="9"/>
  <c r="E14" i="9"/>
  <c r="H14" i="9"/>
  <c r="K14" i="9"/>
  <c r="N14" i="9"/>
  <c r="Q14" i="9"/>
  <c r="T14" i="9"/>
  <c r="W14" i="9"/>
  <c r="Z14" i="9"/>
  <c r="AC14" i="9"/>
  <c r="AF14" i="9"/>
  <c r="AI14" i="9"/>
  <c r="AL14" i="9"/>
  <c r="AO14" i="9"/>
  <c r="AR14" i="9"/>
  <c r="AU14" i="9"/>
  <c r="AX14" i="9"/>
  <c r="BA14" i="9"/>
  <c r="BD14" i="9"/>
  <c r="BG14" i="9"/>
  <c r="BJ14" i="9"/>
  <c r="BM14" i="9"/>
  <c r="BP14" i="9"/>
  <c r="BS14" i="9"/>
  <c r="BV14" i="9"/>
  <c r="BY14" i="9"/>
  <c r="CB14" i="9"/>
  <c r="CE14" i="9"/>
  <c r="CH14" i="9"/>
  <c r="CK14" i="9"/>
  <c r="CN14" i="9"/>
  <c r="CQ14" i="9"/>
  <c r="CT14" i="9"/>
  <c r="CW14" i="9"/>
  <c r="CZ14" i="9"/>
  <c r="DC14" i="9"/>
  <c r="DF14" i="9"/>
  <c r="DI14" i="9"/>
  <c r="DL14" i="9"/>
  <c r="DO14" i="9"/>
  <c r="DR14" i="9"/>
  <c r="DS14" i="9"/>
  <c r="DT14" i="9"/>
  <c r="DU14" i="9"/>
  <c r="A15" i="9"/>
  <c r="B15" i="9"/>
  <c r="E15" i="9"/>
  <c r="H15" i="9"/>
  <c r="K15" i="9"/>
  <c r="L15" i="9"/>
  <c r="N15" i="9"/>
  <c r="Q15" i="9"/>
  <c r="T15" i="9"/>
  <c r="W15" i="9"/>
  <c r="Z15" i="9"/>
  <c r="AC15" i="9"/>
  <c r="AF15" i="9"/>
  <c r="AI15" i="9"/>
  <c r="AL15" i="9"/>
  <c r="AO15" i="9"/>
  <c r="AR15" i="9"/>
  <c r="AU15" i="9"/>
  <c r="AX15" i="9"/>
  <c r="BA15" i="9"/>
  <c r="BD15" i="9"/>
  <c r="BG15" i="9"/>
  <c r="BJ15" i="9"/>
  <c r="BM15" i="9"/>
  <c r="BP15" i="9"/>
  <c r="BS15" i="9"/>
  <c r="BV15" i="9"/>
  <c r="BY15" i="9"/>
  <c r="CB15" i="9"/>
  <c r="CE15" i="9"/>
  <c r="CH15" i="9"/>
  <c r="CK15" i="9"/>
  <c r="CN15" i="9"/>
  <c r="CQ15" i="9"/>
  <c r="CT15" i="9"/>
  <c r="CW15" i="9"/>
  <c r="CZ15" i="9"/>
  <c r="DC15" i="9"/>
  <c r="DF15" i="9"/>
  <c r="DI15" i="9"/>
  <c r="DL15" i="9"/>
  <c r="DO15" i="9"/>
  <c r="DR15" i="9"/>
  <c r="DS15" i="9"/>
  <c r="DT15" i="9"/>
  <c r="DU15" i="9"/>
  <c r="A16" i="9"/>
  <c r="B16" i="9"/>
  <c r="E16" i="9"/>
  <c r="H16" i="9"/>
  <c r="K16" i="9"/>
  <c r="L16" i="9"/>
  <c r="N16" i="9"/>
  <c r="Q16" i="9"/>
  <c r="T16" i="9"/>
  <c r="W16" i="9"/>
  <c r="Z16" i="9"/>
  <c r="AC16" i="9"/>
  <c r="AF16" i="9"/>
  <c r="AI16" i="9"/>
  <c r="AL16" i="9"/>
  <c r="AO16" i="9"/>
  <c r="AR16" i="9"/>
  <c r="AU16" i="9"/>
  <c r="AX16" i="9"/>
  <c r="BA16" i="9"/>
  <c r="BD16" i="9"/>
  <c r="BG16" i="9"/>
  <c r="BJ16" i="9"/>
  <c r="BM16" i="9"/>
  <c r="BP16" i="9"/>
  <c r="BS16" i="9"/>
  <c r="BV16" i="9"/>
  <c r="BY16" i="9"/>
  <c r="CB16" i="9"/>
  <c r="CE16" i="9"/>
  <c r="CH16" i="9"/>
  <c r="CK16" i="9"/>
  <c r="CN16" i="9"/>
  <c r="CQ16" i="9"/>
  <c r="CT16" i="9"/>
  <c r="CW16" i="9"/>
  <c r="CZ16" i="9"/>
  <c r="DC16" i="9"/>
  <c r="DF16" i="9"/>
  <c r="DI16" i="9"/>
  <c r="DL16" i="9"/>
  <c r="DO16" i="9"/>
  <c r="DR16" i="9"/>
  <c r="DS16" i="9"/>
  <c r="DT16" i="9"/>
  <c r="DU16" i="9"/>
  <c r="A17" i="9"/>
  <c r="B17" i="9"/>
  <c r="E17" i="9"/>
  <c r="H17" i="9"/>
  <c r="K17" i="9"/>
  <c r="L17" i="9"/>
  <c r="N17" i="9"/>
  <c r="Q17" i="9"/>
  <c r="T17" i="9"/>
  <c r="W17" i="9"/>
  <c r="Z17" i="9"/>
  <c r="AC17" i="9"/>
  <c r="AF17" i="9"/>
  <c r="AI17" i="9"/>
  <c r="AL17" i="9"/>
  <c r="AO17" i="9"/>
  <c r="AR17" i="9"/>
  <c r="AU17" i="9"/>
  <c r="AX17" i="9"/>
  <c r="BA17" i="9"/>
  <c r="BD17" i="9"/>
  <c r="BG17" i="9"/>
  <c r="BJ17" i="9"/>
  <c r="BM17" i="9"/>
  <c r="BP17" i="9"/>
  <c r="BS17" i="9"/>
  <c r="BV17" i="9"/>
  <c r="BY17" i="9"/>
  <c r="CB17" i="9"/>
  <c r="CE17" i="9"/>
  <c r="CH17" i="9"/>
  <c r="CK17" i="9"/>
  <c r="CN17" i="9"/>
  <c r="CQ17" i="9"/>
  <c r="CT17" i="9"/>
  <c r="CW17" i="9"/>
  <c r="CZ17" i="9"/>
  <c r="DC17" i="9"/>
  <c r="DF17" i="9"/>
  <c r="DI17" i="9"/>
  <c r="DL17" i="9"/>
  <c r="DO17" i="9"/>
  <c r="DR17" i="9"/>
  <c r="DS17" i="9"/>
  <c r="DT17" i="9"/>
  <c r="DU17" i="9"/>
  <c r="A18" i="9"/>
  <c r="B18" i="9"/>
  <c r="E18" i="9"/>
  <c r="H18" i="9"/>
  <c r="K18" i="9"/>
  <c r="N18" i="9"/>
  <c r="Q18" i="9"/>
  <c r="T18" i="9"/>
  <c r="W18" i="9"/>
  <c r="Z18" i="9"/>
  <c r="AC18" i="9"/>
  <c r="AF18" i="9"/>
  <c r="AI18" i="9"/>
  <c r="AL18" i="9"/>
  <c r="AO18" i="9"/>
  <c r="AR18" i="9"/>
  <c r="AU18" i="9"/>
  <c r="AX18" i="9"/>
  <c r="BA18" i="9"/>
  <c r="BD18" i="9"/>
  <c r="BG18" i="9"/>
  <c r="BJ18" i="9"/>
  <c r="BM18" i="9"/>
  <c r="BP18" i="9"/>
  <c r="BS18" i="9"/>
  <c r="BV18" i="9"/>
  <c r="BY18" i="9"/>
  <c r="CB18" i="9"/>
  <c r="CE18" i="9"/>
  <c r="CH18" i="9"/>
  <c r="CK18" i="9"/>
  <c r="CN18" i="9"/>
  <c r="CQ18" i="9"/>
  <c r="CT18" i="9"/>
  <c r="CW18" i="9"/>
  <c r="CZ18" i="9"/>
  <c r="DC18" i="9"/>
  <c r="DF18" i="9"/>
  <c r="DI18" i="9"/>
  <c r="DL18" i="9"/>
  <c r="DO18" i="9"/>
  <c r="DR18" i="9"/>
  <c r="DS18" i="9"/>
  <c r="DT18" i="9"/>
  <c r="DU18" i="9"/>
  <c r="A19" i="9"/>
  <c r="B19" i="9"/>
  <c r="E19" i="9"/>
  <c r="H19" i="9"/>
  <c r="K19" i="9"/>
  <c r="N19" i="9"/>
  <c r="Q19" i="9"/>
  <c r="T19" i="9"/>
  <c r="W19" i="9"/>
  <c r="Z19" i="9"/>
  <c r="AC19" i="9"/>
  <c r="AF19" i="9"/>
  <c r="AI19" i="9"/>
  <c r="AL19" i="9"/>
  <c r="AO19" i="9"/>
  <c r="AR19" i="9"/>
  <c r="AU19" i="9"/>
  <c r="AX19" i="9"/>
  <c r="BA19" i="9"/>
  <c r="BD19" i="9"/>
  <c r="BG19" i="9"/>
  <c r="BJ19" i="9"/>
  <c r="BM19" i="9"/>
  <c r="BP19" i="9"/>
  <c r="BS19" i="9"/>
  <c r="BV19" i="9"/>
  <c r="BY19" i="9"/>
  <c r="CB19" i="9"/>
  <c r="CE19" i="9"/>
  <c r="CH19" i="9"/>
  <c r="CK19" i="9"/>
  <c r="CN19" i="9"/>
  <c r="CQ19" i="9"/>
  <c r="CT19" i="9"/>
  <c r="CW19" i="9"/>
  <c r="CZ19" i="9"/>
  <c r="DC19" i="9"/>
  <c r="DF19" i="9"/>
  <c r="DI19" i="9"/>
  <c r="DL19" i="9"/>
  <c r="DO19" i="9"/>
  <c r="DR19" i="9"/>
  <c r="DS19" i="9"/>
  <c r="DT19" i="9"/>
  <c r="DU19" i="9"/>
  <c r="A20" i="9"/>
  <c r="B20" i="9"/>
  <c r="E20" i="9"/>
  <c r="H20" i="9"/>
  <c r="K20" i="9"/>
  <c r="N20" i="9"/>
  <c r="Q20" i="9"/>
  <c r="T20" i="9"/>
  <c r="W20" i="9"/>
  <c r="Z20" i="9"/>
  <c r="AC20" i="9"/>
  <c r="AF20" i="9"/>
  <c r="AI20" i="9"/>
  <c r="AL20" i="9"/>
  <c r="AO20" i="9"/>
  <c r="AR20" i="9"/>
  <c r="AU20" i="9"/>
  <c r="AX20" i="9"/>
  <c r="BA20" i="9"/>
  <c r="BD20" i="9"/>
  <c r="BG20" i="9"/>
  <c r="BJ20" i="9"/>
  <c r="BM20" i="9"/>
  <c r="BP20" i="9"/>
  <c r="BS20" i="9"/>
  <c r="BV20" i="9"/>
  <c r="BY20" i="9"/>
  <c r="CB20" i="9"/>
  <c r="CE20" i="9"/>
  <c r="CH20" i="9"/>
  <c r="CK20" i="9"/>
  <c r="CN20" i="9"/>
  <c r="CQ20" i="9"/>
  <c r="CT20" i="9"/>
  <c r="CW20" i="9"/>
  <c r="CZ20" i="9"/>
  <c r="DC20" i="9"/>
  <c r="DF20" i="9"/>
  <c r="DI20" i="9"/>
  <c r="DL20" i="9"/>
  <c r="DO20" i="9"/>
  <c r="DR20" i="9"/>
  <c r="DS20" i="9"/>
  <c r="DT20" i="9"/>
  <c r="DU20" i="9"/>
  <c r="A21" i="9"/>
  <c r="B21" i="9"/>
  <c r="E21" i="9"/>
  <c r="H21" i="9"/>
  <c r="K21" i="9"/>
  <c r="N21" i="9"/>
  <c r="Q21" i="9"/>
  <c r="T21" i="9"/>
  <c r="W21" i="9"/>
  <c r="Z21" i="9"/>
  <c r="AC21" i="9"/>
  <c r="AF21" i="9"/>
  <c r="AH21" i="9"/>
  <c r="AI21" i="9"/>
  <c r="AL21" i="9"/>
  <c r="AO21" i="9"/>
  <c r="AR21" i="9"/>
  <c r="AU21" i="9"/>
  <c r="AX21" i="9"/>
  <c r="BA21" i="9"/>
  <c r="BD21" i="9"/>
  <c r="BG21" i="9"/>
  <c r="BJ21" i="9"/>
  <c r="BM21" i="9"/>
  <c r="BP21" i="9"/>
  <c r="BS21" i="9"/>
  <c r="BV21" i="9"/>
  <c r="BY21" i="9"/>
  <c r="CB21" i="9"/>
  <c r="CE21" i="9"/>
  <c r="CH21" i="9"/>
  <c r="CK21" i="9"/>
  <c r="CN21" i="9"/>
  <c r="CQ21" i="9"/>
  <c r="CT21" i="9"/>
  <c r="CW21" i="9"/>
  <c r="CZ21" i="9"/>
  <c r="DC21" i="9"/>
  <c r="DF21" i="9"/>
  <c r="DI21" i="9"/>
  <c r="DL21" i="9"/>
  <c r="DO21" i="9"/>
  <c r="DR21" i="9"/>
  <c r="DS21" i="9"/>
  <c r="DT21" i="9"/>
  <c r="DU21" i="9"/>
  <c r="A22" i="9"/>
  <c r="B22" i="9"/>
  <c r="E22" i="9"/>
  <c r="H22" i="9"/>
  <c r="K22" i="9"/>
  <c r="N22" i="9"/>
  <c r="Q22" i="9"/>
  <c r="T22" i="9"/>
  <c r="W22" i="9"/>
  <c r="Z22" i="9"/>
  <c r="AC22" i="9"/>
  <c r="AF22" i="9"/>
  <c r="AI22" i="9"/>
  <c r="AL22" i="9"/>
  <c r="AO22" i="9"/>
  <c r="AR22" i="9"/>
  <c r="AU22" i="9"/>
  <c r="AX22" i="9"/>
  <c r="BA22" i="9"/>
  <c r="BD22" i="9"/>
  <c r="BG22" i="9"/>
  <c r="BJ22" i="9"/>
  <c r="BM22" i="9"/>
  <c r="BP22" i="9"/>
  <c r="BS22" i="9"/>
  <c r="BV22" i="9"/>
  <c r="BY22" i="9"/>
  <c r="CB22" i="9"/>
  <c r="CE22" i="9"/>
  <c r="CH22" i="9"/>
  <c r="CK22" i="9"/>
  <c r="CN22" i="9"/>
  <c r="CQ22" i="9"/>
  <c r="CT22" i="9"/>
  <c r="CW22" i="9"/>
  <c r="CZ22" i="9"/>
  <c r="DC22" i="9"/>
  <c r="DF22" i="9"/>
  <c r="DI22" i="9"/>
  <c r="DL22" i="9"/>
  <c r="DO22" i="9"/>
  <c r="DR22" i="9"/>
  <c r="DS22" i="9"/>
  <c r="DT22" i="9"/>
  <c r="DU22" i="9"/>
  <c r="A23" i="9"/>
  <c r="B23" i="9"/>
  <c r="E23" i="9"/>
  <c r="H23" i="9"/>
  <c r="K23" i="9"/>
  <c r="N23" i="9"/>
  <c r="Q23" i="9"/>
  <c r="T23" i="9"/>
  <c r="W23" i="9"/>
  <c r="Z23" i="9"/>
  <c r="AC23" i="9"/>
  <c r="AF23" i="9"/>
  <c r="AH23" i="9"/>
  <c r="AI23" i="9"/>
  <c r="AL23" i="9"/>
  <c r="AO23" i="9"/>
  <c r="AR23" i="9"/>
  <c r="AU23" i="9"/>
  <c r="AX23" i="9"/>
  <c r="BA23" i="9"/>
  <c r="BD23" i="9"/>
  <c r="BG23" i="9"/>
  <c r="BJ23" i="9"/>
  <c r="BM23" i="9"/>
  <c r="BP23" i="9"/>
  <c r="BS23" i="9"/>
  <c r="BV23" i="9"/>
  <c r="BY23" i="9"/>
  <c r="CB23" i="9"/>
  <c r="CE23" i="9"/>
  <c r="CH23" i="9"/>
  <c r="CK23" i="9"/>
  <c r="CN23" i="9"/>
  <c r="CQ23" i="9"/>
  <c r="CT23" i="9"/>
  <c r="CW23" i="9"/>
  <c r="CZ23" i="9"/>
  <c r="DC23" i="9"/>
  <c r="DF23" i="9"/>
  <c r="DI23" i="9"/>
  <c r="DL23" i="9"/>
  <c r="DO23" i="9"/>
  <c r="DR23" i="9"/>
  <c r="DS23" i="9"/>
  <c r="DT23" i="9"/>
  <c r="DU23" i="9"/>
  <c r="A24" i="9"/>
  <c r="B24" i="9"/>
  <c r="E24" i="9"/>
  <c r="H24" i="9"/>
  <c r="K24" i="9"/>
  <c r="N24" i="9"/>
  <c r="Q24" i="9"/>
  <c r="T24" i="9"/>
  <c r="W24" i="9"/>
  <c r="Z24" i="9"/>
  <c r="AC24" i="9"/>
  <c r="AF24" i="9"/>
  <c r="AH24" i="9"/>
  <c r="AI24" i="9"/>
  <c r="AL24" i="9"/>
  <c r="AO24" i="9"/>
  <c r="AR24" i="9"/>
  <c r="AU24" i="9"/>
  <c r="AX24" i="9"/>
  <c r="BA24" i="9"/>
  <c r="BD24" i="9"/>
  <c r="BG24" i="9"/>
  <c r="BJ24" i="9"/>
  <c r="BM24" i="9"/>
  <c r="BP24" i="9"/>
  <c r="BS24" i="9"/>
  <c r="BV24" i="9"/>
  <c r="BY24" i="9"/>
  <c r="CB24" i="9"/>
  <c r="CE24" i="9"/>
  <c r="CH24" i="9"/>
  <c r="CK24" i="9"/>
  <c r="CN24" i="9"/>
  <c r="CQ24" i="9"/>
  <c r="CT24" i="9"/>
  <c r="CW24" i="9"/>
  <c r="CZ24" i="9"/>
  <c r="DC24" i="9"/>
  <c r="DF24" i="9"/>
  <c r="DI24" i="9"/>
  <c r="DL24" i="9"/>
  <c r="DO24" i="9"/>
  <c r="DR24" i="9"/>
  <c r="DS24" i="9"/>
  <c r="DT24" i="9"/>
  <c r="DU24" i="9"/>
  <c r="A25" i="9"/>
  <c r="B25" i="9"/>
  <c r="E25" i="9"/>
  <c r="H25" i="9"/>
  <c r="K25" i="9"/>
  <c r="N25" i="9"/>
  <c r="Q25" i="9"/>
  <c r="T25" i="9"/>
  <c r="W25" i="9"/>
  <c r="Z25" i="9"/>
  <c r="AC25" i="9"/>
  <c r="AF25" i="9"/>
  <c r="AI25" i="9"/>
  <c r="AL25" i="9"/>
  <c r="AN25" i="9"/>
  <c r="AO25" i="9"/>
  <c r="AR25" i="9"/>
  <c r="AU25" i="9"/>
  <c r="AX25" i="9"/>
  <c r="BA25" i="9"/>
  <c r="BD25" i="9"/>
  <c r="BG25" i="9"/>
  <c r="BJ25" i="9"/>
  <c r="BM25" i="9"/>
  <c r="BP25" i="9"/>
  <c r="BS25" i="9"/>
  <c r="BV25" i="9"/>
  <c r="BY25" i="9"/>
  <c r="CB25" i="9"/>
  <c r="CE25" i="9"/>
  <c r="CH25" i="9"/>
  <c r="CK25" i="9"/>
  <c r="CN25" i="9"/>
  <c r="CQ25" i="9"/>
  <c r="CT25" i="9"/>
  <c r="CW25" i="9"/>
  <c r="CZ25" i="9"/>
  <c r="DC25" i="9"/>
  <c r="DF25" i="9"/>
  <c r="DI25" i="9"/>
  <c r="DL25" i="9"/>
  <c r="DO25" i="9"/>
  <c r="DR25" i="9"/>
  <c r="DS25" i="9"/>
  <c r="DT25" i="9"/>
  <c r="DU25" i="9"/>
  <c r="A26" i="9"/>
  <c r="B26" i="9"/>
  <c r="E26" i="9"/>
  <c r="H26" i="9"/>
  <c r="K26" i="9"/>
  <c r="N26" i="9"/>
  <c r="Q26" i="9"/>
  <c r="T26" i="9"/>
  <c r="W26" i="9"/>
  <c r="Z26" i="9"/>
  <c r="AC26" i="9"/>
  <c r="AF26" i="9"/>
  <c r="AI26" i="9"/>
  <c r="AL26" i="9"/>
  <c r="AN26" i="9"/>
  <c r="AO26" i="9"/>
  <c r="AR26" i="9"/>
  <c r="AU26" i="9"/>
  <c r="AX26" i="9"/>
  <c r="BA26" i="9"/>
  <c r="BD26" i="9"/>
  <c r="BG26" i="9"/>
  <c r="BJ26" i="9"/>
  <c r="BM26" i="9"/>
  <c r="BP26" i="9"/>
  <c r="BS26" i="9"/>
  <c r="BV26" i="9"/>
  <c r="BY26" i="9"/>
  <c r="CB26" i="9"/>
  <c r="CE26" i="9"/>
  <c r="CH26" i="9"/>
  <c r="CK26" i="9"/>
  <c r="CN26" i="9"/>
  <c r="CQ26" i="9"/>
  <c r="CT26" i="9"/>
  <c r="CW26" i="9"/>
  <c r="CZ26" i="9"/>
  <c r="DC26" i="9"/>
  <c r="DF26" i="9"/>
  <c r="DI26" i="9"/>
  <c r="DL26" i="9"/>
  <c r="DO26" i="9"/>
  <c r="DR26" i="9"/>
  <c r="DS26" i="9"/>
  <c r="DT26" i="9"/>
  <c r="DU26" i="9"/>
  <c r="A27" i="9"/>
  <c r="B27" i="9"/>
  <c r="E27" i="9"/>
  <c r="H27" i="9"/>
  <c r="K27" i="9"/>
  <c r="N27" i="9"/>
  <c r="Q27" i="9"/>
  <c r="T27" i="9"/>
  <c r="W27" i="9"/>
  <c r="Z27" i="9"/>
  <c r="AC27" i="9"/>
  <c r="AF27" i="9"/>
  <c r="AH27" i="9"/>
  <c r="AI27" i="9"/>
  <c r="AL27" i="9"/>
  <c r="AM27" i="9"/>
  <c r="AN27" i="9"/>
  <c r="AO27" i="9"/>
  <c r="AR27" i="9"/>
  <c r="AU27" i="9"/>
  <c r="AW27" i="9"/>
  <c r="AX27" i="9"/>
  <c r="BA27" i="9"/>
  <c r="BD27" i="9"/>
  <c r="BG27" i="9"/>
  <c r="BJ27" i="9"/>
  <c r="BM27" i="9"/>
  <c r="BP27" i="9"/>
  <c r="BS27" i="9"/>
  <c r="BV27" i="9"/>
  <c r="BY27" i="9"/>
  <c r="CB27" i="9"/>
  <c r="CE27" i="9"/>
  <c r="CH27" i="9"/>
  <c r="CK27" i="9"/>
  <c r="CN27" i="9"/>
  <c r="CQ27" i="9"/>
  <c r="CT27" i="9"/>
  <c r="CW27" i="9"/>
  <c r="CZ27" i="9"/>
  <c r="DC27" i="9"/>
  <c r="DF27" i="9"/>
  <c r="DI27" i="9"/>
  <c r="DL27" i="9"/>
  <c r="DO27" i="9"/>
  <c r="DR27" i="9"/>
  <c r="DS27" i="9"/>
  <c r="DT27" i="9"/>
  <c r="DU27" i="9"/>
  <c r="A28" i="9"/>
  <c r="B28" i="9"/>
  <c r="E28" i="9"/>
  <c r="H28" i="9"/>
  <c r="K28" i="9"/>
  <c r="N28" i="9"/>
  <c r="Q28" i="9"/>
  <c r="T28" i="9"/>
  <c r="W28" i="9"/>
  <c r="Z28" i="9"/>
  <c r="AC28" i="9"/>
  <c r="AF28" i="9"/>
  <c r="AI28" i="9"/>
  <c r="AL28" i="9"/>
  <c r="AM28" i="9"/>
  <c r="AN28" i="9"/>
  <c r="AO28" i="9"/>
  <c r="AR28" i="9"/>
  <c r="AU28" i="9"/>
  <c r="AX28" i="9"/>
  <c r="BA28" i="9"/>
  <c r="BD28" i="9"/>
  <c r="BG28" i="9"/>
  <c r="BJ28" i="9"/>
  <c r="BM28" i="9"/>
  <c r="BP28" i="9"/>
  <c r="BS28" i="9"/>
  <c r="BV28" i="9"/>
  <c r="BY28" i="9"/>
  <c r="CB28" i="9"/>
  <c r="CE28" i="9"/>
  <c r="CH28" i="9"/>
  <c r="CK28" i="9"/>
  <c r="CN28" i="9"/>
  <c r="CQ28" i="9"/>
  <c r="CT28" i="9"/>
  <c r="CW28" i="9"/>
  <c r="CZ28" i="9"/>
  <c r="DC28" i="9"/>
  <c r="DF28" i="9"/>
  <c r="DI28" i="9"/>
  <c r="DL28" i="9"/>
  <c r="DO28" i="9"/>
  <c r="DR28" i="9"/>
  <c r="DS28" i="9"/>
  <c r="DT28" i="9"/>
  <c r="DU28" i="9"/>
  <c r="A29" i="9"/>
  <c r="B29" i="9"/>
  <c r="E29" i="9"/>
  <c r="H29" i="9"/>
  <c r="K29" i="9"/>
  <c r="N29" i="9"/>
  <c r="Q29" i="9"/>
  <c r="T29" i="9"/>
  <c r="W29" i="9"/>
  <c r="Z29" i="9"/>
  <c r="AC29" i="9"/>
  <c r="AF29" i="9"/>
  <c r="AI29" i="9"/>
  <c r="AL29" i="9"/>
  <c r="AM29" i="9"/>
  <c r="AN29" i="9"/>
  <c r="AO29" i="9"/>
  <c r="AR29" i="9"/>
  <c r="AU29" i="9"/>
  <c r="AX29" i="9"/>
  <c r="BA29" i="9"/>
  <c r="BD29" i="9"/>
  <c r="BG29" i="9"/>
  <c r="BJ29" i="9"/>
  <c r="BM29" i="9"/>
  <c r="BP29" i="9"/>
  <c r="BS29" i="9"/>
  <c r="BV29" i="9"/>
  <c r="BY29" i="9"/>
  <c r="CB29" i="9"/>
  <c r="CE29" i="9"/>
  <c r="CH29" i="9"/>
  <c r="CK29" i="9"/>
  <c r="CN29" i="9"/>
  <c r="CQ29" i="9"/>
  <c r="CT29" i="9"/>
  <c r="CW29" i="9"/>
  <c r="CZ29" i="9"/>
  <c r="DC29" i="9"/>
  <c r="DF29" i="9"/>
  <c r="DI29" i="9"/>
  <c r="DL29" i="9"/>
  <c r="DO29" i="9"/>
  <c r="DR29" i="9"/>
  <c r="DS29" i="9"/>
  <c r="DT29" i="9"/>
  <c r="DU29" i="9"/>
  <c r="A30" i="9"/>
  <c r="B30" i="9"/>
  <c r="E30" i="9"/>
  <c r="H30" i="9"/>
  <c r="K30" i="9"/>
  <c r="N30" i="9"/>
  <c r="Q30" i="9"/>
  <c r="T30" i="9"/>
  <c r="W30" i="9"/>
  <c r="Z30" i="9"/>
  <c r="AC30" i="9"/>
  <c r="AF30" i="9"/>
  <c r="AI30" i="9"/>
  <c r="AL30" i="9"/>
  <c r="AM30" i="9"/>
  <c r="AN30" i="9"/>
  <c r="AO30" i="9"/>
  <c r="AR30" i="9"/>
  <c r="AU30" i="9"/>
  <c r="AX30" i="9"/>
  <c r="BA30" i="9"/>
  <c r="BD30" i="9"/>
  <c r="BG30" i="9"/>
  <c r="BJ30" i="9"/>
  <c r="BM30" i="9"/>
  <c r="BP30" i="9"/>
  <c r="BS30" i="9"/>
  <c r="BV30" i="9"/>
  <c r="BY30" i="9"/>
  <c r="CB30" i="9"/>
  <c r="CE30" i="9"/>
  <c r="CH30" i="9"/>
  <c r="CK30" i="9"/>
  <c r="CN30" i="9"/>
  <c r="CQ30" i="9"/>
  <c r="CT30" i="9"/>
  <c r="CW30" i="9"/>
  <c r="CZ30" i="9"/>
  <c r="DC30" i="9"/>
  <c r="DF30" i="9"/>
  <c r="DI30" i="9"/>
  <c r="DL30" i="9"/>
  <c r="DO30" i="9"/>
  <c r="DR30" i="9"/>
  <c r="DS30" i="9"/>
  <c r="DT30" i="9"/>
  <c r="DU30" i="9"/>
  <c r="A31" i="9"/>
  <c r="B31" i="9"/>
  <c r="E31" i="9"/>
  <c r="H31" i="9"/>
  <c r="K31" i="9"/>
  <c r="N31" i="9"/>
  <c r="Q31" i="9"/>
  <c r="T31" i="9"/>
  <c r="W31" i="9"/>
  <c r="Z31" i="9"/>
  <c r="AC31" i="9"/>
  <c r="AF31" i="9"/>
  <c r="AI31" i="9"/>
  <c r="AL31" i="9"/>
  <c r="AM31" i="9"/>
  <c r="AN31" i="9"/>
  <c r="AO31" i="9"/>
  <c r="AR31" i="9"/>
  <c r="AU31" i="9"/>
  <c r="AX31" i="9"/>
  <c r="BA31" i="9"/>
  <c r="BD31" i="9"/>
  <c r="BG31" i="9"/>
  <c r="BJ31" i="9"/>
  <c r="BM31" i="9"/>
  <c r="BP31" i="9"/>
  <c r="BS31" i="9"/>
  <c r="BV31" i="9"/>
  <c r="BY31" i="9"/>
  <c r="CB31" i="9"/>
  <c r="CE31" i="9"/>
  <c r="CH31" i="9"/>
  <c r="CK31" i="9"/>
  <c r="CN31" i="9"/>
  <c r="CQ31" i="9"/>
  <c r="CT31" i="9"/>
  <c r="CW31" i="9"/>
  <c r="CZ31" i="9"/>
  <c r="DC31" i="9"/>
  <c r="DF31" i="9"/>
  <c r="DI31" i="9"/>
  <c r="DL31" i="9"/>
  <c r="DO31" i="9"/>
  <c r="DR31" i="9"/>
  <c r="DS31" i="9"/>
  <c r="DT31" i="9"/>
  <c r="DU31" i="9"/>
  <c r="A32" i="9"/>
  <c r="B32" i="9"/>
  <c r="E32" i="9"/>
  <c r="H32" i="9"/>
  <c r="K32" i="9"/>
  <c r="N32" i="9"/>
  <c r="Q32" i="9"/>
  <c r="T32" i="9"/>
  <c r="W32" i="9"/>
  <c r="Z32" i="9"/>
  <c r="AC32" i="9"/>
  <c r="AF32" i="9"/>
  <c r="AI32" i="9"/>
  <c r="AL32" i="9"/>
  <c r="AM32" i="9"/>
  <c r="AN32" i="9"/>
  <c r="AO32" i="9"/>
  <c r="AR32" i="9"/>
  <c r="AU32" i="9"/>
  <c r="AX32" i="9"/>
  <c r="BA32" i="9"/>
  <c r="BD32" i="9"/>
  <c r="BG32" i="9"/>
  <c r="BJ32" i="9"/>
  <c r="BM32" i="9"/>
  <c r="BP32" i="9"/>
  <c r="BS32" i="9"/>
  <c r="BV32" i="9"/>
  <c r="BY32" i="9"/>
  <c r="CB32" i="9"/>
  <c r="CE32" i="9"/>
  <c r="CH32" i="9"/>
  <c r="CK32" i="9"/>
  <c r="CN32" i="9"/>
  <c r="CQ32" i="9"/>
  <c r="CT32" i="9"/>
  <c r="CW32" i="9"/>
  <c r="CZ32" i="9"/>
  <c r="DC32" i="9"/>
  <c r="DF32" i="9"/>
  <c r="DI32" i="9"/>
  <c r="DL32" i="9"/>
  <c r="DO32" i="9"/>
  <c r="DR32" i="9"/>
  <c r="DS32" i="9"/>
  <c r="DT32" i="9"/>
  <c r="DU32" i="9"/>
  <c r="A33" i="9"/>
  <c r="B33" i="9"/>
  <c r="E33" i="9"/>
  <c r="H33" i="9"/>
  <c r="K33" i="9"/>
  <c r="N33" i="9"/>
  <c r="Q33" i="9"/>
  <c r="T33" i="9"/>
  <c r="W33" i="9"/>
  <c r="Z33" i="9"/>
  <c r="AC33" i="9"/>
  <c r="AF33" i="9"/>
  <c r="AI33" i="9"/>
  <c r="AL33" i="9"/>
  <c r="AM33" i="9"/>
  <c r="AN33" i="9"/>
  <c r="AO33" i="9"/>
  <c r="AR33" i="9"/>
  <c r="AU33" i="9"/>
  <c r="AX33" i="9"/>
  <c r="BA33" i="9"/>
  <c r="BD33" i="9"/>
  <c r="BG33" i="9"/>
  <c r="BJ33" i="9"/>
  <c r="BM33" i="9"/>
  <c r="BP33" i="9"/>
  <c r="BS33" i="9"/>
  <c r="BV33" i="9"/>
  <c r="BY33" i="9"/>
  <c r="CB33" i="9"/>
  <c r="CE33" i="9"/>
  <c r="CH33" i="9"/>
  <c r="CK33" i="9"/>
  <c r="CN33" i="9"/>
  <c r="CQ33" i="9"/>
  <c r="CT33" i="9"/>
  <c r="CW33" i="9"/>
  <c r="CZ33" i="9"/>
  <c r="DC33" i="9"/>
  <c r="DF33" i="9"/>
  <c r="DI33" i="9"/>
  <c r="DL33" i="9"/>
  <c r="DO33" i="9"/>
  <c r="DR33" i="9"/>
  <c r="DS33" i="9"/>
  <c r="DT33" i="9"/>
  <c r="DU33" i="9"/>
  <c r="A34" i="9"/>
  <c r="B34" i="9"/>
  <c r="E34" i="9"/>
  <c r="H34" i="9"/>
  <c r="K34" i="9"/>
  <c r="N34" i="9"/>
  <c r="Q34" i="9"/>
  <c r="T34" i="9"/>
  <c r="W34" i="9"/>
  <c r="Z34" i="9"/>
  <c r="AC34" i="9"/>
  <c r="AF34" i="9"/>
  <c r="AI34" i="9"/>
  <c r="AL34" i="9"/>
  <c r="AM34" i="9"/>
  <c r="AO34" i="9"/>
  <c r="AR34" i="9"/>
  <c r="AU34" i="9"/>
  <c r="AX34" i="9"/>
  <c r="BA34" i="9"/>
  <c r="BD34" i="9"/>
  <c r="BG34" i="9"/>
  <c r="BJ34" i="9"/>
  <c r="BM34" i="9"/>
  <c r="BP34" i="9"/>
  <c r="BS34" i="9"/>
  <c r="BV34" i="9"/>
  <c r="BY34" i="9"/>
  <c r="CB34" i="9"/>
  <c r="CE34" i="9"/>
  <c r="CH34" i="9"/>
  <c r="CK34" i="9"/>
  <c r="CN34" i="9"/>
  <c r="CQ34" i="9"/>
  <c r="CT34" i="9"/>
  <c r="CW34" i="9"/>
  <c r="CZ34" i="9"/>
  <c r="DC34" i="9"/>
  <c r="DF34" i="9"/>
  <c r="DI34" i="9"/>
  <c r="DL34" i="9"/>
  <c r="DO34" i="9"/>
  <c r="DR34" i="9"/>
  <c r="DS34" i="9"/>
  <c r="DT34" i="9"/>
  <c r="DU34" i="9"/>
  <c r="A35" i="9"/>
  <c r="B35" i="9"/>
  <c r="E35" i="9"/>
  <c r="H35" i="9"/>
  <c r="K35" i="9"/>
  <c r="N35" i="9"/>
  <c r="Q35" i="9"/>
  <c r="T35" i="9"/>
  <c r="W35" i="9"/>
  <c r="Z35" i="9"/>
  <c r="AC35" i="9"/>
  <c r="AF35" i="9"/>
  <c r="AI35" i="9"/>
  <c r="AL35" i="9"/>
  <c r="AM35" i="9"/>
  <c r="AN35" i="9"/>
  <c r="AO35" i="9"/>
  <c r="AR35" i="9"/>
  <c r="AU35" i="9"/>
  <c r="AX35" i="9"/>
  <c r="BA35" i="9"/>
  <c r="BD35" i="9"/>
  <c r="BG35" i="9"/>
  <c r="BJ35" i="9"/>
  <c r="BM35" i="9"/>
  <c r="BP35" i="9"/>
  <c r="BS35" i="9"/>
  <c r="BV35" i="9"/>
  <c r="BY35" i="9"/>
  <c r="CB35" i="9"/>
  <c r="CE35" i="9"/>
  <c r="CH35" i="9"/>
  <c r="CK35" i="9"/>
  <c r="CN35" i="9"/>
  <c r="CQ35" i="9"/>
  <c r="CT35" i="9"/>
  <c r="CW35" i="9"/>
  <c r="CZ35" i="9"/>
  <c r="DC35" i="9"/>
  <c r="DF35" i="9"/>
  <c r="DI35" i="9"/>
  <c r="DL35" i="9"/>
  <c r="DO35" i="9"/>
  <c r="DR35" i="9"/>
  <c r="DS35" i="9"/>
  <c r="DT35" i="9"/>
  <c r="DU35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</calcChain>
</file>

<file path=xl/sharedStrings.xml><?xml version="1.0" encoding="utf-8"?>
<sst xmlns="http://schemas.openxmlformats.org/spreadsheetml/2006/main" count="1431" uniqueCount="321">
  <si>
    <t>Supplies</t>
  </si>
  <si>
    <t>Counterparty</t>
  </si>
  <si>
    <t>Amoco</t>
  </si>
  <si>
    <t>Occidental</t>
  </si>
  <si>
    <t xml:space="preserve"> </t>
  </si>
  <si>
    <t>Contract #</t>
  </si>
  <si>
    <t>KS0202DD</t>
  </si>
  <si>
    <t>P2702</t>
  </si>
  <si>
    <t>Deal #</t>
  </si>
  <si>
    <t>Glendale</t>
  </si>
  <si>
    <t>Total</t>
  </si>
  <si>
    <t>Pipeline</t>
  </si>
  <si>
    <t>PG&amp;E</t>
  </si>
  <si>
    <t>KRS</t>
  </si>
  <si>
    <t>TW</t>
  </si>
  <si>
    <t>Topock</t>
  </si>
  <si>
    <t>Storage</t>
  </si>
  <si>
    <t>Totals</t>
  </si>
  <si>
    <t>Short Position:</t>
  </si>
  <si>
    <t>Markets</t>
  </si>
  <si>
    <t>OCC</t>
  </si>
  <si>
    <t>C09</t>
  </si>
  <si>
    <t>F08</t>
  </si>
  <si>
    <t>S18</t>
  </si>
  <si>
    <t>C01</t>
  </si>
  <si>
    <t>S07</t>
  </si>
  <si>
    <t>S19</t>
  </si>
  <si>
    <t>S88</t>
  </si>
  <si>
    <t>CounterParty</t>
  </si>
  <si>
    <t>Day Of</t>
  </si>
  <si>
    <t>Pasadena</t>
  </si>
  <si>
    <t>Daily</t>
  </si>
  <si>
    <t>Cumulative</t>
  </si>
  <si>
    <t>Filtrol</t>
  </si>
  <si>
    <t>9KUC-Ehr</t>
  </si>
  <si>
    <t>CanFibre</t>
  </si>
  <si>
    <t>Smurfit</t>
  </si>
  <si>
    <t>Week</t>
  </si>
  <si>
    <t>Demand</t>
  </si>
  <si>
    <t>50% Length</t>
  </si>
  <si>
    <t>Scheduled</t>
  </si>
  <si>
    <t>Long/(Short)</t>
  </si>
  <si>
    <t>Imbalance</t>
  </si>
  <si>
    <t>EPNG</t>
  </si>
  <si>
    <t>TOP</t>
  </si>
  <si>
    <t>Delivered</t>
  </si>
  <si>
    <t>Wed</t>
  </si>
  <si>
    <t>Thu</t>
  </si>
  <si>
    <t>Fri</t>
  </si>
  <si>
    <t>Sat</t>
  </si>
  <si>
    <t>Sun</t>
  </si>
  <si>
    <t>Mon</t>
  </si>
  <si>
    <t>Tues</t>
  </si>
  <si>
    <t>Socal Border Demand and Projections:</t>
  </si>
  <si>
    <t>MARKETS</t>
  </si>
  <si>
    <t>SUPPLIES</t>
  </si>
  <si>
    <t>Date</t>
  </si>
  <si>
    <t>EES BORDER DEMAND</t>
  </si>
  <si>
    <t>PHYSICAL STORAGE INJECTIONS</t>
  </si>
  <si>
    <t>NEGATIVE CARRYOVER</t>
  </si>
  <si>
    <t>TOLERANCE (10%)</t>
  </si>
  <si>
    <t>IMBALANCE SALES</t>
  </si>
  <si>
    <t>CUSTOMER DEMAND</t>
  </si>
  <si>
    <t>TOTAL BORDER DEMAND</t>
  </si>
  <si>
    <t xml:space="preserve">    STORAGE WITHDRAWAL</t>
  </si>
  <si>
    <t>POSITIVE CARRYOVER</t>
  </si>
  <si>
    <t>KERN, PG&amp;E, MOJAVE, &amp; T.W. TO BORDER</t>
  </si>
  <si>
    <t>IMBALANCE PURCHASES</t>
  </si>
  <si>
    <t>TOTAL BORDER SUPPLY</t>
  </si>
  <si>
    <t>ACTUALS THRU</t>
  </si>
  <si>
    <t>TOTAL     DAILY BALANCE LONG/(SHORT)</t>
  </si>
  <si>
    <t xml:space="preserve">MTD BALANCE LONG/(SHORT) </t>
  </si>
  <si>
    <t>DATE:</t>
  </si>
  <si>
    <t>ACCESS DEMAND SPLIT</t>
  </si>
  <si>
    <t>Non-ECT</t>
  </si>
  <si>
    <t>TOTAL</t>
  </si>
  <si>
    <t>Deal #:</t>
  </si>
  <si>
    <t>El Paso</t>
  </si>
  <si>
    <t>ACCESS</t>
  </si>
  <si>
    <t>DEMAND</t>
  </si>
  <si>
    <t>DIFFERENCE</t>
  </si>
  <si>
    <t>Deal No.</t>
  </si>
  <si>
    <t>Obligated Take</t>
  </si>
  <si>
    <t>Month-to-Date</t>
  </si>
  <si>
    <t>Per Day</t>
  </si>
  <si>
    <t>Variance</t>
  </si>
  <si>
    <t>Obligation</t>
  </si>
  <si>
    <t>Balance</t>
  </si>
  <si>
    <t>Smurfit Accounts</t>
  </si>
  <si>
    <t>Socal Imbalance Summary</t>
  </si>
  <si>
    <t>Monthly Projected</t>
  </si>
  <si>
    <t>Current Fow Date</t>
  </si>
  <si>
    <t>Base Border Markets:</t>
  </si>
  <si>
    <t>Mkt. Positions</t>
  </si>
  <si>
    <t>Smurfit Stone Container</t>
  </si>
  <si>
    <t>City Of Glendale (Match Amoco)</t>
  </si>
  <si>
    <t>Total Baseload Mkts</t>
  </si>
  <si>
    <t>Swing Border Markets:</t>
  </si>
  <si>
    <t>Total Swing Market</t>
  </si>
  <si>
    <t xml:space="preserve">     Plus:  EES Demand</t>
  </si>
  <si>
    <t xml:space="preserve">     Non-Core</t>
  </si>
  <si>
    <t>Total Markets</t>
  </si>
  <si>
    <t>Firm Border Supplies:</t>
  </si>
  <si>
    <t>Daily Position Break-out</t>
  </si>
  <si>
    <t>Beginning Balance</t>
  </si>
  <si>
    <t>Total Baseload Supplies</t>
  </si>
  <si>
    <t>Extra KRS</t>
  </si>
  <si>
    <t>Swing Border Supplies:</t>
  </si>
  <si>
    <t>El Paso cuts</t>
  </si>
  <si>
    <t>Ending Balance</t>
  </si>
  <si>
    <t>Total Swing Supplies</t>
  </si>
  <si>
    <t>Total Supplies</t>
  </si>
  <si>
    <t>Net Demand for Transport</t>
  </si>
  <si>
    <t>EES</t>
  </si>
  <si>
    <t>Total Transport</t>
  </si>
  <si>
    <t>Next Day --</t>
  </si>
  <si>
    <t>Assumptions</t>
  </si>
  <si>
    <t>Our Transport</t>
  </si>
  <si>
    <t>Border Purchases</t>
  </si>
  <si>
    <t>Kern</t>
  </si>
  <si>
    <t>=</t>
  </si>
  <si>
    <t>California Prod.</t>
  </si>
  <si>
    <t>Transport to EES</t>
  </si>
  <si>
    <t xml:space="preserve">     Topock - 98UY</t>
  </si>
  <si>
    <t xml:space="preserve">     Plus:  Swing Supplies</t>
  </si>
  <si>
    <t>9KUC-Ehrenberg</t>
  </si>
  <si>
    <t>Total to EES</t>
  </si>
  <si>
    <t>Kern-Must sell</t>
  </si>
  <si>
    <t>Total Daily Balance:</t>
  </si>
  <si>
    <t>Available to Sell</t>
  </si>
  <si>
    <t xml:space="preserve">    Less Market short</t>
  </si>
  <si>
    <t>Daily ECT Imbalance:</t>
  </si>
  <si>
    <t xml:space="preserve">     Less Pasadena, Can Fibre,Filtrol, Smurfit</t>
  </si>
  <si>
    <t>Daily EES Imbalance:</t>
  </si>
  <si>
    <t xml:space="preserve">     Less EES</t>
  </si>
  <si>
    <t>Total ECT/EES Daily Imbalance:</t>
  </si>
  <si>
    <t>Month-to-Date Imbalance   ECT:</t>
  </si>
  <si>
    <t>Month-to-Date Imbalance   EES:</t>
  </si>
  <si>
    <t>Occidental Purchase Deal No. 107872</t>
  </si>
  <si>
    <t>Total Month-to-Date Imbalance:</t>
  </si>
  <si>
    <t>Obligation Per Day:</t>
  </si>
  <si>
    <t>Total Monthly Obligation:</t>
  </si>
  <si>
    <t>ECT Imbalance Projected at Month-End:</t>
  </si>
  <si>
    <t>EES Imbalance Projected at Month-End:</t>
  </si>
  <si>
    <t>Daily Obligation:</t>
  </si>
  <si>
    <t>Month-to-Date Obligation:</t>
  </si>
  <si>
    <t>Total Imbalance Projected at Month-End:</t>
  </si>
  <si>
    <t>Daily Scheduled:</t>
  </si>
  <si>
    <t>Month-to-Date Scheduled:</t>
  </si>
  <si>
    <t>Daily Over/(Under):</t>
  </si>
  <si>
    <t>Month-to-Date Over/(Under):</t>
  </si>
  <si>
    <t>(assumes no OFO's on weekends)</t>
  </si>
  <si>
    <t>assumes</t>
  </si>
  <si>
    <t>5 Day Balancing</t>
  </si>
  <si>
    <t>Non-Core</t>
  </si>
  <si>
    <t xml:space="preserve">Total </t>
  </si>
  <si>
    <t>5 Day</t>
  </si>
  <si>
    <t>Access</t>
  </si>
  <si>
    <t>Usage</t>
  </si>
  <si>
    <t>Akzo/Filtrol</t>
  </si>
  <si>
    <t>C219</t>
  </si>
  <si>
    <t>Hub Deals</t>
  </si>
  <si>
    <t>Deal No.:</t>
  </si>
  <si>
    <t>50% Demand</t>
  </si>
  <si>
    <t>Long/Short</t>
  </si>
  <si>
    <t>Total 5</t>
  </si>
  <si>
    <t>Day Balance</t>
  </si>
  <si>
    <t>Sched</t>
  </si>
  <si>
    <t>Nom</t>
  </si>
  <si>
    <t>9KUB-Top/Ehr</t>
  </si>
  <si>
    <t>9KUB</t>
  </si>
  <si>
    <t>9KUB/9KUC</t>
  </si>
  <si>
    <t>BP Amoco Match Glendale</t>
  </si>
  <si>
    <t>MTD</t>
  </si>
  <si>
    <t>Extra EPNG</t>
  </si>
  <si>
    <t>Top/Ehr</t>
  </si>
  <si>
    <t xml:space="preserve">    EL PASO/TW    TO       SOCAL</t>
  </si>
  <si>
    <t>Match Glendale</t>
  </si>
  <si>
    <t>Duke</t>
  </si>
  <si>
    <t>Southern</t>
  </si>
  <si>
    <t>City Of Pasadena</t>
  </si>
  <si>
    <t>Oxy</t>
  </si>
  <si>
    <t>CA Prod</t>
  </si>
  <si>
    <t>Ehrenberg</t>
  </si>
  <si>
    <t>SDG&amp;E</t>
  </si>
  <si>
    <t>Border Avg +.0025</t>
  </si>
  <si>
    <t>Border Avg +.0075</t>
  </si>
  <si>
    <t>Daily Sched</t>
  </si>
  <si>
    <t>TW Cuts</t>
  </si>
  <si>
    <t>accounts for the Oxy Plan to fulfill the 600000 total obligation</t>
  </si>
  <si>
    <t>Net</t>
  </si>
  <si>
    <t>City of Pasedena</t>
  </si>
  <si>
    <t>9KUB Topock</t>
  </si>
  <si>
    <t>SoCal</t>
  </si>
  <si>
    <t xml:space="preserve">     less  mid month basloads</t>
  </si>
  <si>
    <t>Reliant</t>
  </si>
  <si>
    <t>EOL Supply</t>
  </si>
  <si>
    <t>EOL Market</t>
  </si>
  <si>
    <t>Non-EOL Swing Supply</t>
  </si>
  <si>
    <t>Non-EOL Swing Market</t>
  </si>
  <si>
    <t>Purchases</t>
  </si>
  <si>
    <t>Sempra</t>
  </si>
  <si>
    <t>Oxy Call over 20,000</t>
  </si>
  <si>
    <t>Net To Pasadena</t>
  </si>
  <si>
    <t>Match BP Amoco 111826</t>
  </si>
  <si>
    <t>77350/249248</t>
  </si>
  <si>
    <t>Border Avg +.005</t>
  </si>
  <si>
    <t>City Of Pasadena (Net)</t>
  </si>
  <si>
    <t>Williams</t>
  </si>
  <si>
    <t>Burlington</t>
  </si>
  <si>
    <t>Oneok</t>
  </si>
  <si>
    <t>Dynegy</t>
  </si>
  <si>
    <t>USGT</t>
  </si>
  <si>
    <t>EPME</t>
  </si>
  <si>
    <t>Tenaska</t>
  </si>
  <si>
    <t>3rd Party</t>
  </si>
  <si>
    <t>Swing</t>
  </si>
  <si>
    <t>KS0202DD/KRS</t>
  </si>
  <si>
    <t>Conoco</t>
  </si>
  <si>
    <t>Coral</t>
  </si>
  <si>
    <t>Cook</t>
  </si>
  <si>
    <t>Wheeler</t>
  </si>
  <si>
    <t>Wheeler Ridge</t>
  </si>
  <si>
    <t>May Beg. Position</t>
  </si>
  <si>
    <t>3rd party/</t>
  </si>
  <si>
    <t>Border Avg + .02</t>
  </si>
  <si>
    <t>Aquila Energy</t>
  </si>
  <si>
    <t>EPNG Top</t>
  </si>
  <si>
    <t>Baseload</t>
  </si>
  <si>
    <t>Cinergy</t>
  </si>
  <si>
    <t>Border Avg Flat</t>
  </si>
  <si>
    <t>Border Avg +.01</t>
  </si>
  <si>
    <t>Border Avg +.02</t>
  </si>
  <si>
    <t>EOL Supplies Baseload</t>
  </si>
  <si>
    <t>EOL Markets Baseload</t>
  </si>
  <si>
    <t>279839 / 279841 / 279844 / 279850</t>
  </si>
  <si>
    <t>280102 / 280105 / 280107</t>
  </si>
  <si>
    <t>Border Avg +.03</t>
  </si>
  <si>
    <t>278148 / 278165</t>
  </si>
  <si>
    <t>276530 / 276534</t>
  </si>
  <si>
    <t>CA Hub</t>
  </si>
  <si>
    <t>TW Needles</t>
  </si>
  <si>
    <t>Border Avg +.0225</t>
  </si>
  <si>
    <t>Border Avg +.0325</t>
  </si>
  <si>
    <t>Border Avg +.025</t>
  </si>
  <si>
    <t>Vintage Gas</t>
  </si>
  <si>
    <t>276547 / 276552</t>
  </si>
  <si>
    <t>276540 / 276545</t>
  </si>
  <si>
    <t>CA Hub Lend Deal 170289</t>
  </si>
  <si>
    <t>CA Hub Lend Deal 204411</t>
  </si>
  <si>
    <t>CA Hub Lend Deal 205318</t>
  </si>
  <si>
    <t>CA Hub Park Deal 279921</t>
  </si>
  <si>
    <t>Daily Receipt Nom</t>
  </si>
  <si>
    <t>Daily Delivery Nom</t>
  </si>
  <si>
    <t>Border Avg -.0025</t>
  </si>
  <si>
    <t>Topock / Ehrenberg</t>
  </si>
  <si>
    <t>281243 / 281274</t>
  </si>
  <si>
    <t>GDPA -.005</t>
  </si>
  <si>
    <t>Border Avg +.05</t>
  </si>
  <si>
    <t>Aquila</t>
  </si>
  <si>
    <t>to ECT over 06/01 - 06/30</t>
  </si>
  <si>
    <t>to EES over 06/01 - 06/30</t>
  </si>
  <si>
    <t xml:space="preserve">TW </t>
  </si>
  <si>
    <t>Sempra Energy Sales</t>
  </si>
  <si>
    <t>EOL</t>
  </si>
  <si>
    <t>Ehren</t>
  </si>
  <si>
    <t>Nine Energy</t>
  </si>
  <si>
    <t>Top/Ehren</t>
  </si>
  <si>
    <t>Top</t>
  </si>
  <si>
    <t xml:space="preserve">EES </t>
  </si>
  <si>
    <t>Netout</t>
  </si>
  <si>
    <t>TransCanada</t>
  </si>
  <si>
    <t>Match Astra 283283</t>
  </si>
  <si>
    <t>EOL Markets Swing</t>
  </si>
  <si>
    <t>EOL Supplies Swing</t>
  </si>
  <si>
    <t>Texaco</t>
  </si>
  <si>
    <t>TransCan</t>
  </si>
  <si>
    <t>Tiered</t>
  </si>
  <si>
    <t>Stor/Need</t>
  </si>
  <si>
    <t>Needles</t>
  </si>
  <si>
    <t>Need</t>
  </si>
  <si>
    <t>EL Paso</t>
  </si>
  <si>
    <t>NEED</t>
  </si>
  <si>
    <t>CA HUB</t>
  </si>
  <si>
    <t>Complex</t>
  </si>
  <si>
    <t>Engage</t>
  </si>
  <si>
    <t>GDA</t>
  </si>
  <si>
    <t>Stor</t>
  </si>
  <si>
    <t>ConAgra</t>
  </si>
  <si>
    <t>Top/</t>
  </si>
  <si>
    <t>Stor/</t>
  </si>
  <si>
    <t>$0.17 Exch Fee</t>
  </si>
  <si>
    <t>Daily Recpt Nom</t>
  </si>
  <si>
    <t>CA Hub Lend Deal 293824</t>
  </si>
  <si>
    <t>Weekdays Only Beginning 06/12/00</t>
  </si>
  <si>
    <t>287198/288557</t>
  </si>
  <si>
    <t>SDGE</t>
  </si>
  <si>
    <t>Stor/CA Prod</t>
  </si>
  <si>
    <t>Texaco &amp;</t>
  </si>
  <si>
    <t>Vintage</t>
  </si>
  <si>
    <t>PanCan</t>
  </si>
  <si>
    <t>Ehren/Top</t>
  </si>
  <si>
    <t>JC Energy</t>
  </si>
  <si>
    <t>Top/Stor</t>
  </si>
  <si>
    <t>Western</t>
  </si>
  <si>
    <t>ehren</t>
  </si>
  <si>
    <t>Various</t>
  </si>
  <si>
    <t>top/need</t>
  </si>
  <si>
    <t>Storage/top</t>
  </si>
  <si>
    <t>Topock/Ehren</t>
  </si>
  <si>
    <t>CA/Stor/need</t>
  </si>
  <si>
    <t>Top/stor</t>
  </si>
  <si>
    <t>Barrett</t>
  </si>
  <si>
    <t>Nevada Power</t>
  </si>
  <si>
    <t>MOJA/SCAL</t>
  </si>
  <si>
    <t>Nevada</t>
  </si>
  <si>
    <t>Power</t>
  </si>
  <si>
    <t>Cumulative Scheduled Per Big Mama</t>
  </si>
  <si>
    <t>Cumulative Scheduled Per Unify</t>
  </si>
  <si>
    <t>Differences between SoCal</t>
  </si>
  <si>
    <t>OCC Reports and EPNG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</si>
</sst>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8" formatCode="_(* #,##0_);_(* \(#,##0\);_(* &quot;-&quot;??_);_(@_)"/>
    <numFmt numFmtId="173" formatCode="dd\-mmm\-yy"/>
    <numFmt numFmtId="174" formatCode="mmmm\-yy"/>
    <numFmt numFmtId="175" formatCode="0.0000"/>
    <numFmt numFmtId="176" formatCode="mmmm\-yyyy"/>
    <numFmt numFmtId="185" formatCode="&quot;$&quot;#,##0.000000"/>
  </numFmts>
  <fonts count="38" x14ac:knownFonts="1">
    <font>
      <sz val="10"/>
      <name val="Times New Roman"/>
    </font>
    <font>
      <sz val="10"/>
      <name val="Times New Roman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0"/>
      <color indexed="10"/>
      <name val="Arial"/>
      <family val="2"/>
    </font>
    <font>
      <b/>
      <sz val="10"/>
      <color indexed="56"/>
      <name val="Arial"/>
      <family val="2"/>
    </font>
    <font>
      <b/>
      <u/>
      <sz val="24"/>
      <color indexed="8"/>
      <name val="Arial"/>
      <family val="2"/>
    </font>
    <font>
      <sz val="24"/>
      <color indexed="8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b/>
      <u/>
      <sz val="9"/>
      <color indexed="8"/>
      <name val="Arial"/>
      <family val="2"/>
    </font>
    <font>
      <b/>
      <sz val="7.5"/>
      <color indexed="8"/>
      <name val="Arial"/>
      <family val="2"/>
    </font>
    <font>
      <b/>
      <sz val="10"/>
      <color indexed="39"/>
      <name val="Arial"/>
      <family val="2"/>
    </font>
    <font>
      <b/>
      <sz val="14"/>
      <color indexed="8"/>
      <name val="Arial"/>
      <family val="2"/>
    </font>
    <font>
      <b/>
      <u/>
      <sz val="14"/>
      <color indexed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8"/>
      <name val="Arial"/>
      <family val="2"/>
    </font>
    <font>
      <b/>
      <sz val="11"/>
      <color indexed="14"/>
      <name val="Arial"/>
      <family val="2"/>
    </font>
    <font>
      <b/>
      <sz val="11"/>
      <color indexed="12"/>
      <name val="Arial"/>
      <family val="2"/>
    </font>
    <font>
      <sz val="11"/>
      <color indexed="8"/>
      <name val="Arial"/>
      <family val="2"/>
    </font>
    <font>
      <sz val="9"/>
      <name val="Arial"/>
      <family val="2"/>
    </font>
    <font>
      <sz val="11"/>
      <color indexed="10"/>
      <name val="Arial"/>
      <family val="2"/>
    </font>
    <font>
      <b/>
      <sz val="11"/>
      <color indexed="8"/>
      <name val="Arial"/>
      <family val="2"/>
    </font>
    <font>
      <b/>
      <sz val="8"/>
      <name val="Arial"/>
      <family val="2"/>
    </font>
    <font>
      <b/>
      <sz val="11"/>
      <color indexed="16"/>
      <name val="Arial"/>
      <family val="2"/>
    </font>
    <font>
      <sz val="10"/>
      <color indexed="18"/>
      <name val="Arial"/>
      <family val="2"/>
    </font>
    <font>
      <b/>
      <sz val="11"/>
      <color indexed="18"/>
      <name val="Arial"/>
      <family val="2"/>
    </font>
    <font>
      <b/>
      <sz val="11"/>
      <color indexed="10"/>
      <name val="Arial"/>
      <family val="2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38"/>
      </left>
      <right/>
      <top style="thick">
        <color indexed="38"/>
      </top>
      <bottom style="thick">
        <color indexed="38"/>
      </bottom>
      <diagonal/>
    </border>
    <border>
      <left/>
      <right/>
      <top style="thick">
        <color indexed="38"/>
      </top>
      <bottom style="thick">
        <color indexed="38"/>
      </bottom>
      <diagonal/>
    </border>
    <border>
      <left/>
      <right style="thick">
        <color indexed="38"/>
      </right>
      <top style="thick">
        <color indexed="38"/>
      </top>
      <bottom style="thick">
        <color indexed="3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7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3" fontId="2" fillId="0" borderId="3" xfId="1" applyFont="1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left"/>
    </xf>
    <xf numFmtId="38" fontId="4" fillId="0" borderId="0" xfId="0" applyNumberFormat="1" applyFont="1" applyFill="1"/>
    <xf numFmtId="3" fontId="4" fillId="0" borderId="0" xfId="0" applyNumberFormat="1" applyFont="1" applyFill="1"/>
    <xf numFmtId="0" fontId="4" fillId="0" borderId="0" xfId="0" applyFont="1" applyFill="1"/>
    <xf numFmtId="0" fontId="2" fillId="0" borderId="4" xfId="0" applyFont="1" applyFill="1" applyBorder="1" applyAlignment="1">
      <alignment horizontal="center"/>
    </xf>
    <xf numFmtId="38" fontId="2" fillId="0" borderId="5" xfId="0" applyNumberFormat="1" applyFont="1" applyFill="1" applyBorder="1" applyAlignment="1">
      <alignment horizontal="center"/>
    </xf>
    <xf numFmtId="0" fontId="7" fillId="0" borderId="0" xfId="0" applyFont="1"/>
    <xf numFmtId="43" fontId="4" fillId="0" borderId="0" xfId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38" fontId="2" fillId="0" borderId="0" xfId="0" applyNumberFormat="1" applyFont="1" applyFill="1"/>
    <xf numFmtId="38" fontId="2" fillId="0" borderId="0" xfId="0" applyNumberFormat="1" applyFont="1" applyFill="1" applyAlignment="1">
      <alignment horizontal="center"/>
    </xf>
    <xf numFmtId="38" fontId="2" fillId="0" borderId="0" xfId="1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left"/>
    </xf>
    <xf numFmtId="43" fontId="4" fillId="0" borderId="0" xfId="1" applyFont="1" applyFill="1"/>
    <xf numFmtId="14" fontId="4" fillId="0" borderId="0" xfId="0" applyNumberFormat="1" applyFont="1" applyFill="1" applyBorder="1"/>
    <xf numFmtId="14" fontId="4" fillId="2" borderId="0" xfId="0" applyNumberFormat="1" applyFont="1" applyFill="1" applyBorder="1"/>
    <xf numFmtId="14" fontId="4" fillId="3" borderId="0" xfId="0" applyNumberFormat="1" applyFont="1" applyFill="1" applyBorder="1"/>
    <xf numFmtId="1" fontId="4" fillId="0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4" borderId="0" xfId="0" applyFont="1" applyFill="1"/>
    <xf numFmtId="1" fontId="2" fillId="0" borderId="0" xfId="0" applyNumberFormat="1" applyFont="1" applyFill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1" fontId="4" fillId="0" borderId="0" xfId="0" applyNumberFormat="1" applyFont="1" applyFill="1"/>
    <xf numFmtId="0" fontId="4" fillId="0" borderId="0" xfId="0" applyNumberFormat="1" applyFont="1" applyFill="1"/>
    <xf numFmtId="49" fontId="4" fillId="0" borderId="0" xfId="0" applyNumberFormat="1" applyFont="1" applyFill="1"/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9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 applyFill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3" xfId="0" applyNumberFormat="1" applyFont="1" applyFill="1" applyBorder="1"/>
    <xf numFmtId="0" fontId="2" fillId="0" borderId="3" xfId="0" applyNumberFormat="1" applyFont="1" applyFill="1" applyBorder="1"/>
    <xf numFmtId="49" fontId="2" fillId="0" borderId="3" xfId="0" applyNumberFormat="1" applyFont="1" applyFill="1" applyBorder="1"/>
    <xf numFmtId="0" fontId="2" fillId="0" borderId="3" xfId="0" applyFont="1" applyFill="1" applyBorder="1"/>
    <xf numFmtId="16" fontId="10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38" fontId="4" fillId="3" borderId="0" xfId="0" applyNumberFormat="1" applyFont="1" applyFill="1" applyBorder="1" applyAlignment="1">
      <alignment horizontal="center"/>
    </xf>
    <xf numFmtId="38" fontId="4" fillId="0" borderId="1" xfId="0" applyNumberFormat="1" applyFont="1" applyFill="1" applyBorder="1" applyAlignment="1">
      <alignment horizontal="center"/>
    </xf>
    <xf numFmtId="38" fontId="4" fillId="3" borderId="1" xfId="0" applyNumberFormat="1" applyFont="1" applyFill="1" applyBorder="1" applyAlignment="1">
      <alignment horizontal="center"/>
    </xf>
    <xf numFmtId="38" fontId="4" fillId="0" borderId="0" xfId="0" applyNumberFormat="1" applyFont="1" applyFill="1" applyAlignment="1">
      <alignment horizontal="center"/>
    </xf>
    <xf numFmtId="38" fontId="4" fillId="2" borderId="1" xfId="0" applyNumberFormat="1" applyFont="1" applyFill="1" applyBorder="1" applyAlignment="1">
      <alignment horizontal="center"/>
    </xf>
    <xf numFmtId="38" fontId="4" fillId="4" borderId="0" xfId="0" applyNumberFormat="1" applyFont="1" applyFill="1" applyBorder="1"/>
    <xf numFmtId="1" fontId="4" fillId="0" borderId="0" xfId="0" applyNumberFormat="1" applyFont="1" applyFill="1" applyBorder="1"/>
    <xf numFmtId="0" fontId="4" fillId="0" borderId="0" xfId="0" applyNumberFormat="1" applyFont="1" applyFill="1" applyBorder="1"/>
    <xf numFmtId="49" fontId="4" fillId="0" borderId="0" xfId="0" applyNumberFormat="1" applyFont="1" applyFill="1" applyBorder="1"/>
    <xf numFmtId="0" fontId="4" fillId="0" borderId="0" xfId="0" applyFont="1" applyFill="1" applyBorder="1"/>
    <xf numFmtId="38" fontId="4" fillId="0" borderId="6" xfId="0" applyNumberFormat="1" applyFont="1" applyFill="1" applyBorder="1" applyAlignment="1">
      <alignment horizontal="center"/>
    </xf>
    <xf numFmtId="14" fontId="2" fillId="0" borderId="8" xfId="0" applyNumberFormat="1" applyFont="1" applyFill="1" applyBorder="1" applyAlignment="1">
      <alignment horizontal="center"/>
    </xf>
    <xf numFmtId="38" fontId="2" fillId="2" borderId="5" xfId="0" applyNumberFormat="1" applyFont="1" applyFill="1" applyBorder="1" applyAlignment="1">
      <alignment horizontal="center"/>
    </xf>
    <xf numFmtId="38" fontId="2" fillId="3" borderId="5" xfId="0" applyNumberFormat="1" applyFont="1" applyFill="1" applyBorder="1" applyAlignment="1">
      <alignment horizontal="center"/>
    </xf>
    <xf numFmtId="38" fontId="2" fillId="0" borderId="4" xfId="0" applyNumberFormat="1" applyFont="1" applyFill="1" applyBorder="1" applyAlignment="1">
      <alignment horizontal="center"/>
    </xf>
    <xf numFmtId="0" fontId="2" fillId="0" borderId="5" xfId="0" applyFont="1" applyFill="1" applyBorder="1"/>
    <xf numFmtId="38" fontId="2" fillId="2" borderId="4" xfId="0" applyNumberFormat="1" applyFont="1" applyFill="1" applyBorder="1" applyAlignment="1">
      <alignment horizontal="center"/>
    </xf>
    <xf numFmtId="0" fontId="2" fillId="4" borderId="5" xfId="0" applyFont="1" applyFill="1" applyBorder="1"/>
    <xf numFmtId="38" fontId="2" fillId="0" borderId="9" xfId="0" applyNumberFormat="1" applyFont="1" applyFill="1" applyBorder="1" applyAlignment="1">
      <alignment horizontal="center"/>
    </xf>
    <xf numFmtId="38" fontId="2" fillId="0" borderId="10" xfId="0" applyNumberFormat="1" applyFont="1" applyFill="1" applyBorder="1" applyAlignment="1">
      <alignment horizontal="center"/>
    </xf>
    <xf numFmtId="1" fontId="2" fillId="0" borderId="5" xfId="0" applyNumberFormat="1" applyFont="1" applyFill="1" applyBorder="1"/>
    <xf numFmtId="0" fontId="2" fillId="0" borderId="5" xfId="0" applyNumberFormat="1" applyFont="1" applyFill="1" applyBorder="1"/>
    <xf numFmtId="49" fontId="2" fillId="0" borderId="5" xfId="0" applyNumberFormat="1" applyFont="1" applyFill="1" applyBorder="1"/>
    <xf numFmtId="14" fontId="4" fillId="0" borderId="11" xfId="0" applyNumberFormat="1" applyFont="1" applyFill="1" applyBorder="1"/>
    <xf numFmtId="14" fontId="4" fillId="2" borderId="11" xfId="0" applyNumberFormat="1" applyFont="1" applyFill="1" applyBorder="1"/>
    <xf numFmtId="14" fontId="4" fillId="3" borderId="11" xfId="0" applyNumberFormat="1" applyFont="1" applyFill="1" applyBorder="1"/>
    <xf numFmtId="1" fontId="4" fillId="0" borderId="11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left"/>
    </xf>
    <xf numFmtId="1" fontId="4" fillId="3" borderId="11" xfId="0" applyNumberFormat="1" applyFont="1" applyFill="1" applyBorder="1" applyAlignment="1">
      <alignment horizontal="center"/>
    </xf>
    <xf numFmtId="0" fontId="4" fillId="0" borderId="11" xfId="0" applyFont="1" applyFill="1" applyBorder="1"/>
    <xf numFmtId="1" fontId="4" fillId="2" borderId="11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left"/>
    </xf>
    <xf numFmtId="0" fontId="4" fillId="4" borderId="11" xfId="0" applyFont="1" applyFill="1" applyBorder="1"/>
    <xf numFmtId="1" fontId="4" fillId="0" borderId="12" xfId="0" applyNumberFormat="1" applyFont="1" applyFill="1" applyBorder="1" applyAlignment="1">
      <alignment horizontal="center"/>
    </xf>
    <xf numFmtId="1" fontId="4" fillId="0" borderId="11" xfId="0" applyNumberFormat="1" applyFont="1" applyFill="1" applyBorder="1"/>
    <xf numFmtId="0" fontId="4" fillId="0" borderId="11" xfId="0" applyNumberFormat="1" applyFont="1" applyFill="1" applyBorder="1"/>
    <xf numFmtId="49" fontId="4" fillId="0" borderId="11" xfId="0" applyNumberFormat="1" applyFont="1" applyFill="1" applyBorder="1"/>
    <xf numFmtId="38" fontId="4" fillId="0" borderId="0" xfId="0" applyNumberFormat="1" applyFont="1" applyFill="1" applyBorder="1"/>
    <xf numFmtId="175" fontId="4" fillId="0" borderId="0" xfId="0" applyNumberFormat="1" applyFont="1" applyFill="1" applyBorder="1"/>
    <xf numFmtId="14" fontId="4" fillId="0" borderId="13" xfId="0" applyNumberFormat="1" applyFont="1" applyFill="1" applyBorder="1"/>
    <xf numFmtId="0" fontId="11" fillId="4" borderId="0" xfId="0" applyFont="1" applyFill="1" applyAlignment="1"/>
    <xf numFmtId="0" fontId="12" fillId="0" borderId="0" xfId="0" applyFont="1" applyAlignment="1"/>
    <xf numFmtId="3" fontId="12" fillId="4" borderId="0" xfId="0" applyNumberFormat="1" applyFont="1" applyFill="1" applyAlignment="1"/>
    <xf numFmtId="0" fontId="12" fillId="4" borderId="0" xfId="0" applyFont="1" applyFill="1" applyAlignment="1"/>
    <xf numFmtId="0" fontId="12" fillId="0" borderId="0" xfId="0" applyFont="1" applyFill="1" applyBorder="1" applyAlignment="1"/>
    <xf numFmtId="3" fontId="13" fillId="4" borderId="0" xfId="0" applyNumberFormat="1" applyFont="1" applyFill="1" applyAlignment="1"/>
    <xf numFmtId="0" fontId="13" fillId="4" borderId="0" xfId="0" applyFont="1" applyFill="1" applyBorder="1" applyAlignment="1"/>
    <xf numFmtId="37" fontId="6" fillId="4" borderId="0" xfId="0" applyNumberFormat="1" applyFont="1" applyFill="1" applyBorder="1" applyAlignment="1"/>
    <xf numFmtId="37" fontId="13" fillId="4" borderId="0" xfId="0" applyNumberFormat="1" applyFont="1" applyFill="1" applyAlignment="1"/>
    <xf numFmtId="38" fontId="13" fillId="4" borderId="0" xfId="0" applyNumberFormat="1" applyFont="1" applyFill="1" applyAlignment="1"/>
    <xf numFmtId="37" fontId="12" fillId="4" borderId="0" xfId="0" applyNumberFormat="1" applyFont="1" applyFill="1" applyAlignment="1"/>
    <xf numFmtId="22" fontId="5" fillId="4" borderId="0" xfId="0" applyNumberFormat="1" applyFont="1" applyFill="1" applyAlignment="1"/>
    <xf numFmtId="0" fontId="5" fillId="4" borderId="0" xfId="0" applyFont="1" applyFill="1" applyAlignment="1"/>
    <xf numFmtId="0" fontId="14" fillId="4" borderId="0" xfId="0" applyFont="1" applyFill="1" applyAlignment="1"/>
    <xf numFmtId="3" fontId="14" fillId="4" borderId="0" xfId="0" applyNumberFormat="1" applyFont="1" applyFill="1" applyAlignment="1"/>
    <xf numFmtId="0" fontId="14" fillId="4" borderId="0" xfId="0" applyFont="1" applyFill="1" applyBorder="1" applyAlignment="1"/>
    <xf numFmtId="0" fontId="5" fillId="0" borderId="0" xfId="0" applyFont="1" applyFill="1" applyBorder="1" applyAlignment="1"/>
    <xf numFmtId="0" fontId="14" fillId="0" borderId="0" xfId="0" applyFont="1" applyAlignment="1"/>
    <xf numFmtId="0" fontId="15" fillId="4" borderId="0" xfId="0" applyFont="1" applyFill="1" applyAlignment="1"/>
    <xf numFmtId="37" fontId="14" fillId="4" borderId="0" xfId="0" applyNumberFormat="1" applyFont="1" applyFill="1" applyAlignment="1"/>
    <xf numFmtId="37" fontId="5" fillId="4" borderId="0" xfId="0" applyNumberFormat="1" applyFont="1" applyFill="1" applyBorder="1" applyAlignment="1"/>
    <xf numFmtId="0" fontId="5" fillId="0" borderId="14" xfId="0" applyFont="1" applyBorder="1" applyAlignment="1">
      <alignment horizontal="center" wrapText="1"/>
    </xf>
    <xf numFmtId="3" fontId="5" fillId="0" borderId="14" xfId="0" applyNumberFormat="1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14" fillId="4" borderId="0" xfId="0" applyFont="1" applyFill="1" applyBorder="1" applyAlignment="1">
      <alignment horizontal="center" wrapText="1"/>
    </xf>
    <xf numFmtId="37" fontId="5" fillId="0" borderId="14" xfId="0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16" fontId="2" fillId="0" borderId="0" xfId="0" applyNumberFormat="1" applyFont="1" applyAlignment="1">
      <alignment horizontal="center"/>
    </xf>
    <xf numFmtId="38" fontId="4" fillId="0" borderId="15" xfId="0" applyNumberFormat="1" applyFont="1" applyBorder="1"/>
    <xf numFmtId="0" fontId="4" fillId="0" borderId="15" xfId="1" applyNumberFormat="1" applyFont="1" applyBorder="1"/>
    <xf numFmtId="3" fontId="4" fillId="0" borderId="15" xfId="0" applyNumberFormat="1" applyFont="1" applyBorder="1"/>
    <xf numFmtId="38" fontId="4" fillId="0" borderId="13" xfId="0" applyNumberFormat="1" applyFont="1" applyBorder="1"/>
    <xf numFmtId="38" fontId="4" fillId="0" borderId="15" xfId="0" applyNumberFormat="1" applyFont="1" applyFill="1" applyBorder="1"/>
    <xf numFmtId="16" fontId="17" fillId="0" borderId="14" xfId="0" applyNumberFormat="1" applyFont="1" applyFill="1" applyBorder="1" applyAlignment="1">
      <alignment horizontal="center"/>
    </xf>
    <xf numFmtId="38" fontId="4" fillId="0" borderId="14" xfId="0" applyNumberFormat="1" applyFont="1" applyBorder="1"/>
    <xf numFmtId="16" fontId="17" fillId="0" borderId="16" xfId="0" applyNumberFormat="1" applyFont="1" applyBorder="1"/>
    <xf numFmtId="38" fontId="4" fillId="0" borderId="0" xfId="0" applyNumberFormat="1" applyFont="1" applyBorder="1"/>
    <xf numFmtId="0" fontId="4" fillId="0" borderId="0" xfId="0" applyFont="1" applyBorder="1"/>
    <xf numFmtId="3" fontId="4" fillId="0" borderId="0" xfId="0" applyNumberFormat="1" applyFont="1" applyBorder="1"/>
    <xf numFmtId="38" fontId="4" fillId="0" borderId="0" xfId="0" applyNumberFormat="1" applyFont="1"/>
    <xf numFmtId="0" fontId="4" fillId="0" borderId="0" xfId="0" applyFont="1"/>
    <xf numFmtId="38" fontId="4" fillId="0" borderId="14" xfId="0" applyNumberFormat="1" applyFont="1" applyFill="1" applyBorder="1"/>
    <xf numFmtId="3" fontId="4" fillId="4" borderId="15" xfId="0" applyNumberFormat="1" applyFont="1" applyFill="1" applyBorder="1"/>
    <xf numFmtId="16" fontId="2" fillId="0" borderId="17" xfId="0" applyNumberFormat="1" applyFont="1" applyBorder="1" applyAlignment="1">
      <alignment horizontal="center"/>
    </xf>
    <xf numFmtId="38" fontId="2" fillId="0" borderId="18" xfId="0" applyNumberFormat="1" applyFont="1" applyBorder="1"/>
    <xf numFmtId="38" fontId="2" fillId="0" borderId="19" xfId="0" applyNumberFormat="1" applyFont="1" applyBorder="1"/>
    <xf numFmtId="3" fontId="2" fillId="0" borderId="19" xfId="0" applyNumberFormat="1" applyFont="1" applyBorder="1"/>
    <xf numFmtId="38" fontId="2" fillId="0" borderId="20" xfId="0" applyNumberFormat="1" applyFont="1" applyBorder="1"/>
    <xf numFmtId="38" fontId="2" fillId="0" borderId="21" xfId="0" applyNumberFormat="1" applyFont="1" applyBorder="1"/>
    <xf numFmtId="3" fontId="2" fillId="0" borderId="18" xfId="0" applyNumberFormat="1" applyFont="1" applyBorder="1"/>
    <xf numFmtId="3" fontId="2" fillId="0" borderId="20" xfId="0" applyNumberFormat="1" applyFont="1" applyBorder="1" applyAlignment="1">
      <alignment horizontal="center"/>
    </xf>
    <xf numFmtId="38" fontId="2" fillId="0" borderId="14" xfId="0" applyNumberFormat="1" applyFont="1" applyBorder="1"/>
    <xf numFmtId="0" fontId="4" fillId="0" borderId="0" xfId="0" applyFont="1" applyAlignment="1">
      <alignment horizontal="center"/>
    </xf>
    <xf numFmtId="3" fontId="4" fillId="0" borderId="0" xfId="0" applyNumberFormat="1" applyFont="1"/>
    <xf numFmtId="38" fontId="4" fillId="0" borderId="1" xfId="0" applyNumberFormat="1" applyFont="1" applyBorder="1"/>
    <xf numFmtId="3" fontId="4" fillId="0" borderId="0" xfId="0" applyNumberFormat="1" applyFont="1" applyFill="1" applyBorder="1"/>
    <xf numFmtId="38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38" fontId="4" fillId="0" borderId="6" xfId="0" applyNumberFormat="1" applyFont="1" applyBorder="1"/>
    <xf numFmtId="3" fontId="4" fillId="0" borderId="0" xfId="0" applyNumberFormat="1" applyFont="1" applyAlignment="1">
      <alignment horizontal="center"/>
    </xf>
    <xf numFmtId="0" fontId="4" fillId="0" borderId="1" xfId="0" applyFont="1" applyBorder="1"/>
    <xf numFmtId="0" fontId="4" fillId="4" borderId="0" xfId="0" applyFont="1" applyFill="1" applyBorder="1"/>
    <xf numFmtId="37" fontId="4" fillId="0" borderId="6" xfId="0" applyNumberFormat="1" applyFont="1" applyBorder="1"/>
    <xf numFmtId="37" fontId="4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/>
    </xf>
    <xf numFmtId="38" fontId="1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9" fillId="0" borderId="0" xfId="0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2" fillId="0" borderId="0" xfId="0" applyFont="1"/>
    <xf numFmtId="38" fontId="2" fillId="0" borderId="0" xfId="0" applyNumberFormat="1" applyFont="1" applyAlignment="1">
      <alignment horizontal="center"/>
    </xf>
    <xf numFmtId="38" fontId="2" fillId="2" borderId="0" xfId="0" applyNumberFormat="1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0" xfId="0" applyFont="1" applyBorder="1"/>
    <xf numFmtId="16" fontId="2" fillId="0" borderId="0" xfId="0" applyNumberFormat="1" applyFont="1"/>
    <xf numFmtId="38" fontId="4" fillId="0" borderId="1" xfId="0" applyNumberFormat="1" applyFont="1" applyBorder="1" applyAlignment="1">
      <alignment horizontal="center"/>
    </xf>
    <xf numFmtId="38" fontId="4" fillId="2" borderId="0" xfId="0" applyNumberFormat="1" applyFont="1" applyFill="1" applyBorder="1"/>
    <xf numFmtId="37" fontId="4" fillId="0" borderId="0" xfId="0" applyNumberFormat="1" applyFont="1" applyAlignment="1">
      <alignment horizontal="center"/>
    </xf>
    <xf numFmtId="38" fontId="2" fillId="0" borderId="5" xfId="0" applyNumberFormat="1" applyFont="1" applyBorder="1" applyAlignment="1">
      <alignment horizontal="centerContinuous"/>
    </xf>
    <xf numFmtId="38" fontId="2" fillId="0" borderId="4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0" xfId="0" applyNumberFormat="1" applyFont="1" applyBorder="1"/>
    <xf numFmtId="38" fontId="2" fillId="0" borderId="5" xfId="0" applyNumberFormat="1" applyFont="1" applyBorder="1"/>
    <xf numFmtId="37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" fontId="20" fillId="0" borderId="0" xfId="0" applyNumberFormat="1" applyFont="1"/>
    <xf numFmtId="38" fontId="7" fillId="0" borderId="0" xfId="0" applyNumberFormat="1" applyFont="1"/>
    <xf numFmtId="38" fontId="20" fillId="0" borderId="22" xfId="0" applyNumberFormat="1" applyFont="1" applyBorder="1"/>
    <xf numFmtId="38" fontId="0" fillId="0" borderId="0" xfId="0" applyNumberFormat="1"/>
    <xf numFmtId="0" fontId="20" fillId="0" borderId="0" xfId="0" applyFont="1"/>
    <xf numFmtId="1" fontId="20" fillId="0" borderId="0" xfId="0" applyNumberFormat="1" applyFont="1" applyAlignment="1">
      <alignment horizontal="center"/>
    </xf>
    <xf numFmtId="38" fontId="20" fillId="0" borderId="0" xfId="0" applyNumberFormat="1" applyFont="1" applyAlignment="1">
      <alignment horizontal="center"/>
    </xf>
    <xf numFmtId="173" fontId="20" fillId="0" borderId="0" xfId="0" applyNumberFormat="1" applyFont="1"/>
    <xf numFmtId="38" fontId="7" fillId="2" borderId="0" xfId="0" applyNumberFormat="1" applyFont="1" applyFill="1"/>
    <xf numFmtId="38" fontId="7" fillId="5" borderId="0" xfId="0" applyNumberFormat="1" applyFont="1" applyFill="1"/>
    <xf numFmtId="38" fontId="7" fillId="6" borderId="0" xfId="0" applyNumberFormat="1" applyFont="1" applyFill="1"/>
    <xf numFmtId="38" fontId="7" fillId="3" borderId="0" xfId="0" applyNumberFormat="1" applyFont="1" applyFill="1"/>
    <xf numFmtId="1" fontId="7" fillId="0" borderId="0" xfId="0" applyNumberFormat="1" applyFont="1"/>
    <xf numFmtId="38" fontId="20" fillId="2" borderId="22" xfId="0" applyNumberFormat="1" applyFont="1" applyFill="1" applyBorder="1"/>
    <xf numFmtId="38" fontId="20" fillId="5" borderId="22" xfId="0" applyNumberFormat="1" applyFont="1" applyFill="1" applyBorder="1"/>
    <xf numFmtId="38" fontId="20" fillId="6" borderId="22" xfId="0" applyNumberFormat="1" applyFont="1" applyFill="1" applyBorder="1"/>
    <xf numFmtId="38" fontId="20" fillId="3" borderId="22" xfId="0" applyNumberFormat="1" applyFont="1" applyFill="1" applyBorder="1"/>
    <xf numFmtId="37" fontId="21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37" fontId="22" fillId="0" borderId="0" xfId="0" applyNumberFormat="1" applyFont="1" applyAlignment="1">
      <alignment horizontal="centerContinuous"/>
    </xf>
    <xf numFmtId="0" fontId="22" fillId="0" borderId="0" xfId="0" applyFont="1" applyAlignment="1">
      <alignment horizontal="centerContinuous"/>
    </xf>
    <xf numFmtId="37" fontId="22" fillId="0" borderId="0" xfId="0" applyNumberFormat="1" applyFont="1" applyAlignment="1">
      <alignment horizontal="left"/>
    </xf>
    <xf numFmtId="37" fontId="22" fillId="0" borderId="0" xfId="0" applyNumberFormat="1" applyFont="1" applyFill="1" applyAlignment="1">
      <alignment horizontal="left"/>
    </xf>
    <xf numFmtId="37" fontId="23" fillId="0" borderId="0" xfId="0" applyNumberFormat="1" applyFont="1"/>
    <xf numFmtId="37" fontId="22" fillId="0" borderId="0" xfId="0" applyNumberFormat="1" applyFont="1"/>
    <xf numFmtId="37" fontId="23" fillId="0" borderId="0" xfId="0" applyNumberFormat="1" applyFont="1" applyAlignment="1">
      <alignment horizontal="left"/>
    </xf>
    <xf numFmtId="37" fontId="23" fillId="0" borderId="0" xfId="0" applyNumberFormat="1" applyFont="1" applyAlignment="1">
      <alignment horizontal="center"/>
    </xf>
    <xf numFmtId="15" fontId="23" fillId="0" borderId="0" xfId="0" applyNumberFormat="1" applyFont="1" applyAlignment="1">
      <alignment horizontal="centerContinuous"/>
    </xf>
    <xf numFmtId="38" fontId="22" fillId="0" borderId="0" xfId="0" applyNumberFormat="1" applyFont="1"/>
    <xf numFmtId="0" fontId="22" fillId="0" borderId="0" xfId="0" applyFont="1"/>
    <xf numFmtId="37" fontId="23" fillId="0" borderId="0" xfId="0" applyNumberFormat="1" applyFont="1" applyBorder="1" applyAlignment="1">
      <alignment horizontal="left"/>
    </xf>
    <xf numFmtId="0" fontId="23" fillId="0" borderId="0" xfId="0" applyFont="1" applyAlignment="1">
      <alignment horizontal="center"/>
    </xf>
    <xf numFmtId="37" fontId="23" fillId="0" borderId="0" xfId="0" applyNumberFormat="1" applyFont="1" applyBorder="1" applyAlignment="1">
      <alignment horizontal="center"/>
    </xf>
    <xf numFmtId="37" fontId="22" fillId="0" borderId="0" xfId="0" applyNumberFormat="1" applyFont="1" applyAlignment="1">
      <alignment horizontal="center"/>
    </xf>
    <xf numFmtId="37" fontId="23" fillId="0" borderId="23" xfId="0" applyNumberFormat="1" applyFont="1" applyBorder="1" applyAlignment="1">
      <alignment horizontal="center"/>
    </xf>
    <xf numFmtId="38" fontId="22" fillId="0" borderId="0" xfId="0" applyNumberFormat="1" applyFont="1" applyBorder="1" applyAlignment="1">
      <alignment horizontal="center"/>
    </xf>
    <xf numFmtId="0" fontId="23" fillId="0" borderId="0" xfId="0" applyNumberFormat="1" applyFont="1" applyAlignment="1">
      <alignment horizontal="left"/>
    </xf>
    <xf numFmtId="37" fontId="24" fillId="0" borderId="0" xfId="0" applyNumberFormat="1" applyFont="1" applyAlignment="1">
      <alignment horizontal="left"/>
    </xf>
    <xf numFmtId="38" fontId="22" fillId="0" borderId="0" xfId="0" applyNumberFormat="1" applyFont="1" applyAlignment="1">
      <alignment horizontal="center"/>
    </xf>
    <xf numFmtId="37" fontId="25" fillId="0" borderId="0" xfId="0" applyNumberFormat="1" applyFont="1" applyAlignment="1">
      <alignment horizontal="left"/>
    </xf>
    <xf numFmtId="38" fontId="22" fillId="0" borderId="24" xfId="0" applyNumberFormat="1" applyFont="1" applyBorder="1" applyAlignment="1">
      <alignment horizontal="right"/>
    </xf>
    <xf numFmtId="0" fontId="23" fillId="0" borderId="0" xfId="0" applyFont="1" applyAlignment="1">
      <alignment horizontal="left"/>
    </xf>
    <xf numFmtId="37" fontId="22" fillId="0" borderId="3" xfId="0" applyNumberFormat="1" applyFont="1" applyBorder="1"/>
    <xf numFmtId="38" fontId="22" fillId="0" borderId="3" xfId="0" applyNumberFormat="1" applyFont="1" applyBorder="1" applyAlignment="1">
      <alignment horizontal="center"/>
    </xf>
    <xf numFmtId="37" fontId="26" fillId="0" borderId="0" xfId="0" applyNumberFormat="1" applyFont="1"/>
    <xf numFmtId="0" fontId="22" fillId="0" borderId="3" xfId="0" applyFont="1" applyBorder="1" applyAlignment="1">
      <alignment horizontal="center"/>
    </xf>
    <xf numFmtId="38" fontId="22" fillId="0" borderId="0" xfId="0" applyNumberFormat="1" applyFont="1" applyAlignment="1">
      <alignment horizontal="centerContinuous"/>
    </xf>
    <xf numFmtId="38" fontId="22" fillId="0" borderId="0" xfId="0" applyNumberFormat="1" applyFont="1" applyFill="1"/>
    <xf numFmtId="38" fontId="22" fillId="0" borderId="0" xfId="0" applyNumberFormat="1" applyFont="1" applyAlignment="1">
      <alignment horizontal="right"/>
    </xf>
    <xf numFmtId="37" fontId="22" fillId="0" borderId="0" xfId="0" applyNumberFormat="1" applyFont="1" applyFill="1"/>
    <xf numFmtId="37" fontId="27" fillId="0" borderId="0" xfId="0" applyNumberFormat="1" applyFont="1" applyBorder="1"/>
    <xf numFmtId="37" fontId="27" fillId="0" borderId="3" xfId="0" applyNumberFormat="1" applyFont="1" applyBorder="1"/>
    <xf numFmtId="38" fontId="28" fillId="0" borderId="3" xfId="0" applyNumberFormat="1" applyFont="1" applyBorder="1" applyAlignment="1">
      <alignment horizontal="right"/>
    </xf>
    <xf numFmtId="37" fontId="27" fillId="0" borderId="0" xfId="0" applyNumberFormat="1" applyFont="1" applyAlignment="1">
      <alignment horizontal="left"/>
    </xf>
    <xf numFmtId="37" fontId="22" fillId="0" borderId="3" xfId="0" applyNumberFormat="1" applyFont="1" applyBorder="1" applyAlignment="1">
      <alignment horizontal="center"/>
    </xf>
    <xf numFmtId="37" fontId="29" fillId="0" borderId="0" xfId="0" applyNumberFormat="1" applyFont="1" applyAlignment="1">
      <alignment horizontal="left"/>
    </xf>
    <xf numFmtId="37" fontId="29" fillId="0" borderId="0" xfId="0" applyNumberFormat="1" applyFont="1"/>
    <xf numFmtId="37" fontId="30" fillId="0" borderId="0" xfId="0" applyNumberFormat="1" applyFont="1" applyBorder="1" applyAlignment="1">
      <alignment horizontal="center"/>
    </xf>
    <xf numFmtId="38" fontId="30" fillId="0" borderId="0" xfId="0" applyNumberFormat="1" applyFont="1" applyBorder="1" applyAlignment="1">
      <alignment horizontal="center"/>
    </xf>
    <xf numFmtId="37" fontId="22" fillId="7" borderId="0" xfId="0" applyNumberFormat="1" applyFont="1" applyFill="1"/>
    <xf numFmtId="0" fontId="23" fillId="7" borderId="0" xfId="0" applyFont="1" applyFill="1" applyAlignment="1">
      <alignment horizontal="centerContinuous"/>
    </xf>
    <xf numFmtId="38" fontId="23" fillId="7" borderId="0" xfId="0" quotePrefix="1" applyNumberFormat="1" applyFont="1" applyFill="1" applyAlignment="1">
      <alignment horizontal="centerContinuous"/>
    </xf>
    <xf numFmtId="0" fontId="22" fillId="7" borderId="0" xfId="0" applyFont="1" applyFill="1"/>
    <xf numFmtId="38" fontId="22" fillId="7" borderId="0" xfId="0" applyNumberFormat="1" applyFont="1" applyFill="1" applyAlignment="1">
      <alignment horizontal="center"/>
    </xf>
    <xf numFmtId="38" fontId="28" fillId="0" borderId="0" xfId="0" applyNumberFormat="1" applyFont="1" applyBorder="1" applyAlignment="1">
      <alignment horizontal="right"/>
    </xf>
    <xf numFmtId="38" fontId="28" fillId="0" borderId="0" xfId="0" applyNumberFormat="1" applyFont="1" applyBorder="1" applyAlignment="1">
      <alignment horizontal="center"/>
    </xf>
    <xf numFmtId="0" fontId="25" fillId="7" borderId="0" xfId="0" applyFont="1" applyFill="1"/>
    <xf numFmtId="0" fontId="7" fillId="7" borderId="0" xfId="0" applyFont="1" applyFill="1"/>
    <xf numFmtId="37" fontId="22" fillId="0" borderId="0" xfId="0" applyNumberFormat="1" applyFont="1" applyBorder="1"/>
    <xf numFmtId="38" fontId="22" fillId="7" borderId="24" xfId="0" applyNumberFormat="1" applyFont="1" applyFill="1" applyBorder="1" applyAlignment="1">
      <alignment horizontal="center"/>
    </xf>
    <xf numFmtId="37" fontId="22" fillId="0" borderId="0" xfId="0" applyNumberFormat="1" applyFont="1" applyAlignment="1">
      <alignment horizontal="right"/>
    </xf>
    <xf numFmtId="38" fontId="28" fillId="0" borderId="0" xfId="0" applyNumberFormat="1" applyFont="1" applyAlignment="1">
      <alignment horizontal="center"/>
    </xf>
    <xf numFmtId="37" fontId="23" fillId="0" borderId="0" xfId="0" applyNumberFormat="1" applyFont="1" applyBorder="1" applyAlignment="1">
      <alignment horizontal="right"/>
    </xf>
    <xf numFmtId="38" fontId="23" fillId="0" borderId="24" xfId="0" applyNumberFormat="1" applyFont="1" applyBorder="1" applyAlignment="1">
      <alignment horizontal="right"/>
    </xf>
    <xf numFmtId="37" fontId="22" fillId="0" borderId="0" xfId="0" applyNumberFormat="1" applyFont="1" applyFill="1" applyAlignment="1">
      <alignment horizontal="center"/>
    </xf>
    <xf numFmtId="37" fontId="23" fillId="0" borderId="3" xfId="0" applyNumberFormat="1" applyFont="1" applyBorder="1" applyAlignment="1">
      <alignment horizontal="center"/>
    </xf>
    <xf numFmtId="37" fontId="31" fillId="0" borderId="3" xfId="0" applyNumberFormat="1" applyFont="1" applyBorder="1" applyAlignment="1">
      <alignment horizontal="center"/>
    </xf>
    <xf numFmtId="37" fontId="22" fillId="7" borderId="0" xfId="0" applyNumberFormat="1" applyFont="1" applyFill="1" applyAlignment="1">
      <alignment horizontal="centerContinuous"/>
    </xf>
    <xf numFmtId="37" fontId="23" fillId="7" borderId="0" xfId="0" applyNumberFormat="1" applyFont="1" applyFill="1" applyAlignment="1">
      <alignment horizontal="centerContinuous"/>
    </xf>
    <xf numFmtId="0" fontId="22" fillId="7" borderId="0" xfId="0" applyFont="1" applyFill="1" applyAlignment="1">
      <alignment horizontal="centerContinuous"/>
    </xf>
    <xf numFmtId="37" fontId="23" fillId="7" borderId="0" xfId="0" applyNumberFormat="1" applyFont="1" applyFill="1" applyAlignment="1">
      <alignment horizontal="center"/>
    </xf>
    <xf numFmtId="37" fontId="31" fillId="7" borderId="0" xfId="0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37" fontId="23" fillId="7" borderId="0" xfId="0" quotePrefix="1" applyNumberFormat="1" applyFont="1" applyFill="1" applyAlignment="1">
      <alignment horizontal="center"/>
    </xf>
    <xf numFmtId="37" fontId="31" fillId="7" borderId="0" xfId="0" applyNumberFormat="1" applyFont="1" applyFill="1" applyAlignment="1">
      <alignment horizontal="left"/>
    </xf>
    <xf numFmtId="38" fontId="23" fillId="7" borderId="0" xfId="0" applyNumberFormat="1" applyFont="1" applyFill="1" applyAlignment="1">
      <alignment horizontal="center"/>
    </xf>
    <xf numFmtId="37" fontId="28" fillId="0" borderId="0" xfId="0" applyNumberFormat="1" applyFont="1" applyAlignment="1">
      <alignment horizontal="right"/>
    </xf>
    <xf numFmtId="0" fontId="23" fillId="7" borderId="0" xfId="0" applyFont="1" applyFill="1"/>
    <xf numFmtId="0" fontId="23" fillId="7" borderId="0" xfId="0" quotePrefix="1" applyFont="1" applyFill="1" applyAlignment="1">
      <alignment horizontal="center"/>
    </xf>
    <xf numFmtId="3" fontId="23" fillId="7" borderId="0" xfId="0" applyNumberFormat="1" applyFont="1" applyFill="1" applyAlignment="1">
      <alignment horizontal="center"/>
    </xf>
    <xf numFmtId="0" fontId="22" fillId="0" borderId="0" xfId="0" applyFont="1" applyBorder="1"/>
    <xf numFmtId="37" fontId="22" fillId="0" borderId="3" xfId="0" applyNumberFormat="1" applyFont="1" applyBorder="1" applyAlignment="1">
      <alignment horizontal="right"/>
    </xf>
    <xf numFmtId="37" fontId="28" fillId="0" borderId="3" xfId="0" applyNumberFormat="1" applyFont="1" applyBorder="1" applyAlignment="1">
      <alignment horizontal="right"/>
    </xf>
    <xf numFmtId="38" fontId="23" fillId="7" borderId="0" xfId="0" applyNumberFormat="1" applyFont="1" applyFill="1" applyBorder="1" applyAlignment="1">
      <alignment horizontal="centerContinuous"/>
    </xf>
    <xf numFmtId="0" fontId="22" fillId="7" borderId="0" xfId="0" quotePrefix="1" applyFont="1" applyFill="1"/>
    <xf numFmtId="38" fontId="22" fillId="0" borderId="0" xfId="0" applyNumberFormat="1" applyFont="1" applyBorder="1" applyAlignment="1">
      <alignment horizontal="right"/>
    </xf>
    <xf numFmtId="37" fontId="26" fillId="0" borderId="0" xfId="0" applyNumberFormat="1" applyFont="1" applyAlignment="1">
      <alignment horizontal="right"/>
    </xf>
    <xf numFmtId="37" fontId="22" fillId="0" borderId="0" xfId="0" applyNumberFormat="1" applyFont="1" applyBorder="1" applyAlignment="1">
      <alignment horizontal="center"/>
    </xf>
    <xf numFmtId="37" fontId="22" fillId="0" borderId="0" xfId="0" applyNumberFormat="1" applyFont="1" applyBorder="1" applyAlignment="1">
      <alignment horizontal="right"/>
    </xf>
    <xf numFmtId="37" fontId="28" fillId="0" borderId="0" xfId="0" applyNumberFormat="1" applyFont="1" applyAlignment="1">
      <alignment horizontal="center"/>
    </xf>
    <xf numFmtId="38" fontId="27" fillId="0" borderId="24" xfId="0" applyNumberFormat="1" applyFont="1" applyBorder="1" applyAlignment="1">
      <alignment horizontal="right"/>
    </xf>
    <xf numFmtId="37" fontId="6" fillId="7" borderId="0" xfId="0" applyNumberFormat="1" applyFont="1" applyFill="1" applyAlignment="1">
      <alignment horizontal="left"/>
    </xf>
    <xf numFmtId="37" fontId="27" fillId="0" borderId="0" xfId="0" applyNumberFormat="1" applyFont="1" applyBorder="1" applyAlignment="1">
      <alignment horizontal="right"/>
    </xf>
    <xf numFmtId="37" fontId="23" fillId="7" borderId="0" xfId="0" applyNumberFormat="1" applyFont="1" applyFill="1" applyAlignment="1">
      <alignment horizontal="left"/>
    </xf>
    <xf numFmtId="37" fontId="23" fillId="7" borderId="0" xfId="0" quotePrefix="1" applyNumberFormat="1" applyFont="1" applyFill="1" applyBorder="1" applyAlignment="1">
      <alignment horizontal="center"/>
    </xf>
    <xf numFmtId="37" fontId="23" fillId="7" borderId="0" xfId="0" applyNumberFormat="1" applyFont="1" applyFill="1" applyBorder="1" applyAlignment="1"/>
    <xf numFmtId="38" fontId="23" fillId="7" borderId="3" xfId="0" applyNumberFormat="1" applyFont="1" applyFill="1" applyBorder="1" applyAlignment="1">
      <alignment horizontal="center"/>
    </xf>
    <xf numFmtId="38" fontId="23" fillId="7" borderId="0" xfId="0" applyNumberFormat="1" applyFont="1" applyFill="1" applyBorder="1" applyAlignment="1">
      <alignment horizontal="center"/>
    </xf>
    <xf numFmtId="37" fontId="23" fillId="7" borderId="3" xfId="0" applyNumberFormat="1" applyFont="1" applyFill="1" applyBorder="1" applyAlignment="1">
      <alignment horizontal="center"/>
    </xf>
    <xf numFmtId="37" fontId="23" fillId="7" borderId="0" xfId="0" applyNumberFormat="1" applyFont="1" applyFill="1" applyBorder="1" applyAlignment="1">
      <alignment horizontal="center"/>
    </xf>
    <xf numFmtId="38" fontId="22" fillId="0" borderId="9" xfId="0" applyNumberFormat="1" applyFont="1" applyBorder="1" applyAlignment="1">
      <alignment horizontal="center"/>
    </xf>
    <xf numFmtId="37" fontId="22" fillId="0" borderId="0" xfId="0" applyNumberFormat="1" applyFont="1" applyBorder="1" applyAlignment="1"/>
    <xf numFmtId="37" fontId="23" fillId="7" borderId="0" xfId="0" applyNumberFormat="1" applyFont="1" applyFill="1"/>
    <xf numFmtId="37" fontId="30" fillId="0" borderId="0" xfId="0" applyNumberFormat="1" applyFont="1" applyAlignment="1">
      <alignment horizontal="center"/>
    </xf>
    <xf numFmtId="0" fontId="20" fillId="7" borderId="0" xfId="0" applyFont="1" applyFill="1"/>
    <xf numFmtId="37" fontId="23" fillId="7" borderId="0" xfId="0" applyNumberFormat="1" applyFont="1" applyFill="1" applyBorder="1" applyAlignment="1">
      <alignment horizontal="centerContinuous"/>
    </xf>
    <xf numFmtId="0" fontId="32" fillId="7" borderId="0" xfId="0" applyFont="1" applyFill="1" applyAlignment="1">
      <alignment horizontal="left"/>
    </xf>
    <xf numFmtId="37" fontId="20" fillId="7" borderId="0" xfId="0" applyNumberFormat="1" applyFont="1" applyFill="1"/>
    <xf numFmtId="38" fontId="23" fillId="7" borderId="3" xfId="0" applyNumberFormat="1" applyFont="1" applyFill="1" applyBorder="1" applyAlignment="1">
      <alignment horizontal="centerContinuous"/>
    </xf>
    <xf numFmtId="37" fontId="23" fillId="7" borderId="3" xfId="0" applyNumberFormat="1" applyFont="1" applyFill="1" applyBorder="1" applyAlignment="1">
      <alignment horizontal="centerContinuous"/>
    </xf>
    <xf numFmtId="0" fontId="23" fillId="7" borderId="0" xfId="0" applyFont="1" applyFill="1" applyBorder="1" applyAlignment="1">
      <alignment horizontal="centerContinuous"/>
    </xf>
    <xf numFmtId="38" fontId="23" fillId="7" borderId="25" xfId="0" applyNumberFormat="1" applyFont="1" applyFill="1" applyBorder="1" applyAlignment="1">
      <alignment horizontal="centerContinuous"/>
    </xf>
    <xf numFmtId="38" fontId="23" fillId="7" borderId="25" xfId="0" applyNumberFormat="1" applyFont="1" applyFill="1" applyBorder="1" applyAlignment="1">
      <alignment horizontal="center"/>
    </xf>
    <xf numFmtId="0" fontId="23" fillId="7" borderId="25" xfId="0" applyFont="1" applyFill="1" applyBorder="1" applyAlignment="1">
      <alignment horizontal="centerContinuous"/>
    </xf>
    <xf numFmtId="0" fontId="23" fillId="0" borderId="0" xfId="0" applyFont="1"/>
    <xf numFmtId="38" fontId="22" fillId="7" borderId="0" xfId="0" applyNumberFormat="1" applyFont="1" applyFill="1"/>
    <xf numFmtId="0" fontId="23" fillId="7" borderId="0" xfId="0" applyFont="1" applyFill="1" applyAlignment="1">
      <alignment horizontal="right"/>
    </xf>
    <xf numFmtId="3" fontId="22" fillId="7" borderId="0" xfId="0" applyNumberFormat="1" applyFont="1" applyFill="1" applyAlignment="1">
      <alignment horizontal="center"/>
    </xf>
    <xf numFmtId="37" fontId="23" fillId="7" borderId="0" xfId="0" applyNumberFormat="1" applyFont="1" applyFill="1" applyAlignment="1">
      <alignment horizontal="right"/>
    </xf>
    <xf numFmtId="37" fontId="22" fillId="7" borderId="0" xfId="0" applyNumberFormat="1" applyFont="1" applyFill="1" applyAlignment="1">
      <alignment horizontal="center"/>
    </xf>
    <xf numFmtId="38" fontId="22" fillId="7" borderId="0" xfId="0" applyNumberFormat="1" applyFont="1" applyFill="1" applyBorder="1" applyAlignment="1">
      <alignment horizontal="center"/>
    </xf>
    <xf numFmtId="38" fontId="22" fillId="7" borderId="22" xfId="0" applyNumberFormat="1" applyFont="1" applyFill="1" applyBorder="1" applyAlignment="1">
      <alignment horizontal="center"/>
    </xf>
    <xf numFmtId="3" fontId="23" fillId="7" borderId="0" xfId="0" applyNumberFormat="1" applyFont="1" applyFill="1" applyAlignment="1">
      <alignment horizontal="right"/>
    </xf>
    <xf numFmtId="37" fontId="31" fillId="0" borderId="0" xfId="0" applyNumberFormat="1" applyFont="1" applyAlignment="1">
      <alignment horizontal="left"/>
    </xf>
    <xf numFmtId="37" fontId="28" fillId="0" borderId="0" xfId="0" applyNumberFormat="1" applyFont="1" applyAlignment="1">
      <alignment horizontal="left"/>
    </xf>
    <xf numFmtId="38" fontId="23" fillId="0" borderId="0" xfId="0" applyNumberFormat="1" applyFont="1" applyAlignment="1">
      <alignment horizontal="right"/>
    </xf>
    <xf numFmtId="0" fontId="22" fillId="0" borderId="0" xfId="0" applyFont="1" applyAlignment="1">
      <alignment horizontal="right"/>
    </xf>
    <xf numFmtId="38" fontId="23" fillId="0" borderId="0" xfId="0" applyNumberFormat="1" applyFont="1" applyBorder="1" applyAlignment="1">
      <alignment horizontal="right"/>
    </xf>
    <xf numFmtId="37" fontId="2" fillId="0" borderId="0" xfId="0" applyNumberFormat="1" applyFont="1" applyAlignment="1">
      <alignment horizontal="left"/>
    </xf>
    <xf numFmtId="37" fontId="4" fillId="0" borderId="0" xfId="0" applyNumberFormat="1" applyFont="1" applyAlignment="1">
      <alignment horizontal="left"/>
    </xf>
    <xf numFmtId="38" fontId="20" fillId="0" borderId="0" xfId="0" applyNumberFormat="1" applyFont="1" applyBorder="1" applyAlignment="1">
      <alignment horizontal="right"/>
    </xf>
    <xf numFmtId="37" fontId="7" fillId="0" borderId="0" xfId="0" applyNumberFormat="1" applyFont="1" applyAlignment="1">
      <alignment horizontal="center"/>
    </xf>
    <xf numFmtId="37" fontId="7" fillId="0" borderId="0" xfId="0" applyNumberFormat="1" applyFont="1"/>
    <xf numFmtId="37" fontId="20" fillId="0" borderId="0" xfId="0" applyNumberFormat="1" applyFont="1" applyAlignment="1">
      <alignment horizontal="left"/>
    </xf>
    <xf numFmtId="37" fontId="7" fillId="0" borderId="0" xfId="0" applyNumberFormat="1" applyFont="1" applyAlignment="1">
      <alignment horizontal="left"/>
    </xf>
    <xf numFmtId="37" fontId="7" fillId="0" borderId="0" xfId="0" applyNumberFormat="1" applyFont="1" applyBorder="1" applyAlignment="1"/>
    <xf numFmtId="37" fontId="7" fillId="0" borderId="0" xfId="0" applyNumberFormat="1" applyFont="1" applyBorder="1" applyAlignment="1">
      <alignment horizontal="right"/>
    </xf>
    <xf numFmtId="38" fontId="7" fillId="0" borderId="0" xfId="0" applyNumberFormat="1" applyFont="1" applyBorder="1" applyAlignment="1">
      <alignment horizontal="right"/>
    </xf>
    <xf numFmtId="0" fontId="22" fillId="0" borderId="0" xfId="0" applyFont="1" applyAlignment="1">
      <alignment horizontal="center"/>
    </xf>
    <xf numFmtId="38" fontId="7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38" fontId="9" fillId="0" borderId="0" xfId="0" applyNumberFormat="1" applyFont="1" applyAlignment="1">
      <alignment horizontal="center"/>
    </xf>
    <xf numFmtId="9" fontId="20" fillId="0" borderId="0" xfId="0" applyNumberFormat="1" applyFont="1" applyAlignment="1">
      <alignment horizontal="center"/>
    </xf>
    <xf numFmtId="0" fontId="20" fillId="0" borderId="3" xfId="0" applyFont="1" applyBorder="1" applyAlignment="1">
      <alignment horizontal="center"/>
    </xf>
    <xf numFmtId="38" fontId="20" fillId="0" borderId="3" xfId="0" applyNumberFormat="1" applyFont="1" applyBorder="1" applyAlignment="1">
      <alignment horizontal="center"/>
    </xf>
    <xf numFmtId="14" fontId="20" fillId="0" borderId="0" xfId="0" applyNumberFormat="1" applyFont="1"/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38" fontId="7" fillId="0" borderId="0" xfId="0" applyNumberFormat="1" applyFont="1" applyBorder="1" applyAlignment="1">
      <alignment horizontal="center"/>
    </xf>
    <xf numFmtId="38" fontId="20" fillId="0" borderId="1" xfId="0" applyNumberFormat="1" applyFont="1" applyBorder="1" applyAlignment="1">
      <alignment horizontal="center"/>
    </xf>
    <xf numFmtId="3" fontId="20" fillId="0" borderId="22" xfId="0" applyNumberFormat="1" applyFont="1" applyBorder="1" applyAlignment="1">
      <alignment horizontal="center"/>
    </xf>
    <xf numFmtId="38" fontId="20" fillId="0" borderId="22" xfId="0" applyNumberFormat="1" applyFont="1" applyBorder="1" applyAlignment="1">
      <alignment horizontal="center"/>
    </xf>
    <xf numFmtId="176" fontId="18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38" fontId="34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/>
    <xf numFmtId="37" fontId="4" fillId="0" borderId="0" xfId="0" applyNumberFormat="1" applyFont="1" applyFill="1" applyAlignment="1">
      <alignment horizontal="center"/>
    </xf>
    <xf numFmtId="37" fontId="4" fillId="0" borderId="0" xfId="0" applyNumberFormat="1" applyFont="1" applyFill="1"/>
    <xf numFmtId="174" fontId="2" fillId="0" borderId="0" xfId="0" applyNumberFormat="1" applyFont="1" applyFill="1" applyBorder="1" applyAlignment="1">
      <alignment horizontal="center"/>
    </xf>
    <xf numFmtId="1" fontId="4" fillId="5" borderId="0" xfId="0" applyNumberFormat="1" applyFont="1" applyFill="1" applyAlignment="1">
      <alignment horizontal="center"/>
    </xf>
    <xf numFmtId="1" fontId="9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38" fontId="4" fillId="5" borderId="0" xfId="0" applyNumberFormat="1" applyFont="1" applyFill="1" applyBorder="1" applyAlignment="1">
      <alignment horizontal="center"/>
    </xf>
    <xf numFmtId="38" fontId="4" fillId="5" borderId="1" xfId="0" applyNumberFormat="1" applyFont="1" applyFill="1" applyBorder="1" applyAlignment="1">
      <alignment horizontal="center"/>
    </xf>
    <xf numFmtId="38" fontId="2" fillId="5" borderId="5" xfId="0" applyNumberFormat="1" applyFont="1" applyFill="1" applyBorder="1" applyAlignment="1">
      <alignment horizontal="center"/>
    </xf>
    <xf numFmtId="38" fontId="2" fillId="5" borderId="4" xfId="0" applyNumberFormat="1" applyFont="1" applyFill="1" applyBorder="1" applyAlignment="1">
      <alignment horizontal="center"/>
    </xf>
    <xf numFmtId="1" fontId="4" fillId="5" borderId="11" xfId="0" applyNumberFormat="1" applyFont="1" applyFill="1" applyBorder="1" applyAlignment="1">
      <alignment horizontal="center"/>
    </xf>
    <xf numFmtId="1" fontId="2" fillId="5" borderId="0" xfId="0" applyNumberFormat="1" applyFont="1" applyFill="1" applyAlignment="1">
      <alignment horizontal="left"/>
    </xf>
    <xf numFmtId="174" fontId="18" fillId="0" borderId="0" xfId="0" applyNumberFormat="1" applyFont="1" applyAlignment="1">
      <alignment horizontal="center"/>
    </xf>
    <xf numFmtId="38" fontId="20" fillId="0" borderId="0" xfId="0" applyNumberFormat="1" applyFont="1"/>
    <xf numFmtId="38" fontId="20" fillId="2" borderId="0" xfId="0" applyNumberFormat="1" applyFont="1" applyFill="1" applyAlignment="1">
      <alignment horizontal="center"/>
    </xf>
    <xf numFmtId="38" fontId="20" fillId="5" borderId="0" xfId="0" applyNumberFormat="1" applyFont="1" applyFill="1" applyAlignment="1">
      <alignment horizontal="center"/>
    </xf>
    <xf numFmtId="38" fontId="20" fillId="6" borderId="0" xfId="0" applyNumberFormat="1" applyFont="1" applyFill="1" applyAlignment="1">
      <alignment horizontal="center"/>
    </xf>
    <xf numFmtId="38" fontId="20" fillId="3" borderId="0" xfId="0" applyNumberFormat="1" applyFont="1" applyFill="1" applyAlignment="1">
      <alignment horizontal="center"/>
    </xf>
    <xf numFmtId="174" fontId="2" fillId="0" borderId="0" xfId="0" applyNumberFormat="1" applyFont="1" applyAlignment="1">
      <alignment horizontal="center"/>
    </xf>
    <xf numFmtId="38" fontId="20" fillId="8" borderId="0" xfId="0" applyNumberFormat="1" applyFont="1" applyFill="1" applyAlignment="1">
      <alignment horizontal="center"/>
    </xf>
    <xf numFmtId="38" fontId="7" fillId="8" borderId="0" xfId="0" applyNumberFormat="1" applyFont="1" applyFill="1"/>
    <xf numFmtId="38" fontId="20" fillId="8" borderId="22" xfId="0" applyNumberFormat="1" applyFont="1" applyFill="1" applyBorder="1"/>
    <xf numFmtId="0" fontId="7" fillId="9" borderId="0" xfId="0" applyFont="1" applyFill="1"/>
    <xf numFmtId="38" fontId="20" fillId="0" borderId="0" xfId="0" applyNumberFormat="1" applyFont="1" applyBorder="1" applyAlignment="1">
      <alignment horizontal="center"/>
    </xf>
    <xf numFmtId="37" fontId="20" fillId="0" borderId="0" xfId="0" applyNumberFormat="1" applyFont="1"/>
    <xf numFmtId="0" fontId="23" fillId="10" borderId="0" xfId="0" applyNumberFormat="1" applyFont="1" applyFill="1" applyAlignment="1">
      <alignment horizontal="left"/>
    </xf>
    <xf numFmtId="37" fontId="22" fillId="10" borderId="0" xfId="0" applyNumberFormat="1" applyFont="1" applyFill="1"/>
    <xf numFmtId="1" fontId="23" fillId="10" borderId="0" xfId="0" applyNumberFormat="1" applyFont="1" applyFill="1" applyAlignment="1">
      <alignment horizontal="left"/>
    </xf>
    <xf numFmtId="38" fontId="22" fillId="10" borderId="0" xfId="0" applyNumberFormat="1" applyFont="1" applyFill="1" applyBorder="1" applyAlignment="1">
      <alignment horizontal="center"/>
    </xf>
    <xf numFmtId="15" fontId="22" fillId="10" borderId="0" xfId="0" applyNumberFormat="1" applyFont="1" applyFill="1" applyAlignment="1">
      <alignment horizontal="center"/>
    </xf>
    <xf numFmtId="37" fontId="22" fillId="10" borderId="0" xfId="0" applyNumberFormat="1" applyFont="1" applyFill="1" applyAlignment="1">
      <alignment horizontal="center"/>
    </xf>
    <xf numFmtId="38" fontId="22" fillId="10" borderId="0" xfId="0" applyNumberFormat="1" applyFont="1" applyFill="1" applyAlignment="1">
      <alignment horizontal="center"/>
    </xf>
    <xf numFmtId="38" fontId="22" fillId="10" borderId="0" xfId="0" applyNumberFormat="1" applyFont="1" applyFill="1" applyAlignment="1">
      <alignment horizontal="right"/>
    </xf>
    <xf numFmtId="37" fontId="35" fillId="0" borderId="0" xfId="0" applyNumberFormat="1" applyFont="1" applyAlignment="1">
      <alignment horizontal="left"/>
    </xf>
    <xf numFmtId="0" fontId="35" fillId="0" borderId="0" xfId="0" applyFont="1" applyAlignment="1">
      <alignment horizontal="left"/>
    </xf>
    <xf numFmtId="37" fontId="36" fillId="7" borderId="3" xfId="0" applyNumberFormat="1" applyFont="1" applyFill="1" applyBorder="1" applyAlignment="1">
      <alignment horizontal="center"/>
    </xf>
    <xf numFmtId="1" fontId="20" fillId="0" borderId="0" xfId="0" applyNumberFormat="1" applyFont="1"/>
    <xf numFmtId="1" fontId="4" fillId="0" borderId="1" xfId="0" applyNumberFormat="1" applyFont="1" applyFill="1" applyBorder="1" applyAlignment="1">
      <alignment horizontal="center"/>
    </xf>
    <xf numFmtId="38" fontId="22" fillId="10" borderId="0" xfId="0" applyNumberFormat="1" applyFont="1" applyFill="1" applyBorder="1" applyAlignment="1">
      <alignment horizontal="right"/>
    </xf>
    <xf numFmtId="168" fontId="2" fillId="0" borderId="0" xfId="1" applyNumberFormat="1" applyFont="1" applyFill="1" applyBorder="1" applyAlignment="1">
      <alignment horizontal="center"/>
    </xf>
    <xf numFmtId="185" fontId="2" fillId="0" borderId="0" xfId="0" applyNumberFormat="1" applyFont="1" applyFill="1"/>
    <xf numFmtId="185" fontId="3" fillId="0" borderId="0" xfId="0" applyNumberFormat="1" applyFont="1" applyFill="1"/>
    <xf numFmtId="185" fontId="2" fillId="0" borderId="0" xfId="0" applyNumberFormat="1" applyFont="1" applyFill="1" applyAlignment="1">
      <alignment horizontal="center"/>
    </xf>
    <xf numFmtId="185" fontId="4" fillId="0" borderId="0" xfId="0" applyNumberFormat="1" applyFont="1" applyFill="1"/>
    <xf numFmtId="185" fontId="4" fillId="0" borderId="0" xfId="0" applyNumberFormat="1" applyFont="1" applyFill="1" applyAlignment="1">
      <alignment horizontal="center"/>
    </xf>
    <xf numFmtId="185" fontId="2" fillId="0" borderId="0" xfId="0" applyNumberFormat="1" applyFont="1" applyFill="1" applyBorder="1" applyAlignment="1">
      <alignment horizontal="center"/>
    </xf>
    <xf numFmtId="185" fontId="4" fillId="0" borderId="0" xfId="0" applyNumberFormat="1" applyFont="1" applyFill="1" applyBorder="1" applyAlignment="1">
      <alignment horizontal="center"/>
    </xf>
    <xf numFmtId="185" fontId="4" fillId="0" borderId="6" xfId="0" applyNumberFormat="1" applyFont="1" applyFill="1" applyBorder="1" applyAlignment="1">
      <alignment horizontal="center"/>
    </xf>
    <xf numFmtId="185" fontId="2" fillId="0" borderId="6" xfId="0" applyNumberFormat="1" applyFont="1" applyFill="1" applyBorder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Border="1"/>
    <xf numFmtId="0" fontId="9" fillId="0" borderId="0" xfId="0" applyFont="1" applyFill="1"/>
    <xf numFmtId="1" fontId="9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/>
    <xf numFmtId="0" fontId="9" fillId="0" borderId="0" xfId="0" applyNumberFormat="1" applyFont="1" applyFill="1"/>
    <xf numFmtId="49" fontId="9" fillId="0" borderId="0" xfId="0" applyNumberFormat="1" applyFont="1" applyFill="1"/>
    <xf numFmtId="0" fontId="9" fillId="0" borderId="0" xfId="1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1" fontId="20" fillId="0" borderId="0" xfId="0" applyNumberFormat="1" applyFont="1" applyAlignment="1">
      <alignment horizontal="left"/>
    </xf>
    <xf numFmtId="1" fontId="4" fillId="0" borderId="0" xfId="1" applyNumberFormat="1" applyFont="1" applyFill="1" applyAlignment="1">
      <alignment horizontal="center"/>
    </xf>
    <xf numFmtId="38" fontId="22" fillId="0" borderId="0" xfId="0" applyNumberFormat="1" applyFont="1" applyFill="1" applyBorder="1" applyAlignment="1">
      <alignment horizontal="right"/>
    </xf>
    <xf numFmtId="3" fontId="36" fillId="7" borderId="0" xfId="0" applyNumberFormat="1" applyFont="1" applyFill="1" applyAlignment="1">
      <alignment horizontal="left"/>
    </xf>
    <xf numFmtId="0" fontId="37" fillId="0" borderId="0" xfId="0" applyFont="1" applyFill="1"/>
    <xf numFmtId="0" fontId="14" fillId="0" borderId="26" xfId="0" applyFont="1" applyBorder="1" applyAlignment="1">
      <alignment horizontal="center" wrapText="1"/>
    </xf>
    <xf numFmtId="0" fontId="14" fillId="0" borderId="27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36" fillId="7" borderId="0" xfId="0" applyFont="1" applyFill="1" applyAlignment="1">
      <alignment horizontal="center"/>
    </xf>
    <xf numFmtId="173" fontId="18" fillId="0" borderId="0" xfId="0" applyNumberFormat="1" applyFont="1" applyAlignment="1">
      <alignment horizontal="center"/>
    </xf>
    <xf numFmtId="0" fontId="33" fillId="7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617220</xdr:colOff>
      <xdr:row>35</xdr:row>
      <xdr:rowOff>38100</xdr:rowOff>
    </xdr:from>
    <xdr:to>
      <xdr:col>17</xdr:col>
      <xdr:colOff>617220</xdr:colOff>
      <xdr:row>36</xdr:row>
      <xdr:rowOff>99060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4729460" y="688086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K50"/>
  <sheetViews>
    <sheetView zoomScale="90" workbookViewId="0">
      <pane xSplit="1" ySplit="5" topLeftCell="B6" activePane="bottomRight" state="frozen"/>
      <selection activeCell="BF14" sqref="BF14:BF15"/>
      <selection pane="topRight" activeCell="BF14" sqref="BF14:BF15"/>
      <selection pane="bottomLeft" activeCell="BF14" sqref="BF14:BF15"/>
      <selection pane="bottomRight" activeCell="C35" sqref="C35"/>
    </sheetView>
  </sheetViews>
  <sheetFormatPr defaultColWidth="9.33203125" defaultRowHeight="13.2" x14ac:dyDescent="0.25"/>
  <cols>
    <col min="1" max="1" width="16" style="17" customWidth="1"/>
    <col min="2" max="2" width="12.77734375" style="17" customWidth="1"/>
    <col min="3" max="3" width="22.109375" style="27" customWidth="1"/>
    <col min="4" max="5" width="16.109375" style="27" customWidth="1"/>
    <col min="6" max="6" width="17.77734375" style="27" customWidth="1"/>
    <col min="7" max="7" width="19.44140625" style="27" customWidth="1"/>
    <col min="8" max="10" width="16.109375" style="27" customWidth="1"/>
    <col min="11" max="11" width="19.6640625" style="27" customWidth="1"/>
    <col min="12" max="13" width="19.109375" style="27" customWidth="1"/>
    <col min="14" max="15" width="20.6640625" style="27" customWidth="1"/>
    <col min="16" max="16" width="18.109375" style="27" customWidth="1"/>
    <col min="17" max="20" width="16.109375" style="27" customWidth="1"/>
    <col min="21" max="22" width="17.77734375" style="27" customWidth="1"/>
    <col min="23" max="23" width="16.109375" style="27" customWidth="1"/>
    <col min="24" max="24" width="18.77734375" style="27" customWidth="1"/>
    <col min="25" max="42" width="16.109375" style="27" customWidth="1"/>
    <col min="43" max="43" width="15.109375" style="31" customWidth="1"/>
    <col min="44" max="44" width="21" style="17" customWidth="1"/>
    <col min="45" max="55" width="16.109375" style="27" customWidth="1"/>
    <col min="56" max="56" width="12.77734375" style="17" customWidth="1"/>
    <col min="57" max="57" width="12.77734375" style="1" customWidth="1"/>
    <col min="58" max="61" width="12.77734375" style="17" customWidth="1"/>
    <col min="62" max="16384" width="9.33203125" style="17"/>
  </cols>
  <sheetData>
    <row r="1" spans="1:63" s="413" customFormat="1" ht="17.399999999999999" x14ac:dyDescent="0.3">
      <c r="A1" s="412" t="s">
        <v>0</v>
      </c>
      <c r="C1" s="384">
        <f>+BaseloadMarkets!B1</f>
        <v>36678</v>
      </c>
      <c r="D1" s="414"/>
      <c r="E1" s="414"/>
      <c r="F1" s="414">
        <v>2.77</v>
      </c>
      <c r="G1" s="414" t="s">
        <v>206</v>
      </c>
      <c r="H1" s="414" t="s">
        <v>231</v>
      </c>
      <c r="I1" s="414">
        <v>0</v>
      </c>
      <c r="J1" s="414">
        <v>0</v>
      </c>
      <c r="K1" s="414">
        <v>0</v>
      </c>
      <c r="L1" s="414" t="s">
        <v>186</v>
      </c>
      <c r="M1" s="414" t="s">
        <v>242</v>
      </c>
      <c r="N1" s="414" t="s">
        <v>243</v>
      </c>
      <c r="O1" s="414" t="s">
        <v>244</v>
      </c>
      <c r="P1" s="414">
        <v>4.22</v>
      </c>
      <c r="Q1" s="414">
        <v>3.43</v>
      </c>
      <c r="R1" s="414">
        <v>4.03</v>
      </c>
      <c r="S1" s="414">
        <v>4.26</v>
      </c>
      <c r="T1" s="414">
        <v>4.28</v>
      </c>
      <c r="U1" s="414">
        <v>4.26</v>
      </c>
      <c r="V1" s="414" t="s">
        <v>185</v>
      </c>
      <c r="W1" s="414" t="s">
        <v>237</v>
      </c>
      <c r="X1" s="414" t="s">
        <v>237</v>
      </c>
      <c r="Y1" s="414" t="s">
        <v>244</v>
      </c>
      <c r="Z1" s="414" t="s">
        <v>244</v>
      </c>
      <c r="AA1" s="414">
        <v>4.17</v>
      </c>
      <c r="AB1" s="414">
        <v>4.3899999999999997</v>
      </c>
      <c r="AC1" s="414" t="s">
        <v>277</v>
      </c>
      <c r="AD1" s="414">
        <v>4.46</v>
      </c>
      <c r="AE1" s="414">
        <v>4.43</v>
      </c>
      <c r="AF1" s="414">
        <v>4.4000000000000004</v>
      </c>
      <c r="AG1" s="414" t="s">
        <v>284</v>
      </c>
      <c r="AH1" s="414">
        <v>4.5599999999999996</v>
      </c>
      <c r="AI1" s="414">
        <v>4.4400000000000004</v>
      </c>
      <c r="AJ1" s="414" t="s">
        <v>286</v>
      </c>
      <c r="AK1" s="414">
        <v>4.4550000000000001</v>
      </c>
      <c r="AL1" s="414" t="s">
        <v>284</v>
      </c>
      <c r="AM1" s="414">
        <v>4.4400000000000004</v>
      </c>
      <c r="AN1" s="414" t="s">
        <v>291</v>
      </c>
      <c r="AO1" s="414"/>
      <c r="AP1" s="414" t="s">
        <v>277</v>
      </c>
      <c r="AQ1" s="414">
        <v>4.8150000000000004</v>
      </c>
      <c r="AR1" s="414">
        <v>4.8949999999999996</v>
      </c>
      <c r="AS1" s="414">
        <v>4.7300000000000004</v>
      </c>
      <c r="AT1" s="414" t="s">
        <v>284</v>
      </c>
      <c r="AU1" s="414">
        <v>4.8</v>
      </c>
      <c r="AV1" s="414">
        <v>4.8</v>
      </c>
      <c r="AW1" s="414"/>
      <c r="AX1" s="414"/>
      <c r="AY1" s="414"/>
      <c r="AZ1" s="414" t="s">
        <v>306</v>
      </c>
      <c r="BA1" s="414" t="s">
        <v>306</v>
      </c>
      <c r="BB1" s="414"/>
      <c r="BC1" s="414"/>
    </row>
    <row r="2" spans="1:63" s="2" customFormat="1" x14ac:dyDescent="0.25">
      <c r="A2" s="4" t="s">
        <v>1</v>
      </c>
      <c r="B2" s="5"/>
      <c r="D2" s="2" t="s">
        <v>181</v>
      </c>
      <c r="E2" s="2" t="s">
        <v>2</v>
      </c>
      <c r="F2" s="2" t="s">
        <v>180</v>
      </c>
      <c r="G2" s="2" t="s">
        <v>226</v>
      </c>
      <c r="H2" s="2" t="s">
        <v>209</v>
      </c>
      <c r="I2" s="2" t="s">
        <v>240</v>
      </c>
      <c r="J2" s="2" t="s">
        <v>240</v>
      </c>
      <c r="K2" s="2" t="s">
        <v>240</v>
      </c>
      <c r="L2" s="2" t="s">
        <v>229</v>
      </c>
      <c r="M2" s="2" t="s">
        <v>218</v>
      </c>
      <c r="N2" s="2" t="s">
        <v>218</v>
      </c>
      <c r="O2" s="2" t="s">
        <v>220</v>
      </c>
      <c r="P2" s="2" t="s">
        <v>178</v>
      </c>
      <c r="Q2" s="2" t="s">
        <v>213</v>
      </c>
      <c r="R2" s="2" t="s">
        <v>213</v>
      </c>
      <c r="S2" s="2" t="s">
        <v>213</v>
      </c>
      <c r="T2" s="2" t="s">
        <v>213</v>
      </c>
      <c r="U2" s="2" t="s">
        <v>213</v>
      </c>
      <c r="V2" s="2" t="s">
        <v>210</v>
      </c>
      <c r="W2" s="2" t="s">
        <v>210</v>
      </c>
      <c r="X2" s="2" t="s">
        <v>179</v>
      </c>
      <c r="Y2" s="2" t="s">
        <v>214</v>
      </c>
      <c r="Z2" s="2" t="s">
        <v>245</v>
      </c>
      <c r="AA2" s="2" t="s">
        <v>179</v>
      </c>
      <c r="AB2" s="2" t="s">
        <v>181</v>
      </c>
      <c r="AC2" s="2" t="s">
        <v>212</v>
      </c>
      <c r="AD2" s="2" t="s">
        <v>276</v>
      </c>
      <c r="AE2" s="2" t="s">
        <v>113</v>
      </c>
      <c r="AF2" s="2" t="s">
        <v>275</v>
      </c>
      <c r="AG2" s="2" t="s">
        <v>283</v>
      </c>
      <c r="AH2" s="2" t="s">
        <v>275</v>
      </c>
      <c r="AI2" s="2" t="s">
        <v>285</v>
      </c>
      <c r="AJ2" s="2" t="s">
        <v>181</v>
      </c>
      <c r="AK2" s="2" t="s">
        <v>220</v>
      </c>
      <c r="AL2" s="2" t="s">
        <v>283</v>
      </c>
      <c r="AM2" s="2" t="s">
        <v>184</v>
      </c>
      <c r="AN2" s="2" t="s">
        <v>283</v>
      </c>
      <c r="AO2" s="2" t="s">
        <v>219</v>
      </c>
      <c r="AP2" s="2" t="s">
        <v>210</v>
      </c>
      <c r="AQ2" s="35" t="s">
        <v>296</v>
      </c>
      <c r="AR2" s="35" t="s">
        <v>296</v>
      </c>
      <c r="AS2" s="35" t="s">
        <v>296</v>
      </c>
      <c r="AT2" s="2" t="s">
        <v>283</v>
      </c>
      <c r="AU2" s="35" t="s">
        <v>113</v>
      </c>
      <c r="AV2" s="35" t="s">
        <v>299</v>
      </c>
      <c r="AW2" s="35" t="s">
        <v>304</v>
      </c>
      <c r="AX2" s="35" t="s">
        <v>304</v>
      </c>
      <c r="AY2" s="35" t="s">
        <v>214</v>
      </c>
      <c r="AZ2" s="35" t="s">
        <v>209</v>
      </c>
      <c r="BA2" s="35" t="s">
        <v>212</v>
      </c>
      <c r="BB2" s="35" t="s">
        <v>313</v>
      </c>
      <c r="BC2" s="2" t="s">
        <v>210</v>
      </c>
      <c r="BD2" s="6"/>
      <c r="BE2" s="2" t="s">
        <v>4</v>
      </c>
      <c r="BF2" s="2" t="s">
        <v>4</v>
      </c>
      <c r="BG2" s="2" t="s">
        <v>4</v>
      </c>
      <c r="BH2" s="2" t="s">
        <v>4</v>
      </c>
      <c r="BI2" s="2" t="s">
        <v>4</v>
      </c>
      <c r="BJ2" s="2" t="s">
        <v>4</v>
      </c>
      <c r="BK2" s="2" t="s">
        <v>4</v>
      </c>
    </row>
    <row r="3" spans="1:63" s="2" customFormat="1" x14ac:dyDescent="0.25">
      <c r="A3" s="4" t="s">
        <v>5</v>
      </c>
      <c r="B3" s="5" t="s">
        <v>6</v>
      </c>
      <c r="C3" s="7" t="s">
        <v>6</v>
      </c>
      <c r="D3" s="2" t="s">
        <v>7</v>
      </c>
      <c r="E3" s="2" t="s">
        <v>177</v>
      </c>
      <c r="F3" s="2" t="s">
        <v>203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AM3" s="411"/>
      <c r="AN3" s="411"/>
      <c r="AO3" s="411"/>
      <c r="AQ3" s="35"/>
      <c r="AR3" s="35"/>
      <c r="AS3" s="35"/>
      <c r="AU3" s="35"/>
      <c r="AV3" s="35"/>
      <c r="AW3" s="35"/>
      <c r="AX3" s="35"/>
      <c r="AY3" s="35"/>
      <c r="AZ3" s="35"/>
      <c r="BA3" s="35"/>
      <c r="BB3" s="35">
        <v>1005</v>
      </c>
      <c r="BC3" s="2" t="s">
        <v>4</v>
      </c>
    </row>
    <row r="4" spans="1:63" s="1" customFormat="1" x14ac:dyDescent="0.25">
      <c r="A4" s="4" t="s">
        <v>8</v>
      </c>
      <c r="B4" s="5"/>
      <c r="C4" s="7"/>
      <c r="D4" s="2">
        <v>107872</v>
      </c>
      <c r="E4" s="2">
        <v>111826</v>
      </c>
      <c r="F4" s="2">
        <v>215110</v>
      </c>
      <c r="G4" s="2">
        <v>279684</v>
      </c>
      <c r="H4" s="2">
        <v>269855</v>
      </c>
      <c r="I4" s="2">
        <v>170289</v>
      </c>
      <c r="J4" s="2">
        <v>204411</v>
      </c>
      <c r="K4" s="2">
        <v>205318</v>
      </c>
      <c r="L4" s="2">
        <v>268762</v>
      </c>
      <c r="M4" s="2">
        <v>271060</v>
      </c>
      <c r="N4" s="2">
        <v>278020</v>
      </c>
      <c r="O4" s="2">
        <v>272618</v>
      </c>
      <c r="P4" s="2">
        <v>278361</v>
      </c>
      <c r="Q4" s="2">
        <v>269889</v>
      </c>
      <c r="R4" s="2">
        <v>278007</v>
      </c>
      <c r="S4" s="2">
        <v>279749</v>
      </c>
      <c r="T4" s="2">
        <v>279761</v>
      </c>
      <c r="U4" s="2">
        <v>280302</v>
      </c>
      <c r="V4" s="2">
        <v>271858</v>
      </c>
      <c r="W4" s="2">
        <v>278132</v>
      </c>
      <c r="X4" s="2">
        <v>275542</v>
      </c>
      <c r="Y4" s="2">
        <v>272623</v>
      </c>
      <c r="Z4" s="2">
        <v>278352</v>
      </c>
      <c r="AA4" s="2" t="s">
        <v>295</v>
      </c>
      <c r="AB4" s="2">
        <v>288777</v>
      </c>
      <c r="AC4" s="2"/>
      <c r="AD4" s="2">
        <v>288588</v>
      </c>
      <c r="AE4" s="2">
        <v>288238</v>
      </c>
      <c r="AF4" s="2">
        <v>287351</v>
      </c>
      <c r="AG4" s="2">
        <v>290090</v>
      </c>
      <c r="AH4" s="2">
        <v>290220</v>
      </c>
      <c r="AI4" s="2">
        <v>291208</v>
      </c>
      <c r="AJ4" s="2">
        <v>291710</v>
      </c>
      <c r="AK4" s="2">
        <v>291633</v>
      </c>
      <c r="AL4" s="2">
        <v>293480</v>
      </c>
      <c r="AM4" s="2">
        <v>294469</v>
      </c>
      <c r="AN4" s="2">
        <v>293824</v>
      </c>
      <c r="AO4" s="2">
        <v>291671</v>
      </c>
      <c r="AP4" s="2">
        <v>295837</v>
      </c>
      <c r="AQ4" s="35">
        <v>295623</v>
      </c>
      <c r="AR4" s="35">
        <v>295718</v>
      </c>
      <c r="AS4" s="35">
        <v>295507</v>
      </c>
      <c r="AT4" s="2"/>
      <c r="AU4" s="35"/>
      <c r="AV4" s="35"/>
      <c r="AW4" s="35"/>
      <c r="AX4" s="35"/>
      <c r="AY4" s="35"/>
      <c r="AZ4" s="35"/>
      <c r="BA4" s="35"/>
      <c r="BB4" s="35">
        <v>294479</v>
      </c>
      <c r="BC4" s="2">
        <v>293292</v>
      </c>
      <c r="BD4" s="2" t="s">
        <v>10</v>
      </c>
    </row>
    <row r="5" spans="1:63" s="9" customFormat="1" x14ac:dyDescent="0.25">
      <c r="A5" s="8" t="s">
        <v>11</v>
      </c>
      <c r="B5" s="9" t="s">
        <v>12</v>
      </c>
      <c r="C5" s="10" t="s">
        <v>13</v>
      </c>
      <c r="D5" s="10" t="s">
        <v>182</v>
      </c>
      <c r="E5" s="10" t="s">
        <v>15</v>
      </c>
      <c r="F5" s="10" t="s">
        <v>13</v>
      </c>
      <c r="G5" s="10" t="s">
        <v>183</v>
      </c>
      <c r="H5" s="10" t="s">
        <v>15</v>
      </c>
      <c r="I5" s="10" t="s">
        <v>16</v>
      </c>
      <c r="J5" s="10" t="s">
        <v>16</v>
      </c>
      <c r="K5" s="10" t="s">
        <v>16</v>
      </c>
      <c r="L5" s="10" t="s">
        <v>241</v>
      </c>
      <c r="M5" s="10" t="s">
        <v>241</v>
      </c>
      <c r="N5" s="10" t="s">
        <v>241</v>
      </c>
      <c r="O5" s="10" t="s">
        <v>15</v>
      </c>
      <c r="P5" s="10" t="s">
        <v>15</v>
      </c>
      <c r="Q5" s="10" t="s">
        <v>14</v>
      </c>
      <c r="R5" s="10" t="s">
        <v>15</v>
      </c>
      <c r="S5" s="10" t="s">
        <v>183</v>
      </c>
      <c r="T5" s="10" t="s">
        <v>15</v>
      </c>
      <c r="U5" s="10" t="s">
        <v>183</v>
      </c>
      <c r="V5" s="10" t="s">
        <v>15</v>
      </c>
      <c r="W5" s="10" t="s">
        <v>183</v>
      </c>
      <c r="X5" s="10" t="s">
        <v>15</v>
      </c>
      <c r="Y5" s="10" t="s">
        <v>14</v>
      </c>
      <c r="Z5" s="10" t="s">
        <v>182</v>
      </c>
      <c r="AA5" s="10" t="s">
        <v>265</v>
      </c>
      <c r="AB5" s="10" t="s">
        <v>16</v>
      </c>
      <c r="AC5" s="10" t="s">
        <v>278</v>
      </c>
      <c r="AD5" s="10" t="s">
        <v>15</v>
      </c>
      <c r="AE5" s="10" t="s">
        <v>279</v>
      </c>
      <c r="AF5" s="10" t="s">
        <v>182</v>
      </c>
      <c r="AG5" s="10" t="s">
        <v>16</v>
      </c>
      <c r="AH5" s="10" t="s">
        <v>16</v>
      </c>
      <c r="AI5" s="10" t="s">
        <v>280</v>
      </c>
      <c r="AJ5" s="10" t="s">
        <v>287</v>
      </c>
      <c r="AK5" s="10" t="s">
        <v>287</v>
      </c>
      <c r="AL5" s="10" t="s">
        <v>16</v>
      </c>
      <c r="AM5" s="10" t="s">
        <v>265</v>
      </c>
      <c r="AN5" s="10" t="s">
        <v>16</v>
      </c>
      <c r="AO5" s="10" t="s">
        <v>309</v>
      </c>
      <c r="AP5" s="10" t="s">
        <v>311</v>
      </c>
      <c r="AQ5" s="57" t="s">
        <v>268</v>
      </c>
      <c r="AR5" s="57" t="s">
        <v>268</v>
      </c>
      <c r="AS5" s="57" t="s">
        <v>268</v>
      </c>
      <c r="AT5" s="10" t="s">
        <v>16</v>
      </c>
      <c r="AU5" s="57" t="s">
        <v>308</v>
      </c>
      <c r="AV5" s="57" t="s">
        <v>182</v>
      </c>
      <c r="AW5" s="57" t="s">
        <v>265</v>
      </c>
      <c r="AX5" s="57" t="s">
        <v>16</v>
      </c>
      <c r="AY5" s="57" t="s">
        <v>280</v>
      </c>
      <c r="AZ5" s="57" t="s">
        <v>307</v>
      </c>
      <c r="BA5" s="57" t="s">
        <v>310</v>
      </c>
      <c r="BB5" s="57" t="s">
        <v>314</v>
      </c>
      <c r="BC5" s="10" t="s">
        <v>16</v>
      </c>
      <c r="BD5" s="9" t="s">
        <v>0</v>
      </c>
    </row>
    <row r="6" spans="1:63" x14ac:dyDescent="0.25">
      <c r="A6" s="11">
        <f>+BaseloadMarkets!A6</f>
        <v>36678</v>
      </c>
      <c r="B6" s="12">
        <v>3983</v>
      </c>
      <c r="C6" s="12">
        <v>22995</v>
      </c>
      <c r="D6" s="12">
        <f>27899+2101</f>
        <v>30000</v>
      </c>
      <c r="E6" s="12">
        <v>4178</v>
      </c>
      <c r="F6" s="12">
        <v>1000</v>
      </c>
      <c r="G6" s="12">
        <v>4999</v>
      </c>
      <c r="H6" s="12">
        <v>10000</v>
      </c>
      <c r="I6" s="12">
        <v>10000</v>
      </c>
      <c r="J6" s="12">
        <v>3333</v>
      </c>
      <c r="K6" s="12">
        <v>1333</v>
      </c>
      <c r="L6" s="12">
        <v>14999</v>
      </c>
      <c r="M6" s="12">
        <v>5000</v>
      </c>
      <c r="N6" s="12">
        <v>5000</v>
      </c>
      <c r="O6" s="12">
        <v>10000</v>
      </c>
      <c r="P6" s="12">
        <v>10000</v>
      </c>
      <c r="Q6" s="12">
        <v>5000</v>
      </c>
      <c r="R6" s="12">
        <v>10000</v>
      </c>
      <c r="S6" s="12">
        <v>50000</v>
      </c>
      <c r="T6" s="12">
        <v>10000</v>
      </c>
      <c r="U6" s="12">
        <v>36136</v>
      </c>
      <c r="V6" s="12">
        <v>5000</v>
      </c>
      <c r="W6" s="12">
        <v>10000</v>
      </c>
      <c r="X6" s="12">
        <v>10000</v>
      </c>
      <c r="Y6" s="12">
        <v>10000</v>
      </c>
      <c r="Z6" s="12">
        <v>3600</v>
      </c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68"/>
      <c r="AR6" s="68"/>
      <c r="AS6" s="68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3">
        <f t="shared" ref="BD6:BD34" si="0">SUM(B6:BC6)</f>
        <v>286556</v>
      </c>
      <c r="BE6" s="14">
        <f>A6</f>
        <v>36678</v>
      </c>
      <c r="BF6" s="15"/>
      <c r="BG6" s="15"/>
      <c r="BH6" s="16"/>
      <c r="BI6" s="16"/>
    </row>
    <row r="7" spans="1:63" x14ac:dyDescent="0.25">
      <c r="A7" s="11">
        <f>+BaseloadMarkets!A7</f>
        <v>36679</v>
      </c>
      <c r="B7" s="12">
        <v>3983</v>
      </c>
      <c r="C7" s="12">
        <f>5309+10000</f>
        <v>15309</v>
      </c>
      <c r="D7" s="12">
        <v>30000</v>
      </c>
      <c r="E7" s="12">
        <v>4178</v>
      </c>
      <c r="F7" s="12">
        <v>1000</v>
      </c>
      <c r="G7" s="12">
        <v>4972</v>
      </c>
      <c r="H7" s="12">
        <v>10000</v>
      </c>
      <c r="I7" s="12">
        <v>10000</v>
      </c>
      <c r="J7" s="12">
        <v>3333</v>
      </c>
      <c r="K7" s="12">
        <v>1333</v>
      </c>
      <c r="L7" s="12">
        <v>14999</v>
      </c>
      <c r="M7" s="12">
        <v>5000</v>
      </c>
      <c r="N7" s="12">
        <v>5000</v>
      </c>
      <c r="O7" s="12">
        <v>10000</v>
      </c>
      <c r="P7" s="12">
        <v>10000</v>
      </c>
      <c r="Q7" s="12">
        <v>5000</v>
      </c>
      <c r="R7" s="12">
        <v>10000</v>
      </c>
      <c r="S7" s="12">
        <v>50000</v>
      </c>
      <c r="T7" s="12">
        <v>10000</v>
      </c>
      <c r="U7" s="12">
        <v>39175</v>
      </c>
      <c r="V7" s="12">
        <v>5000</v>
      </c>
      <c r="W7" s="12">
        <v>10000</v>
      </c>
      <c r="X7" s="12">
        <v>10000</v>
      </c>
      <c r="Y7" s="12">
        <v>10000</v>
      </c>
      <c r="Z7" s="12">
        <v>3600</v>
      </c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68"/>
      <c r="AR7" s="68"/>
      <c r="AS7" s="68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3">
        <f t="shared" si="0"/>
        <v>281882</v>
      </c>
      <c r="BE7" s="14">
        <f t="shared" ref="BE7:BE34" si="1">BE6+1</f>
        <v>36679</v>
      </c>
      <c r="BF7" s="15"/>
      <c r="BG7" s="15"/>
      <c r="BH7" s="16"/>
      <c r="BI7" s="16"/>
    </row>
    <row r="8" spans="1:63" x14ac:dyDescent="0.25">
      <c r="A8" s="11">
        <f>+BaseloadMarkets!A8</f>
        <v>36680</v>
      </c>
      <c r="B8" s="12">
        <v>3983</v>
      </c>
      <c r="C8" s="12">
        <v>9555</v>
      </c>
      <c r="D8" s="12">
        <v>0</v>
      </c>
      <c r="E8" s="12">
        <v>4178</v>
      </c>
      <c r="F8" s="12">
        <v>1000</v>
      </c>
      <c r="G8" s="12">
        <v>4233</v>
      </c>
      <c r="H8" s="12">
        <v>10000</v>
      </c>
      <c r="I8" s="12">
        <v>10000</v>
      </c>
      <c r="J8" s="12">
        <v>3333</v>
      </c>
      <c r="K8" s="12">
        <v>1333</v>
      </c>
      <c r="L8" s="12">
        <v>14998</v>
      </c>
      <c r="M8" s="12">
        <v>5000</v>
      </c>
      <c r="N8" s="12">
        <v>5000</v>
      </c>
      <c r="O8" s="12">
        <v>10000</v>
      </c>
      <c r="P8" s="12">
        <v>10000</v>
      </c>
      <c r="Q8" s="12">
        <v>5000</v>
      </c>
      <c r="R8" s="12">
        <v>10000</v>
      </c>
      <c r="S8" s="12">
        <v>50000</v>
      </c>
      <c r="T8" s="12">
        <v>10000</v>
      </c>
      <c r="U8" s="12">
        <f>22000+6000+4000+5000+9490</f>
        <v>46490</v>
      </c>
      <c r="V8" s="12">
        <v>5000</v>
      </c>
      <c r="W8" s="12">
        <v>10000</v>
      </c>
      <c r="X8" s="12">
        <v>10000</v>
      </c>
      <c r="Y8" s="12">
        <v>10000</v>
      </c>
      <c r="Z8" s="12">
        <v>3600</v>
      </c>
      <c r="AA8" s="12">
        <v>1953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68"/>
      <c r="AR8" s="68"/>
      <c r="AS8" s="68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3">
        <f t="shared" si="0"/>
        <v>254656</v>
      </c>
      <c r="BE8" s="14">
        <f t="shared" si="1"/>
        <v>36680</v>
      </c>
      <c r="BF8" s="15"/>
      <c r="BG8" s="15"/>
      <c r="BH8" s="16"/>
      <c r="BI8" s="16"/>
    </row>
    <row r="9" spans="1:63" x14ac:dyDescent="0.25">
      <c r="A9" s="11">
        <f>+BaseloadMarkets!A9</f>
        <v>36681</v>
      </c>
      <c r="B9" s="12">
        <v>3983</v>
      </c>
      <c r="C9" s="12"/>
      <c r="D9" s="12">
        <v>0</v>
      </c>
      <c r="E9" s="12">
        <v>4178</v>
      </c>
      <c r="F9" s="12">
        <v>1000</v>
      </c>
      <c r="G9" s="12">
        <v>4135</v>
      </c>
      <c r="H9" s="12">
        <v>10000</v>
      </c>
      <c r="I9" s="12">
        <v>10000</v>
      </c>
      <c r="J9" s="12">
        <v>3333</v>
      </c>
      <c r="K9" s="12">
        <v>1333</v>
      </c>
      <c r="L9" s="12">
        <v>14989</v>
      </c>
      <c r="M9" s="12">
        <v>5000</v>
      </c>
      <c r="N9" s="12">
        <v>5000</v>
      </c>
      <c r="O9" s="12">
        <v>10000</v>
      </c>
      <c r="P9" s="12">
        <v>10000</v>
      </c>
      <c r="Q9" s="12">
        <v>5000</v>
      </c>
      <c r="R9" s="12">
        <v>10000</v>
      </c>
      <c r="S9" s="12">
        <v>50000</v>
      </c>
      <c r="T9" s="12">
        <v>10000</v>
      </c>
      <c r="U9" s="12">
        <f>50000-35000+25398</f>
        <v>40398</v>
      </c>
      <c r="V9" s="12">
        <v>5000</v>
      </c>
      <c r="W9" s="12">
        <v>10000</v>
      </c>
      <c r="X9" s="12">
        <v>10000</v>
      </c>
      <c r="Y9" s="12">
        <v>10000</v>
      </c>
      <c r="Z9" s="12">
        <v>3600</v>
      </c>
      <c r="AA9" s="12">
        <v>1709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68"/>
      <c r="AR9" s="68"/>
      <c r="AS9" s="68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3">
        <f t="shared" si="0"/>
        <v>238658</v>
      </c>
      <c r="BE9" s="14">
        <f t="shared" si="1"/>
        <v>36681</v>
      </c>
      <c r="BF9" s="15"/>
      <c r="BG9" s="15"/>
      <c r="BH9" s="16"/>
      <c r="BI9" s="16"/>
    </row>
    <row r="10" spans="1:63" x14ac:dyDescent="0.25">
      <c r="A10" s="11">
        <f>+BaseloadMarkets!A10</f>
        <v>36682</v>
      </c>
      <c r="B10" s="12">
        <v>3983</v>
      </c>
      <c r="C10" s="12"/>
      <c r="D10" s="12">
        <v>30000</v>
      </c>
      <c r="E10" s="12">
        <v>4178</v>
      </c>
      <c r="F10" s="12">
        <v>1000</v>
      </c>
      <c r="G10" s="12">
        <f>554+4278</f>
        <v>4832</v>
      </c>
      <c r="H10" s="12">
        <v>10000</v>
      </c>
      <c r="I10" s="12">
        <v>10000</v>
      </c>
      <c r="J10" s="12">
        <v>3333</v>
      </c>
      <c r="K10" s="12">
        <v>1333</v>
      </c>
      <c r="L10" s="12">
        <v>15000</v>
      </c>
      <c r="M10" s="12">
        <v>5000</v>
      </c>
      <c r="N10" s="12">
        <v>5000</v>
      </c>
      <c r="O10" s="12">
        <v>10000</v>
      </c>
      <c r="P10" s="12">
        <v>10000</v>
      </c>
      <c r="Q10" s="12">
        <v>5000</v>
      </c>
      <c r="R10" s="12">
        <v>10000</v>
      </c>
      <c r="S10" s="12">
        <v>50000</v>
      </c>
      <c r="T10" s="12">
        <v>10000</v>
      </c>
      <c r="U10" s="12">
        <f>50000-35000+30997</f>
        <v>45997</v>
      </c>
      <c r="V10" s="12">
        <v>5000</v>
      </c>
      <c r="W10" s="12">
        <v>10000</v>
      </c>
      <c r="X10" s="12">
        <v>10000</v>
      </c>
      <c r="Y10" s="12">
        <v>10000</v>
      </c>
      <c r="Z10" s="12">
        <v>3600</v>
      </c>
      <c r="AA10" s="12">
        <v>1974</v>
      </c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68"/>
      <c r="AR10" s="68"/>
      <c r="AS10" s="68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3">
        <f t="shared" si="0"/>
        <v>275230</v>
      </c>
      <c r="BE10" s="14">
        <f t="shared" si="1"/>
        <v>36682</v>
      </c>
      <c r="BF10" s="15"/>
      <c r="BG10" s="15"/>
      <c r="BH10" s="16"/>
      <c r="BI10" s="16"/>
    </row>
    <row r="11" spans="1:63" x14ac:dyDescent="0.25">
      <c r="A11" s="11">
        <f>+BaseloadMarkets!A11</f>
        <v>36683</v>
      </c>
      <c r="B11" s="12">
        <v>3983</v>
      </c>
      <c r="C11" s="12"/>
      <c r="D11" s="12">
        <v>30000</v>
      </c>
      <c r="E11" s="12">
        <v>4178</v>
      </c>
      <c r="F11" s="12">
        <v>1000</v>
      </c>
      <c r="G11" s="12">
        <v>4174</v>
      </c>
      <c r="H11" s="12">
        <v>10000</v>
      </c>
      <c r="I11" s="12">
        <v>10000</v>
      </c>
      <c r="J11" s="12">
        <v>3333</v>
      </c>
      <c r="K11" s="12">
        <v>1333</v>
      </c>
      <c r="L11" s="12">
        <v>14752</v>
      </c>
      <c r="M11" s="12">
        <v>5000</v>
      </c>
      <c r="N11" s="12">
        <v>5000</v>
      </c>
      <c r="O11" s="12">
        <v>10000</v>
      </c>
      <c r="P11" s="12">
        <v>10000</v>
      </c>
      <c r="Q11" s="12">
        <v>4143</v>
      </c>
      <c r="R11" s="12">
        <v>10000</v>
      </c>
      <c r="S11" s="12">
        <v>50000</v>
      </c>
      <c r="T11" s="12">
        <v>10000</v>
      </c>
      <c r="U11" s="12">
        <f>50000-35000+31049</f>
        <v>46049</v>
      </c>
      <c r="V11" s="12">
        <v>5000</v>
      </c>
      <c r="W11" s="12">
        <v>10000</v>
      </c>
      <c r="X11" s="12">
        <v>10000</v>
      </c>
      <c r="Y11" s="12">
        <v>10000</v>
      </c>
      <c r="Z11" s="12">
        <v>3600</v>
      </c>
      <c r="AA11" s="12">
        <v>5065</v>
      </c>
      <c r="AB11" s="12">
        <v>5000</v>
      </c>
      <c r="AC11" s="12">
        <f>10000+23413</f>
        <v>33413</v>
      </c>
      <c r="AD11" s="12">
        <v>10000</v>
      </c>
      <c r="AE11" s="12">
        <v>232</v>
      </c>
      <c r="AF11" s="12">
        <v>1400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68"/>
      <c r="AR11" s="68"/>
      <c r="AS11" s="68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3">
        <f t="shared" si="0"/>
        <v>326655</v>
      </c>
      <c r="BE11" s="14">
        <f t="shared" si="1"/>
        <v>36683</v>
      </c>
      <c r="BF11" s="15"/>
      <c r="BG11" s="15"/>
      <c r="BH11" s="16"/>
      <c r="BI11" s="16"/>
    </row>
    <row r="12" spans="1:63" x14ac:dyDescent="0.25">
      <c r="A12" s="11">
        <f>+BaseloadMarkets!A12</f>
        <v>36684</v>
      </c>
      <c r="B12" s="12">
        <v>3984</v>
      </c>
      <c r="C12" s="12"/>
      <c r="D12" s="12">
        <v>10000</v>
      </c>
      <c r="E12" s="12">
        <v>4178</v>
      </c>
      <c r="F12" s="12">
        <v>1000</v>
      </c>
      <c r="G12" s="12">
        <v>4248</v>
      </c>
      <c r="H12" s="12">
        <v>5400</v>
      </c>
      <c r="I12" s="12">
        <v>10000</v>
      </c>
      <c r="J12" s="12">
        <v>3333</v>
      </c>
      <c r="K12" s="12">
        <v>1333</v>
      </c>
      <c r="L12" s="12">
        <v>11213</v>
      </c>
      <c r="M12" s="12">
        <v>5000</v>
      </c>
      <c r="N12" s="12">
        <v>5000</v>
      </c>
      <c r="O12" s="12">
        <v>10000</v>
      </c>
      <c r="P12" s="12">
        <v>10000</v>
      </c>
      <c r="Q12" s="12">
        <v>5000</v>
      </c>
      <c r="R12" s="12">
        <v>10000</v>
      </c>
      <c r="S12" s="12">
        <v>50000</v>
      </c>
      <c r="T12" s="12">
        <v>10000</v>
      </c>
      <c r="U12" s="12">
        <f>50000-35000+8998</f>
        <v>23998</v>
      </c>
      <c r="V12" s="12">
        <v>5000</v>
      </c>
      <c r="W12" s="12">
        <v>10000</v>
      </c>
      <c r="X12" s="12">
        <v>5926</v>
      </c>
      <c r="Y12" s="12">
        <v>10000</v>
      </c>
      <c r="Z12" s="12">
        <v>3600</v>
      </c>
      <c r="AA12" s="12">
        <v>6778</v>
      </c>
      <c r="AB12" s="12">
        <v>5000</v>
      </c>
      <c r="AC12" s="12"/>
      <c r="AD12" s="12">
        <f>939+1730</f>
        <v>2669</v>
      </c>
      <c r="AE12" s="12"/>
      <c r="AF12" s="12">
        <v>1400</v>
      </c>
      <c r="AG12" s="12">
        <v>12917</v>
      </c>
      <c r="AH12" s="12">
        <v>10000</v>
      </c>
      <c r="AI12" s="12"/>
      <c r="AJ12" s="12"/>
      <c r="AK12" s="12"/>
      <c r="AL12" s="12"/>
      <c r="AM12" s="12"/>
      <c r="AN12" s="12"/>
      <c r="AO12" s="12"/>
      <c r="AP12" s="12"/>
      <c r="AQ12" s="68"/>
      <c r="AR12" s="68"/>
      <c r="AS12" s="68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3">
        <f t="shared" si="0"/>
        <v>256977</v>
      </c>
      <c r="BE12" s="14">
        <f t="shared" si="1"/>
        <v>36684</v>
      </c>
      <c r="BF12" s="15"/>
      <c r="BG12" s="15"/>
      <c r="BH12" s="16"/>
      <c r="BI12" s="16"/>
    </row>
    <row r="13" spans="1:63" x14ac:dyDescent="0.25">
      <c r="A13" s="11">
        <f>+BaseloadMarkets!A13</f>
        <v>36685</v>
      </c>
      <c r="B13" s="12">
        <v>3984</v>
      </c>
      <c r="C13" s="12">
        <v>8484</v>
      </c>
      <c r="D13" s="12">
        <v>30000</v>
      </c>
      <c r="E13" s="12">
        <v>4178</v>
      </c>
      <c r="F13" s="12">
        <v>1000</v>
      </c>
      <c r="G13" s="12">
        <v>4319</v>
      </c>
      <c r="H13" s="12">
        <v>10000</v>
      </c>
      <c r="I13" s="12">
        <v>10000</v>
      </c>
      <c r="J13" s="12">
        <v>3333</v>
      </c>
      <c r="K13" s="12">
        <v>1333</v>
      </c>
      <c r="L13" s="12">
        <v>14639</v>
      </c>
      <c r="M13" s="12">
        <v>5000</v>
      </c>
      <c r="N13" s="12">
        <v>5000</v>
      </c>
      <c r="O13" s="12">
        <v>10000</v>
      </c>
      <c r="P13" s="12">
        <v>10000</v>
      </c>
      <c r="Q13" s="12">
        <v>5000</v>
      </c>
      <c r="R13" s="12">
        <v>10000</v>
      </c>
      <c r="S13" s="12">
        <v>50000</v>
      </c>
      <c r="T13" s="12">
        <v>10000</v>
      </c>
      <c r="U13" s="12">
        <f>50000-35000+25605</f>
        <v>40605</v>
      </c>
      <c r="V13" s="12">
        <v>3202</v>
      </c>
      <c r="W13" s="12">
        <v>10000</v>
      </c>
      <c r="X13" s="12">
        <v>5689</v>
      </c>
      <c r="Y13" s="12">
        <v>10000</v>
      </c>
      <c r="Z13" s="12">
        <v>3600</v>
      </c>
      <c r="AA13" s="12"/>
      <c r="AB13" s="12">
        <v>5000</v>
      </c>
      <c r="AC13" s="12">
        <v>10000</v>
      </c>
      <c r="AD13" s="12">
        <v>5974</v>
      </c>
      <c r="AE13" s="12"/>
      <c r="AF13" s="12">
        <v>1400</v>
      </c>
      <c r="AG13" s="12">
        <v>12917</v>
      </c>
      <c r="AH13" s="12"/>
      <c r="AI13" s="12">
        <v>5000</v>
      </c>
      <c r="AJ13" s="12">
        <v>9100</v>
      </c>
      <c r="AK13" s="12">
        <v>20000</v>
      </c>
      <c r="AL13" s="12"/>
      <c r="AM13" s="12"/>
      <c r="AN13" s="12"/>
      <c r="AO13" s="12">
        <v>4712</v>
      </c>
      <c r="AP13" s="12"/>
      <c r="AQ13" s="68"/>
      <c r="AR13" s="68"/>
      <c r="AS13" s="68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3">
        <f t="shared" si="0"/>
        <v>343469</v>
      </c>
      <c r="BE13" s="14">
        <f t="shared" si="1"/>
        <v>36685</v>
      </c>
      <c r="BF13" s="15"/>
      <c r="BG13" s="15"/>
      <c r="BH13" s="16"/>
      <c r="BI13" s="16"/>
    </row>
    <row r="14" spans="1:63" x14ac:dyDescent="0.25">
      <c r="A14" s="11">
        <f>+BaseloadMarkets!A14</f>
        <v>36686</v>
      </c>
      <c r="B14" s="12">
        <v>3984</v>
      </c>
      <c r="C14" s="12"/>
      <c r="D14" s="12">
        <v>30000</v>
      </c>
      <c r="E14" s="12">
        <v>4178</v>
      </c>
      <c r="F14" s="12">
        <v>1000</v>
      </c>
      <c r="G14" s="12">
        <v>4333</v>
      </c>
      <c r="H14" s="12">
        <v>10000</v>
      </c>
      <c r="I14" s="12">
        <v>10000</v>
      </c>
      <c r="J14" s="12">
        <v>3333</v>
      </c>
      <c r="K14" s="12">
        <v>1333</v>
      </c>
      <c r="L14" s="12">
        <v>14995</v>
      </c>
      <c r="M14" s="12">
        <v>5000</v>
      </c>
      <c r="N14" s="12">
        <v>5000</v>
      </c>
      <c r="O14" s="12">
        <v>10000</v>
      </c>
      <c r="P14" s="12">
        <v>10000</v>
      </c>
      <c r="Q14" s="12">
        <v>5000</v>
      </c>
      <c r="R14" s="12">
        <v>10000</v>
      </c>
      <c r="S14" s="12">
        <v>50000</v>
      </c>
      <c r="T14" s="12">
        <v>10000</v>
      </c>
      <c r="U14" s="12">
        <f>50000-35000+26414</f>
        <v>41414</v>
      </c>
      <c r="V14" s="12">
        <v>5000</v>
      </c>
      <c r="W14" s="12">
        <v>10000</v>
      </c>
      <c r="X14" s="12">
        <v>10000</v>
      </c>
      <c r="Y14" s="12">
        <v>10000</v>
      </c>
      <c r="Z14" s="12">
        <v>3600</v>
      </c>
      <c r="AA14" s="12"/>
      <c r="AB14" s="12">
        <v>5000</v>
      </c>
      <c r="AC14" s="12"/>
      <c r="AD14" s="12">
        <f>5383+1909</f>
        <v>7292</v>
      </c>
      <c r="AE14" s="12"/>
      <c r="AF14" s="12">
        <v>1400</v>
      </c>
      <c r="AG14" s="12">
        <v>12917</v>
      </c>
      <c r="AH14" s="12"/>
      <c r="AI14" s="12"/>
      <c r="AJ14" s="12"/>
      <c r="AK14" s="12"/>
      <c r="AL14" s="12">
        <v>14091</v>
      </c>
      <c r="AM14" s="12"/>
      <c r="AN14" s="12"/>
      <c r="AO14" s="12"/>
      <c r="AP14" s="12"/>
      <c r="AQ14" s="68"/>
      <c r="AR14" s="68"/>
      <c r="AS14" s="68"/>
      <c r="AT14" s="12"/>
      <c r="AU14" s="12"/>
      <c r="AV14" s="12"/>
      <c r="AW14" s="12"/>
      <c r="AX14" s="12"/>
      <c r="AY14" s="12"/>
      <c r="AZ14" s="12"/>
      <c r="BA14" s="12"/>
      <c r="BB14" s="12">
        <v>10000</v>
      </c>
      <c r="BC14" s="12">
        <v>10000</v>
      </c>
      <c r="BD14" s="13">
        <f t="shared" si="0"/>
        <v>328870</v>
      </c>
      <c r="BE14" s="14">
        <f t="shared" si="1"/>
        <v>36686</v>
      </c>
      <c r="BF14" s="15"/>
      <c r="BG14" s="15"/>
      <c r="BH14" s="16"/>
      <c r="BI14" s="16"/>
    </row>
    <row r="15" spans="1:63" x14ac:dyDescent="0.25">
      <c r="A15" s="11">
        <f>+BaseloadMarkets!A15</f>
        <v>36687</v>
      </c>
      <c r="B15" s="12">
        <v>3984</v>
      </c>
      <c r="C15" s="12"/>
      <c r="D15" s="12">
        <v>0</v>
      </c>
      <c r="E15" s="12">
        <v>4178</v>
      </c>
      <c r="F15" s="12">
        <v>1000</v>
      </c>
      <c r="G15" s="12">
        <v>4087</v>
      </c>
      <c r="H15" s="12">
        <v>10000</v>
      </c>
      <c r="I15" s="12">
        <v>10000</v>
      </c>
      <c r="J15" s="12">
        <v>3333</v>
      </c>
      <c r="K15" s="12">
        <v>1333</v>
      </c>
      <c r="L15" s="12">
        <v>14999</v>
      </c>
      <c r="M15" s="12">
        <v>5000</v>
      </c>
      <c r="N15" s="12">
        <v>5000</v>
      </c>
      <c r="O15" s="12">
        <v>10000</v>
      </c>
      <c r="P15" s="12">
        <v>10000</v>
      </c>
      <c r="Q15" s="12">
        <v>5000</v>
      </c>
      <c r="R15" s="12">
        <v>10000</v>
      </c>
      <c r="S15" s="12">
        <v>50000</v>
      </c>
      <c r="T15" s="12">
        <v>10000</v>
      </c>
      <c r="U15" s="12">
        <f>50000-35000+27930</f>
        <v>42930</v>
      </c>
      <c r="V15" s="12">
        <v>5000</v>
      </c>
      <c r="W15" s="12">
        <v>10000</v>
      </c>
      <c r="X15" s="12">
        <v>5847</v>
      </c>
      <c r="Y15" s="12">
        <v>10000</v>
      </c>
      <c r="Z15" s="12">
        <v>3600</v>
      </c>
      <c r="AA15" s="12"/>
      <c r="AB15" s="12">
        <v>5000</v>
      </c>
      <c r="AC15" s="12">
        <v>20000</v>
      </c>
      <c r="AD15" s="12"/>
      <c r="AE15" s="12"/>
      <c r="AF15" s="12">
        <v>1400</v>
      </c>
      <c r="AG15" s="12">
        <v>12917</v>
      </c>
      <c r="AH15" s="12"/>
      <c r="AI15" s="12"/>
      <c r="AJ15" s="12"/>
      <c r="AK15" s="12"/>
      <c r="AL15" s="12">
        <v>14091</v>
      </c>
      <c r="AM15" s="12">
        <v>10000</v>
      </c>
      <c r="AN15" s="12"/>
      <c r="AO15" s="12"/>
      <c r="AP15" s="12"/>
      <c r="AQ15" s="68"/>
      <c r="AR15" s="68"/>
      <c r="AS15" s="68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3">
        <f t="shared" si="0"/>
        <v>298699</v>
      </c>
      <c r="BE15" s="14">
        <f t="shared" si="1"/>
        <v>36687</v>
      </c>
      <c r="BF15" s="15"/>
      <c r="BG15" s="15"/>
      <c r="BH15" s="16"/>
      <c r="BI15" s="16"/>
    </row>
    <row r="16" spans="1:63" x14ac:dyDescent="0.25">
      <c r="A16" s="11">
        <f>+BaseloadMarkets!A16</f>
        <v>36688</v>
      </c>
      <c r="B16" s="12">
        <v>3984</v>
      </c>
      <c r="C16" s="12"/>
      <c r="D16" s="12">
        <v>0</v>
      </c>
      <c r="E16" s="12">
        <v>4178</v>
      </c>
      <c r="F16" s="12">
        <v>1000</v>
      </c>
      <c r="G16" s="12">
        <v>4334</v>
      </c>
      <c r="H16" s="12">
        <v>10000</v>
      </c>
      <c r="I16" s="12">
        <v>10000</v>
      </c>
      <c r="J16" s="12">
        <v>3333</v>
      </c>
      <c r="K16" s="12">
        <v>1333</v>
      </c>
      <c r="L16" s="12">
        <v>14578</v>
      </c>
      <c r="M16" s="12">
        <v>5000</v>
      </c>
      <c r="N16" s="12">
        <v>5000</v>
      </c>
      <c r="O16" s="12">
        <v>10000</v>
      </c>
      <c r="P16" s="12">
        <v>10000</v>
      </c>
      <c r="Q16" s="12">
        <v>4859</v>
      </c>
      <c r="R16" s="12">
        <v>10000</v>
      </c>
      <c r="S16" s="12">
        <v>50000</v>
      </c>
      <c r="T16" s="12">
        <v>10000</v>
      </c>
      <c r="U16" s="12">
        <f>50000-35000+29106</f>
        <v>44106</v>
      </c>
      <c r="V16" s="12">
        <v>5000</v>
      </c>
      <c r="W16" s="12">
        <v>10000</v>
      </c>
      <c r="X16" s="12">
        <v>4997</v>
      </c>
      <c r="Y16" s="12">
        <v>9613</v>
      </c>
      <c r="Z16" s="12">
        <v>3600</v>
      </c>
      <c r="AA16" s="12"/>
      <c r="AB16" s="12">
        <v>5000</v>
      </c>
      <c r="AC16" s="12">
        <v>20000</v>
      </c>
      <c r="AD16" s="12"/>
      <c r="AE16" s="12"/>
      <c r="AF16" s="12">
        <v>1400</v>
      </c>
      <c r="AG16" s="12">
        <v>12917</v>
      </c>
      <c r="AH16" s="12"/>
      <c r="AI16" s="12"/>
      <c r="AJ16" s="12"/>
      <c r="AK16" s="12"/>
      <c r="AL16" s="12">
        <v>14091</v>
      </c>
      <c r="AM16" s="12">
        <v>10000</v>
      </c>
      <c r="AN16" s="12"/>
      <c r="AO16" s="12"/>
      <c r="AP16" s="12"/>
      <c r="AQ16" s="68"/>
      <c r="AR16" s="68"/>
      <c r="AS16" s="68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3">
        <f t="shared" si="0"/>
        <v>298323</v>
      </c>
      <c r="BE16" s="14">
        <f t="shared" si="1"/>
        <v>36688</v>
      </c>
      <c r="BF16" s="15"/>
      <c r="BG16" s="15"/>
      <c r="BH16" s="16"/>
      <c r="BI16" s="16"/>
    </row>
    <row r="17" spans="1:61" x14ac:dyDescent="0.25">
      <c r="A17" s="11">
        <f>+BaseloadMarkets!A17</f>
        <v>36689</v>
      </c>
      <c r="B17" s="12">
        <v>3984</v>
      </c>
      <c r="C17" s="12"/>
      <c r="D17" s="12">
        <v>30000</v>
      </c>
      <c r="E17" s="12">
        <v>4178</v>
      </c>
      <c r="F17" s="12">
        <v>1000</v>
      </c>
      <c r="G17" s="12">
        <v>4262</v>
      </c>
      <c r="H17" s="12">
        <v>10000</v>
      </c>
      <c r="I17" s="12">
        <v>10000</v>
      </c>
      <c r="J17" s="12">
        <v>3333</v>
      </c>
      <c r="K17" s="12">
        <v>1333</v>
      </c>
      <c r="L17" s="12">
        <v>14646</v>
      </c>
      <c r="M17" s="12">
        <v>5000</v>
      </c>
      <c r="N17" s="12">
        <v>5000</v>
      </c>
      <c r="O17" s="12">
        <v>10000</v>
      </c>
      <c r="P17" s="12">
        <v>10000</v>
      </c>
      <c r="Q17" s="12">
        <v>4882</v>
      </c>
      <c r="R17" s="12">
        <v>10000</v>
      </c>
      <c r="S17" s="12">
        <v>50000</v>
      </c>
      <c r="T17" s="12">
        <v>10000</v>
      </c>
      <c r="U17" s="12">
        <f>50000-35000+25741</f>
        <v>40741</v>
      </c>
      <c r="V17" s="12">
        <v>5000</v>
      </c>
      <c r="W17" s="12">
        <v>10000</v>
      </c>
      <c r="X17" s="12">
        <v>5722</v>
      </c>
      <c r="Y17" s="12">
        <f>5000+3000+1906</f>
        <v>9906</v>
      </c>
      <c r="Z17" s="12">
        <v>3600</v>
      </c>
      <c r="AA17" s="12"/>
      <c r="AB17" s="12">
        <v>5000</v>
      </c>
      <c r="AC17" s="12">
        <v>20000</v>
      </c>
      <c r="AD17" s="12"/>
      <c r="AE17" s="12"/>
      <c r="AF17" s="12">
        <v>1400</v>
      </c>
      <c r="AG17" s="12">
        <v>12917</v>
      </c>
      <c r="AH17" s="12"/>
      <c r="AI17" s="12"/>
      <c r="AJ17" s="12"/>
      <c r="AK17" s="12"/>
      <c r="AL17" s="12">
        <v>14091</v>
      </c>
      <c r="AM17" s="12">
        <v>10000</v>
      </c>
      <c r="AN17" s="12">
        <v>10333</v>
      </c>
      <c r="AO17" s="12"/>
      <c r="AP17" s="12"/>
      <c r="AQ17" s="68"/>
      <c r="AR17" s="68"/>
      <c r="AS17" s="68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3">
        <f t="shared" si="0"/>
        <v>336328</v>
      </c>
      <c r="BE17" s="14">
        <f t="shared" si="1"/>
        <v>36689</v>
      </c>
      <c r="BF17" s="15"/>
      <c r="BG17" s="15"/>
      <c r="BH17" s="16"/>
      <c r="BI17" s="16"/>
    </row>
    <row r="18" spans="1:61" x14ac:dyDescent="0.25">
      <c r="A18" s="11">
        <f>+BaseloadMarkets!A18</f>
        <v>36690</v>
      </c>
      <c r="B18" s="12">
        <v>3984</v>
      </c>
      <c r="C18" s="12"/>
      <c r="D18" s="12">
        <v>30000</v>
      </c>
      <c r="E18" s="12">
        <v>4178</v>
      </c>
      <c r="F18" s="12">
        <v>1000</v>
      </c>
      <c r="G18" s="12">
        <v>4319</v>
      </c>
      <c r="H18" s="12">
        <v>10000</v>
      </c>
      <c r="I18" s="12">
        <v>10000</v>
      </c>
      <c r="J18" s="12">
        <v>3333</v>
      </c>
      <c r="K18" s="12">
        <v>1333</v>
      </c>
      <c r="L18" s="12">
        <v>10792</v>
      </c>
      <c r="M18" s="12">
        <v>5000</v>
      </c>
      <c r="N18" s="12">
        <v>5000</v>
      </c>
      <c r="O18" s="12">
        <v>10000</v>
      </c>
      <c r="P18" s="12">
        <v>10000</v>
      </c>
      <c r="Q18" s="12">
        <v>5000</v>
      </c>
      <c r="R18" s="12">
        <v>10000</v>
      </c>
      <c r="S18" s="12">
        <v>50000</v>
      </c>
      <c r="T18" s="12">
        <v>10000</v>
      </c>
      <c r="U18" s="12">
        <f>50000-35000+18957</f>
        <v>33957</v>
      </c>
      <c r="V18" s="12">
        <v>5000</v>
      </c>
      <c r="W18" s="12">
        <v>10000</v>
      </c>
      <c r="X18" s="12">
        <v>10000</v>
      </c>
      <c r="Y18" s="12">
        <v>10000</v>
      </c>
      <c r="Z18" s="12">
        <v>3600</v>
      </c>
      <c r="AA18" s="12"/>
      <c r="AB18" s="12">
        <v>5000</v>
      </c>
      <c r="AC18" s="12"/>
      <c r="AD18" s="12">
        <v>20000</v>
      </c>
      <c r="AE18" s="12"/>
      <c r="AF18" s="12">
        <v>1400</v>
      </c>
      <c r="AG18" s="12">
        <v>12917</v>
      </c>
      <c r="AH18" s="12"/>
      <c r="AI18" s="12"/>
      <c r="AJ18" s="12"/>
      <c r="AK18" s="12"/>
      <c r="AL18" s="12">
        <v>14091</v>
      </c>
      <c r="AM18" s="12"/>
      <c r="AN18" s="12">
        <v>10333</v>
      </c>
      <c r="AO18" s="12"/>
      <c r="AP18" s="12">
        <v>20000</v>
      </c>
      <c r="AQ18" s="68">
        <v>10000</v>
      </c>
      <c r="AR18" s="68">
        <v>10000</v>
      </c>
      <c r="AS18" s="68">
        <v>10000</v>
      </c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3">
        <f t="shared" si="0"/>
        <v>370237</v>
      </c>
      <c r="BE18" s="14">
        <f t="shared" si="1"/>
        <v>36690</v>
      </c>
      <c r="BF18" s="15"/>
      <c r="BG18" s="15"/>
      <c r="BH18" s="16"/>
      <c r="BI18" s="16"/>
    </row>
    <row r="19" spans="1:61" s="1" customFormat="1" x14ac:dyDescent="0.25">
      <c r="A19" s="11">
        <f>+BaseloadMarkets!A19</f>
        <v>36691</v>
      </c>
      <c r="B19" s="12">
        <v>3984</v>
      </c>
      <c r="C19" s="12"/>
      <c r="D19" s="12">
        <v>30000</v>
      </c>
      <c r="E19" s="12">
        <v>4178</v>
      </c>
      <c r="F19" s="12">
        <v>1000</v>
      </c>
      <c r="G19" s="12">
        <v>4216</v>
      </c>
      <c r="H19" s="12">
        <v>0</v>
      </c>
      <c r="I19" s="12">
        <v>10000</v>
      </c>
      <c r="J19" s="12">
        <v>3333</v>
      </c>
      <c r="K19" s="12">
        <v>1333</v>
      </c>
      <c r="L19" s="12">
        <v>14282</v>
      </c>
      <c r="M19" s="12">
        <v>5000</v>
      </c>
      <c r="N19" s="12">
        <v>5000</v>
      </c>
      <c r="O19" s="12">
        <v>10000</v>
      </c>
      <c r="P19" s="12">
        <v>10000</v>
      </c>
      <c r="Q19" s="12">
        <v>5000</v>
      </c>
      <c r="R19" s="12">
        <v>10000</v>
      </c>
      <c r="S19" s="12">
        <v>50000</v>
      </c>
      <c r="T19" s="12">
        <v>10000</v>
      </c>
      <c r="U19" s="12">
        <f>50000-5000+3654</f>
        <v>48654</v>
      </c>
      <c r="V19" s="12">
        <v>5000</v>
      </c>
      <c r="W19" s="12">
        <v>10000</v>
      </c>
      <c r="X19" s="12">
        <v>10000</v>
      </c>
      <c r="Y19" s="12">
        <v>10000</v>
      </c>
      <c r="Z19" s="12">
        <v>3600</v>
      </c>
      <c r="AA19" s="12">
        <v>1744</v>
      </c>
      <c r="AB19" s="12">
        <v>5000</v>
      </c>
      <c r="AC19" s="12"/>
      <c r="AD19" s="12"/>
      <c r="AE19" s="12"/>
      <c r="AF19" s="12">
        <v>1400</v>
      </c>
      <c r="AG19" s="12">
        <v>12917</v>
      </c>
      <c r="AH19" s="12"/>
      <c r="AI19" s="12"/>
      <c r="AJ19" s="12"/>
      <c r="AK19" s="12"/>
      <c r="AL19" s="12">
        <v>14091</v>
      </c>
      <c r="AM19" s="12"/>
      <c r="AN19" s="12">
        <v>10333</v>
      </c>
      <c r="AO19" s="12"/>
      <c r="AP19" s="12"/>
      <c r="AQ19" s="68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3">
        <f t="shared" si="0"/>
        <v>310065</v>
      </c>
      <c r="BE19" s="14">
        <f t="shared" si="1"/>
        <v>36691</v>
      </c>
      <c r="BF19" s="15"/>
      <c r="BG19" s="15"/>
      <c r="BH19" s="16"/>
      <c r="BI19" s="16"/>
    </row>
    <row r="20" spans="1:61" x14ac:dyDescent="0.25">
      <c r="A20" s="11">
        <f>+BaseloadMarkets!A20</f>
        <v>36692</v>
      </c>
      <c r="B20" s="12">
        <v>3984</v>
      </c>
      <c r="C20" s="12"/>
      <c r="D20" s="12">
        <v>30000</v>
      </c>
      <c r="E20" s="12">
        <v>4178</v>
      </c>
      <c r="F20" s="12">
        <v>1000</v>
      </c>
      <c r="G20" s="12">
        <v>5000</v>
      </c>
      <c r="H20" s="12">
        <v>6198</v>
      </c>
      <c r="I20" s="12">
        <v>10000</v>
      </c>
      <c r="J20" s="12">
        <v>3333</v>
      </c>
      <c r="K20" s="12">
        <v>1333</v>
      </c>
      <c r="L20" s="12">
        <v>14494</v>
      </c>
      <c r="M20" s="12">
        <v>5000</v>
      </c>
      <c r="N20" s="12">
        <v>5000</v>
      </c>
      <c r="O20" s="12">
        <v>10000</v>
      </c>
      <c r="P20" s="12">
        <v>10000</v>
      </c>
      <c r="Q20" s="12">
        <v>5000</v>
      </c>
      <c r="R20" s="12">
        <v>10000</v>
      </c>
      <c r="S20" s="12">
        <v>50000</v>
      </c>
      <c r="T20" s="12">
        <v>10000</v>
      </c>
      <c r="U20" s="12">
        <v>50000</v>
      </c>
      <c r="V20" s="12">
        <v>2906</v>
      </c>
      <c r="W20" s="12">
        <v>10000</v>
      </c>
      <c r="X20" s="12">
        <v>10000</v>
      </c>
      <c r="Y20" s="12">
        <v>10000</v>
      </c>
      <c r="Z20" s="12">
        <v>3600</v>
      </c>
      <c r="AA20" s="12"/>
      <c r="AB20" s="12">
        <v>5000</v>
      </c>
      <c r="AC20" s="12"/>
      <c r="AD20" s="12"/>
      <c r="AE20" s="12"/>
      <c r="AF20" s="12">
        <v>1400</v>
      </c>
      <c r="AG20" s="12">
        <v>12917</v>
      </c>
      <c r="AH20" s="12"/>
      <c r="AI20" s="12"/>
      <c r="AJ20" s="12"/>
      <c r="AK20" s="12"/>
      <c r="AL20" s="12">
        <v>14091</v>
      </c>
      <c r="AM20" s="12"/>
      <c r="AN20" s="12">
        <v>10333</v>
      </c>
      <c r="AO20" s="12"/>
      <c r="AP20" s="12"/>
      <c r="AQ20" s="68"/>
      <c r="AR20" s="68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3">
        <f t="shared" si="0"/>
        <v>314767</v>
      </c>
      <c r="BE20" s="14">
        <f t="shared" si="1"/>
        <v>36692</v>
      </c>
      <c r="BF20" s="15"/>
      <c r="BG20" s="15"/>
      <c r="BH20" s="16"/>
      <c r="BI20" s="16"/>
    </row>
    <row r="21" spans="1:61" x14ac:dyDescent="0.25">
      <c r="A21" s="11">
        <f>+BaseloadMarkets!A21</f>
        <v>36693</v>
      </c>
      <c r="B21" s="12">
        <v>3984</v>
      </c>
      <c r="C21" s="12"/>
      <c r="D21" s="12">
        <v>30000</v>
      </c>
      <c r="E21" s="12">
        <v>4178</v>
      </c>
      <c r="F21" s="12">
        <v>1000</v>
      </c>
      <c r="G21" s="12">
        <v>5000</v>
      </c>
      <c r="H21" s="12">
        <v>10000</v>
      </c>
      <c r="I21" s="12">
        <v>10000</v>
      </c>
      <c r="J21" s="12">
        <v>3333</v>
      </c>
      <c r="K21" s="12">
        <v>1333</v>
      </c>
      <c r="L21" s="12">
        <v>13846</v>
      </c>
      <c r="M21" s="12">
        <v>5000</v>
      </c>
      <c r="N21" s="12">
        <v>5000</v>
      </c>
      <c r="O21" s="12">
        <v>10000</v>
      </c>
      <c r="P21" s="12">
        <v>10000</v>
      </c>
      <c r="Q21" s="12">
        <v>5000</v>
      </c>
      <c r="R21" s="12">
        <v>10000</v>
      </c>
      <c r="S21" s="12">
        <v>50000</v>
      </c>
      <c r="T21" s="12">
        <v>10000</v>
      </c>
      <c r="U21" s="12">
        <v>50000</v>
      </c>
      <c r="V21" s="12">
        <v>3072</v>
      </c>
      <c r="W21" s="12">
        <v>10000</v>
      </c>
      <c r="X21" s="12">
        <v>10000</v>
      </c>
      <c r="Y21" s="12">
        <v>10000</v>
      </c>
      <c r="Z21" s="12">
        <v>3600</v>
      </c>
      <c r="AA21" s="12"/>
      <c r="AB21" s="12">
        <v>5000</v>
      </c>
      <c r="AC21" s="12"/>
      <c r="AD21" s="12"/>
      <c r="AE21" s="12"/>
      <c r="AF21" s="12">
        <v>1400</v>
      </c>
      <c r="AG21" s="12">
        <v>12917</v>
      </c>
      <c r="AH21" s="12"/>
      <c r="AI21" s="12"/>
      <c r="AJ21" s="12"/>
      <c r="AK21" s="12"/>
      <c r="AL21" s="12">
        <v>14091</v>
      </c>
      <c r="AM21" s="12"/>
      <c r="AN21" s="12">
        <v>10333</v>
      </c>
      <c r="AO21" s="12"/>
      <c r="AP21" s="12"/>
      <c r="AQ21" s="68"/>
      <c r="AR21" s="68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3">
        <f t="shared" si="0"/>
        <v>318087</v>
      </c>
      <c r="BE21" s="14">
        <f t="shared" si="1"/>
        <v>36693</v>
      </c>
      <c r="BF21" s="15"/>
      <c r="BG21" s="15"/>
      <c r="BH21" s="16"/>
      <c r="BI21" s="16"/>
    </row>
    <row r="22" spans="1:61" x14ac:dyDescent="0.25">
      <c r="A22" s="11">
        <f>+BaseloadMarkets!A22</f>
        <v>36694</v>
      </c>
      <c r="B22" s="12">
        <v>3984</v>
      </c>
      <c r="C22" s="12"/>
      <c r="D22" s="12">
        <v>0</v>
      </c>
      <c r="E22" s="12">
        <v>4178</v>
      </c>
      <c r="F22" s="12">
        <v>1000</v>
      </c>
      <c r="G22" s="12">
        <v>5000</v>
      </c>
      <c r="H22" s="12">
        <v>4996</v>
      </c>
      <c r="I22" s="12">
        <v>10000</v>
      </c>
      <c r="J22" s="12">
        <v>3333</v>
      </c>
      <c r="K22" s="12">
        <v>1333</v>
      </c>
      <c r="L22" s="12">
        <v>14770</v>
      </c>
      <c r="M22" s="12">
        <v>5000</v>
      </c>
      <c r="N22" s="12">
        <v>5000</v>
      </c>
      <c r="O22" s="12">
        <v>10000</v>
      </c>
      <c r="P22" s="12">
        <v>10000</v>
      </c>
      <c r="Q22" s="12">
        <v>5000</v>
      </c>
      <c r="R22" s="12">
        <v>10000</v>
      </c>
      <c r="S22" s="12">
        <v>50000</v>
      </c>
      <c r="T22" s="12">
        <v>10000</v>
      </c>
      <c r="U22" s="12">
        <v>50000</v>
      </c>
      <c r="V22" s="12">
        <v>4165</v>
      </c>
      <c r="W22" s="12">
        <v>10000</v>
      </c>
      <c r="X22" s="12">
        <v>10000</v>
      </c>
      <c r="Y22" s="12">
        <v>10000</v>
      </c>
      <c r="Z22" s="12">
        <v>3600</v>
      </c>
      <c r="AA22" s="12"/>
      <c r="AB22" s="12">
        <v>5000</v>
      </c>
      <c r="AC22" s="12"/>
      <c r="AD22" s="12"/>
      <c r="AE22" s="12"/>
      <c r="AF22" s="12">
        <v>1400</v>
      </c>
      <c r="AG22" s="12">
        <v>12917</v>
      </c>
      <c r="AH22" s="12"/>
      <c r="AI22" s="12"/>
      <c r="AJ22" s="12"/>
      <c r="AK22" s="12"/>
      <c r="AL22" s="12">
        <v>14091</v>
      </c>
      <c r="AM22" s="12"/>
      <c r="AN22" s="12"/>
      <c r="AO22" s="12"/>
      <c r="AP22" s="12"/>
      <c r="AQ22" s="68"/>
      <c r="AR22" s="68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3">
        <f t="shared" si="0"/>
        <v>274767</v>
      </c>
      <c r="BE22" s="14">
        <f t="shared" si="1"/>
        <v>36694</v>
      </c>
      <c r="BF22" s="15"/>
      <c r="BG22" s="15"/>
      <c r="BH22" s="16"/>
      <c r="BI22" s="16"/>
    </row>
    <row r="23" spans="1:61" x14ac:dyDescent="0.25">
      <c r="A23" s="11">
        <f>+BaseloadMarkets!A23</f>
        <v>36695</v>
      </c>
      <c r="B23" s="12">
        <v>3984</v>
      </c>
      <c r="C23" s="12"/>
      <c r="D23" s="12">
        <v>0</v>
      </c>
      <c r="E23" s="12">
        <v>4178</v>
      </c>
      <c r="F23" s="12">
        <v>1000</v>
      </c>
      <c r="G23" s="12">
        <v>5000</v>
      </c>
      <c r="H23" s="12">
        <v>4947</v>
      </c>
      <c r="I23" s="12">
        <v>10000</v>
      </c>
      <c r="J23" s="12">
        <v>3333</v>
      </c>
      <c r="K23" s="12">
        <v>1333</v>
      </c>
      <c r="L23" s="12">
        <v>14212</v>
      </c>
      <c r="M23" s="12">
        <v>5000</v>
      </c>
      <c r="N23" s="12">
        <v>5000</v>
      </c>
      <c r="O23" s="12">
        <v>10000</v>
      </c>
      <c r="P23" s="12">
        <v>10000</v>
      </c>
      <c r="Q23" s="12">
        <v>5000</v>
      </c>
      <c r="R23" s="12">
        <v>10000</v>
      </c>
      <c r="S23" s="12">
        <v>50000</v>
      </c>
      <c r="T23" s="12">
        <v>10000</v>
      </c>
      <c r="U23" s="12">
        <v>50000</v>
      </c>
      <c r="V23" s="12">
        <v>3936</v>
      </c>
      <c r="W23" s="12">
        <v>10000</v>
      </c>
      <c r="X23" s="12">
        <v>10000</v>
      </c>
      <c r="Y23" s="12">
        <v>10000</v>
      </c>
      <c r="Z23" s="12">
        <v>3600</v>
      </c>
      <c r="AA23" s="12"/>
      <c r="AB23" s="12">
        <v>5000</v>
      </c>
      <c r="AC23" s="12"/>
      <c r="AD23" s="12"/>
      <c r="AE23" s="12"/>
      <c r="AF23" s="12">
        <v>1400</v>
      </c>
      <c r="AG23" s="12">
        <v>12917</v>
      </c>
      <c r="AH23" s="12"/>
      <c r="AI23" s="12"/>
      <c r="AJ23" s="12"/>
      <c r="AK23" s="12"/>
      <c r="AL23" s="12">
        <v>14091</v>
      </c>
      <c r="AM23" s="12"/>
      <c r="AN23" s="12"/>
      <c r="AO23" s="12"/>
      <c r="AP23" s="12"/>
      <c r="AQ23" s="68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3">
        <f t="shared" si="0"/>
        <v>273931</v>
      </c>
      <c r="BE23" s="14">
        <f t="shared" si="1"/>
        <v>36695</v>
      </c>
      <c r="BF23" s="15"/>
      <c r="BG23" s="15"/>
      <c r="BH23" s="16"/>
      <c r="BI23" s="16"/>
    </row>
    <row r="24" spans="1:61" x14ac:dyDescent="0.25">
      <c r="A24" s="11">
        <f>+BaseloadMarkets!A24</f>
        <v>36696</v>
      </c>
      <c r="B24" s="12">
        <v>3984</v>
      </c>
      <c r="C24" s="12"/>
      <c r="D24" s="12">
        <v>30000</v>
      </c>
      <c r="E24" s="12">
        <v>4178</v>
      </c>
      <c r="F24" s="12">
        <v>1000</v>
      </c>
      <c r="G24" s="12">
        <v>5000</v>
      </c>
      <c r="H24" s="12">
        <v>5228</v>
      </c>
      <c r="I24" s="12">
        <v>10000</v>
      </c>
      <c r="J24" s="12">
        <v>3333</v>
      </c>
      <c r="K24" s="12">
        <v>1333</v>
      </c>
      <c r="L24" s="12">
        <v>13954</v>
      </c>
      <c r="M24" s="12">
        <v>5000</v>
      </c>
      <c r="N24" s="12">
        <v>5000</v>
      </c>
      <c r="O24" s="12">
        <v>10000</v>
      </c>
      <c r="P24" s="12">
        <v>10000</v>
      </c>
      <c r="Q24" s="12">
        <v>5000</v>
      </c>
      <c r="R24" s="12">
        <v>10000</v>
      </c>
      <c r="S24" s="12">
        <v>50000</v>
      </c>
      <c r="T24" s="12">
        <v>10000</v>
      </c>
      <c r="U24" s="12">
        <v>50000</v>
      </c>
      <c r="V24" s="12">
        <v>3243</v>
      </c>
      <c r="W24" s="12">
        <v>10000</v>
      </c>
      <c r="X24" s="12">
        <v>10000</v>
      </c>
      <c r="Y24" s="12">
        <v>10000</v>
      </c>
      <c r="Z24" s="12">
        <v>3600</v>
      </c>
      <c r="AA24" s="12"/>
      <c r="AB24" s="12">
        <v>5000</v>
      </c>
      <c r="AC24" s="12"/>
      <c r="AD24" s="12"/>
      <c r="AE24" s="12"/>
      <c r="AF24" s="12">
        <v>1400</v>
      </c>
      <c r="AG24" s="12">
        <v>12917</v>
      </c>
      <c r="AH24" s="12"/>
      <c r="AI24" s="12"/>
      <c r="AJ24" s="12"/>
      <c r="AK24" s="12"/>
      <c r="AL24" s="12">
        <v>14091</v>
      </c>
      <c r="AM24" s="12"/>
      <c r="AN24" s="12">
        <v>10333</v>
      </c>
      <c r="AO24" s="12"/>
      <c r="AP24" s="12"/>
      <c r="AQ24" s="68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3">
        <f t="shared" si="0"/>
        <v>313594</v>
      </c>
      <c r="BE24" s="14">
        <f t="shared" si="1"/>
        <v>36696</v>
      </c>
      <c r="BF24" s="15"/>
      <c r="BG24" s="15"/>
      <c r="BH24" s="16"/>
      <c r="BI24" s="16"/>
    </row>
    <row r="25" spans="1:61" x14ac:dyDescent="0.25">
      <c r="A25" s="11">
        <f>+BaseloadMarkets!A25</f>
        <v>36697</v>
      </c>
      <c r="B25" s="12">
        <v>3984</v>
      </c>
      <c r="C25" s="12"/>
      <c r="D25" s="12">
        <v>30000</v>
      </c>
      <c r="E25" s="12">
        <v>4178</v>
      </c>
      <c r="F25" s="12">
        <v>1000</v>
      </c>
      <c r="G25" s="12">
        <v>5000</v>
      </c>
      <c r="H25" s="12">
        <v>10000</v>
      </c>
      <c r="I25" s="12">
        <v>10000</v>
      </c>
      <c r="J25" s="12">
        <v>3333</v>
      </c>
      <c r="K25" s="12">
        <v>1333</v>
      </c>
      <c r="L25" s="12">
        <v>14998</v>
      </c>
      <c r="M25" s="12">
        <v>5000</v>
      </c>
      <c r="N25" s="12">
        <v>5000</v>
      </c>
      <c r="O25" s="12">
        <v>10000</v>
      </c>
      <c r="P25" s="12">
        <v>10000</v>
      </c>
      <c r="Q25" s="12">
        <v>5000</v>
      </c>
      <c r="R25" s="12">
        <v>10000</v>
      </c>
      <c r="S25" s="12">
        <v>50000</v>
      </c>
      <c r="T25" s="12">
        <v>10000</v>
      </c>
      <c r="U25" s="12">
        <v>50000</v>
      </c>
      <c r="V25" s="12">
        <v>5000</v>
      </c>
      <c r="W25" s="12">
        <v>10000</v>
      </c>
      <c r="X25" s="12">
        <v>10000</v>
      </c>
      <c r="Y25" s="12">
        <v>10000</v>
      </c>
      <c r="Z25" s="12">
        <v>3600</v>
      </c>
      <c r="AA25" s="12"/>
      <c r="AB25" s="12">
        <v>5000</v>
      </c>
      <c r="AC25" s="12"/>
      <c r="AD25" s="12"/>
      <c r="AE25" s="12"/>
      <c r="AF25" s="12">
        <v>1400</v>
      </c>
      <c r="AG25" s="12">
        <v>12917</v>
      </c>
      <c r="AH25" s="12"/>
      <c r="AI25" s="12"/>
      <c r="AJ25" s="12"/>
      <c r="AK25" s="12"/>
      <c r="AL25" s="12">
        <v>14091</v>
      </c>
      <c r="AM25" s="12"/>
      <c r="AN25" s="12">
        <v>10333</v>
      </c>
      <c r="AO25" s="12"/>
      <c r="AP25" s="12"/>
      <c r="AQ25" s="68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3">
        <f t="shared" si="0"/>
        <v>321167</v>
      </c>
      <c r="BE25" s="14">
        <f t="shared" si="1"/>
        <v>36697</v>
      </c>
      <c r="BF25" s="15"/>
      <c r="BG25" s="15"/>
      <c r="BH25" s="16"/>
      <c r="BI25" s="16"/>
    </row>
    <row r="26" spans="1:61" x14ac:dyDescent="0.25">
      <c r="A26" s="11">
        <f>+BaseloadMarkets!A26</f>
        <v>36698</v>
      </c>
      <c r="B26" s="12">
        <v>3984</v>
      </c>
      <c r="C26" s="12"/>
      <c r="D26" s="12">
        <v>30000</v>
      </c>
      <c r="E26" s="12">
        <v>4178</v>
      </c>
      <c r="F26" s="12">
        <v>1000</v>
      </c>
      <c r="G26" s="12">
        <v>5000</v>
      </c>
      <c r="H26" s="12">
        <v>10000</v>
      </c>
      <c r="I26" s="12">
        <v>10000</v>
      </c>
      <c r="J26" s="12">
        <v>3333</v>
      </c>
      <c r="K26" s="12">
        <v>1333</v>
      </c>
      <c r="L26" s="12">
        <v>9876</v>
      </c>
      <c r="M26" s="12">
        <v>5000</v>
      </c>
      <c r="N26" s="12">
        <v>5000</v>
      </c>
      <c r="O26" s="12">
        <v>10000</v>
      </c>
      <c r="P26" s="12">
        <v>10000</v>
      </c>
      <c r="Q26" s="12">
        <v>5000</v>
      </c>
      <c r="R26" s="12">
        <v>10000</v>
      </c>
      <c r="S26" s="12">
        <v>50000</v>
      </c>
      <c r="T26" s="12">
        <v>10000</v>
      </c>
      <c r="U26" s="12">
        <v>50000</v>
      </c>
      <c r="V26" s="12">
        <v>5000</v>
      </c>
      <c r="W26" s="12">
        <v>10000</v>
      </c>
      <c r="X26" s="12">
        <v>10000</v>
      </c>
      <c r="Y26" s="12">
        <v>10000</v>
      </c>
      <c r="Z26" s="12">
        <v>3600</v>
      </c>
      <c r="AA26" s="12"/>
      <c r="AB26" s="12">
        <v>5000</v>
      </c>
      <c r="AC26" s="12"/>
      <c r="AD26" s="12"/>
      <c r="AE26" s="12"/>
      <c r="AF26" s="12">
        <v>1400</v>
      </c>
      <c r="AG26" s="12">
        <v>12917</v>
      </c>
      <c r="AH26" s="12"/>
      <c r="AI26" s="12"/>
      <c r="AJ26" s="12"/>
      <c r="AK26" s="12"/>
      <c r="AL26" s="12">
        <v>14091</v>
      </c>
      <c r="AM26" s="12"/>
      <c r="AN26" s="12">
        <v>10333</v>
      </c>
      <c r="AO26" s="12"/>
      <c r="AP26" s="12"/>
      <c r="AQ26" s="68"/>
      <c r="AR26" s="12"/>
      <c r="AS26" s="12"/>
      <c r="AT26" s="12">
        <v>62000</v>
      </c>
      <c r="AU26" s="12"/>
      <c r="AV26" s="12"/>
      <c r="AW26" s="12"/>
      <c r="AX26" s="12"/>
      <c r="AY26" s="12"/>
      <c r="AZ26" s="12"/>
      <c r="BA26" s="12"/>
      <c r="BB26" s="12"/>
      <c r="BC26" s="12"/>
      <c r="BD26" s="13">
        <f t="shared" si="0"/>
        <v>378045</v>
      </c>
      <c r="BE26" s="14">
        <f t="shared" si="1"/>
        <v>36698</v>
      </c>
      <c r="BF26" s="15"/>
      <c r="BG26" s="15"/>
      <c r="BH26" s="16"/>
      <c r="BI26" s="16"/>
    </row>
    <row r="27" spans="1:61" x14ac:dyDescent="0.25">
      <c r="A27" s="11">
        <f>+BaseloadMarkets!A27</f>
        <v>36699</v>
      </c>
      <c r="B27" s="12">
        <v>3984</v>
      </c>
      <c r="C27" s="12"/>
      <c r="D27" s="12">
        <v>30000</v>
      </c>
      <c r="E27" s="12">
        <v>4178</v>
      </c>
      <c r="F27" s="12">
        <v>1000</v>
      </c>
      <c r="G27" s="12">
        <v>5000</v>
      </c>
      <c r="H27" s="12">
        <v>10000</v>
      </c>
      <c r="I27" s="12">
        <v>10000</v>
      </c>
      <c r="J27" s="12">
        <v>3333</v>
      </c>
      <c r="K27" s="12">
        <v>1333</v>
      </c>
      <c r="L27" s="12">
        <v>14683</v>
      </c>
      <c r="M27" s="12">
        <v>5000</v>
      </c>
      <c r="N27" s="12">
        <v>5000</v>
      </c>
      <c r="O27" s="12">
        <v>10000</v>
      </c>
      <c r="P27" s="12">
        <v>10000</v>
      </c>
      <c r="Q27" s="12">
        <v>5000</v>
      </c>
      <c r="R27" s="12">
        <v>10000</v>
      </c>
      <c r="S27" s="12">
        <v>50000</v>
      </c>
      <c r="T27" s="12">
        <v>10000</v>
      </c>
      <c r="U27" s="12">
        <v>50000</v>
      </c>
      <c r="V27" s="12">
        <v>5000</v>
      </c>
      <c r="W27" s="12">
        <v>10000</v>
      </c>
      <c r="X27" s="12">
        <v>10000</v>
      </c>
      <c r="Y27" s="12">
        <v>10000</v>
      </c>
      <c r="Z27" s="12">
        <v>3600</v>
      </c>
      <c r="AA27" s="12"/>
      <c r="AB27" s="12">
        <v>5000</v>
      </c>
      <c r="AC27" s="12"/>
      <c r="AD27" s="12"/>
      <c r="AE27" s="12"/>
      <c r="AF27" s="12">
        <v>1400</v>
      </c>
      <c r="AG27" s="12">
        <v>12917</v>
      </c>
      <c r="AH27" s="12"/>
      <c r="AI27" s="12"/>
      <c r="AJ27" s="12"/>
      <c r="AK27" s="12"/>
      <c r="AL27" s="12">
        <v>14091</v>
      </c>
      <c r="AM27" s="12"/>
      <c r="AN27" s="12">
        <v>10333</v>
      </c>
      <c r="AO27" s="12"/>
      <c r="AP27" s="12"/>
      <c r="AQ27" s="68"/>
      <c r="AR27" s="12"/>
      <c r="AS27" s="12"/>
      <c r="AT27" s="12">
        <v>124000</v>
      </c>
      <c r="AU27" s="12"/>
      <c r="AV27" s="12"/>
      <c r="AW27" s="12"/>
      <c r="AX27" s="12"/>
      <c r="AY27" s="12"/>
      <c r="AZ27" s="12"/>
      <c r="BA27" s="12"/>
      <c r="BB27" s="12"/>
      <c r="BC27" s="12"/>
      <c r="BD27" s="13">
        <f t="shared" si="0"/>
        <v>444852</v>
      </c>
      <c r="BE27" s="14">
        <f t="shared" si="1"/>
        <v>36699</v>
      </c>
      <c r="BF27" s="15"/>
      <c r="BG27" s="15"/>
      <c r="BH27" s="16"/>
      <c r="BI27" s="16"/>
    </row>
    <row r="28" spans="1:61" x14ac:dyDescent="0.25">
      <c r="A28" s="11">
        <f>+BaseloadMarkets!A28</f>
        <v>36700</v>
      </c>
      <c r="B28" s="12">
        <v>3984</v>
      </c>
      <c r="C28" s="12"/>
      <c r="D28" s="12">
        <v>38000</v>
      </c>
      <c r="E28" s="12">
        <v>4178</v>
      </c>
      <c r="F28" s="12">
        <v>1000</v>
      </c>
      <c r="G28" s="12">
        <v>5000</v>
      </c>
      <c r="H28" s="12">
        <v>5325</v>
      </c>
      <c r="I28" s="12">
        <v>10000</v>
      </c>
      <c r="J28" s="12">
        <v>3333</v>
      </c>
      <c r="K28" s="12">
        <v>1333</v>
      </c>
      <c r="L28" s="12">
        <v>15000</v>
      </c>
      <c r="M28" s="12">
        <v>5000</v>
      </c>
      <c r="N28" s="12">
        <v>5000</v>
      </c>
      <c r="O28" s="12">
        <v>10000</v>
      </c>
      <c r="P28" s="12">
        <v>10000</v>
      </c>
      <c r="Q28" s="12">
        <v>5000</v>
      </c>
      <c r="R28" s="12">
        <v>10000</v>
      </c>
      <c r="S28" s="12">
        <v>50000</v>
      </c>
      <c r="T28" s="12">
        <v>10000</v>
      </c>
      <c r="U28" s="12">
        <v>50000</v>
      </c>
      <c r="V28" s="12">
        <v>4505</v>
      </c>
      <c r="W28" s="12">
        <v>10000</v>
      </c>
      <c r="X28" s="12">
        <v>10000</v>
      </c>
      <c r="Y28" s="12">
        <v>10000</v>
      </c>
      <c r="Z28" s="12">
        <v>3600</v>
      </c>
      <c r="AA28" s="12"/>
      <c r="AB28" s="12">
        <v>5000</v>
      </c>
      <c r="AC28" s="12"/>
      <c r="AD28" s="12"/>
      <c r="AE28" s="12"/>
      <c r="AF28" s="12">
        <v>1400</v>
      </c>
      <c r="AG28" s="12">
        <v>12916</v>
      </c>
      <c r="AH28" s="12"/>
      <c r="AI28" s="12"/>
      <c r="AJ28" s="12"/>
      <c r="AK28" s="12"/>
      <c r="AL28" s="12">
        <v>14091</v>
      </c>
      <c r="AM28" s="12"/>
      <c r="AN28" s="12">
        <v>10333</v>
      </c>
      <c r="AO28" s="12"/>
      <c r="AP28" s="12"/>
      <c r="AQ28" s="68"/>
      <c r="AR28" s="12"/>
      <c r="AS28" s="12"/>
      <c r="AT28" s="12">
        <v>124000</v>
      </c>
      <c r="AU28" s="12">
        <v>10000</v>
      </c>
      <c r="AV28" s="12">
        <v>2000</v>
      </c>
      <c r="AW28" s="12"/>
      <c r="AX28" s="12"/>
      <c r="AY28" s="12"/>
      <c r="AZ28" s="12"/>
      <c r="BA28" s="12"/>
      <c r="BB28" s="12"/>
      <c r="BC28" s="12"/>
      <c r="BD28" s="13">
        <f t="shared" si="0"/>
        <v>459998</v>
      </c>
      <c r="BE28" s="14">
        <f t="shared" si="1"/>
        <v>36700</v>
      </c>
      <c r="BF28" s="15"/>
      <c r="BG28" s="15"/>
      <c r="BH28" s="16"/>
      <c r="BI28" s="16"/>
    </row>
    <row r="29" spans="1:61" x14ac:dyDescent="0.25">
      <c r="A29" s="11">
        <f>+BaseloadMarkets!A29</f>
        <v>36701</v>
      </c>
      <c r="B29" s="12">
        <v>3984</v>
      </c>
      <c r="C29" s="12"/>
      <c r="D29" s="12">
        <v>0</v>
      </c>
      <c r="E29" s="12">
        <v>4178</v>
      </c>
      <c r="F29" s="12">
        <v>1000</v>
      </c>
      <c r="G29" s="12">
        <v>5000</v>
      </c>
      <c r="H29" s="12">
        <v>10000</v>
      </c>
      <c r="I29" s="12">
        <v>10000</v>
      </c>
      <c r="J29" s="12">
        <v>3333</v>
      </c>
      <c r="K29" s="12">
        <v>1333</v>
      </c>
      <c r="L29" s="12">
        <v>15000</v>
      </c>
      <c r="M29" s="12">
        <v>5000</v>
      </c>
      <c r="N29" s="12">
        <v>5000</v>
      </c>
      <c r="O29" s="12">
        <v>10000</v>
      </c>
      <c r="P29" s="12">
        <v>10000</v>
      </c>
      <c r="Q29" s="12">
        <v>5000</v>
      </c>
      <c r="R29" s="12">
        <v>10000</v>
      </c>
      <c r="S29" s="12">
        <v>50000</v>
      </c>
      <c r="T29" s="12">
        <v>10000</v>
      </c>
      <c r="U29" s="12">
        <v>50000</v>
      </c>
      <c r="V29" s="12">
        <v>3338</v>
      </c>
      <c r="W29" s="12">
        <v>10000</v>
      </c>
      <c r="X29" s="12">
        <v>10000</v>
      </c>
      <c r="Y29" s="12">
        <v>10000</v>
      </c>
      <c r="Z29" s="12">
        <v>3600</v>
      </c>
      <c r="AA29" s="12"/>
      <c r="AB29" s="12">
        <v>5000</v>
      </c>
      <c r="AC29" s="12">
        <v>2000</v>
      </c>
      <c r="AD29" s="12"/>
      <c r="AE29" s="12"/>
      <c r="AF29" s="12">
        <v>1400</v>
      </c>
      <c r="AG29" s="12">
        <v>12916</v>
      </c>
      <c r="AH29" s="12"/>
      <c r="AI29" s="12"/>
      <c r="AJ29" s="12"/>
      <c r="AK29" s="12"/>
      <c r="AL29" s="12">
        <v>14091</v>
      </c>
      <c r="AM29" s="12"/>
      <c r="AN29" s="12"/>
      <c r="AO29" s="12"/>
      <c r="AP29" s="12"/>
      <c r="AQ29" s="68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3">
        <f t="shared" si="0"/>
        <v>281173</v>
      </c>
      <c r="BE29" s="14">
        <f t="shared" si="1"/>
        <v>36701</v>
      </c>
      <c r="BF29" s="15"/>
      <c r="BG29" s="15"/>
      <c r="BH29" s="16"/>
      <c r="BI29" s="16"/>
    </row>
    <row r="30" spans="1:61" x14ac:dyDescent="0.25">
      <c r="A30" s="11">
        <f>+BaseloadMarkets!A30</f>
        <v>36702</v>
      </c>
      <c r="B30" s="12">
        <v>3984</v>
      </c>
      <c r="C30" s="12"/>
      <c r="D30" s="12">
        <v>0</v>
      </c>
      <c r="E30" s="12">
        <v>4178</v>
      </c>
      <c r="F30" s="12">
        <v>1000</v>
      </c>
      <c r="G30" s="12">
        <v>5000</v>
      </c>
      <c r="H30" s="12">
        <v>10000</v>
      </c>
      <c r="I30" s="12">
        <v>10000</v>
      </c>
      <c r="J30" s="12">
        <v>3333</v>
      </c>
      <c r="K30" s="12">
        <v>1333</v>
      </c>
      <c r="L30" s="12">
        <v>15000</v>
      </c>
      <c r="M30" s="12">
        <v>5000</v>
      </c>
      <c r="N30" s="12">
        <v>5000</v>
      </c>
      <c r="O30" s="12">
        <v>10000</v>
      </c>
      <c r="P30" s="12">
        <v>10000</v>
      </c>
      <c r="Q30" s="12">
        <v>5000</v>
      </c>
      <c r="R30" s="12">
        <v>10000</v>
      </c>
      <c r="S30" s="12">
        <v>50000</v>
      </c>
      <c r="T30" s="12">
        <v>10000</v>
      </c>
      <c r="U30" s="12">
        <v>50000</v>
      </c>
      <c r="V30" s="12">
        <v>3228</v>
      </c>
      <c r="W30" s="12">
        <v>10000</v>
      </c>
      <c r="X30" s="12">
        <v>10000</v>
      </c>
      <c r="Y30" s="12">
        <v>10000</v>
      </c>
      <c r="Z30" s="12">
        <v>3600</v>
      </c>
      <c r="AA30" s="12"/>
      <c r="AB30" s="12">
        <v>5000</v>
      </c>
      <c r="AC30" s="12">
        <v>2000</v>
      </c>
      <c r="AD30" s="12"/>
      <c r="AE30" s="12"/>
      <c r="AF30" s="12">
        <v>1400</v>
      </c>
      <c r="AG30" s="12">
        <v>12916</v>
      </c>
      <c r="AH30" s="12"/>
      <c r="AI30" s="12"/>
      <c r="AJ30" s="12"/>
      <c r="AK30" s="12"/>
      <c r="AL30" s="12">
        <v>14091</v>
      </c>
      <c r="AM30" s="12"/>
      <c r="AN30" s="12"/>
      <c r="AO30" s="12"/>
      <c r="AP30" s="12"/>
      <c r="AQ30" s="68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3">
        <f t="shared" si="0"/>
        <v>281063</v>
      </c>
      <c r="BE30" s="14">
        <f t="shared" si="1"/>
        <v>36702</v>
      </c>
      <c r="BF30" s="15"/>
      <c r="BG30" s="15"/>
      <c r="BH30" s="16"/>
      <c r="BI30" s="16"/>
    </row>
    <row r="31" spans="1:61" x14ac:dyDescent="0.25">
      <c r="A31" s="11">
        <f>+BaseloadMarkets!A31</f>
        <v>36703</v>
      </c>
      <c r="B31" s="12">
        <v>3984</v>
      </c>
      <c r="C31" s="12"/>
      <c r="D31" s="12">
        <v>30000</v>
      </c>
      <c r="E31" s="12">
        <v>4178</v>
      </c>
      <c r="F31" s="12">
        <v>1000</v>
      </c>
      <c r="G31" s="12">
        <v>5000</v>
      </c>
      <c r="H31" s="12">
        <v>10000</v>
      </c>
      <c r="I31" s="12">
        <v>10000</v>
      </c>
      <c r="J31" s="12">
        <v>3333</v>
      </c>
      <c r="K31" s="12">
        <v>1333</v>
      </c>
      <c r="L31" s="12">
        <v>15000</v>
      </c>
      <c r="M31" s="12">
        <v>5000</v>
      </c>
      <c r="N31" s="12">
        <v>5000</v>
      </c>
      <c r="O31" s="12">
        <v>10000</v>
      </c>
      <c r="P31" s="12">
        <v>10000</v>
      </c>
      <c r="Q31" s="12">
        <v>5000</v>
      </c>
      <c r="R31" s="12">
        <v>10000</v>
      </c>
      <c r="S31" s="12">
        <v>50000</v>
      </c>
      <c r="T31" s="12">
        <v>10000</v>
      </c>
      <c r="U31" s="12">
        <v>50000</v>
      </c>
      <c r="V31" s="12">
        <v>3379</v>
      </c>
      <c r="W31" s="12">
        <v>10000</v>
      </c>
      <c r="X31" s="12">
        <v>10000</v>
      </c>
      <c r="Y31" s="12">
        <v>10000</v>
      </c>
      <c r="Z31" s="12">
        <v>3600</v>
      </c>
      <c r="AA31" s="12"/>
      <c r="AB31" s="12">
        <v>5000</v>
      </c>
      <c r="AC31" s="12">
        <v>2000</v>
      </c>
      <c r="AD31" s="12"/>
      <c r="AE31" s="12"/>
      <c r="AF31" s="12">
        <v>1400</v>
      </c>
      <c r="AG31" s="12">
        <v>12916</v>
      </c>
      <c r="AH31" s="12"/>
      <c r="AI31" s="12"/>
      <c r="AJ31" s="12"/>
      <c r="AK31" s="12"/>
      <c r="AL31" s="12">
        <v>14091</v>
      </c>
      <c r="AM31" s="12"/>
      <c r="AN31" s="12">
        <v>10333</v>
      </c>
      <c r="AO31" s="12"/>
      <c r="AP31" s="12"/>
      <c r="AQ31" s="68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3">
        <f t="shared" si="0"/>
        <v>321547</v>
      </c>
      <c r="BE31" s="14">
        <f t="shared" si="1"/>
        <v>36703</v>
      </c>
      <c r="BF31" s="15"/>
      <c r="BG31" s="15"/>
      <c r="BH31" s="16"/>
      <c r="BI31" s="16"/>
    </row>
    <row r="32" spans="1:61" x14ac:dyDescent="0.25">
      <c r="A32" s="11">
        <f>+BaseloadMarkets!A32</f>
        <v>36704</v>
      </c>
      <c r="B32" s="12">
        <v>3984</v>
      </c>
      <c r="C32" s="12"/>
      <c r="D32" s="12">
        <v>30000</v>
      </c>
      <c r="E32" s="12">
        <v>4178</v>
      </c>
      <c r="F32" s="12">
        <v>1000</v>
      </c>
      <c r="G32" s="12">
        <v>5000</v>
      </c>
      <c r="H32" s="12">
        <v>10000</v>
      </c>
      <c r="I32" s="12">
        <v>10000</v>
      </c>
      <c r="J32" s="12">
        <v>3333</v>
      </c>
      <c r="K32" s="12">
        <v>1333</v>
      </c>
      <c r="L32" s="12">
        <v>15000</v>
      </c>
      <c r="M32" s="12">
        <v>5000</v>
      </c>
      <c r="N32" s="12">
        <v>5000</v>
      </c>
      <c r="O32" s="12">
        <v>10000</v>
      </c>
      <c r="P32" s="12">
        <v>10000</v>
      </c>
      <c r="Q32" s="12">
        <v>5000</v>
      </c>
      <c r="R32" s="12">
        <v>10000</v>
      </c>
      <c r="S32" s="12">
        <v>50000</v>
      </c>
      <c r="T32" s="12">
        <v>10000</v>
      </c>
      <c r="U32" s="12">
        <v>50000</v>
      </c>
      <c r="V32" s="12">
        <v>5000</v>
      </c>
      <c r="W32" s="12">
        <v>10000</v>
      </c>
      <c r="X32" s="12">
        <v>10000</v>
      </c>
      <c r="Y32" s="12">
        <v>10000</v>
      </c>
      <c r="Z32" s="12">
        <v>3600</v>
      </c>
      <c r="AA32" s="12"/>
      <c r="AB32" s="12">
        <v>5000</v>
      </c>
      <c r="AC32" s="12">
        <v>389</v>
      </c>
      <c r="AD32" s="12"/>
      <c r="AE32" s="12"/>
      <c r="AF32" s="12">
        <v>1400</v>
      </c>
      <c r="AG32" s="12">
        <v>12916</v>
      </c>
      <c r="AH32" s="12"/>
      <c r="AI32" s="12"/>
      <c r="AJ32" s="12"/>
      <c r="AK32" s="12"/>
      <c r="AL32" s="12">
        <v>14091</v>
      </c>
      <c r="AM32" s="12"/>
      <c r="AN32" s="12">
        <v>10333</v>
      </c>
      <c r="AO32" s="12"/>
      <c r="AP32" s="12">
        <v>5000</v>
      </c>
      <c r="AQ32" s="68"/>
      <c r="AR32" s="12"/>
      <c r="AS32" s="12"/>
      <c r="AT32" s="12">
        <v>124000</v>
      </c>
      <c r="AU32" s="12"/>
      <c r="AV32" s="12"/>
      <c r="AW32" s="12">
        <v>1969</v>
      </c>
      <c r="AX32" s="12">
        <v>10000</v>
      </c>
      <c r="AY32" s="12">
        <v>4649</v>
      </c>
      <c r="AZ32" s="12"/>
      <c r="BA32" s="12"/>
      <c r="BB32" s="12"/>
      <c r="BC32" s="12"/>
      <c r="BD32" s="13">
        <f t="shared" si="0"/>
        <v>467175</v>
      </c>
      <c r="BE32" s="14">
        <f t="shared" si="1"/>
        <v>36704</v>
      </c>
      <c r="BF32" s="15"/>
      <c r="BG32" s="15"/>
      <c r="BH32" s="16"/>
      <c r="BI32" s="16"/>
    </row>
    <row r="33" spans="1:61" x14ac:dyDescent="0.25">
      <c r="A33" s="11">
        <f>+BaseloadMarkets!A33</f>
        <v>36705</v>
      </c>
      <c r="B33" s="12">
        <v>3850</v>
      </c>
      <c r="C33" s="12"/>
      <c r="D33" s="12">
        <v>30000</v>
      </c>
      <c r="E33" s="12">
        <v>4178</v>
      </c>
      <c r="F33" s="12">
        <v>1000</v>
      </c>
      <c r="G33" s="12">
        <v>5000</v>
      </c>
      <c r="H33" s="12">
        <v>10000</v>
      </c>
      <c r="I33" s="12">
        <v>10000</v>
      </c>
      <c r="J33" s="12">
        <v>3333</v>
      </c>
      <c r="K33" s="12">
        <v>1333</v>
      </c>
      <c r="L33" s="12">
        <v>15000</v>
      </c>
      <c r="M33" s="12">
        <v>5000</v>
      </c>
      <c r="N33" s="12">
        <v>5000</v>
      </c>
      <c r="O33" s="12">
        <v>10000</v>
      </c>
      <c r="P33" s="12">
        <v>10000</v>
      </c>
      <c r="Q33" s="12">
        <v>5000</v>
      </c>
      <c r="R33" s="12">
        <v>10000</v>
      </c>
      <c r="S33" s="12">
        <v>50000</v>
      </c>
      <c r="T33" s="12">
        <v>10000</v>
      </c>
      <c r="U33" s="12">
        <v>50000</v>
      </c>
      <c r="V33" s="12">
        <v>5000</v>
      </c>
      <c r="W33" s="12">
        <v>10000</v>
      </c>
      <c r="X33" s="12">
        <v>10000</v>
      </c>
      <c r="Y33" s="12">
        <v>10000</v>
      </c>
      <c r="Z33" s="12">
        <v>3600</v>
      </c>
      <c r="AA33" s="12"/>
      <c r="AB33" s="12">
        <v>5000</v>
      </c>
      <c r="AC33" s="12"/>
      <c r="AD33" s="12"/>
      <c r="AE33" s="12"/>
      <c r="AF33" s="12">
        <v>1400</v>
      </c>
      <c r="AG33" s="12">
        <v>12916</v>
      </c>
      <c r="AH33" s="12"/>
      <c r="AI33" s="12"/>
      <c r="AJ33" s="12"/>
      <c r="AK33" s="12"/>
      <c r="AL33" s="12">
        <v>14091</v>
      </c>
      <c r="AM33" s="12"/>
      <c r="AN33" s="12">
        <v>10333</v>
      </c>
      <c r="AO33" s="12">
        <f>9898+9897</f>
        <v>19795</v>
      </c>
      <c r="AP33" s="12">
        <f>5000+10000</f>
        <v>15000</v>
      </c>
      <c r="AQ33" s="68"/>
      <c r="AR33" s="12"/>
      <c r="AS33" s="12"/>
      <c r="AT33" s="12"/>
      <c r="AU33" s="12"/>
      <c r="AV33" s="12"/>
      <c r="AW33" s="12">
        <v>0</v>
      </c>
      <c r="AX33" s="12">
        <v>17030</v>
      </c>
      <c r="AY33" s="12">
        <v>5000</v>
      </c>
      <c r="AZ33" s="12">
        <f>24000+20000</f>
        <v>44000</v>
      </c>
      <c r="BA33" s="12">
        <f>500+6247+25000</f>
        <v>31747</v>
      </c>
      <c r="BB33" s="12"/>
      <c r="BC33" s="12"/>
      <c r="BD33" s="13">
        <f t="shared" si="0"/>
        <v>453606</v>
      </c>
      <c r="BE33" s="14">
        <f t="shared" si="1"/>
        <v>36705</v>
      </c>
      <c r="BF33" s="15"/>
      <c r="BG33" s="15"/>
      <c r="BH33" s="16"/>
      <c r="BI33" s="16"/>
    </row>
    <row r="34" spans="1:61" x14ac:dyDescent="0.25">
      <c r="A34" s="11">
        <f>+BaseloadMarkets!A34</f>
        <v>36706</v>
      </c>
      <c r="B34" s="12">
        <f>987+2997</f>
        <v>3984</v>
      </c>
      <c r="C34" s="12"/>
      <c r="D34" s="12">
        <f>20000-8000</f>
        <v>12000</v>
      </c>
      <c r="E34" s="12">
        <v>4178</v>
      </c>
      <c r="F34" s="12">
        <v>1000</v>
      </c>
      <c r="G34" s="12">
        <v>5000</v>
      </c>
      <c r="H34" s="12">
        <v>10000</v>
      </c>
      <c r="I34" s="12">
        <v>10000</v>
      </c>
      <c r="J34" s="12">
        <v>3333</v>
      </c>
      <c r="K34" s="12">
        <v>1333</v>
      </c>
      <c r="L34" s="12">
        <v>15000</v>
      </c>
      <c r="M34" s="12">
        <v>5000</v>
      </c>
      <c r="N34" s="12">
        <v>5000</v>
      </c>
      <c r="O34" s="12">
        <v>10000</v>
      </c>
      <c r="P34" s="12">
        <v>10000</v>
      </c>
      <c r="Q34" s="12">
        <v>5000</v>
      </c>
      <c r="R34" s="12">
        <v>10000</v>
      </c>
      <c r="S34" s="12">
        <v>50000</v>
      </c>
      <c r="T34" s="12">
        <v>10000</v>
      </c>
      <c r="U34" s="12">
        <v>50000</v>
      </c>
      <c r="V34" s="12">
        <v>5000</v>
      </c>
      <c r="W34" s="12">
        <v>10000</v>
      </c>
      <c r="X34" s="12">
        <v>10000</v>
      </c>
      <c r="Y34" s="12">
        <v>10000</v>
      </c>
      <c r="Z34" s="12">
        <v>3600</v>
      </c>
      <c r="AA34" s="12"/>
      <c r="AB34" s="12">
        <v>5000</v>
      </c>
      <c r="AC34" s="12"/>
      <c r="AD34" s="12"/>
      <c r="AE34" s="12"/>
      <c r="AF34" s="12">
        <v>1400</v>
      </c>
      <c r="AG34" s="12">
        <v>12916</v>
      </c>
      <c r="AH34" s="12"/>
      <c r="AI34" s="12"/>
      <c r="AJ34" s="12"/>
      <c r="AK34" s="12"/>
      <c r="AL34" s="12">
        <v>14091</v>
      </c>
      <c r="AM34" s="12"/>
      <c r="AN34" s="12">
        <v>10333</v>
      </c>
      <c r="AO34" s="12"/>
      <c r="AP34" s="12">
        <v>5000</v>
      </c>
      <c r="AQ34" s="68"/>
      <c r="AR34" s="12"/>
      <c r="AS34" s="12"/>
      <c r="AT34" s="12"/>
      <c r="AU34" s="12"/>
      <c r="AV34" s="12"/>
      <c r="AW34" s="12"/>
      <c r="AX34" s="12"/>
      <c r="AY34" s="12"/>
      <c r="AZ34" s="12">
        <v>24000</v>
      </c>
      <c r="BA34" s="12"/>
      <c r="BB34" s="12"/>
      <c r="BC34" s="12"/>
      <c r="BD34" s="13">
        <f t="shared" si="0"/>
        <v>332168</v>
      </c>
      <c r="BE34" s="14">
        <f t="shared" si="1"/>
        <v>36706</v>
      </c>
      <c r="BF34" s="15"/>
      <c r="BG34" s="15"/>
      <c r="BH34" s="16"/>
      <c r="BI34" s="16"/>
    </row>
    <row r="35" spans="1:61" x14ac:dyDescent="0.25">
      <c r="A35" s="11">
        <f>+BaseloadMarkets!A35</f>
        <v>36707</v>
      </c>
      <c r="B35" s="12">
        <v>3984</v>
      </c>
      <c r="C35" s="12">
        <f>18983-3984</f>
        <v>14999</v>
      </c>
      <c r="D35" s="12">
        <v>0</v>
      </c>
      <c r="E35" s="12">
        <v>4178</v>
      </c>
      <c r="F35" s="12">
        <v>1000</v>
      </c>
      <c r="G35" s="12">
        <v>5000</v>
      </c>
      <c r="H35" s="12">
        <v>10000</v>
      </c>
      <c r="I35" s="12">
        <v>10000</v>
      </c>
      <c r="J35" s="12">
        <v>3333</v>
      </c>
      <c r="K35" s="12">
        <v>1333</v>
      </c>
      <c r="L35" s="12">
        <v>15000</v>
      </c>
      <c r="M35" s="12">
        <v>5000</v>
      </c>
      <c r="N35" s="12">
        <v>5000</v>
      </c>
      <c r="O35" s="12">
        <v>10000</v>
      </c>
      <c r="P35" s="12">
        <v>10000</v>
      </c>
      <c r="Q35" s="12">
        <v>5000</v>
      </c>
      <c r="R35" s="12">
        <v>10000</v>
      </c>
      <c r="S35" s="12">
        <v>50000</v>
      </c>
      <c r="T35" s="12">
        <v>10000</v>
      </c>
      <c r="U35" s="12">
        <v>50000</v>
      </c>
      <c r="V35" s="12">
        <v>5000</v>
      </c>
      <c r="W35" s="12">
        <v>10000</v>
      </c>
      <c r="X35" s="12">
        <v>5931</v>
      </c>
      <c r="Y35" s="12">
        <v>10000</v>
      </c>
      <c r="Z35" s="12">
        <v>3600</v>
      </c>
      <c r="AA35" s="12"/>
      <c r="AB35" s="12">
        <v>5000</v>
      </c>
      <c r="AC35" s="12"/>
      <c r="AD35" s="12"/>
      <c r="AE35" s="12"/>
      <c r="AF35" s="12">
        <v>1400</v>
      </c>
      <c r="AG35" s="12">
        <v>12916</v>
      </c>
      <c r="AH35" s="12"/>
      <c r="AI35" s="12"/>
      <c r="AJ35" s="12"/>
      <c r="AK35" s="12"/>
      <c r="AL35" s="12">
        <f>14086</f>
        <v>14086</v>
      </c>
      <c r="AM35" s="12"/>
      <c r="AN35" s="12">
        <v>10338</v>
      </c>
      <c r="AO35" s="12"/>
      <c r="AP35" s="12"/>
      <c r="AQ35" s="68"/>
      <c r="AR35" s="12"/>
      <c r="AS35" s="12"/>
      <c r="AT35" s="12"/>
      <c r="AU35" s="12"/>
      <c r="AV35" s="12"/>
      <c r="AW35" s="12"/>
      <c r="AX35" s="12"/>
      <c r="AY35" s="12"/>
      <c r="AZ35" s="12">
        <v>13016</v>
      </c>
      <c r="BA35" s="12"/>
      <c r="BB35" s="12"/>
      <c r="BC35" s="12"/>
      <c r="BD35" s="13">
        <f>SUM(B35:BC35)</f>
        <v>315114</v>
      </c>
      <c r="BE35" s="14">
        <f>BE34+1</f>
        <v>36707</v>
      </c>
      <c r="BF35" s="15"/>
      <c r="BG35" s="15"/>
      <c r="BH35" s="16"/>
      <c r="BI35" s="16"/>
    </row>
    <row r="36" spans="1:61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68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3"/>
      <c r="BE36" s="14"/>
      <c r="BF36" s="15"/>
      <c r="BG36" s="15"/>
      <c r="BH36" s="16"/>
      <c r="BI36" s="16"/>
    </row>
    <row r="37" spans="1:61" s="20" customFormat="1" x14ac:dyDescent="0.25">
      <c r="A37" s="18" t="s">
        <v>17</v>
      </c>
      <c r="B37" s="19">
        <f t="shared" ref="B37:AG37" si="2">SUM(B6:B36)</f>
        <v>119380</v>
      </c>
      <c r="C37" s="19">
        <f t="shared" si="2"/>
        <v>71342</v>
      </c>
      <c r="D37" s="19">
        <f t="shared" si="2"/>
        <v>600000</v>
      </c>
      <c r="E37" s="19">
        <f t="shared" si="2"/>
        <v>125340</v>
      </c>
      <c r="F37" s="19">
        <f t="shared" si="2"/>
        <v>30000</v>
      </c>
      <c r="G37" s="19">
        <f t="shared" si="2"/>
        <v>141463</v>
      </c>
      <c r="H37" s="19">
        <f t="shared" si="2"/>
        <v>262094</v>
      </c>
      <c r="I37" s="19">
        <f t="shared" si="2"/>
        <v>300000</v>
      </c>
      <c r="J37" s="19">
        <f t="shared" si="2"/>
        <v>99990</v>
      </c>
      <c r="K37" s="19">
        <f>SUM(K6:K36)</f>
        <v>39990</v>
      </c>
      <c r="L37" s="19">
        <f t="shared" si="2"/>
        <v>430714</v>
      </c>
      <c r="M37" s="19">
        <f t="shared" si="2"/>
        <v>150000</v>
      </c>
      <c r="N37" s="19">
        <f t="shared" si="2"/>
        <v>150000</v>
      </c>
      <c r="O37" s="19">
        <f t="shared" si="2"/>
        <v>300000</v>
      </c>
      <c r="P37" s="19">
        <f t="shared" si="2"/>
        <v>300000</v>
      </c>
      <c r="Q37" s="19">
        <f t="shared" si="2"/>
        <v>148884</v>
      </c>
      <c r="R37" s="19">
        <f t="shared" si="2"/>
        <v>300000</v>
      </c>
      <c r="S37" s="19">
        <f t="shared" si="2"/>
        <v>1500000</v>
      </c>
      <c r="T37" s="19">
        <f t="shared" si="2"/>
        <v>300000</v>
      </c>
      <c r="U37" s="19">
        <f t="shared" si="2"/>
        <v>1370650</v>
      </c>
      <c r="V37" s="19">
        <f t="shared" si="2"/>
        <v>134974</v>
      </c>
      <c r="W37" s="19">
        <f t="shared" si="2"/>
        <v>300000</v>
      </c>
      <c r="X37" s="19">
        <f t="shared" si="2"/>
        <v>274112</v>
      </c>
      <c r="Y37" s="19">
        <f t="shared" si="2"/>
        <v>299519</v>
      </c>
      <c r="Z37" s="19">
        <f t="shared" si="2"/>
        <v>108000</v>
      </c>
      <c r="AA37" s="19">
        <f t="shared" si="2"/>
        <v>19223</v>
      </c>
      <c r="AB37" s="19">
        <f t="shared" si="2"/>
        <v>125000</v>
      </c>
      <c r="AC37" s="19">
        <f t="shared" si="2"/>
        <v>109802</v>
      </c>
      <c r="AD37" s="19">
        <f t="shared" si="2"/>
        <v>45935</v>
      </c>
      <c r="AE37" s="19">
        <f t="shared" si="2"/>
        <v>232</v>
      </c>
      <c r="AF37" s="19">
        <f t="shared" si="2"/>
        <v>35000</v>
      </c>
      <c r="AG37" s="19">
        <f t="shared" si="2"/>
        <v>310000</v>
      </c>
      <c r="AH37" s="19">
        <f t="shared" ref="AH37:BD37" si="3">SUM(AH6:AH36)</f>
        <v>10000</v>
      </c>
      <c r="AI37" s="19">
        <f t="shared" si="3"/>
        <v>5000</v>
      </c>
      <c r="AJ37" s="19">
        <f t="shared" si="3"/>
        <v>9100</v>
      </c>
      <c r="AK37" s="19">
        <f t="shared" si="3"/>
        <v>20000</v>
      </c>
      <c r="AL37" s="19">
        <f t="shared" si="3"/>
        <v>309997</v>
      </c>
      <c r="AM37" s="19"/>
      <c r="AN37" s="19">
        <f t="shared" si="3"/>
        <v>155000</v>
      </c>
      <c r="AO37" s="19">
        <f t="shared" si="3"/>
        <v>24507</v>
      </c>
      <c r="AP37" s="19">
        <f t="shared" si="3"/>
        <v>45000</v>
      </c>
      <c r="AQ37" s="19">
        <f>SUM(AQ6:AQ36)</f>
        <v>10000</v>
      </c>
      <c r="AR37" s="19">
        <f>SUM(AR6:AR36)</f>
        <v>10000</v>
      </c>
      <c r="AS37" s="19">
        <f t="shared" si="3"/>
        <v>10000</v>
      </c>
      <c r="AT37" s="19">
        <f t="shared" si="3"/>
        <v>434000</v>
      </c>
      <c r="AU37" s="19">
        <f t="shared" si="3"/>
        <v>10000</v>
      </c>
      <c r="AV37" s="19">
        <f t="shared" si="3"/>
        <v>2000</v>
      </c>
      <c r="AW37" s="19">
        <f t="shared" si="3"/>
        <v>1969</v>
      </c>
      <c r="AX37" s="19">
        <f t="shared" si="3"/>
        <v>27030</v>
      </c>
      <c r="AY37" s="19"/>
      <c r="AZ37" s="19"/>
      <c r="BA37" s="19"/>
      <c r="BB37" s="19">
        <f t="shared" si="3"/>
        <v>10000</v>
      </c>
      <c r="BC37" s="19">
        <f t="shared" si="3"/>
        <v>10000</v>
      </c>
      <c r="BD37" s="19">
        <f t="shared" si="3"/>
        <v>9757659</v>
      </c>
    </row>
    <row r="38" spans="1:61" x14ac:dyDescent="0.25"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96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3"/>
      <c r="BE38" s="22"/>
    </row>
    <row r="39" spans="1:61" s="23" customFormat="1" x14ac:dyDescent="0.25">
      <c r="A39" s="23" t="s">
        <v>18</v>
      </c>
      <c r="B39" s="24">
        <f>B37-(3988*30)</f>
        <v>-260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97"/>
      <c r="AR39" s="76">
        <f>1+AQ39</f>
        <v>1</v>
      </c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4"/>
      <c r="BE39" s="26"/>
    </row>
    <row r="40" spans="1:61" x14ac:dyDescent="0.25"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97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3"/>
      <c r="BE40" s="22"/>
    </row>
    <row r="41" spans="1:61" x14ac:dyDescent="0.25">
      <c r="A41" s="17">
        <v>1</v>
      </c>
      <c r="B41" s="36">
        <f t="shared" ref="B41:BE41" si="4">+A41+1</f>
        <v>2</v>
      </c>
      <c r="C41" s="36">
        <f t="shared" si="4"/>
        <v>3</v>
      </c>
      <c r="D41" s="36">
        <f t="shared" si="4"/>
        <v>4</v>
      </c>
      <c r="E41" s="36">
        <f t="shared" si="4"/>
        <v>5</v>
      </c>
      <c r="F41" s="36">
        <f t="shared" si="4"/>
        <v>6</v>
      </c>
      <c r="G41" s="36">
        <f t="shared" si="4"/>
        <v>7</v>
      </c>
      <c r="H41" s="36">
        <f t="shared" si="4"/>
        <v>8</v>
      </c>
      <c r="I41" s="36">
        <f t="shared" si="4"/>
        <v>9</v>
      </c>
      <c r="J41" s="36">
        <f t="shared" si="4"/>
        <v>10</v>
      </c>
      <c r="K41" s="36">
        <f t="shared" si="4"/>
        <v>11</v>
      </c>
      <c r="L41" s="36">
        <f t="shared" si="4"/>
        <v>12</v>
      </c>
      <c r="M41" s="36">
        <f t="shared" si="4"/>
        <v>13</v>
      </c>
      <c r="N41" s="36">
        <f t="shared" si="4"/>
        <v>14</v>
      </c>
      <c r="O41" s="36">
        <f t="shared" si="4"/>
        <v>15</v>
      </c>
      <c r="P41" s="36">
        <f t="shared" si="4"/>
        <v>16</v>
      </c>
      <c r="Q41" s="36">
        <f t="shared" si="4"/>
        <v>17</v>
      </c>
      <c r="R41" s="36">
        <f t="shared" si="4"/>
        <v>18</v>
      </c>
      <c r="S41" s="36">
        <f t="shared" si="4"/>
        <v>19</v>
      </c>
      <c r="T41" s="36">
        <f t="shared" si="4"/>
        <v>20</v>
      </c>
      <c r="U41" s="36">
        <f t="shared" si="4"/>
        <v>21</v>
      </c>
      <c r="V41" s="36">
        <f t="shared" si="4"/>
        <v>22</v>
      </c>
      <c r="W41" s="36">
        <f t="shared" si="4"/>
        <v>23</v>
      </c>
      <c r="X41" s="36">
        <f t="shared" si="4"/>
        <v>24</v>
      </c>
      <c r="Y41" s="36">
        <f t="shared" si="4"/>
        <v>25</v>
      </c>
      <c r="Z41" s="36">
        <f t="shared" si="4"/>
        <v>26</v>
      </c>
      <c r="AA41" s="36">
        <f t="shared" si="4"/>
        <v>27</v>
      </c>
      <c r="AB41" s="36">
        <f t="shared" si="4"/>
        <v>28</v>
      </c>
      <c r="AC41" s="36">
        <f t="shared" si="4"/>
        <v>29</v>
      </c>
      <c r="AD41" s="36">
        <f t="shared" si="4"/>
        <v>30</v>
      </c>
      <c r="AE41" s="36">
        <f t="shared" si="4"/>
        <v>31</v>
      </c>
      <c r="AF41" s="36">
        <f t="shared" si="4"/>
        <v>32</v>
      </c>
      <c r="AG41" s="36">
        <f t="shared" si="4"/>
        <v>33</v>
      </c>
      <c r="AH41" s="36">
        <f t="shared" si="4"/>
        <v>34</v>
      </c>
      <c r="AI41" s="36">
        <f t="shared" si="4"/>
        <v>35</v>
      </c>
      <c r="AJ41" s="36">
        <f t="shared" si="4"/>
        <v>36</v>
      </c>
      <c r="AK41" s="36">
        <f t="shared" si="4"/>
        <v>37</v>
      </c>
      <c r="AL41" s="36">
        <f t="shared" si="4"/>
        <v>38</v>
      </c>
      <c r="AM41" s="36">
        <f t="shared" si="4"/>
        <v>39</v>
      </c>
      <c r="AN41" s="36">
        <f t="shared" si="4"/>
        <v>40</v>
      </c>
      <c r="AO41" s="36">
        <f t="shared" si="4"/>
        <v>41</v>
      </c>
      <c r="AP41" s="36">
        <f t="shared" si="4"/>
        <v>42</v>
      </c>
      <c r="AQ41" s="36">
        <f t="shared" si="4"/>
        <v>43</v>
      </c>
      <c r="AR41" s="36">
        <f t="shared" si="4"/>
        <v>44</v>
      </c>
      <c r="AS41" s="36">
        <f t="shared" si="4"/>
        <v>45</v>
      </c>
      <c r="AT41" s="36">
        <f t="shared" si="4"/>
        <v>46</v>
      </c>
      <c r="AU41" s="36">
        <f t="shared" si="4"/>
        <v>47</v>
      </c>
      <c r="AV41" s="36">
        <f t="shared" si="4"/>
        <v>48</v>
      </c>
      <c r="AW41" s="36">
        <f t="shared" si="4"/>
        <v>49</v>
      </c>
      <c r="AX41" s="36">
        <f t="shared" si="4"/>
        <v>50</v>
      </c>
      <c r="AY41" s="36">
        <f t="shared" si="4"/>
        <v>51</v>
      </c>
      <c r="AZ41" s="36">
        <f t="shared" si="4"/>
        <v>52</v>
      </c>
      <c r="BA41" s="36">
        <f t="shared" si="4"/>
        <v>53</v>
      </c>
      <c r="BB41" s="36">
        <f t="shared" si="4"/>
        <v>54</v>
      </c>
      <c r="BC41" s="36">
        <f t="shared" si="4"/>
        <v>55</v>
      </c>
      <c r="BD41" s="36">
        <f t="shared" si="4"/>
        <v>56</v>
      </c>
      <c r="BE41" s="36">
        <f t="shared" si="4"/>
        <v>57</v>
      </c>
    </row>
    <row r="42" spans="1:61" x14ac:dyDescent="0.25"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97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3"/>
      <c r="BE42" s="22"/>
    </row>
    <row r="43" spans="1:61" x14ac:dyDescent="0.25"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97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3"/>
      <c r="BE43" s="22"/>
    </row>
    <row r="44" spans="1:61" x14ac:dyDescent="0.25"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3"/>
      <c r="BE44" s="22"/>
    </row>
    <row r="45" spans="1:61" x14ac:dyDescent="0.25"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3"/>
      <c r="BE45" s="22"/>
    </row>
    <row r="46" spans="1:61" x14ac:dyDescent="0.25"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3"/>
      <c r="BE46" s="22"/>
    </row>
    <row r="47" spans="1:61" x14ac:dyDescent="0.25"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3"/>
      <c r="BE47" s="22"/>
    </row>
    <row r="48" spans="1:61" x14ac:dyDescent="0.25"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3"/>
    </row>
    <row r="49" spans="3:56" x14ac:dyDescent="0.25"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3"/>
    </row>
    <row r="50" spans="3:56" x14ac:dyDescent="0.25"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3"/>
    </row>
  </sheetData>
  <printOptions horizontalCentered="1" verticalCentered="1" gridLines="1" gridLinesSet="0"/>
  <pageMargins left="0.25" right="0.25" top="0.25" bottom="0.25" header="0.25" footer="0.25"/>
  <pageSetup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K38"/>
  <sheetViews>
    <sheetView zoomScale="95" workbookViewId="0">
      <pane xSplit="1" ySplit="5" topLeftCell="B6" activePane="bottomRight" state="frozen"/>
      <selection activeCell="F4" sqref="F4"/>
      <selection pane="topRight" activeCell="F4" sqref="F4"/>
      <selection pane="bottomLeft" activeCell="F4" sqref="F4"/>
      <selection pane="bottomRight" activeCell="F4" sqref="F4"/>
    </sheetView>
  </sheetViews>
  <sheetFormatPr defaultColWidth="9.33203125" defaultRowHeight="13.2" x14ac:dyDescent="0.25"/>
  <cols>
    <col min="1" max="1" width="14.33203125" style="20" customWidth="1"/>
    <col min="2" max="4" width="11.77734375" style="12" customWidth="1"/>
    <col min="5" max="5" width="12.77734375" style="353" customWidth="1"/>
    <col min="6" max="6" width="11.77734375" style="353" customWidth="1"/>
    <col min="7" max="7" width="11.77734375" style="210" customWidth="1"/>
    <col min="8" max="10" width="11.77734375" style="12" customWidth="1"/>
    <col min="11" max="11" width="12.44140625" style="353" customWidth="1"/>
    <col min="12" max="12" width="11.77734375" style="353" customWidth="1"/>
    <col min="13" max="13" width="11.77734375" style="210" customWidth="1"/>
    <col min="14" max="16" width="11.77734375" style="12" customWidth="1"/>
    <col min="17" max="17" width="12.44140625" style="353" customWidth="1"/>
    <col min="18" max="18" width="11.77734375" style="353" customWidth="1"/>
    <col min="19" max="19" width="11.77734375" style="210" customWidth="1"/>
    <col min="20" max="22" width="11.77734375" style="353" customWidth="1"/>
    <col min="23" max="23" width="13" style="353" customWidth="1"/>
    <col min="24" max="24" width="11.77734375" style="353" customWidth="1"/>
    <col min="25" max="25" width="11.77734375" style="210" customWidth="1"/>
    <col min="26" max="28" width="11.77734375" style="353" customWidth="1"/>
    <col min="29" max="29" width="13" style="353" customWidth="1"/>
    <col min="30" max="30" width="11.77734375" style="353" customWidth="1"/>
    <col min="31" max="31" width="11.77734375" style="210" customWidth="1"/>
    <col min="32" max="34" width="11.77734375" style="353" customWidth="1"/>
    <col min="35" max="35" width="13" style="353" customWidth="1"/>
    <col min="36" max="36" width="11.77734375" style="353" customWidth="1"/>
    <col min="37" max="37" width="11.77734375" style="210" customWidth="1"/>
    <col min="38" max="40" width="11.77734375" style="353" customWidth="1"/>
    <col min="41" max="41" width="13" style="353" customWidth="1"/>
    <col min="42" max="42" width="11.77734375" style="353" customWidth="1"/>
    <col min="43" max="43" width="11.77734375" style="210" customWidth="1"/>
    <col min="44" max="46" width="11.77734375" style="353" customWidth="1"/>
    <col min="47" max="47" width="13" style="353" customWidth="1"/>
    <col min="48" max="48" width="11.77734375" style="353" customWidth="1"/>
    <col min="49" max="49" width="11.77734375" style="210" customWidth="1"/>
    <col min="50" max="52" width="11.77734375" style="353" customWidth="1"/>
    <col min="53" max="53" width="13" style="353" customWidth="1"/>
    <col min="54" max="54" width="11.77734375" style="353" customWidth="1"/>
    <col min="55" max="56" width="11.77734375" style="210" customWidth="1"/>
    <col min="57" max="57" width="13" style="353" customWidth="1"/>
    <col min="58" max="58" width="16.109375" style="353" customWidth="1"/>
    <col min="59" max="61" width="13" style="353" customWidth="1"/>
    <col min="62" max="62" width="18.109375" style="353" customWidth="1"/>
    <col min="63" max="63" width="10" style="20" bestFit="1" customWidth="1"/>
    <col min="64" max="16384" width="9.33203125" style="20"/>
  </cols>
  <sheetData>
    <row r="1" spans="1:63" ht="26.25" customHeight="1" x14ac:dyDescent="0.25">
      <c r="K1" s="354" t="s">
        <v>153</v>
      </c>
      <c r="Q1" s="354"/>
    </row>
    <row r="2" spans="1:63" ht="11.25" customHeight="1" x14ac:dyDescent="0.25">
      <c r="A2" s="208"/>
    </row>
    <row r="3" spans="1:63" s="208" customFormat="1" ht="15.75" customHeight="1" x14ac:dyDescent="0.25">
      <c r="B3" s="203" t="s">
        <v>33</v>
      </c>
      <c r="C3" s="203"/>
      <c r="D3" s="203"/>
      <c r="E3" s="210"/>
      <c r="F3" s="210"/>
      <c r="G3" s="210"/>
      <c r="H3" s="203" t="s">
        <v>30</v>
      </c>
      <c r="I3" s="203"/>
      <c r="J3" s="203"/>
      <c r="K3" s="210"/>
      <c r="L3" s="210"/>
      <c r="M3" s="210"/>
      <c r="N3" s="203" t="s">
        <v>35</v>
      </c>
      <c r="O3" s="203"/>
      <c r="P3" s="203"/>
      <c r="Q3" s="210"/>
      <c r="R3" s="210"/>
      <c r="S3" s="210"/>
      <c r="T3" s="210" t="s">
        <v>154</v>
      </c>
      <c r="U3" s="210"/>
      <c r="V3" s="210"/>
      <c r="W3" s="210"/>
      <c r="X3" s="210"/>
      <c r="Y3" s="210"/>
      <c r="Z3" s="355" t="s">
        <v>23</v>
      </c>
      <c r="AA3" s="210"/>
      <c r="AB3" s="210"/>
      <c r="AC3" s="210"/>
      <c r="AD3" s="210"/>
      <c r="AE3" s="210"/>
      <c r="AF3" s="355" t="s">
        <v>24</v>
      </c>
      <c r="AG3" s="210"/>
      <c r="AH3" s="210"/>
      <c r="AI3" s="210"/>
      <c r="AJ3" s="210"/>
      <c r="AK3" s="210"/>
      <c r="AL3" s="355" t="s">
        <v>25</v>
      </c>
      <c r="AM3" s="210"/>
      <c r="AN3" s="210"/>
      <c r="AO3" s="210"/>
      <c r="AP3" s="210"/>
      <c r="AQ3" s="210"/>
      <c r="AR3" s="355" t="s">
        <v>26</v>
      </c>
      <c r="AS3" s="210"/>
      <c r="AT3" s="210"/>
      <c r="AU3" s="210"/>
      <c r="AV3" s="210"/>
      <c r="AW3" s="210"/>
      <c r="AX3" s="355" t="s">
        <v>27</v>
      </c>
      <c r="AY3" s="210"/>
      <c r="AZ3" s="210"/>
      <c r="BA3" s="210"/>
      <c r="BB3" s="210"/>
      <c r="BC3" s="210"/>
      <c r="BD3" s="210"/>
      <c r="BE3" s="210"/>
      <c r="BF3" s="210"/>
      <c r="BG3" s="210"/>
      <c r="BH3" s="210"/>
      <c r="BI3" s="210"/>
      <c r="BJ3" s="210"/>
    </row>
    <row r="4" spans="1:63" s="208" customFormat="1" x14ac:dyDescent="0.25">
      <c r="B4" s="356"/>
      <c r="C4" s="356">
        <v>0.5</v>
      </c>
      <c r="D4" s="356"/>
      <c r="E4" s="210"/>
      <c r="F4" s="210" t="s">
        <v>155</v>
      </c>
      <c r="G4" s="210" t="s">
        <v>156</v>
      </c>
      <c r="H4" s="203"/>
      <c r="I4" s="356">
        <v>0.5</v>
      </c>
      <c r="J4" s="356"/>
      <c r="K4" s="210"/>
      <c r="L4" s="210"/>
      <c r="M4" s="210" t="s">
        <v>156</v>
      </c>
      <c r="N4" s="203"/>
      <c r="O4" s="356">
        <v>0.5</v>
      </c>
      <c r="P4" s="356"/>
      <c r="Q4" s="210"/>
      <c r="R4" s="210"/>
      <c r="S4" s="210" t="s">
        <v>156</v>
      </c>
      <c r="T4" s="210" t="s">
        <v>157</v>
      </c>
      <c r="U4" s="356">
        <v>0.5</v>
      </c>
      <c r="V4" s="210"/>
      <c r="W4" s="210"/>
      <c r="X4" s="210"/>
      <c r="Y4" s="210" t="s">
        <v>156</v>
      </c>
      <c r="Z4" s="210" t="s">
        <v>36</v>
      </c>
      <c r="AA4" s="356">
        <v>0.5</v>
      </c>
      <c r="AB4" s="210"/>
      <c r="AC4" s="210"/>
      <c r="AD4" s="210"/>
      <c r="AE4" s="210" t="s">
        <v>156</v>
      </c>
      <c r="AF4" s="210" t="s">
        <v>36</v>
      </c>
      <c r="AG4" s="356">
        <v>0.5</v>
      </c>
      <c r="AH4" s="210"/>
      <c r="AI4" s="210"/>
      <c r="AJ4" s="210"/>
      <c r="AK4" s="210" t="s">
        <v>156</v>
      </c>
      <c r="AL4" s="210" t="s">
        <v>36</v>
      </c>
      <c r="AM4" s="356">
        <v>0.5</v>
      </c>
      <c r="AN4" s="210"/>
      <c r="AO4" s="210"/>
      <c r="AP4" s="210"/>
      <c r="AQ4" s="210" t="s">
        <v>156</v>
      </c>
      <c r="AR4" s="210" t="s">
        <v>36</v>
      </c>
      <c r="AS4" s="356">
        <v>0.5</v>
      </c>
      <c r="AT4" s="210"/>
      <c r="AU4" s="210"/>
      <c r="AV4" s="210"/>
      <c r="AW4" s="210" t="s">
        <v>156</v>
      </c>
      <c r="AX4" s="210" t="s">
        <v>36</v>
      </c>
      <c r="AY4" s="356">
        <v>0.5</v>
      </c>
      <c r="AZ4" s="210"/>
      <c r="BA4" s="210"/>
      <c r="BB4" s="210"/>
      <c r="BC4" s="210" t="s">
        <v>156</v>
      </c>
      <c r="BD4" s="210"/>
      <c r="BE4" s="210" t="s">
        <v>10</v>
      </c>
      <c r="BF4" s="210" t="s">
        <v>10</v>
      </c>
      <c r="BG4" s="210" t="s">
        <v>10</v>
      </c>
      <c r="BH4" s="210" t="s">
        <v>10</v>
      </c>
      <c r="BI4" s="210" t="s">
        <v>10</v>
      </c>
      <c r="BJ4" s="210" t="s">
        <v>165</v>
      </c>
    </row>
    <row r="5" spans="1:63" s="208" customFormat="1" x14ac:dyDescent="0.25">
      <c r="A5" s="357" t="s">
        <v>56</v>
      </c>
      <c r="B5" s="357" t="s">
        <v>158</v>
      </c>
      <c r="C5" s="357" t="s">
        <v>158</v>
      </c>
      <c r="D5" s="357" t="s">
        <v>45</v>
      </c>
      <c r="E5" s="358" t="s">
        <v>41</v>
      </c>
      <c r="F5" s="358" t="s">
        <v>87</v>
      </c>
      <c r="G5" s="358" t="s">
        <v>87</v>
      </c>
      <c r="H5" s="357" t="s">
        <v>158</v>
      </c>
      <c r="I5" s="357" t="s">
        <v>158</v>
      </c>
      <c r="J5" s="357" t="s">
        <v>45</v>
      </c>
      <c r="K5" s="358" t="s">
        <v>41</v>
      </c>
      <c r="L5" s="358" t="s">
        <v>87</v>
      </c>
      <c r="M5" s="358" t="s">
        <v>87</v>
      </c>
      <c r="N5" s="357" t="s">
        <v>158</v>
      </c>
      <c r="O5" s="357" t="s">
        <v>158</v>
      </c>
      <c r="P5" s="357" t="s">
        <v>45</v>
      </c>
      <c r="Q5" s="358" t="s">
        <v>41</v>
      </c>
      <c r="R5" s="358" t="s">
        <v>87</v>
      </c>
      <c r="S5" s="358" t="s">
        <v>87</v>
      </c>
      <c r="T5" s="358" t="s">
        <v>38</v>
      </c>
      <c r="U5" s="358" t="s">
        <v>38</v>
      </c>
      <c r="V5" s="358" t="s">
        <v>45</v>
      </c>
      <c r="W5" s="358" t="s">
        <v>41</v>
      </c>
      <c r="X5" s="358" t="s">
        <v>87</v>
      </c>
      <c r="Y5" s="358" t="s">
        <v>87</v>
      </c>
      <c r="Z5" s="358" t="s">
        <v>38</v>
      </c>
      <c r="AA5" s="358" t="s">
        <v>38</v>
      </c>
      <c r="AB5" s="358" t="s">
        <v>45</v>
      </c>
      <c r="AC5" s="358" t="s">
        <v>41</v>
      </c>
      <c r="AD5" s="358" t="s">
        <v>87</v>
      </c>
      <c r="AE5" s="358" t="s">
        <v>87</v>
      </c>
      <c r="AF5" s="358" t="s">
        <v>38</v>
      </c>
      <c r="AG5" s="358" t="s">
        <v>38</v>
      </c>
      <c r="AH5" s="358" t="s">
        <v>45</v>
      </c>
      <c r="AI5" s="358" t="s">
        <v>41</v>
      </c>
      <c r="AJ5" s="358" t="s">
        <v>87</v>
      </c>
      <c r="AK5" s="358" t="s">
        <v>87</v>
      </c>
      <c r="AL5" s="358" t="s">
        <v>38</v>
      </c>
      <c r="AM5" s="358" t="s">
        <v>38</v>
      </c>
      <c r="AN5" s="358" t="s">
        <v>45</v>
      </c>
      <c r="AO5" s="358" t="s">
        <v>41</v>
      </c>
      <c r="AP5" s="358" t="s">
        <v>87</v>
      </c>
      <c r="AQ5" s="358" t="s">
        <v>87</v>
      </c>
      <c r="AR5" s="358" t="s">
        <v>38</v>
      </c>
      <c r="AS5" s="358" t="s">
        <v>38</v>
      </c>
      <c r="AT5" s="358" t="s">
        <v>45</v>
      </c>
      <c r="AU5" s="358" t="s">
        <v>41</v>
      </c>
      <c r="AV5" s="358" t="s">
        <v>87</v>
      </c>
      <c r="AW5" s="358" t="s">
        <v>87</v>
      </c>
      <c r="AX5" s="358" t="s">
        <v>38</v>
      </c>
      <c r="AY5" s="358" t="s">
        <v>38</v>
      </c>
      <c r="AZ5" s="358" t="s">
        <v>45</v>
      </c>
      <c r="BA5" s="358" t="s">
        <v>41</v>
      </c>
      <c r="BB5" s="358" t="s">
        <v>87</v>
      </c>
      <c r="BC5" s="358" t="s">
        <v>87</v>
      </c>
      <c r="BD5" s="395"/>
      <c r="BE5" s="358" t="s">
        <v>38</v>
      </c>
      <c r="BF5" s="358" t="s">
        <v>163</v>
      </c>
      <c r="BG5" s="358" t="s">
        <v>45</v>
      </c>
      <c r="BH5" s="358" t="s">
        <v>164</v>
      </c>
      <c r="BI5" s="358" t="s">
        <v>87</v>
      </c>
      <c r="BJ5" s="358" t="s">
        <v>166</v>
      </c>
    </row>
    <row r="6" spans="1:63" x14ac:dyDescent="0.25">
      <c r="A6" s="359">
        <f>+BaseloadMarkets!A6</f>
        <v>36678</v>
      </c>
      <c r="B6" s="360">
        <f>+OCCMarkets!O6</f>
        <v>1535</v>
      </c>
      <c r="C6" s="361">
        <f t="shared" ref="C6:C35" si="0">B6/2</f>
        <v>767.5</v>
      </c>
      <c r="D6" s="361">
        <f>+OCCMarkets!S6</f>
        <v>5856</v>
      </c>
      <c r="E6" s="362">
        <f t="shared" ref="E6:E34" si="1">D6-C6</f>
        <v>5088.5</v>
      </c>
      <c r="F6" s="362">
        <f>E6</f>
        <v>5088.5</v>
      </c>
      <c r="G6" s="363"/>
      <c r="H6" s="360">
        <f>+OCCMarkets!C6</f>
        <v>9766</v>
      </c>
      <c r="I6" s="361">
        <f t="shared" ref="I6:I35" si="2">H6/2</f>
        <v>4883</v>
      </c>
      <c r="J6" s="361">
        <f>+OCCMarkets!L6-OCCMarkets!H6</f>
        <v>20608</v>
      </c>
      <c r="K6" s="362">
        <f t="shared" ref="K6:K34" si="3">J6-I6</f>
        <v>15725</v>
      </c>
      <c r="L6" s="362">
        <f>K6</f>
        <v>15725</v>
      </c>
      <c r="M6" s="363"/>
      <c r="N6" s="360">
        <f>+OCCMarkets!V6</f>
        <v>725</v>
      </c>
      <c r="O6" s="361">
        <f t="shared" ref="O6:O35" si="4">N6/2</f>
        <v>362.5</v>
      </c>
      <c r="P6" s="361">
        <f>+OCCMarkets!Z6</f>
        <v>5857</v>
      </c>
      <c r="Q6" s="362">
        <f t="shared" ref="Q6:Q34" si="5">P6-O6</f>
        <v>5494.5</v>
      </c>
      <c r="R6" s="362">
        <f>Q6</f>
        <v>5494.5</v>
      </c>
      <c r="S6" s="363"/>
      <c r="T6" s="353">
        <f>+EES!C5</f>
        <v>70000</v>
      </c>
      <c r="U6" s="353">
        <f t="shared" ref="U6:U35" si="6">T6/2</f>
        <v>35000</v>
      </c>
      <c r="V6" s="353">
        <f>+EES!AI5-EES!M5</f>
        <v>100941</v>
      </c>
      <c r="W6" s="362">
        <f t="shared" ref="W6:W34" si="7">V6-U6</f>
        <v>65941</v>
      </c>
      <c r="X6" s="362">
        <f>W6</f>
        <v>65941</v>
      </c>
      <c r="Y6" s="363"/>
      <c r="Z6" s="353">
        <f>+OCCMarkets!AC6</f>
        <v>157</v>
      </c>
      <c r="AA6" s="353">
        <f t="shared" ref="AA6:AA35" si="8">Z6/2</f>
        <v>78.5</v>
      </c>
      <c r="AB6" s="353">
        <f>+OCCMarkets!AG6</f>
        <v>1757</v>
      </c>
      <c r="AC6" s="362">
        <f t="shared" ref="AC6:AC34" si="9">AB6-AA6</f>
        <v>1678.5</v>
      </c>
      <c r="AD6" s="362">
        <f>AC6</f>
        <v>1678.5</v>
      </c>
      <c r="AE6" s="363"/>
      <c r="AF6" s="353">
        <f>+OCCMarkets!AJ6</f>
        <v>9487</v>
      </c>
      <c r="AG6" s="353">
        <f t="shared" ref="AG6:AG35" si="10">AF6/2</f>
        <v>4743.5</v>
      </c>
      <c r="AH6" s="353">
        <f>+OCCMarkets!AN6</f>
        <v>21274</v>
      </c>
      <c r="AI6" s="362">
        <f t="shared" ref="AI6:AI34" si="11">AH6-AG6</f>
        <v>16530.5</v>
      </c>
      <c r="AJ6" s="362">
        <f>AI6</f>
        <v>16530.5</v>
      </c>
      <c r="AK6" s="363"/>
      <c r="AL6" s="353">
        <f>+OCCMarkets!AQ6</f>
        <v>0</v>
      </c>
      <c r="AM6" s="353">
        <f t="shared" ref="AM6:AM35" si="12">AL6/2</f>
        <v>0</v>
      </c>
      <c r="AN6" s="353">
        <f>+OCCMarkets!AU6</f>
        <v>0</v>
      </c>
      <c r="AO6" s="362">
        <f t="shared" ref="AO6:AO34" si="13">AN6-AM6</f>
        <v>0</v>
      </c>
      <c r="AP6" s="362">
        <f>AO6</f>
        <v>0</v>
      </c>
      <c r="AQ6" s="363"/>
      <c r="AR6" s="353">
        <f>+OCCMarkets!AX6</f>
        <v>195</v>
      </c>
      <c r="AS6" s="353">
        <f t="shared" ref="AS6:AS35" si="14">AR6/2</f>
        <v>97.5</v>
      </c>
      <c r="AT6" s="353">
        <f>+OCCMarkets!BB6</f>
        <v>1757</v>
      </c>
      <c r="AU6" s="362">
        <f t="shared" ref="AU6:AU34" si="15">AT6-AS6</f>
        <v>1659.5</v>
      </c>
      <c r="AV6" s="362">
        <f>AU6</f>
        <v>1659.5</v>
      </c>
      <c r="AW6" s="363"/>
      <c r="AX6" s="353">
        <f>+OCCMarkets!BE6</f>
        <v>321</v>
      </c>
      <c r="AY6" s="353">
        <f t="shared" ref="AY6:AY35" si="16">AX6/2</f>
        <v>160.5</v>
      </c>
      <c r="AZ6" s="353">
        <f>+OCCMarkets!BI6</f>
        <v>2343</v>
      </c>
      <c r="BA6" s="362">
        <f t="shared" ref="BA6:BA34" si="17">AZ6-AY6</f>
        <v>2182.5</v>
      </c>
      <c r="BB6" s="362">
        <f>BA6</f>
        <v>2182.5</v>
      </c>
      <c r="BC6" s="363"/>
      <c r="BD6" s="395"/>
      <c r="BE6" s="362">
        <f>+B6+H6+N6+T6+Z6+AF6+AL6+AR6+AX6</f>
        <v>92186</v>
      </c>
      <c r="BF6" s="362">
        <f>+C6+I6+O6+U6+AA6+AG6+AM6+AS6+AY6</f>
        <v>46093</v>
      </c>
      <c r="BG6" s="362">
        <f>+D6+J6+P6+V6+AB6+AH6+AN6+AT6+AZ6</f>
        <v>160393</v>
      </c>
      <c r="BH6" s="362">
        <f>+E6+K6+Q6+W6+AC6+AI6+AO6+AU6+BA6</f>
        <v>114300</v>
      </c>
      <c r="BI6" s="362">
        <f>+F6+L6+R6+X6+AD6+AJ6+AP6+AV6+BB6</f>
        <v>114300</v>
      </c>
      <c r="BJ6" s="362"/>
    </row>
    <row r="7" spans="1:63" x14ac:dyDescent="0.25">
      <c r="A7" s="359">
        <f>+BaseloadMarkets!A7</f>
        <v>36679</v>
      </c>
      <c r="B7" s="360">
        <f>+OCCMarkets!O7</f>
        <v>2331</v>
      </c>
      <c r="C7" s="361">
        <f t="shared" si="0"/>
        <v>1165.5</v>
      </c>
      <c r="D7" s="361">
        <f>+OCCMarkets!S7</f>
        <v>5373</v>
      </c>
      <c r="E7" s="362">
        <f t="shared" si="1"/>
        <v>4207.5</v>
      </c>
      <c r="F7" s="362">
        <f t="shared" ref="F7:F34" si="18">F6+E7</f>
        <v>9296</v>
      </c>
      <c r="G7" s="363"/>
      <c r="H7" s="360">
        <f>+OCCMarkets!C7</f>
        <v>7172</v>
      </c>
      <c r="I7" s="361">
        <f t="shared" si="2"/>
        <v>3586</v>
      </c>
      <c r="J7" s="361">
        <f>+OCCMarkets!L7-OCCMarkets!H7</f>
        <v>19195</v>
      </c>
      <c r="K7" s="362">
        <f t="shared" si="3"/>
        <v>15609</v>
      </c>
      <c r="L7" s="362">
        <f t="shared" ref="L7:L34" si="19">L6+K7</f>
        <v>31334</v>
      </c>
      <c r="M7" s="363"/>
      <c r="N7" s="360">
        <f>+OCCMarkets!V7</f>
        <v>1398</v>
      </c>
      <c r="O7" s="361">
        <f t="shared" si="4"/>
        <v>699</v>
      </c>
      <c r="P7" s="361">
        <f>+OCCMarkets!Z7</f>
        <v>4767</v>
      </c>
      <c r="Q7" s="362">
        <f t="shared" si="5"/>
        <v>4068</v>
      </c>
      <c r="R7" s="362">
        <f t="shared" ref="R7:R34" si="20">R6+Q7</f>
        <v>9562.5</v>
      </c>
      <c r="S7" s="363"/>
      <c r="T7" s="353">
        <f>+EES!C6</f>
        <v>70000</v>
      </c>
      <c r="U7" s="353">
        <f t="shared" si="6"/>
        <v>35000</v>
      </c>
      <c r="V7" s="353">
        <f>+EES!AI6-EES!M6</f>
        <v>72263</v>
      </c>
      <c r="W7" s="362">
        <f t="shared" si="7"/>
        <v>37263</v>
      </c>
      <c r="X7" s="362">
        <f t="shared" ref="X7:X34" si="21">X6+W7</f>
        <v>103204</v>
      </c>
      <c r="Y7" s="363"/>
      <c r="Z7" s="353">
        <f>+OCCMarkets!AC7</f>
        <v>184</v>
      </c>
      <c r="AA7" s="353">
        <f t="shared" si="8"/>
        <v>92</v>
      </c>
      <c r="AB7" s="353">
        <f>+OCCMarkets!AG7</f>
        <v>934</v>
      </c>
      <c r="AC7" s="362">
        <f t="shared" si="9"/>
        <v>842</v>
      </c>
      <c r="AD7" s="362">
        <f t="shared" ref="AD7:AD34" si="22">AD6+AC7</f>
        <v>2520.5</v>
      </c>
      <c r="AE7" s="363"/>
      <c r="AF7" s="353">
        <f>+OCCMarkets!AJ7</f>
        <v>8354</v>
      </c>
      <c r="AG7" s="353">
        <f t="shared" si="10"/>
        <v>4177</v>
      </c>
      <c r="AH7" s="353">
        <f>+OCCMarkets!AN7</f>
        <v>22613</v>
      </c>
      <c r="AI7" s="362">
        <f t="shared" si="11"/>
        <v>18436</v>
      </c>
      <c r="AJ7" s="362">
        <f t="shared" ref="AJ7:AJ34" si="23">AJ6+AI7</f>
        <v>34966.5</v>
      </c>
      <c r="AK7" s="363"/>
      <c r="AL7" s="353">
        <f>+OCCMarkets!AQ7</f>
        <v>0</v>
      </c>
      <c r="AM7" s="353">
        <f t="shared" si="12"/>
        <v>0</v>
      </c>
      <c r="AN7" s="353">
        <f>+OCCMarkets!AU7</f>
        <v>0</v>
      </c>
      <c r="AO7" s="362">
        <f t="shared" si="13"/>
        <v>0</v>
      </c>
      <c r="AP7" s="362">
        <f t="shared" ref="AP7:AP34" si="24">AP6+AO7</f>
        <v>0</v>
      </c>
      <c r="AQ7" s="363"/>
      <c r="AR7" s="353">
        <f>+OCCMarkets!AX7</f>
        <v>199</v>
      </c>
      <c r="AS7" s="353">
        <f t="shared" si="14"/>
        <v>99.5</v>
      </c>
      <c r="AT7" s="353">
        <f>+OCCMarkets!BB7</f>
        <v>934</v>
      </c>
      <c r="AU7" s="362">
        <f t="shared" si="15"/>
        <v>834.5</v>
      </c>
      <c r="AV7" s="362">
        <f t="shared" ref="AV7:AV34" si="25">AV6+AU7</f>
        <v>2494</v>
      </c>
      <c r="AW7" s="363"/>
      <c r="AX7" s="353">
        <f>+OCCMarkets!BE7</f>
        <v>326</v>
      </c>
      <c r="AY7" s="353">
        <f t="shared" si="16"/>
        <v>163</v>
      </c>
      <c r="AZ7" s="353">
        <f>+OCCMarkets!BI7</f>
        <v>934</v>
      </c>
      <c r="BA7" s="362">
        <f t="shared" si="17"/>
        <v>771</v>
      </c>
      <c r="BB7" s="362">
        <f t="shared" ref="BB7:BB34" si="26">BB6+BA7</f>
        <v>2953.5</v>
      </c>
      <c r="BC7" s="363"/>
      <c r="BD7" s="395"/>
      <c r="BE7" s="362">
        <f t="shared" ref="BE7:BF34" si="27">+B7+H7+N7+T7+Z7+AF7+AL7+AR7+AX7</f>
        <v>89964</v>
      </c>
      <c r="BF7" s="362">
        <f t="shared" si="27"/>
        <v>44982</v>
      </c>
      <c r="BG7" s="362">
        <f t="shared" ref="BG7:BI34" si="28">+D7+J7+P7+V7+AB7+AH7+AN7+AT7+AZ7</f>
        <v>127013</v>
      </c>
      <c r="BH7" s="362">
        <f t="shared" si="28"/>
        <v>82031</v>
      </c>
      <c r="BI7" s="362">
        <f t="shared" si="28"/>
        <v>196331</v>
      </c>
      <c r="BJ7" s="362"/>
    </row>
    <row r="8" spans="1:63" x14ac:dyDescent="0.25">
      <c r="A8" s="359">
        <f>+BaseloadMarkets!A8</f>
        <v>36680</v>
      </c>
      <c r="B8" s="360">
        <f>+OCCMarkets!O8</f>
        <v>2410</v>
      </c>
      <c r="C8" s="361">
        <f t="shared" si="0"/>
        <v>1205</v>
      </c>
      <c r="D8" s="361">
        <f>+OCCMarkets!S8</f>
        <v>137</v>
      </c>
      <c r="E8" s="362">
        <f t="shared" si="1"/>
        <v>-1068</v>
      </c>
      <c r="F8" s="362">
        <f t="shared" si="18"/>
        <v>8228</v>
      </c>
      <c r="G8" s="363"/>
      <c r="H8" s="360">
        <f>+OCCMarkets!C8</f>
        <v>7180</v>
      </c>
      <c r="I8" s="361">
        <f t="shared" si="2"/>
        <v>3590</v>
      </c>
      <c r="J8" s="361">
        <f>+OCCMarkets!L8-OCCMarkets!H8</f>
        <v>6800</v>
      </c>
      <c r="K8" s="362">
        <f t="shared" si="3"/>
        <v>3210</v>
      </c>
      <c r="L8" s="362">
        <f t="shared" si="19"/>
        <v>34544</v>
      </c>
      <c r="M8" s="363"/>
      <c r="N8" s="360">
        <f>+OCCMarkets!V8</f>
        <v>703</v>
      </c>
      <c r="O8" s="361">
        <f t="shared" si="4"/>
        <v>351.5</v>
      </c>
      <c r="P8" s="361">
        <f>+OCCMarkets!Z8</f>
        <v>224</v>
      </c>
      <c r="Q8" s="362">
        <f t="shared" si="5"/>
        <v>-127.5</v>
      </c>
      <c r="R8" s="362">
        <f t="shared" si="20"/>
        <v>9435</v>
      </c>
      <c r="S8" s="363"/>
      <c r="T8" s="353">
        <f>+EES!C7</f>
        <v>70000</v>
      </c>
      <c r="U8" s="353">
        <f t="shared" si="6"/>
        <v>35000</v>
      </c>
      <c r="V8" s="353">
        <f>+EES!AI7-EES!M7</f>
        <v>44929</v>
      </c>
      <c r="W8" s="362">
        <f t="shared" si="7"/>
        <v>9929</v>
      </c>
      <c r="X8" s="362">
        <f t="shared" si="21"/>
        <v>113133</v>
      </c>
      <c r="Y8" s="363"/>
      <c r="Z8" s="353">
        <f>+OCCMarkets!AC8</f>
        <v>196</v>
      </c>
      <c r="AA8" s="353">
        <f t="shared" si="8"/>
        <v>98</v>
      </c>
      <c r="AB8" s="353">
        <f>+OCCMarkets!AG8</f>
        <v>0</v>
      </c>
      <c r="AC8" s="362">
        <f t="shared" si="9"/>
        <v>-98</v>
      </c>
      <c r="AD8" s="362">
        <f t="shared" si="22"/>
        <v>2422.5</v>
      </c>
      <c r="AE8" s="363"/>
      <c r="AF8" s="353">
        <f>+OCCMarkets!AJ8</f>
        <v>6487</v>
      </c>
      <c r="AG8" s="353">
        <f t="shared" si="10"/>
        <v>3243.5</v>
      </c>
      <c r="AH8" s="353">
        <f>+OCCMarkets!AN8</f>
        <v>6208</v>
      </c>
      <c r="AI8" s="362">
        <f t="shared" si="11"/>
        <v>2964.5</v>
      </c>
      <c r="AJ8" s="362">
        <f t="shared" si="23"/>
        <v>37931</v>
      </c>
      <c r="AK8" s="363"/>
      <c r="AL8" s="353">
        <f>+OCCMarkets!AQ8</f>
        <v>0</v>
      </c>
      <c r="AM8" s="353">
        <f t="shared" si="12"/>
        <v>0</v>
      </c>
      <c r="AN8" s="353">
        <f>+OCCMarkets!AU8</f>
        <v>0</v>
      </c>
      <c r="AO8" s="362">
        <f t="shared" si="13"/>
        <v>0</v>
      </c>
      <c r="AP8" s="362">
        <f t="shared" si="24"/>
        <v>0</v>
      </c>
      <c r="AQ8" s="363"/>
      <c r="AR8" s="353">
        <f>+OCCMarkets!AX8</f>
        <v>27</v>
      </c>
      <c r="AS8" s="353">
        <f t="shared" si="14"/>
        <v>13.5</v>
      </c>
      <c r="AT8" s="353">
        <f>+OCCMarkets!BB8</f>
        <v>0</v>
      </c>
      <c r="AU8" s="362">
        <f t="shared" si="15"/>
        <v>-13.5</v>
      </c>
      <c r="AV8" s="362">
        <f t="shared" si="25"/>
        <v>2480.5</v>
      </c>
      <c r="AW8" s="363"/>
      <c r="AX8" s="353">
        <f>+OCCMarkets!BE8</f>
        <v>184</v>
      </c>
      <c r="AY8" s="353">
        <f t="shared" si="16"/>
        <v>92</v>
      </c>
      <c r="AZ8" s="353">
        <f>+OCCMarkets!BI8</f>
        <v>0</v>
      </c>
      <c r="BA8" s="362">
        <f t="shared" si="17"/>
        <v>-92</v>
      </c>
      <c r="BB8" s="362">
        <f t="shared" si="26"/>
        <v>2861.5</v>
      </c>
      <c r="BC8" s="363"/>
      <c r="BD8" s="395"/>
      <c r="BE8" s="362">
        <f t="shared" si="27"/>
        <v>87187</v>
      </c>
      <c r="BF8" s="362">
        <f t="shared" si="27"/>
        <v>43593.5</v>
      </c>
      <c r="BG8" s="362">
        <f t="shared" si="28"/>
        <v>58298</v>
      </c>
      <c r="BH8" s="362">
        <f t="shared" si="28"/>
        <v>14704.5</v>
      </c>
      <c r="BI8" s="362">
        <f t="shared" si="28"/>
        <v>211035.5</v>
      </c>
      <c r="BJ8" s="362"/>
    </row>
    <row r="9" spans="1:63" x14ac:dyDescent="0.25">
      <c r="A9" s="359">
        <f>+BaseloadMarkets!A9</f>
        <v>36681</v>
      </c>
      <c r="B9" s="360">
        <f>+OCCMarkets!O9</f>
        <v>2196</v>
      </c>
      <c r="C9" s="361">
        <f t="shared" si="0"/>
        <v>1098</v>
      </c>
      <c r="D9" s="361">
        <f>+OCCMarkets!S9</f>
        <v>625</v>
      </c>
      <c r="E9" s="362">
        <f t="shared" si="1"/>
        <v>-473</v>
      </c>
      <c r="F9" s="362">
        <f t="shared" si="18"/>
        <v>7755</v>
      </c>
      <c r="G9" s="363"/>
      <c r="H9" s="360">
        <f>+OCCMarkets!C9</f>
        <v>9117</v>
      </c>
      <c r="I9" s="361">
        <f t="shared" si="2"/>
        <v>4558.5</v>
      </c>
      <c r="J9" s="361">
        <f>+OCCMarkets!L9-OCCMarkets!H9</f>
        <v>7153</v>
      </c>
      <c r="K9" s="362">
        <f t="shared" si="3"/>
        <v>2594.5</v>
      </c>
      <c r="L9" s="362">
        <f t="shared" si="19"/>
        <v>37138.5</v>
      </c>
      <c r="M9" s="363"/>
      <c r="N9" s="360">
        <f>+OCCMarkets!V9</f>
        <v>570</v>
      </c>
      <c r="O9" s="361">
        <f t="shared" si="4"/>
        <v>285</v>
      </c>
      <c r="P9" s="361">
        <f>+OCCMarkets!Z9</f>
        <v>333</v>
      </c>
      <c r="Q9" s="362">
        <f t="shared" si="5"/>
        <v>48</v>
      </c>
      <c r="R9" s="362">
        <f t="shared" si="20"/>
        <v>9483</v>
      </c>
      <c r="S9" s="363"/>
      <c r="T9" s="353">
        <f>+EES!C8</f>
        <v>70000</v>
      </c>
      <c r="U9" s="353">
        <f t="shared" si="6"/>
        <v>35000</v>
      </c>
      <c r="V9" s="353">
        <f>+EES!AI8-EES!M8</f>
        <v>48315</v>
      </c>
      <c r="W9" s="362">
        <f t="shared" si="7"/>
        <v>13315</v>
      </c>
      <c r="X9" s="362">
        <f t="shared" si="21"/>
        <v>126448</v>
      </c>
      <c r="Y9" s="363"/>
      <c r="Z9" s="353">
        <f>+OCCMarkets!AC9</f>
        <v>29</v>
      </c>
      <c r="AA9" s="353">
        <f t="shared" si="8"/>
        <v>14.5</v>
      </c>
      <c r="AB9" s="353">
        <f>+OCCMarkets!AG9</f>
        <v>0</v>
      </c>
      <c r="AC9" s="362">
        <f t="shared" si="9"/>
        <v>-14.5</v>
      </c>
      <c r="AD9" s="362">
        <f t="shared" si="22"/>
        <v>2408</v>
      </c>
      <c r="AE9" s="363"/>
      <c r="AF9" s="353">
        <f>+OCCMarkets!AJ9</f>
        <v>8902</v>
      </c>
      <c r="AG9" s="353">
        <f t="shared" si="10"/>
        <v>4451</v>
      </c>
      <c r="AH9" s="353">
        <f>+OCCMarkets!AN9</f>
        <v>5209</v>
      </c>
      <c r="AI9" s="362">
        <f t="shared" si="11"/>
        <v>758</v>
      </c>
      <c r="AJ9" s="362">
        <f t="shared" si="23"/>
        <v>38689</v>
      </c>
      <c r="AK9" s="363"/>
      <c r="AL9" s="353">
        <f>+OCCMarkets!AQ9</f>
        <v>0</v>
      </c>
      <c r="AM9" s="353">
        <f t="shared" si="12"/>
        <v>0</v>
      </c>
      <c r="AN9" s="353">
        <f>+OCCMarkets!AU9</f>
        <v>0</v>
      </c>
      <c r="AO9" s="362">
        <f t="shared" si="13"/>
        <v>0</v>
      </c>
      <c r="AP9" s="362">
        <f t="shared" si="24"/>
        <v>0</v>
      </c>
      <c r="AQ9" s="363"/>
      <c r="AR9" s="353">
        <f>+OCCMarkets!AX9</f>
        <v>0</v>
      </c>
      <c r="AS9" s="353">
        <f t="shared" si="14"/>
        <v>0</v>
      </c>
      <c r="AT9" s="353">
        <f>+OCCMarkets!BB9</f>
        <v>0</v>
      </c>
      <c r="AU9" s="362">
        <f t="shared" si="15"/>
        <v>0</v>
      </c>
      <c r="AV9" s="362">
        <f t="shared" si="25"/>
        <v>2480.5</v>
      </c>
      <c r="AW9" s="363"/>
      <c r="AX9" s="353">
        <f>+OCCMarkets!BE9</f>
        <v>0</v>
      </c>
      <c r="AY9" s="353">
        <f t="shared" si="16"/>
        <v>0</v>
      </c>
      <c r="AZ9" s="353">
        <f>+OCCMarkets!BI9</f>
        <v>0</v>
      </c>
      <c r="BA9" s="362">
        <f t="shared" si="17"/>
        <v>0</v>
      </c>
      <c r="BB9" s="362">
        <f t="shared" si="26"/>
        <v>2861.5</v>
      </c>
      <c r="BC9" s="363"/>
      <c r="BD9" s="395"/>
      <c r="BE9" s="362">
        <f t="shared" si="27"/>
        <v>90814</v>
      </c>
      <c r="BF9" s="362">
        <f t="shared" si="27"/>
        <v>45407</v>
      </c>
      <c r="BG9" s="362">
        <f t="shared" si="28"/>
        <v>61635</v>
      </c>
      <c r="BH9" s="362">
        <f t="shared" si="28"/>
        <v>16228</v>
      </c>
      <c r="BI9" s="362">
        <f t="shared" si="28"/>
        <v>227263.5</v>
      </c>
      <c r="BJ9" s="362"/>
    </row>
    <row r="10" spans="1:63" x14ac:dyDescent="0.25">
      <c r="A10" s="359">
        <f>+BaseloadMarkets!A10</f>
        <v>36682</v>
      </c>
      <c r="B10" s="360">
        <f>+OCCMarkets!O10</f>
        <v>1435</v>
      </c>
      <c r="C10" s="361">
        <f t="shared" si="0"/>
        <v>717.5</v>
      </c>
      <c r="D10" s="361">
        <f>+OCCMarkets!S10</f>
        <v>124</v>
      </c>
      <c r="E10" s="362">
        <f t="shared" si="1"/>
        <v>-593.5</v>
      </c>
      <c r="F10" s="362">
        <f t="shared" si="18"/>
        <v>7161.5</v>
      </c>
      <c r="G10" s="363">
        <f>SUM(E6:E10)</f>
        <v>7161.5</v>
      </c>
      <c r="H10" s="360">
        <f>+OCCMarkets!C10</f>
        <v>10652</v>
      </c>
      <c r="I10" s="361">
        <f t="shared" si="2"/>
        <v>5326</v>
      </c>
      <c r="J10" s="361">
        <f>+OCCMarkets!L10-OCCMarkets!H10</f>
        <v>6108</v>
      </c>
      <c r="K10" s="362">
        <f t="shared" si="3"/>
        <v>782</v>
      </c>
      <c r="L10" s="362">
        <f t="shared" si="19"/>
        <v>37920.5</v>
      </c>
      <c r="M10" s="363">
        <f>SUM(K6:K10)</f>
        <v>37920.5</v>
      </c>
      <c r="N10" s="360">
        <f>+OCCMarkets!V10</f>
        <v>108</v>
      </c>
      <c r="O10" s="361">
        <f t="shared" si="4"/>
        <v>54</v>
      </c>
      <c r="P10" s="361">
        <f>+OCCMarkets!Z10</f>
        <v>603</v>
      </c>
      <c r="Q10" s="362">
        <f t="shared" si="5"/>
        <v>549</v>
      </c>
      <c r="R10" s="362">
        <f t="shared" si="20"/>
        <v>10032</v>
      </c>
      <c r="S10" s="363">
        <f>SUM(Q6:Q10)</f>
        <v>10032</v>
      </c>
      <c r="T10" s="353">
        <f>+EES!C9</f>
        <v>70000</v>
      </c>
      <c r="U10" s="353">
        <f t="shared" si="6"/>
        <v>35000</v>
      </c>
      <c r="V10" s="353">
        <f>+EES!AI9-EES!M9</f>
        <v>86513</v>
      </c>
      <c r="W10" s="362">
        <f t="shared" si="7"/>
        <v>51513</v>
      </c>
      <c r="X10" s="362">
        <f t="shared" si="21"/>
        <v>177961</v>
      </c>
      <c r="Y10" s="363">
        <f>SUM(W6:W10)</f>
        <v>177961</v>
      </c>
      <c r="Z10" s="353">
        <f>+OCCMarkets!AC10</f>
        <v>99</v>
      </c>
      <c r="AA10" s="353">
        <f t="shared" si="8"/>
        <v>49.5</v>
      </c>
      <c r="AB10" s="353">
        <f>+OCCMarkets!AG10</f>
        <v>0</v>
      </c>
      <c r="AC10" s="362">
        <f t="shared" si="9"/>
        <v>-49.5</v>
      </c>
      <c r="AD10" s="362">
        <f t="shared" si="22"/>
        <v>2358.5</v>
      </c>
      <c r="AE10" s="363">
        <f>SUM(AC6:AC10)</f>
        <v>2358.5</v>
      </c>
      <c r="AF10" s="353">
        <f>+OCCMarkets!AJ10</f>
        <v>9253</v>
      </c>
      <c r="AG10" s="353">
        <f t="shared" si="10"/>
        <v>4626.5</v>
      </c>
      <c r="AH10" s="353">
        <f>+OCCMarkets!AN10</f>
        <v>5938</v>
      </c>
      <c r="AI10" s="362">
        <f t="shared" si="11"/>
        <v>1311.5</v>
      </c>
      <c r="AJ10" s="362">
        <f t="shared" si="23"/>
        <v>40000.5</v>
      </c>
      <c r="AK10" s="363">
        <f>SUM(AI6:AI10)</f>
        <v>40000.5</v>
      </c>
      <c r="AL10" s="353">
        <f>+OCCMarkets!AQ10</f>
        <v>0</v>
      </c>
      <c r="AM10" s="353">
        <f t="shared" si="12"/>
        <v>0</v>
      </c>
      <c r="AN10" s="353">
        <f>+OCCMarkets!AU10</f>
        <v>0</v>
      </c>
      <c r="AO10" s="362">
        <f t="shared" si="13"/>
        <v>0</v>
      </c>
      <c r="AP10" s="362">
        <f t="shared" si="24"/>
        <v>0</v>
      </c>
      <c r="AQ10" s="363">
        <f>SUM(AO6:AO10)</f>
        <v>0</v>
      </c>
      <c r="AR10" s="353">
        <f>+OCCMarkets!AX10</f>
        <v>172</v>
      </c>
      <c r="AS10" s="353">
        <f t="shared" si="14"/>
        <v>86</v>
      </c>
      <c r="AT10" s="353">
        <f>+OCCMarkets!BB10</f>
        <v>0</v>
      </c>
      <c r="AU10" s="362">
        <f t="shared" si="15"/>
        <v>-86</v>
      </c>
      <c r="AV10" s="362">
        <f t="shared" si="25"/>
        <v>2394.5</v>
      </c>
      <c r="AW10" s="363">
        <f>SUM(AU6:AU10)</f>
        <v>2394.5</v>
      </c>
      <c r="AX10" s="353">
        <f>+OCCMarkets!BE10</f>
        <v>271</v>
      </c>
      <c r="AY10" s="353">
        <f t="shared" si="16"/>
        <v>135.5</v>
      </c>
      <c r="AZ10" s="353">
        <f>+OCCMarkets!BI10</f>
        <v>0</v>
      </c>
      <c r="BA10" s="362">
        <f t="shared" si="17"/>
        <v>-135.5</v>
      </c>
      <c r="BB10" s="362">
        <f t="shared" si="26"/>
        <v>2726</v>
      </c>
      <c r="BC10" s="363">
        <f>SUM(BA6:BA10)</f>
        <v>2726</v>
      </c>
      <c r="BD10" s="395"/>
      <c r="BE10" s="362">
        <f t="shared" si="27"/>
        <v>91990</v>
      </c>
      <c r="BF10" s="362">
        <f t="shared" si="27"/>
        <v>45995</v>
      </c>
      <c r="BG10" s="362">
        <f t="shared" si="28"/>
        <v>99286</v>
      </c>
      <c r="BH10" s="362">
        <f t="shared" si="28"/>
        <v>53291</v>
      </c>
      <c r="BI10" s="362">
        <f t="shared" si="28"/>
        <v>280554.5</v>
      </c>
      <c r="BJ10" s="395">
        <f>+G10+M10+S10+Y10+AE10+AK10+AQ10+AW10+BC10</f>
        <v>280554.5</v>
      </c>
      <c r="BK10" s="205"/>
    </row>
    <row r="11" spans="1:63" x14ac:dyDescent="0.25">
      <c r="A11" s="359">
        <f>+BaseloadMarkets!A11</f>
        <v>36683</v>
      </c>
      <c r="B11" s="360">
        <f>+OCCMarkets!O11</f>
        <v>1746</v>
      </c>
      <c r="C11" s="361">
        <f t="shared" si="0"/>
        <v>873</v>
      </c>
      <c r="D11" s="361">
        <f>+OCCMarkets!S11</f>
        <v>0</v>
      </c>
      <c r="E11" s="362">
        <f t="shared" si="1"/>
        <v>-873</v>
      </c>
      <c r="F11" s="362">
        <f t="shared" si="18"/>
        <v>6288.5</v>
      </c>
      <c r="G11" s="363"/>
      <c r="H11" s="360">
        <f>+OCCMarkets!C11</f>
        <v>10354</v>
      </c>
      <c r="I11" s="361">
        <f t="shared" si="2"/>
        <v>5177</v>
      </c>
      <c r="J11" s="361">
        <f>+OCCMarkets!L11-OCCMarkets!H11</f>
        <v>16881</v>
      </c>
      <c r="K11" s="362">
        <f t="shared" si="3"/>
        <v>11704</v>
      </c>
      <c r="L11" s="362">
        <f t="shared" si="19"/>
        <v>49624.5</v>
      </c>
      <c r="M11" s="363"/>
      <c r="N11" s="360">
        <f>+OCCMarkets!V11</f>
        <v>1392</v>
      </c>
      <c r="O11" s="361">
        <f t="shared" si="4"/>
        <v>696</v>
      </c>
      <c r="P11" s="361">
        <f>+OCCMarkets!Z11</f>
        <v>450</v>
      </c>
      <c r="Q11" s="362">
        <f t="shared" si="5"/>
        <v>-246</v>
      </c>
      <c r="R11" s="362">
        <f t="shared" si="20"/>
        <v>9786</v>
      </c>
      <c r="S11" s="363"/>
      <c r="T11" s="353">
        <f>+EES!C10</f>
        <v>70000</v>
      </c>
      <c r="U11" s="353">
        <f t="shared" si="6"/>
        <v>35000</v>
      </c>
      <c r="V11" s="353">
        <f>+EES!AI10-EES!M10</f>
        <v>82844</v>
      </c>
      <c r="W11" s="362">
        <f t="shared" si="7"/>
        <v>47844</v>
      </c>
      <c r="X11" s="362">
        <f t="shared" si="21"/>
        <v>225805</v>
      </c>
      <c r="Y11" s="363"/>
      <c r="Z11" s="353">
        <f>+OCCMarkets!AC11</f>
        <v>211</v>
      </c>
      <c r="AA11" s="353">
        <f t="shared" si="8"/>
        <v>105.5</v>
      </c>
      <c r="AB11" s="353">
        <f>+OCCMarkets!AG11</f>
        <v>361</v>
      </c>
      <c r="AC11" s="362">
        <f t="shared" si="9"/>
        <v>255.5</v>
      </c>
      <c r="AD11" s="362">
        <f t="shared" si="22"/>
        <v>2614</v>
      </c>
      <c r="AE11" s="363"/>
      <c r="AF11" s="353">
        <f>+OCCMarkets!AJ11</f>
        <v>9307</v>
      </c>
      <c r="AG11" s="353">
        <f t="shared" si="10"/>
        <v>4653.5</v>
      </c>
      <c r="AH11" s="353">
        <f>+OCCMarkets!AN11</f>
        <v>22248</v>
      </c>
      <c r="AI11" s="362">
        <f t="shared" si="11"/>
        <v>17594.5</v>
      </c>
      <c r="AJ11" s="362">
        <f t="shared" si="23"/>
        <v>57595</v>
      </c>
      <c r="AK11" s="363"/>
      <c r="AL11" s="353">
        <f>+OCCMarkets!AQ11</f>
        <v>0</v>
      </c>
      <c r="AM11" s="353">
        <f t="shared" si="12"/>
        <v>0</v>
      </c>
      <c r="AN11" s="353">
        <f>+OCCMarkets!AU11</f>
        <v>0</v>
      </c>
      <c r="AO11" s="362">
        <f t="shared" si="13"/>
        <v>0</v>
      </c>
      <c r="AP11" s="362">
        <f t="shared" si="24"/>
        <v>0</v>
      </c>
      <c r="AQ11" s="363"/>
      <c r="AR11" s="353">
        <f>+OCCMarkets!AX11</f>
        <v>199</v>
      </c>
      <c r="AS11" s="353">
        <f t="shared" si="14"/>
        <v>99.5</v>
      </c>
      <c r="AT11" s="353">
        <f>+OCCMarkets!BB11</f>
        <v>361</v>
      </c>
      <c r="AU11" s="362">
        <f t="shared" si="15"/>
        <v>261.5</v>
      </c>
      <c r="AV11" s="362">
        <f t="shared" si="25"/>
        <v>2656</v>
      </c>
      <c r="AW11" s="363"/>
      <c r="AX11" s="353">
        <f>+OCCMarkets!BE11</f>
        <v>327</v>
      </c>
      <c r="AY11" s="353">
        <f t="shared" si="16"/>
        <v>163.5</v>
      </c>
      <c r="AZ11" s="353">
        <f>+OCCMarkets!BI11</f>
        <v>361</v>
      </c>
      <c r="BA11" s="362">
        <f t="shared" si="17"/>
        <v>197.5</v>
      </c>
      <c r="BB11" s="362">
        <f t="shared" si="26"/>
        <v>2923.5</v>
      </c>
      <c r="BC11" s="363"/>
      <c r="BD11" s="395"/>
      <c r="BE11" s="362">
        <f t="shared" si="27"/>
        <v>93536</v>
      </c>
      <c r="BF11" s="362">
        <f t="shared" si="27"/>
        <v>46768</v>
      </c>
      <c r="BG11" s="362">
        <f t="shared" si="28"/>
        <v>123506</v>
      </c>
      <c r="BH11" s="362">
        <f t="shared" si="28"/>
        <v>76738</v>
      </c>
      <c r="BI11" s="362">
        <f t="shared" si="28"/>
        <v>357292.5</v>
      </c>
      <c r="BJ11" s="362"/>
    </row>
    <row r="12" spans="1:63" x14ac:dyDescent="0.25">
      <c r="A12" s="359">
        <f>+BaseloadMarkets!A12</f>
        <v>36684</v>
      </c>
      <c r="B12" s="360">
        <f>+OCCMarkets!O12</f>
        <v>2177</v>
      </c>
      <c r="C12" s="361">
        <f t="shared" si="0"/>
        <v>1088.5</v>
      </c>
      <c r="D12" s="361">
        <f>+OCCMarkets!S12</f>
        <v>4086</v>
      </c>
      <c r="E12" s="362">
        <f t="shared" si="1"/>
        <v>2997.5</v>
      </c>
      <c r="F12" s="362">
        <f t="shared" si="18"/>
        <v>9286</v>
      </c>
      <c r="G12" s="363"/>
      <c r="H12" s="360">
        <f>+OCCMarkets!C12</f>
        <v>9906</v>
      </c>
      <c r="I12" s="361">
        <f t="shared" si="2"/>
        <v>4953</v>
      </c>
      <c r="J12" s="361">
        <f>+OCCMarkets!L12-OCCMarkets!H12</f>
        <v>53567</v>
      </c>
      <c r="K12" s="362">
        <f t="shared" si="3"/>
        <v>48614</v>
      </c>
      <c r="L12" s="362">
        <f t="shared" si="19"/>
        <v>98238.5</v>
      </c>
      <c r="M12" s="363"/>
      <c r="N12" s="360">
        <f>+OCCMarkets!V12</f>
        <v>1446</v>
      </c>
      <c r="O12" s="361">
        <f t="shared" si="4"/>
        <v>723</v>
      </c>
      <c r="P12" s="361">
        <f>+OCCMarkets!Z12</f>
        <v>4087</v>
      </c>
      <c r="Q12" s="362">
        <f t="shared" si="5"/>
        <v>3364</v>
      </c>
      <c r="R12" s="362">
        <f t="shared" si="20"/>
        <v>13150</v>
      </c>
      <c r="S12" s="363"/>
      <c r="T12" s="353">
        <f>+EES!C11</f>
        <v>70000</v>
      </c>
      <c r="U12" s="353">
        <f t="shared" si="6"/>
        <v>35000</v>
      </c>
      <c r="V12" s="353">
        <f>+EES!AI11-EES!M11</f>
        <v>58102</v>
      </c>
      <c r="W12" s="362">
        <f t="shared" si="7"/>
        <v>23102</v>
      </c>
      <c r="X12" s="362">
        <f t="shared" si="21"/>
        <v>248907</v>
      </c>
      <c r="Y12" s="363"/>
      <c r="Z12" s="353">
        <f>+OCCMarkets!AC12</f>
        <v>190</v>
      </c>
      <c r="AA12" s="353">
        <f t="shared" si="8"/>
        <v>95</v>
      </c>
      <c r="AB12" s="353">
        <f>+OCCMarkets!AG12</f>
        <v>204</v>
      </c>
      <c r="AC12" s="362">
        <f t="shared" si="9"/>
        <v>109</v>
      </c>
      <c r="AD12" s="362">
        <f t="shared" si="22"/>
        <v>2723</v>
      </c>
      <c r="AE12" s="363"/>
      <c r="AF12" s="353">
        <f>+OCCMarkets!AJ12</f>
        <v>9274</v>
      </c>
      <c r="AG12" s="353">
        <f t="shared" si="10"/>
        <v>4637</v>
      </c>
      <c r="AH12" s="353">
        <f>+OCCMarkets!AN12</f>
        <v>70407</v>
      </c>
      <c r="AI12" s="362">
        <f t="shared" si="11"/>
        <v>65770</v>
      </c>
      <c r="AJ12" s="362">
        <f t="shared" si="23"/>
        <v>123365</v>
      </c>
      <c r="AK12" s="363"/>
      <c r="AL12" s="353">
        <f>+OCCMarkets!AQ12</f>
        <v>0</v>
      </c>
      <c r="AM12" s="353">
        <f t="shared" si="12"/>
        <v>0</v>
      </c>
      <c r="AN12" s="353">
        <f>+OCCMarkets!AU12</f>
        <v>0</v>
      </c>
      <c r="AO12" s="362">
        <f t="shared" si="13"/>
        <v>0</v>
      </c>
      <c r="AP12" s="362">
        <f t="shared" si="24"/>
        <v>0</v>
      </c>
      <c r="AQ12" s="363"/>
      <c r="AR12" s="353">
        <f>+OCCMarkets!AX12</f>
        <v>192</v>
      </c>
      <c r="AS12" s="353">
        <f t="shared" si="14"/>
        <v>96</v>
      </c>
      <c r="AT12" s="353">
        <f>+OCCMarkets!BB12</f>
        <v>204</v>
      </c>
      <c r="AU12" s="362">
        <f t="shared" si="15"/>
        <v>108</v>
      </c>
      <c r="AV12" s="362">
        <f t="shared" si="25"/>
        <v>2764</v>
      </c>
      <c r="AW12" s="363"/>
      <c r="AX12" s="353">
        <f>+OCCMarkets!BE12</f>
        <v>323</v>
      </c>
      <c r="AY12" s="353">
        <f t="shared" si="16"/>
        <v>161.5</v>
      </c>
      <c r="AZ12" s="353">
        <f>+OCCMarkets!BI12</f>
        <v>656</v>
      </c>
      <c r="BA12" s="362">
        <f t="shared" si="17"/>
        <v>494.5</v>
      </c>
      <c r="BB12" s="362">
        <f t="shared" si="26"/>
        <v>3418</v>
      </c>
      <c r="BC12" s="363"/>
      <c r="BD12" s="395"/>
      <c r="BE12" s="362">
        <f t="shared" si="27"/>
        <v>93508</v>
      </c>
      <c r="BF12" s="362">
        <f t="shared" si="27"/>
        <v>46754</v>
      </c>
      <c r="BG12" s="362">
        <f t="shared" si="28"/>
        <v>191313</v>
      </c>
      <c r="BH12" s="362">
        <f t="shared" si="28"/>
        <v>144559</v>
      </c>
      <c r="BI12" s="362">
        <f t="shared" si="28"/>
        <v>501851.5</v>
      </c>
      <c r="BJ12" s="362"/>
    </row>
    <row r="13" spans="1:63" x14ac:dyDescent="0.25">
      <c r="A13" s="359">
        <f>+BaseloadMarkets!A13</f>
        <v>36685</v>
      </c>
      <c r="B13" s="360">
        <f>+OCCMarkets!O13</f>
        <v>1371</v>
      </c>
      <c r="C13" s="361">
        <f t="shared" si="0"/>
        <v>685.5</v>
      </c>
      <c r="D13" s="361">
        <f>+OCCMarkets!S13</f>
        <v>2088</v>
      </c>
      <c r="E13" s="362">
        <f t="shared" si="1"/>
        <v>1402.5</v>
      </c>
      <c r="F13" s="362">
        <f t="shared" si="18"/>
        <v>10688.5</v>
      </c>
      <c r="G13" s="363"/>
      <c r="H13" s="360">
        <f>+OCCMarkets!C13</f>
        <v>6651</v>
      </c>
      <c r="I13" s="361">
        <f t="shared" si="2"/>
        <v>3325.5</v>
      </c>
      <c r="J13" s="361">
        <f>+OCCMarkets!L13-OCCMarkets!H13</f>
        <v>15609</v>
      </c>
      <c r="K13" s="362">
        <f t="shared" si="3"/>
        <v>12283.5</v>
      </c>
      <c r="L13" s="362">
        <f t="shared" si="19"/>
        <v>110522</v>
      </c>
      <c r="M13" s="363"/>
      <c r="N13" s="360">
        <f>+OCCMarkets!V13</f>
        <v>1365</v>
      </c>
      <c r="O13" s="361">
        <f t="shared" si="4"/>
        <v>682.5</v>
      </c>
      <c r="P13" s="361">
        <f>+OCCMarkets!Z13</f>
        <v>2088</v>
      </c>
      <c r="Q13" s="362">
        <f t="shared" si="5"/>
        <v>1405.5</v>
      </c>
      <c r="R13" s="362">
        <f t="shared" si="20"/>
        <v>14555.5</v>
      </c>
      <c r="S13" s="363"/>
      <c r="T13" s="353">
        <f>+EES!C12</f>
        <v>70000</v>
      </c>
      <c r="U13" s="353">
        <f t="shared" si="6"/>
        <v>35000</v>
      </c>
      <c r="V13" s="353">
        <f>+EES!AI12-EES!M12</f>
        <v>185172</v>
      </c>
      <c r="W13" s="362">
        <f t="shared" si="7"/>
        <v>150172</v>
      </c>
      <c r="X13" s="362">
        <f t="shared" si="21"/>
        <v>399079</v>
      </c>
      <c r="Y13" s="363"/>
      <c r="Z13" s="353">
        <f>+OCCMarkets!AC13</f>
        <v>200</v>
      </c>
      <c r="AA13" s="353">
        <f t="shared" si="8"/>
        <v>100</v>
      </c>
      <c r="AB13" s="353">
        <f>+OCCMarkets!AG13</f>
        <v>418</v>
      </c>
      <c r="AC13" s="362">
        <f t="shared" si="9"/>
        <v>318</v>
      </c>
      <c r="AD13" s="362">
        <f t="shared" si="22"/>
        <v>3041</v>
      </c>
      <c r="AE13" s="363"/>
      <c r="AF13" s="353">
        <f>+OCCMarkets!AJ13</f>
        <v>9399</v>
      </c>
      <c r="AG13" s="353">
        <f t="shared" si="10"/>
        <v>4699.5</v>
      </c>
      <c r="AH13" s="353">
        <f>+OCCMarkets!AN13</f>
        <v>28556</v>
      </c>
      <c r="AI13" s="362">
        <f t="shared" si="11"/>
        <v>23856.5</v>
      </c>
      <c r="AJ13" s="362">
        <f t="shared" si="23"/>
        <v>147221.5</v>
      </c>
      <c r="AK13" s="363"/>
      <c r="AL13" s="353">
        <f>+OCCMarkets!AQ13</f>
        <v>0</v>
      </c>
      <c r="AM13" s="353">
        <f t="shared" si="12"/>
        <v>0</v>
      </c>
      <c r="AN13" s="353">
        <f>+OCCMarkets!AU13</f>
        <v>0</v>
      </c>
      <c r="AO13" s="362">
        <f t="shared" si="13"/>
        <v>0</v>
      </c>
      <c r="AP13" s="362">
        <f t="shared" si="24"/>
        <v>0</v>
      </c>
      <c r="AQ13" s="363"/>
      <c r="AR13" s="353">
        <f>+OCCMarkets!AX13</f>
        <v>200</v>
      </c>
      <c r="AS13" s="353">
        <f t="shared" si="14"/>
        <v>100</v>
      </c>
      <c r="AT13" s="353">
        <f>+OCCMarkets!BB13</f>
        <v>418</v>
      </c>
      <c r="AU13" s="362">
        <f t="shared" si="15"/>
        <v>318</v>
      </c>
      <c r="AV13" s="362">
        <f t="shared" si="25"/>
        <v>3082</v>
      </c>
      <c r="AW13" s="363"/>
      <c r="AX13" s="353">
        <f>+OCCMarkets!BE13</f>
        <v>307</v>
      </c>
      <c r="AY13" s="353">
        <f t="shared" si="16"/>
        <v>153.5</v>
      </c>
      <c r="AZ13" s="353">
        <f>+OCCMarkets!BI13</f>
        <v>878</v>
      </c>
      <c r="BA13" s="362">
        <f t="shared" si="17"/>
        <v>724.5</v>
      </c>
      <c r="BB13" s="362">
        <f t="shared" si="26"/>
        <v>4142.5</v>
      </c>
      <c r="BC13" s="363"/>
      <c r="BD13" s="395"/>
      <c r="BE13" s="362">
        <f t="shared" si="27"/>
        <v>89493</v>
      </c>
      <c r="BF13" s="362">
        <f t="shared" si="27"/>
        <v>44746.5</v>
      </c>
      <c r="BG13" s="362">
        <f t="shared" si="28"/>
        <v>235227</v>
      </c>
      <c r="BH13" s="362">
        <f t="shared" si="28"/>
        <v>190480.5</v>
      </c>
      <c r="BI13" s="362">
        <f t="shared" si="28"/>
        <v>692332</v>
      </c>
      <c r="BJ13" s="362"/>
    </row>
    <row r="14" spans="1:63" x14ac:dyDescent="0.25">
      <c r="A14" s="359">
        <f>+BaseloadMarkets!A14</f>
        <v>36686</v>
      </c>
      <c r="B14" s="360">
        <f>+OCCMarkets!O14</f>
        <v>1785</v>
      </c>
      <c r="C14" s="361">
        <f t="shared" si="0"/>
        <v>892.5</v>
      </c>
      <c r="D14" s="361">
        <f>+OCCMarkets!S14</f>
        <v>1050</v>
      </c>
      <c r="E14" s="362">
        <f t="shared" si="1"/>
        <v>157.5</v>
      </c>
      <c r="F14" s="362">
        <f t="shared" si="18"/>
        <v>10846</v>
      </c>
      <c r="G14" s="363"/>
      <c r="H14" s="360">
        <f>+OCCMarkets!C14</f>
        <v>9237</v>
      </c>
      <c r="I14" s="361">
        <f t="shared" si="2"/>
        <v>4618.5</v>
      </c>
      <c r="J14" s="361">
        <f>+OCCMarkets!L14-OCCMarkets!H14</f>
        <v>15046</v>
      </c>
      <c r="K14" s="362">
        <f t="shared" si="3"/>
        <v>10427.5</v>
      </c>
      <c r="L14" s="362">
        <f t="shared" si="19"/>
        <v>120949.5</v>
      </c>
      <c r="M14" s="363"/>
      <c r="N14" s="360">
        <f>+OCCMarkets!V14</f>
        <v>1075</v>
      </c>
      <c r="O14" s="361">
        <f t="shared" si="4"/>
        <v>537.5</v>
      </c>
      <c r="P14" s="361">
        <f>+OCCMarkets!Z14</f>
        <v>1049</v>
      </c>
      <c r="Q14" s="362">
        <f t="shared" si="5"/>
        <v>511.5</v>
      </c>
      <c r="R14" s="362">
        <f t="shared" si="20"/>
        <v>15067</v>
      </c>
      <c r="S14" s="363"/>
      <c r="T14" s="353">
        <f>+EES!C13</f>
        <v>70000</v>
      </c>
      <c r="U14" s="353">
        <f t="shared" si="6"/>
        <v>35000</v>
      </c>
      <c r="V14" s="353">
        <f>+EES!AI13-EES!M13</f>
        <v>158978</v>
      </c>
      <c r="W14" s="362">
        <f t="shared" si="7"/>
        <v>123978</v>
      </c>
      <c r="X14" s="362">
        <f t="shared" si="21"/>
        <v>523057</v>
      </c>
      <c r="Y14" s="363"/>
      <c r="Z14" s="353">
        <f>+OCCMarkets!AC14</f>
        <v>208</v>
      </c>
      <c r="AA14" s="353">
        <f t="shared" si="8"/>
        <v>104</v>
      </c>
      <c r="AB14" s="353">
        <f>+OCCMarkets!AG14</f>
        <v>420</v>
      </c>
      <c r="AC14" s="362">
        <f t="shared" si="9"/>
        <v>316</v>
      </c>
      <c r="AD14" s="362">
        <f t="shared" si="22"/>
        <v>3357</v>
      </c>
      <c r="AE14" s="363"/>
      <c r="AF14" s="353">
        <f>+OCCMarkets!AJ14</f>
        <v>9156</v>
      </c>
      <c r="AG14" s="353">
        <f t="shared" si="10"/>
        <v>4578</v>
      </c>
      <c r="AH14" s="353">
        <f>+OCCMarkets!AN14</f>
        <v>22689</v>
      </c>
      <c r="AI14" s="362">
        <f t="shared" si="11"/>
        <v>18111</v>
      </c>
      <c r="AJ14" s="362">
        <f t="shared" si="23"/>
        <v>165332.5</v>
      </c>
      <c r="AK14" s="363"/>
      <c r="AL14" s="353">
        <f>+OCCMarkets!AQ14</f>
        <v>0</v>
      </c>
      <c r="AM14" s="353">
        <f t="shared" si="12"/>
        <v>0</v>
      </c>
      <c r="AN14" s="353">
        <f>+OCCMarkets!AU14</f>
        <v>0</v>
      </c>
      <c r="AO14" s="362">
        <f t="shared" si="13"/>
        <v>0</v>
      </c>
      <c r="AP14" s="362">
        <f t="shared" si="24"/>
        <v>0</v>
      </c>
      <c r="AQ14" s="363"/>
      <c r="AR14" s="353">
        <f>+OCCMarkets!AX14</f>
        <v>207</v>
      </c>
      <c r="AS14" s="353">
        <f t="shared" si="14"/>
        <v>103.5</v>
      </c>
      <c r="AT14" s="353">
        <f>+OCCMarkets!BB14</f>
        <v>546</v>
      </c>
      <c r="AU14" s="362">
        <f t="shared" si="15"/>
        <v>442.5</v>
      </c>
      <c r="AV14" s="362">
        <f t="shared" si="25"/>
        <v>3524.5</v>
      </c>
      <c r="AW14" s="363"/>
      <c r="AX14" s="353">
        <f>+OCCMarkets!BE14</f>
        <v>312</v>
      </c>
      <c r="AY14" s="353">
        <f t="shared" si="16"/>
        <v>156</v>
      </c>
      <c r="AZ14" s="353">
        <f>+OCCMarkets!BI14</f>
        <v>884</v>
      </c>
      <c r="BA14" s="362">
        <f t="shared" si="17"/>
        <v>728</v>
      </c>
      <c r="BB14" s="362">
        <f t="shared" si="26"/>
        <v>4870.5</v>
      </c>
      <c r="BC14" s="363"/>
      <c r="BD14" s="395"/>
      <c r="BE14" s="362">
        <f t="shared" si="27"/>
        <v>91980</v>
      </c>
      <c r="BF14" s="362">
        <f t="shared" si="27"/>
        <v>45990</v>
      </c>
      <c r="BG14" s="362">
        <f t="shared" si="28"/>
        <v>200662</v>
      </c>
      <c r="BH14" s="362">
        <f t="shared" si="28"/>
        <v>154672</v>
      </c>
      <c r="BI14" s="362">
        <f t="shared" si="28"/>
        <v>847004</v>
      </c>
      <c r="BJ14" s="362"/>
    </row>
    <row r="15" spans="1:63" x14ac:dyDescent="0.25">
      <c r="A15" s="359">
        <f>+BaseloadMarkets!A15</f>
        <v>36687</v>
      </c>
      <c r="B15" s="360">
        <f>+OCCMarkets!O15</f>
        <v>1705</v>
      </c>
      <c r="C15" s="361">
        <f t="shared" si="0"/>
        <v>852.5</v>
      </c>
      <c r="D15" s="361">
        <f>+OCCMarkets!S15</f>
        <v>1136</v>
      </c>
      <c r="E15" s="362">
        <f t="shared" si="1"/>
        <v>283.5</v>
      </c>
      <c r="F15" s="362">
        <f t="shared" si="18"/>
        <v>11129.5</v>
      </c>
      <c r="G15" s="363">
        <f>SUM(E11:E15)</f>
        <v>3968</v>
      </c>
      <c r="H15" s="360">
        <f>+OCCMarkets!C15</f>
        <v>7292</v>
      </c>
      <c r="I15" s="361">
        <f t="shared" si="2"/>
        <v>3646</v>
      </c>
      <c r="J15" s="361">
        <f>+OCCMarkets!L15-OCCMarkets!H15</f>
        <v>7026</v>
      </c>
      <c r="K15" s="362">
        <f t="shared" si="3"/>
        <v>3380</v>
      </c>
      <c r="L15" s="362">
        <f t="shared" si="19"/>
        <v>124329.5</v>
      </c>
      <c r="M15" s="363">
        <f>SUM(K11:K15)</f>
        <v>86409</v>
      </c>
      <c r="N15" s="360">
        <f>+OCCMarkets!V15</f>
        <v>1405</v>
      </c>
      <c r="O15" s="361">
        <f t="shared" si="4"/>
        <v>702.5</v>
      </c>
      <c r="P15" s="361">
        <f>+OCCMarkets!Z15</f>
        <v>757</v>
      </c>
      <c r="Q15" s="362">
        <f t="shared" si="5"/>
        <v>54.5</v>
      </c>
      <c r="R15" s="362">
        <f t="shared" si="20"/>
        <v>15121.5</v>
      </c>
      <c r="S15" s="363">
        <f>SUM(Q11:Q15)</f>
        <v>5089.5</v>
      </c>
      <c r="T15" s="353">
        <f>+EES!C14</f>
        <v>70000</v>
      </c>
      <c r="U15" s="353">
        <f t="shared" si="6"/>
        <v>35000</v>
      </c>
      <c r="V15" s="353">
        <f>+EES!AI14-EES!M14</f>
        <v>140011</v>
      </c>
      <c r="W15" s="362">
        <f t="shared" si="7"/>
        <v>105011</v>
      </c>
      <c r="X15" s="362">
        <f t="shared" si="21"/>
        <v>628068</v>
      </c>
      <c r="Y15" s="363">
        <f>SUM(W11:W15)</f>
        <v>450107</v>
      </c>
      <c r="Z15" s="353">
        <f>+OCCMarkets!AC15</f>
        <v>202</v>
      </c>
      <c r="AA15" s="353">
        <f t="shared" si="8"/>
        <v>101</v>
      </c>
      <c r="AB15" s="353">
        <f>+OCCMarkets!AG15</f>
        <v>0</v>
      </c>
      <c r="AC15" s="362">
        <f t="shared" si="9"/>
        <v>-101</v>
      </c>
      <c r="AD15" s="362">
        <f t="shared" si="22"/>
        <v>3256</v>
      </c>
      <c r="AE15" s="363">
        <f>SUM(AC11:AC15)</f>
        <v>897.5</v>
      </c>
      <c r="AF15" s="353">
        <f>+OCCMarkets!AJ15</f>
        <v>9387</v>
      </c>
      <c r="AG15" s="353">
        <f t="shared" si="10"/>
        <v>4693.5</v>
      </c>
      <c r="AH15" s="353">
        <f>+OCCMarkets!AN15</f>
        <v>12638</v>
      </c>
      <c r="AI15" s="362">
        <f t="shared" si="11"/>
        <v>7944.5</v>
      </c>
      <c r="AJ15" s="362">
        <f t="shared" si="23"/>
        <v>173277</v>
      </c>
      <c r="AK15" s="363">
        <f>SUM(AI11:AI15)</f>
        <v>133276.5</v>
      </c>
      <c r="AL15" s="353">
        <f>+OCCMarkets!AQ15</f>
        <v>0</v>
      </c>
      <c r="AM15" s="353">
        <f t="shared" si="12"/>
        <v>0</v>
      </c>
      <c r="AN15" s="353">
        <f>+OCCMarkets!AU15</f>
        <v>0</v>
      </c>
      <c r="AO15" s="362">
        <f t="shared" si="13"/>
        <v>0</v>
      </c>
      <c r="AP15" s="362">
        <f t="shared" si="24"/>
        <v>0</v>
      </c>
      <c r="AQ15" s="363">
        <f>SUM(AO11:AO15)</f>
        <v>0</v>
      </c>
      <c r="AR15" s="353">
        <f>+OCCMarkets!AX15</f>
        <v>28</v>
      </c>
      <c r="AS15" s="353">
        <f t="shared" si="14"/>
        <v>14</v>
      </c>
      <c r="AT15" s="353">
        <f>+OCCMarkets!BB15</f>
        <v>0</v>
      </c>
      <c r="AU15" s="362">
        <f t="shared" si="15"/>
        <v>-14</v>
      </c>
      <c r="AV15" s="362">
        <f t="shared" si="25"/>
        <v>3510.5</v>
      </c>
      <c r="AW15" s="363">
        <f>SUM(AU11:AU15)</f>
        <v>1116</v>
      </c>
      <c r="AX15" s="353">
        <f>+OCCMarkets!BE15</f>
        <v>163</v>
      </c>
      <c r="AY15" s="353">
        <f t="shared" si="16"/>
        <v>81.5</v>
      </c>
      <c r="AZ15" s="353">
        <f>+OCCMarkets!BI15</f>
        <v>0</v>
      </c>
      <c r="BA15" s="362">
        <f t="shared" si="17"/>
        <v>-81.5</v>
      </c>
      <c r="BB15" s="362">
        <f t="shared" si="26"/>
        <v>4789</v>
      </c>
      <c r="BC15" s="363">
        <f>SUM(BA11:BA15)</f>
        <v>2063</v>
      </c>
      <c r="BD15" s="395"/>
      <c r="BE15" s="362">
        <f t="shared" si="27"/>
        <v>90182</v>
      </c>
      <c r="BF15" s="362">
        <f t="shared" si="27"/>
        <v>45091</v>
      </c>
      <c r="BG15" s="362">
        <f t="shared" si="28"/>
        <v>161568</v>
      </c>
      <c r="BH15" s="362">
        <f t="shared" si="28"/>
        <v>116477</v>
      </c>
      <c r="BI15" s="362">
        <f t="shared" si="28"/>
        <v>963481</v>
      </c>
      <c r="BJ15" s="395">
        <f>+G15+M15+S15+Y15+AE15+AK15+AQ15+AW15+BC15</f>
        <v>682926.5</v>
      </c>
      <c r="BK15" s="205"/>
    </row>
    <row r="16" spans="1:63" x14ac:dyDescent="0.25">
      <c r="A16" s="359">
        <f>+BaseloadMarkets!A16</f>
        <v>36688</v>
      </c>
      <c r="B16" s="360">
        <f>+OCCMarkets!O16</f>
        <v>1681</v>
      </c>
      <c r="C16" s="361">
        <f t="shared" si="0"/>
        <v>840.5</v>
      </c>
      <c r="D16" s="361">
        <f>+OCCMarkets!S16</f>
        <v>1123</v>
      </c>
      <c r="E16" s="362">
        <f t="shared" si="1"/>
        <v>282.5</v>
      </c>
      <c r="F16" s="362">
        <f t="shared" si="18"/>
        <v>11412</v>
      </c>
      <c r="G16" s="363"/>
      <c r="H16" s="360">
        <f>+OCCMarkets!C16</f>
        <v>9470</v>
      </c>
      <c r="I16" s="361">
        <f t="shared" si="2"/>
        <v>4735</v>
      </c>
      <c r="J16" s="361">
        <f>+OCCMarkets!L16-OCCMarkets!H16</f>
        <v>6990</v>
      </c>
      <c r="K16" s="362">
        <f t="shared" si="3"/>
        <v>2255</v>
      </c>
      <c r="L16" s="362">
        <f t="shared" si="19"/>
        <v>126584.5</v>
      </c>
      <c r="M16" s="363"/>
      <c r="N16" s="360">
        <f>+OCCMarkets!V16</f>
        <v>1385</v>
      </c>
      <c r="O16" s="361">
        <f t="shared" si="4"/>
        <v>692.5</v>
      </c>
      <c r="P16" s="361">
        <f>+OCCMarkets!Z16</f>
        <v>749</v>
      </c>
      <c r="Q16" s="362">
        <f t="shared" si="5"/>
        <v>56.5</v>
      </c>
      <c r="R16" s="362">
        <f t="shared" si="20"/>
        <v>15178</v>
      </c>
      <c r="S16" s="363"/>
      <c r="T16" s="353">
        <f>+EES!C15</f>
        <v>70000</v>
      </c>
      <c r="U16" s="353">
        <f t="shared" si="6"/>
        <v>35000</v>
      </c>
      <c r="V16" s="353">
        <f>+EES!AI15-EES!M15</f>
        <v>134791</v>
      </c>
      <c r="W16" s="362">
        <f t="shared" si="7"/>
        <v>99791</v>
      </c>
      <c r="X16" s="362">
        <f t="shared" si="21"/>
        <v>727859</v>
      </c>
      <c r="Y16" s="363"/>
      <c r="Z16" s="353">
        <f>+OCCMarkets!AC16</f>
        <v>22</v>
      </c>
      <c r="AA16" s="353">
        <f t="shared" si="8"/>
        <v>11</v>
      </c>
      <c r="AB16" s="353">
        <f>+OCCMarkets!AG16</f>
        <v>0</v>
      </c>
      <c r="AC16" s="362">
        <f t="shared" si="9"/>
        <v>-11</v>
      </c>
      <c r="AD16" s="362">
        <f t="shared" si="22"/>
        <v>3245</v>
      </c>
      <c r="AE16" s="363"/>
      <c r="AF16" s="353">
        <f>+OCCMarkets!AJ16</f>
        <v>9165</v>
      </c>
      <c r="AG16" s="353">
        <f t="shared" si="10"/>
        <v>4582.5</v>
      </c>
      <c r="AH16" s="353">
        <f>+OCCMarkets!AN16</f>
        <v>12607</v>
      </c>
      <c r="AI16" s="362">
        <f t="shared" si="11"/>
        <v>8024.5</v>
      </c>
      <c r="AJ16" s="362">
        <f t="shared" si="23"/>
        <v>181301.5</v>
      </c>
      <c r="AK16" s="363"/>
      <c r="AL16" s="353">
        <f>+OCCMarkets!AQ16</f>
        <v>0</v>
      </c>
      <c r="AM16" s="353">
        <f t="shared" si="12"/>
        <v>0</v>
      </c>
      <c r="AN16" s="353">
        <f>+OCCMarkets!AU16</f>
        <v>0</v>
      </c>
      <c r="AO16" s="362">
        <f t="shared" si="13"/>
        <v>0</v>
      </c>
      <c r="AP16" s="362">
        <f t="shared" si="24"/>
        <v>0</v>
      </c>
      <c r="AQ16" s="363"/>
      <c r="AR16" s="353">
        <f>+OCCMarkets!AX16</f>
        <v>0</v>
      </c>
      <c r="AS16" s="353">
        <f t="shared" si="14"/>
        <v>0</v>
      </c>
      <c r="AT16" s="353">
        <f>+OCCMarkets!BB16</f>
        <v>0</v>
      </c>
      <c r="AU16" s="362">
        <f t="shared" si="15"/>
        <v>0</v>
      </c>
      <c r="AV16" s="362">
        <f t="shared" si="25"/>
        <v>3510.5</v>
      </c>
      <c r="AW16" s="363"/>
      <c r="AX16" s="353">
        <f>+OCCMarkets!BE16</f>
        <v>27</v>
      </c>
      <c r="AY16" s="353">
        <f t="shared" si="16"/>
        <v>13.5</v>
      </c>
      <c r="AZ16" s="353">
        <f>+OCCMarkets!BI16</f>
        <v>0</v>
      </c>
      <c r="BA16" s="362">
        <f t="shared" si="17"/>
        <v>-13.5</v>
      </c>
      <c r="BB16" s="362">
        <f t="shared" si="26"/>
        <v>4775.5</v>
      </c>
      <c r="BC16" s="363"/>
      <c r="BD16" s="395"/>
      <c r="BE16" s="362">
        <f t="shared" si="27"/>
        <v>91750</v>
      </c>
      <c r="BF16" s="362">
        <f t="shared" si="27"/>
        <v>45875</v>
      </c>
      <c r="BG16" s="362">
        <f t="shared" si="28"/>
        <v>156260</v>
      </c>
      <c r="BH16" s="362">
        <f t="shared" si="28"/>
        <v>110385</v>
      </c>
      <c r="BI16" s="362">
        <f t="shared" si="28"/>
        <v>1073866</v>
      </c>
      <c r="BJ16" s="362"/>
    </row>
    <row r="17" spans="1:63" x14ac:dyDescent="0.25">
      <c r="A17" s="359">
        <f>+BaseloadMarkets!A17</f>
        <v>36689</v>
      </c>
      <c r="B17" s="360">
        <f>+OCCMarkets!O17</f>
        <v>1617</v>
      </c>
      <c r="C17" s="361">
        <f t="shared" si="0"/>
        <v>808.5</v>
      </c>
      <c r="D17" s="361">
        <f>+OCCMarkets!S17</f>
        <v>992</v>
      </c>
      <c r="E17" s="362">
        <f t="shared" si="1"/>
        <v>183.5</v>
      </c>
      <c r="F17" s="362">
        <f t="shared" si="18"/>
        <v>11595.5</v>
      </c>
      <c r="G17" s="363"/>
      <c r="H17" s="360">
        <f>+OCCMarkets!C17</f>
        <v>12545</v>
      </c>
      <c r="I17" s="361">
        <f t="shared" si="2"/>
        <v>6272.5</v>
      </c>
      <c r="J17" s="361">
        <f>+OCCMarkets!L17-OCCMarkets!H17</f>
        <v>6640</v>
      </c>
      <c r="K17" s="362">
        <f t="shared" si="3"/>
        <v>367.5</v>
      </c>
      <c r="L17" s="362">
        <f t="shared" si="19"/>
        <v>126952</v>
      </c>
      <c r="M17" s="363"/>
      <c r="N17" s="360">
        <f>+OCCMarkets!V17</f>
        <v>1316</v>
      </c>
      <c r="O17" s="361">
        <f t="shared" si="4"/>
        <v>658</v>
      </c>
      <c r="P17" s="361">
        <f>+OCCMarkets!Z17</f>
        <v>661</v>
      </c>
      <c r="Q17" s="362">
        <f t="shared" si="5"/>
        <v>3</v>
      </c>
      <c r="R17" s="362">
        <f t="shared" si="20"/>
        <v>15181</v>
      </c>
      <c r="S17" s="363"/>
      <c r="T17" s="353">
        <f>+EES!C16</f>
        <v>70000</v>
      </c>
      <c r="U17" s="353">
        <f t="shared" si="6"/>
        <v>35000</v>
      </c>
      <c r="V17" s="353">
        <f>+EES!AI16-EES!M16</f>
        <v>178438</v>
      </c>
      <c r="W17" s="362">
        <f t="shared" si="7"/>
        <v>143438</v>
      </c>
      <c r="X17" s="362">
        <f t="shared" si="21"/>
        <v>871297</v>
      </c>
      <c r="Y17" s="363"/>
      <c r="Z17" s="353">
        <f>+OCCMarkets!AC17</f>
        <v>173</v>
      </c>
      <c r="AA17" s="353">
        <f t="shared" si="8"/>
        <v>86.5</v>
      </c>
      <c r="AB17" s="353">
        <f>+OCCMarkets!AG17</f>
        <v>0</v>
      </c>
      <c r="AC17" s="362">
        <f t="shared" si="9"/>
        <v>-86.5</v>
      </c>
      <c r="AD17" s="362">
        <f t="shared" si="22"/>
        <v>3158.5</v>
      </c>
      <c r="AE17" s="363"/>
      <c r="AF17" s="353">
        <f>+OCCMarkets!AJ17</f>
        <v>9262</v>
      </c>
      <c r="AG17" s="353">
        <f t="shared" si="10"/>
        <v>4631</v>
      </c>
      <c r="AH17" s="353">
        <f>+OCCMarkets!AN17</f>
        <v>12301</v>
      </c>
      <c r="AI17" s="362">
        <f t="shared" si="11"/>
        <v>7670</v>
      </c>
      <c r="AJ17" s="362">
        <f t="shared" si="23"/>
        <v>188971.5</v>
      </c>
      <c r="AK17" s="363"/>
      <c r="AL17" s="353">
        <f>+OCCMarkets!AQ17</f>
        <v>0</v>
      </c>
      <c r="AM17" s="353">
        <f t="shared" si="12"/>
        <v>0</v>
      </c>
      <c r="AN17" s="353">
        <f>+OCCMarkets!AU17</f>
        <v>0</v>
      </c>
      <c r="AO17" s="362">
        <f t="shared" si="13"/>
        <v>0</v>
      </c>
      <c r="AP17" s="362">
        <f t="shared" si="24"/>
        <v>0</v>
      </c>
      <c r="AQ17" s="363"/>
      <c r="AR17" s="353">
        <f>+OCCMarkets!AX17</f>
        <v>167</v>
      </c>
      <c r="AS17" s="353">
        <f t="shared" si="14"/>
        <v>83.5</v>
      </c>
      <c r="AT17" s="353">
        <f>+OCCMarkets!BB17</f>
        <v>0</v>
      </c>
      <c r="AU17" s="362">
        <f t="shared" si="15"/>
        <v>-83.5</v>
      </c>
      <c r="AV17" s="362">
        <f t="shared" si="25"/>
        <v>3427</v>
      </c>
      <c r="AW17" s="363"/>
      <c r="AX17" s="353">
        <f>+OCCMarkets!BE17</f>
        <v>261</v>
      </c>
      <c r="AY17" s="353">
        <f t="shared" si="16"/>
        <v>130.5</v>
      </c>
      <c r="AZ17" s="353">
        <f>+OCCMarkets!BI17</f>
        <v>0</v>
      </c>
      <c r="BA17" s="362">
        <f t="shared" si="17"/>
        <v>-130.5</v>
      </c>
      <c r="BB17" s="362">
        <f t="shared" si="26"/>
        <v>4645</v>
      </c>
      <c r="BC17" s="363"/>
      <c r="BD17" s="395"/>
      <c r="BE17" s="362">
        <f t="shared" si="27"/>
        <v>95341</v>
      </c>
      <c r="BF17" s="362">
        <f t="shared" si="27"/>
        <v>47670.5</v>
      </c>
      <c r="BG17" s="362">
        <f t="shared" si="28"/>
        <v>199032</v>
      </c>
      <c r="BH17" s="362">
        <f t="shared" si="28"/>
        <v>151361.5</v>
      </c>
      <c r="BI17" s="362">
        <f t="shared" si="28"/>
        <v>1225227.5</v>
      </c>
      <c r="BJ17" s="362"/>
    </row>
    <row r="18" spans="1:63" x14ac:dyDescent="0.25">
      <c r="A18" s="359">
        <f>+BaseloadMarkets!A18</f>
        <v>36690</v>
      </c>
      <c r="B18" s="360">
        <f>+OCCMarkets!O18</f>
        <v>1569</v>
      </c>
      <c r="C18" s="361">
        <f t="shared" si="0"/>
        <v>784.5</v>
      </c>
      <c r="D18" s="361">
        <f>+OCCMarkets!S18</f>
        <v>0</v>
      </c>
      <c r="E18" s="362">
        <f t="shared" si="1"/>
        <v>-784.5</v>
      </c>
      <c r="F18" s="362">
        <f t="shared" si="18"/>
        <v>10811</v>
      </c>
      <c r="G18" s="363"/>
      <c r="H18" s="360">
        <f>+OCCMarkets!C18</f>
        <v>16268</v>
      </c>
      <c r="I18" s="361">
        <f t="shared" si="2"/>
        <v>8134</v>
      </c>
      <c r="J18" s="361">
        <f>+OCCMarkets!L18-OCCMarkets!H18</f>
        <v>6338</v>
      </c>
      <c r="K18" s="362">
        <f t="shared" si="3"/>
        <v>-1796</v>
      </c>
      <c r="L18" s="362">
        <f t="shared" si="19"/>
        <v>125156</v>
      </c>
      <c r="M18" s="363"/>
      <c r="N18" s="360">
        <f>+OCCMarkets!V18</f>
        <v>1165</v>
      </c>
      <c r="O18" s="361">
        <f t="shared" si="4"/>
        <v>582.5</v>
      </c>
      <c r="P18" s="361">
        <f>+OCCMarkets!Z18</f>
        <v>0</v>
      </c>
      <c r="Q18" s="362">
        <f t="shared" si="5"/>
        <v>-582.5</v>
      </c>
      <c r="R18" s="362">
        <f t="shared" si="20"/>
        <v>14598.5</v>
      </c>
      <c r="S18" s="363"/>
      <c r="T18" s="353">
        <f>+EES!C17</f>
        <v>70000</v>
      </c>
      <c r="U18" s="353">
        <f t="shared" si="6"/>
        <v>35000</v>
      </c>
      <c r="V18" s="353">
        <f>+EES!AI17-EES!M17</f>
        <v>46583</v>
      </c>
      <c r="W18" s="362">
        <f t="shared" si="7"/>
        <v>11583</v>
      </c>
      <c r="X18" s="362">
        <f t="shared" si="21"/>
        <v>882880</v>
      </c>
      <c r="Y18" s="363"/>
      <c r="Z18" s="353">
        <f>+OCCMarkets!AC18</f>
        <v>155</v>
      </c>
      <c r="AA18" s="353">
        <f t="shared" si="8"/>
        <v>77.5</v>
      </c>
      <c r="AB18" s="353">
        <f>+OCCMarkets!AG18</f>
        <v>0</v>
      </c>
      <c r="AC18" s="362">
        <f t="shared" si="9"/>
        <v>-77.5</v>
      </c>
      <c r="AD18" s="362">
        <f t="shared" si="22"/>
        <v>3081</v>
      </c>
      <c r="AE18" s="363"/>
      <c r="AF18" s="353">
        <f>+OCCMarkets!AJ18</f>
        <v>9192</v>
      </c>
      <c r="AG18" s="353">
        <f t="shared" si="10"/>
        <v>4596</v>
      </c>
      <c r="AH18" s="353">
        <f>+OCCMarkets!AN18</f>
        <v>7680</v>
      </c>
      <c r="AI18" s="362">
        <f t="shared" si="11"/>
        <v>3084</v>
      </c>
      <c r="AJ18" s="362">
        <f t="shared" si="23"/>
        <v>192055.5</v>
      </c>
      <c r="AK18" s="363"/>
      <c r="AL18" s="353">
        <f>+OCCMarkets!AQ18</f>
        <v>0</v>
      </c>
      <c r="AM18" s="353">
        <f t="shared" si="12"/>
        <v>0</v>
      </c>
      <c r="AN18" s="353">
        <f>+OCCMarkets!AU18</f>
        <v>0</v>
      </c>
      <c r="AO18" s="362">
        <f t="shared" si="13"/>
        <v>0</v>
      </c>
      <c r="AP18" s="362">
        <f t="shared" si="24"/>
        <v>0</v>
      </c>
      <c r="AQ18" s="363"/>
      <c r="AR18" s="353">
        <f>+OCCMarkets!AX18</f>
        <v>197</v>
      </c>
      <c r="AS18" s="353">
        <f t="shared" si="14"/>
        <v>98.5</v>
      </c>
      <c r="AT18" s="353">
        <f>+OCCMarkets!BB18</f>
        <v>0</v>
      </c>
      <c r="AU18" s="362">
        <f t="shared" si="15"/>
        <v>-98.5</v>
      </c>
      <c r="AV18" s="362">
        <f t="shared" si="25"/>
        <v>3328.5</v>
      </c>
      <c r="AW18" s="363"/>
      <c r="AX18" s="353">
        <f>+OCCMarkets!BE18</f>
        <v>309</v>
      </c>
      <c r="AY18" s="353">
        <f t="shared" si="16"/>
        <v>154.5</v>
      </c>
      <c r="AZ18" s="353">
        <f>+OCCMarkets!BI18</f>
        <v>0</v>
      </c>
      <c r="BA18" s="362">
        <f t="shared" si="17"/>
        <v>-154.5</v>
      </c>
      <c r="BB18" s="362">
        <f t="shared" si="26"/>
        <v>4490.5</v>
      </c>
      <c r="BC18" s="363"/>
      <c r="BD18" s="395"/>
      <c r="BE18" s="362">
        <f t="shared" si="27"/>
        <v>98855</v>
      </c>
      <c r="BF18" s="362">
        <f t="shared" si="27"/>
        <v>49427.5</v>
      </c>
      <c r="BG18" s="362">
        <f t="shared" si="28"/>
        <v>60601</v>
      </c>
      <c r="BH18" s="362">
        <f t="shared" si="28"/>
        <v>11173.5</v>
      </c>
      <c r="BI18" s="362">
        <f t="shared" si="28"/>
        <v>1236401</v>
      </c>
      <c r="BJ18" s="362"/>
    </row>
    <row r="19" spans="1:63" x14ac:dyDescent="0.25">
      <c r="A19" s="359">
        <f>+BaseloadMarkets!A19</f>
        <v>36691</v>
      </c>
      <c r="B19" s="360">
        <f>+OCCMarkets!O19</f>
        <v>1605</v>
      </c>
      <c r="C19" s="361">
        <f t="shared" si="0"/>
        <v>802.5</v>
      </c>
      <c r="D19" s="361">
        <f>+OCCMarkets!S19</f>
        <v>1079</v>
      </c>
      <c r="E19" s="362">
        <f t="shared" si="1"/>
        <v>276.5</v>
      </c>
      <c r="F19" s="362">
        <f t="shared" si="18"/>
        <v>11087.5</v>
      </c>
      <c r="G19" s="363"/>
      <c r="H19" s="360">
        <f>+OCCMarkets!C19</f>
        <v>19529</v>
      </c>
      <c r="I19" s="361">
        <f t="shared" si="2"/>
        <v>9764.5</v>
      </c>
      <c r="J19" s="361">
        <f>+OCCMarkets!L19-OCCMarkets!H19</f>
        <v>9291</v>
      </c>
      <c r="K19" s="362">
        <f t="shared" si="3"/>
        <v>-473.5</v>
      </c>
      <c r="L19" s="362">
        <f t="shared" si="19"/>
        <v>124682.5</v>
      </c>
      <c r="M19" s="363"/>
      <c r="N19" s="360">
        <f>+OCCMarkets!V19</f>
        <v>464</v>
      </c>
      <c r="O19" s="361">
        <f t="shared" si="4"/>
        <v>232</v>
      </c>
      <c r="P19" s="361">
        <f>+OCCMarkets!Z19</f>
        <v>1079</v>
      </c>
      <c r="Q19" s="362">
        <f t="shared" si="5"/>
        <v>847</v>
      </c>
      <c r="R19" s="362">
        <f t="shared" si="20"/>
        <v>15445.5</v>
      </c>
      <c r="S19" s="363"/>
      <c r="T19" s="353">
        <f>+EES!C18</f>
        <v>70000</v>
      </c>
      <c r="U19" s="353">
        <f t="shared" si="6"/>
        <v>35000</v>
      </c>
      <c r="V19" s="353">
        <f>+EES!AI18-EES!M18</f>
        <v>40268</v>
      </c>
      <c r="W19" s="362">
        <f t="shared" si="7"/>
        <v>5268</v>
      </c>
      <c r="X19" s="362">
        <f t="shared" si="21"/>
        <v>888148</v>
      </c>
      <c r="Y19" s="363"/>
      <c r="Z19" s="353">
        <f>+OCCMarkets!AC19</f>
        <v>176</v>
      </c>
      <c r="AA19" s="353">
        <f t="shared" si="8"/>
        <v>88</v>
      </c>
      <c r="AB19" s="353">
        <f>+OCCMarkets!AG19</f>
        <v>0</v>
      </c>
      <c r="AC19" s="362">
        <f t="shared" si="9"/>
        <v>-88</v>
      </c>
      <c r="AD19" s="362">
        <f t="shared" si="22"/>
        <v>2993</v>
      </c>
      <c r="AE19" s="363"/>
      <c r="AF19" s="353">
        <f>+OCCMarkets!AJ19</f>
        <v>9556</v>
      </c>
      <c r="AG19" s="353">
        <f t="shared" si="10"/>
        <v>4778</v>
      </c>
      <c r="AH19" s="353">
        <f>+OCCMarkets!AN19</f>
        <v>9303</v>
      </c>
      <c r="AI19" s="362">
        <f t="shared" si="11"/>
        <v>4525</v>
      </c>
      <c r="AJ19" s="362">
        <f t="shared" si="23"/>
        <v>196580.5</v>
      </c>
      <c r="AK19" s="363"/>
      <c r="AL19" s="353">
        <f>+OCCMarkets!AQ19</f>
        <v>0</v>
      </c>
      <c r="AM19" s="353">
        <f t="shared" si="12"/>
        <v>0</v>
      </c>
      <c r="AN19" s="353">
        <f>+OCCMarkets!AU19</f>
        <v>0</v>
      </c>
      <c r="AO19" s="362">
        <f t="shared" si="13"/>
        <v>0</v>
      </c>
      <c r="AP19" s="362">
        <f t="shared" si="24"/>
        <v>0</v>
      </c>
      <c r="AQ19" s="363"/>
      <c r="AR19" s="353">
        <f>+OCCMarkets!AX19</f>
        <v>200</v>
      </c>
      <c r="AS19" s="353">
        <f t="shared" si="14"/>
        <v>100</v>
      </c>
      <c r="AT19" s="353">
        <f>+OCCMarkets!BB19</f>
        <v>0</v>
      </c>
      <c r="AU19" s="362">
        <f t="shared" si="15"/>
        <v>-100</v>
      </c>
      <c r="AV19" s="362">
        <f t="shared" si="25"/>
        <v>3228.5</v>
      </c>
      <c r="AW19" s="363"/>
      <c r="AX19" s="353">
        <f>+OCCMarkets!BE19</f>
        <v>277</v>
      </c>
      <c r="AY19" s="353">
        <f t="shared" si="16"/>
        <v>138.5</v>
      </c>
      <c r="AZ19" s="353">
        <f>+OCCMarkets!BI19</f>
        <v>0</v>
      </c>
      <c r="BA19" s="362">
        <f t="shared" si="17"/>
        <v>-138.5</v>
      </c>
      <c r="BB19" s="362">
        <f t="shared" si="26"/>
        <v>4352</v>
      </c>
      <c r="BC19" s="363"/>
      <c r="BD19" s="395"/>
      <c r="BE19" s="362">
        <f t="shared" si="27"/>
        <v>101807</v>
      </c>
      <c r="BF19" s="362">
        <f t="shared" si="27"/>
        <v>50903.5</v>
      </c>
      <c r="BG19" s="362">
        <f t="shared" si="28"/>
        <v>61020</v>
      </c>
      <c r="BH19" s="362">
        <f t="shared" si="28"/>
        <v>10116.5</v>
      </c>
      <c r="BI19" s="362">
        <f t="shared" si="28"/>
        <v>1246517.5</v>
      </c>
      <c r="BJ19" s="362"/>
    </row>
    <row r="20" spans="1:63" x14ac:dyDescent="0.25">
      <c r="A20" s="359">
        <f>+BaseloadMarkets!A20</f>
        <v>36692</v>
      </c>
      <c r="B20" s="360">
        <f>+OCCMarkets!O20</f>
        <v>529</v>
      </c>
      <c r="C20" s="361">
        <f t="shared" si="0"/>
        <v>264.5</v>
      </c>
      <c r="D20" s="361">
        <f>+OCCMarkets!S20</f>
        <v>0</v>
      </c>
      <c r="E20" s="362">
        <f t="shared" si="1"/>
        <v>-264.5</v>
      </c>
      <c r="F20" s="362">
        <f t="shared" si="18"/>
        <v>10823</v>
      </c>
      <c r="G20" s="363">
        <f>SUM(E16:E20)</f>
        <v>-306.5</v>
      </c>
      <c r="H20" s="360">
        <f>+OCCMarkets!C20</f>
        <v>12735</v>
      </c>
      <c r="I20" s="361">
        <f t="shared" si="2"/>
        <v>6367.5</v>
      </c>
      <c r="J20" s="361">
        <f>+OCCMarkets!L20-OCCMarkets!H20</f>
        <v>6338</v>
      </c>
      <c r="K20" s="362">
        <f t="shared" si="3"/>
        <v>-29.5</v>
      </c>
      <c r="L20" s="362">
        <f t="shared" si="19"/>
        <v>124653</v>
      </c>
      <c r="M20" s="363">
        <f>SUM(K16:K20)</f>
        <v>323.5</v>
      </c>
      <c r="N20" s="360">
        <f>+OCCMarkets!V20</f>
        <v>1146</v>
      </c>
      <c r="O20" s="361">
        <f t="shared" si="4"/>
        <v>573</v>
      </c>
      <c r="P20" s="361">
        <f>+OCCMarkets!Z20</f>
        <v>0</v>
      </c>
      <c r="Q20" s="362">
        <f t="shared" si="5"/>
        <v>-573</v>
      </c>
      <c r="R20" s="362">
        <f t="shared" si="20"/>
        <v>14872.5</v>
      </c>
      <c r="S20" s="363">
        <f>SUM(Q16:Q20)</f>
        <v>-249</v>
      </c>
      <c r="T20" s="353">
        <f>+EES!C19</f>
        <v>70000</v>
      </c>
      <c r="U20" s="353">
        <f t="shared" si="6"/>
        <v>35000</v>
      </c>
      <c r="V20" s="353">
        <f>+EES!AI19-EES!M19</f>
        <v>46245</v>
      </c>
      <c r="W20" s="362">
        <f t="shared" si="7"/>
        <v>11245</v>
      </c>
      <c r="X20" s="362">
        <f t="shared" si="21"/>
        <v>899393</v>
      </c>
      <c r="Y20" s="363">
        <f>SUM(W16:W20)</f>
        <v>271325</v>
      </c>
      <c r="Z20" s="353">
        <f>+OCCMarkets!AC20</f>
        <v>167</v>
      </c>
      <c r="AA20" s="353">
        <f t="shared" si="8"/>
        <v>83.5</v>
      </c>
      <c r="AB20" s="353">
        <f>+OCCMarkets!AG20</f>
        <v>0</v>
      </c>
      <c r="AC20" s="362">
        <f t="shared" si="9"/>
        <v>-83.5</v>
      </c>
      <c r="AD20" s="362">
        <f t="shared" si="22"/>
        <v>2909.5</v>
      </c>
      <c r="AE20" s="363">
        <f>SUM(AC16:AC20)</f>
        <v>-346.5</v>
      </c>
      <c r="AF20" s="353">
        <f>+OCCMarkets!AJ20</f>
        <v>9602</v>
      </c>
      <c r="AG20" s="353">
        <f t="shared" si="10"/>
        <v>4801</v>
      </c>
      <c r="AH20" s="353">
        <f>+OCCMarkets!AN20</f>
        <v>4987</v>
      </c>
      <c r="AI20" s="362">
        <f t="shared" si="11"/>
        <v>186</v>
      </c>
      <c r="AJ20" s="362">
        <f t="shared" si="23"/>
        <v>196766.5</v>
      </c>
      <c r="AK20" s="363">
        <f>SUM(AI16:AI20)</f>
        <v>23489.5</v>
      </c>
      <c r="AL20" s="353">
        <f>+OCCMarkets!AQ20</f>
        <v>0</v>
      </c>
      <c r="AM20" s="353">
        <f t="shared" si="12"/>
        <v>0</v>
      </c>
      <c r="AN20" s="353">
        <f>+OCCMarkets!AU20</f>
        <v>0</v>
      </c>
      <c r="AO20" s="362">
        <f t="shared" si="13"/>
        <v>0</v>
      </c>
      <c r="AP20" s="362">
        <f t="shared" si="24"/>
        <v>0</v>
      </c>
      <c r="AQ20" s="363">
        <f>SUM(AO16:AO20)</f>
        <v>0</v>
      </c>
      <c r="AR20" s="353">
        <f>+OCCMarkets!AX20</f>
        <v>202</v>
      </c>
      <c r="AS20" s="353">
        <f t="shared" si="14"/>
        <v>101</v>
      </c>
      <c r="AT20" s="353">
        <f>+OCCMarkets!BB20</f>
        <v>0</v>
      </c>
      <c r="AU20" s="362">
        <f t="shared" si="15"/>
        <v>-101</v>
      </c>
      <c r="AV20" s="362">
        <f t="shared" si="25"/>
        <v>3127.5</v>
      </c>
      <c r="AW20" s="363">
        <f>SUM(AU16:AU20)</f>
        <v>-383</v>
      </c>
      <c r="AX20" s="353">
        <f>+OCCMarkets!BE20</f>
        <v>293</v>
      </c>
      <c r="AY20" s="353">
        <f t="shared" si="16"/>
        <v>146.5</v>
      </c>
      <c r="AZ20" s="353">
        <f>+OCCMarkets!BI20</f>
        <v>0</v>
      </c>
      <c r="BA20" s="362">
        <f t="shared" si="17"/>
        <v>-146.5</v>
      </c>
      <c r="BB20" s="362">
        <f t="shared" si="26"/>
        <v>4205.5</v>
      </c>
      <c r="BC20" s="363">
        <f>SUM(BA16:BA20)</f>
        <v>-583.5</v>
      </c>
      <c r="BD20" s="395"/>
      <c r="BE20" s="362">
        <f t="shared" si="27"/>
        <v>94674</v>
      </c>
      <c r="BF20" s="362">
        <f t="shared" si="27"/>
        <v>47337</v>
      </c>
      <c r="BG20" s="362">
        <f t="shared" si="28"/>
        <v>57570</v>
      </c>
      <c r="BH20" s="362">
        <f t="shared" si="28"/>
        <v>10233</v>
      </c>
      <c r="BI20" s="362">
        <f t="shared" si="28"/>
        <v>1256750.5</v>
      </c>
      <c r="BJ20" s="395">
        <f>+G20+M20+S20+Y20+AE20+AK20+AQ20+AW20+BC20</f>
        <v>293269.5</v>
      </c>
      <c r="BK20" s="205"/>
    </row>
    <row r="21" spans="1:63" x14ac:dyDescent="0.25">
      <c r="A21" s="359">
        <f>+BaseloadMarkets!A21</f>
        <v>36693</v>
      </c>
      <c r="B21" s="360">
        <f>+OCCMarkets!O21</f>
        <v>1137</v>
      </c>
      <c r="C21" s="361">
        <f t="shared" si="0"/>
        <v>568.5</v>
      </c>
      <c r="D21" s="361">
        <f>+OCCMarkets!S21</f>
        <v>0</v>
      </c>
      <c r="E21" s="362">
        <f t="shared" si="1"/>
        <v>-568.5</v>
      </c>
      <c r="F21" s="362">
        <f t="shared" si="18"/>
        <v>10254.5</v>
      </c>
      <c r="G21" s="363"/>
      <c r="H21" s="360">
        <f>+OCCMarkets!C21</f>
        <v>11022</v>
      </c>
      <c r="I21" s="361">
        <f t="shared" si="2"/>
        <v>5511</v>
      </c>
      <c r="J21" s="361">
        <f>+OCCMarkets!L21-OCCMarkets!H21</f>
        <v>3997</v>
      </c>
      <c r="K21" s="362">
        <f t="shared" si="3"/>
        <v>-1514</v>
      </c>
      <c r="L21" s="362">
        <f t="shared" si="19"/>
        <v>123139</v>
      </c>
      <c r="M21" s="363"/>
      <c r="N21" s="360">
        <f>+OCCMarkets!V21</f>
        <v>765</v>
      </c>
      <c r="O21" s="361">
        <f t="shared" si="4"/>
        <v>382.5</v>
      </c>
      <c r="P21" s="361">
        <f>+OCCMarkets!Z21</f>
        <v>0</v>
      </c>
      <c r="Q21" s="362">
        <f t="shared" si="5"/>
        <v>-382.5</v>
      </c>
      <c r="R21" s="362">
        <f t="shared" si="20"/>
        <v>14490</v>
      </c>
      <c r="S21" s="363"/>
      <c r="T21" s="353">
        <f>+EES!C20</f>
        <v>70000</v>
      </c>
      <c r="U21" s="353">
        <f t="shared" si="6"/>
        <v>35000</v>
      </c>
      <c r="V21" s="353">
        <f>+EES!AI20-EES!M20</f>
        <v>10242</v>
      </c>
      <c r="W21" s="362">
        <f t="shared" si="7"/>
        <v>-24758</v>
      </c>
      <c r="X21" s="362">
        <f t="shared" si="21"/>
        <v>874635</v>
      </c>
      <c r="Y21" s="363"/>
      <c r="Z21" s="353">
        <f>+OCCMarkets!AC21</f>
        <v>165</v>
      </c>
      <c r="AA21" s="353">
        <f t="shared" si="8"/>
        <v>82.5</v>
      </c>
      <c r="AB21" s="353">
        <f>+OCCMarkets!AG21</f>
        <v>0</v>
      </c>
      <c r="AC21" s="362">
        <f t="shared" si="9"/>
        <v>-82.5</v>
      </c>
      <c r="AD21" s="362">
        <f t="shared" si="22"/>
        <v>2827</v>
      </c>
      <c r="AE21" s="363"/>
      <c r="AF21" s="353">
        <f>+OCCMarkets!AJ21</f>
        <v>9309</v>
      </c>
      <c r="AG21" s="353">
        <f t="shared" si="10"/>
        <v>4654.5</v>
      </c>
      <c r="AH21" s="353">
        <f>+OCCMarkets!AN21</f>
        <v>987</v>
      </c>
      <c r="AI21" s="362">
        <f t="shared" si="11"/>
        <v>-3667.5</v>
      </c>
      <c r="AJ21" s="362">
        <f t="shared" si="23"/>
        <v>193099</v>
      </c>
      <c r="AK21" s="363"/>
      <c r="AL21" s="353">
        <f>+OCCMarkets!AQ21</f>
        <v>0</v>
      </c>
      <c r="AM21" s="353">
        <f t="shared" si="12"/>
        <v>0</v>
      </c>
      <c r="AN21" s="353">
        <f>+OCCMarkets!AU21</f>
        <v>0</v>
      </c>
      <c r="AO21" s="362">
        <f t="shared" si="13"/>
        <v>0</v>
      </c>
      <c r="AP21" s="362">
        <f t="shared" si="24"/>
        <v>0</v>
      </c>
      <c r="AQ21" s="363"/>
      <c r="AR21" s="353">
        <f>+OCCMarkets!AX21</f>
        <v>205</v>
      </c>
      <c r="AS21" s="353">
        <f t="shared" si="14"/>
        <v>102.5</v>
      </c>
      <c r="AT21" s="353">
        <f>+OCCMarkets!BB21</f>
        <v>0</v>
      </c>
      <c r="AU21" s="362">
        <f t="shared" si="15"/>
        <v>-102.5</v>
      </c>
      <c r="AV21" s="362">
        <f t="shared" si="25"/>
        <v>3025</v>
      </c>
      <c r="AW21" s="363"/>
      <c r="AX21" s="353">
        <f>+OCCMarkets!BE21</f>
        <v>301</v>
      </c>
      <c r="AY21" s="353">
        <f t="shared" si="16"/>
        <v>150.5</v>
      </c>
      <c r="AZ21" s="353">
        <f>+OCCMarkets!BI21</f>
        <v>0</v>
      </c>
      <c r="BA21" s="362">
        <f t="shared" si="17"/>
        <v>-150.5</v>
      </c>
      <c r="BB21" s="362">
        <f t="shared" si="26"/>
        <v>4055</v>
      </c>
      <c r="BC21" s="363"/>
      <c r="BD21" s="395"/>
      <c r="BE21" s="362">
        <f t="shared" si="27"/>
        <v>92904</v>
      </c>
      <c r="BF21" s="362">
        <f t="shared" si="27"/>
        <v>46452</v>
      </c>
      <c r="BG21" s="362">
        <f t="shared" si="28"/>
        <v>15226</v>
      </c>
      <c r="BH21" s="362">
        <f t="shared" si="28"/>
        <v>-31226</v>
      </c>
      <c r="BI21" s="362">
        <f t="shared" si="28"/>
        <v>1225524.5</v>
      </c>
      <c r="BJ21" s="362"/>
    </row>
    <row r="22" spans="1:63" x14ac:dyDescent="0.25">
      <c r="A22" s="359">
        <f>+BaseloadMarkets!A22</f>
        <v>36694</v>
      </c>
      <c r="B22" s="360">
        <f>+OCCMarkets!O22</f>
        <v>1715</v>
      </c>
      <c r="C22" s="361">
        <f t="shared" si="0"/>
        <v>857.5</v>
      </c>
      <c r="D22" s="361">
        <f>+OCCMarkets!S22</f>
        <v>408</v>
      </c>
      <c r="E22" s="362">
        <f t="shared" si="1"/>
        <v>-449.5</v>
      </c>
      <c r="F22" s="362">
        <f t="shared" si="18"/>
        <v>9805</v>
      </c>
      <c r="G22" s="363"/>
      <c r="H22" s="360">
        <f>+OCCMarkets!C22</f>
        <v>7208</v>
      </c>
      <c r="I22" s="361">
        <f t="shared" si="2"/>
        <v>3604</v>
      </c>
      <c r="J22" s="361">
        <f>+OCCMarkets!L22-OCCMarkets!H22</f>
        <v>4405</v>
      </c>
      <c r="K22" s="362">
        <f t="shared" si="3"/>
        <v>801</v>
      </c>
      <c r="L22" s="362">
        <f t="shared" si="19"/>
        <v>123940</v>
      </c>
      <c r="M22" s="363"/>
      <c r="N22" s="360">
        <f>+OCCMarkets!V22</f>
        <v>1554</v>
      </c>
      <c r="O22" s="361">
        <f t="shared" si="4"/>
        <v>777</v>
      </c>
      <c r="P22" s="361">
        <f>+OCCMarkets!Z22</f>
        <v>285</v>
      </c>
      <c r="Q22" s="362">
        <f t="shared" si="5"/>
        <v>-492</v>
      </c>
      <c r="R22" s="362">
        <f t="shared" si="20"/>
        <v>13998</v>
      </c>
      <c r="S22" s="363"/>
      <c r="T22" s="353">
        <f>+EES!C21</f>
        <v>70000</v>
      </c>
      <c r="U22" s="353">
        <f t="shared" si="6"/>
        <v>35000</v>
      </c>
      <c r="V22" s="353">
        <f>+EES!AI21-EES!M21</f>
        <v>41479</v>
      </c>
      <c r="W22" s="362">
        <f t="shared" si="7"/>
        <v>6479</v>
      </c>
      <c r="X22" s="362">
        <f t="shared" si="21"/>
        <v>881114</v>
      </c>
      <c r="Y22" s="363"/>
      <c r="Z22" s="353">
        <f>+OCCMarkets!AC22</f>
        <v>177</v>
      </c>
      <c r="AA22" s="353">
        <f t="shared" si="8"/>
        <v>88.5</v>
      </c>
      <c r="AB22" s="353">
        <f>+OCCMarkets!AG22</f>
        <v>0</v>
      </c>
      <c r="AC22" s="362">
        <f t="shared" si="9"/>
        <v>-88.5</v>
      </c>
      <c r="AD22" s="362">
        <f t="shared" si="22"/>
        <v>2738.5</v>
      </c>
      <c r="AE22" s="363"/>
      <c r="AF22" s="353">
        <f>+OCCMarkets!AJ22</f>
        <v>8922</v>
      </c>
      <c r="AG22" s="353">
        <f t="shared" si="10"/>
        <v>4461</v>
      </c>
      <c r="AH22" s="353">
        <f>+OCCMarkets!AN22</f>
        <v>2987</v>
      </c>
      <c r="AI22" s="362">
        <f t="shared" si="11"/>
        <v>-1474</v>
      </c>
      <c r="AJ22" s="362">
        <f t="shared" si="23"/>
        <v>191625</v>
      </c>
      <c r="AK22" s="363"/>
      <c r="AL22" s="353">
        <f>+OCCMarkets!AQ22</f>
        <v>0</v>
      </c>
      <c r="AM22" s="353">
        <f t="shared" si="12"/>
        <v>0</v>
      </c>
      <c r="AN22" s="353">
        <f>+OCCMarkets!AU22</f>
        <v>0</v>
      </c>
      <c r="AO22" s="362">
        <f t="shared" si="13"/>
        <v>0</v>
      </c>
      <c r="AP22" s="362">
        <f t="shared" si="24"/>
        <v>0</v>
      </c>
      <c r="AQ22" s="363"/>
      <c r="AR22" s="353">
        <f>+OCCMarkets!AX22</f>
        <v>26</v>
      </c>
      <c r="AS22" s="353">
        <f t="shared" si="14"/>
        <v>13</v>
      </c>
      <c r="AT22" s="353">
        <f>+OCCMarkets!BB22</f>
        <v>0</v>
      </c>
      <c r="AU22" s="362">
        <f t="shared" si="15"/>
        <v>-13</v>
      </c>
      <c r="AV22" s="362">
        <f t="shared" si="25"/>
        <v>3012</v>
      </c>
      <c r="AW22" s="363"/>
      <c r="AX22" s="353">
        <f>+OCCMarkets!BE22</f>
        <v>145</v>
      </c>
      <c r="AY22" s="353">
        <f t="shared" si="16"/>
        <v>72.5</v>
      </c>
      <c r="AZ22" s="353">
        <f>+OCCMarkets!BI22</f>
        <v>0</v>
      </c>
      <c r="BA22" s="362">
        <f t="shared" si="17"/>
        <v>-72.5</v>
      </c>
      <c r="BB22" s="362">
        <f t="shared" si="26"/>
        <v>3982.5</v>
      </c>
      <c r="BC22" s="363"/>
      <c r="BD22" s="395"/>
      <c r="BE22" s="362">
        <f t="shared" si="27"/>
        <v>89747</v>
      </c>
      <c r="BF22" s="362">
        <f t="shared" si="27"/>
        <v>44873.5</v>
      </c>
      <c r="BG22" s="362">
        <f t="shared" si="28"/>
        <v>49564</v>
      </c>
      <c r="BH22" s="362">
        <f t="shared" si="28"/>
        <v>4690.5</v>
      </c>
      <c r="BI22" s="362">
        <f t="shared" si="28"/>
        <v>1230215</v>
      </c>
      <c r="BJ22" s="362"/>
    </row>
    <row r="23" spans="1:63" x14ac:dyDescent="0.25">
      <c r="A23" s="359">
        <f>+BaseloadMarkets!A23</f>
        <v>36695</v>
      </c>
      <c r="B23" s="360">
        <f>+OCCMarkets!O23</f>
        <v>1776</v>
      </c>
      <c r="C23" s="361">
        <f t="shared" si="0"/>
        <v>888</v>
      </c>
      <c r="D23" s="361">
        <f>+OCCMarkets!S23</f>
        <v>524</v>
      </c>
      <c r="E23" s="362">
        <f t="shared" si="1"/>
        <v>-364</v>
      </c>
      <c r="F23" s="362">
        <f t="shared" si="18"/>
        <v>9441</v>
      </c>
      <c r="G23" s="363"/>
      <c r="H23" s="360">
        <f>+OCCMarkets!C23</f>
        <v>7458</v>
      </c>
      <c r="I23" s="361">
        <f t="shared" si="2"/>
        <v>3729</v>
      </c>
      <c r="J23" s="361">
        <f>+OCCMarkets!L23-OCCMarkets!H23</f>
        <v>4521</v>
      </c>
      <c r="K23" s="362">
        <f t="shared" si="3"/>
        <v>792</v>
      </c>
      <c r="L23" s="362">
        <f t="shared" si="19"/>
        <v>124732</v>
      </c>
      <c r="M23" s="363"/>
      <c r="N23" s="360">
        <f>+OCCMarkets!V23</f>
        <v>1217</v>
      </c>
      <c r="O23" s="361">
        <f t="shared" si="4"/>
        <v>608.5</v>
      </c>
      <c r="P23" s="361">
        <f>+OCCMarkets!Z23</f>
        <v>367</v>
      </c>
      <c r="Q23" s="362">
        <f t="shared" si="5"/>
        <v>-241.5</v>
      </c>
      <c r="R23" s="362">
        <f t="shared" si="20"/>
        <v>13756.5</v>
      </c>
      <c r="S23" s="363"/>
      <c r="T23" s="353">
        <f>+EES!C22</f>
        <v>70000</v>
      </c>
      <c r="U23" s="353">
        <f t="shared" si="6"/>
        <v>35000</v>
      </c>
      <c r="V23" s="353">
        <f>+EES!AI22-EES!M22</f>
        <v>41078</v>
      </c>
      <c r="W23" s="362">
        <f t="shared" si="7"/>
        <v>6078</v>
      </c>
      <c r="X23" s="362">
        <f t="shared" si="21"/>
        <v>887192</v>
      </c>
      <c r="Y23" s="363"/>
      <c r="Z23" s="353">
        <f>+OCCMarkets!AC23</f>
        <v>36</v>
      </c>
      <c r="AA23" s="353">
        <f t="shared" si="8"/>
        <v>18</v>
      </c>
      <c r="AB23" s="353">
        <f>+OCCMarkets!AG23</f>
        <v>0</v>
      </c>
      <c r="AC23" s="362">
        <f t="shared" si="9"/>
        <v>-18</v>
      </c>
      <c r="AD23" s="362">
        <f t="shared" si="22"/>
        <v>2720.5</v>
      </c>
      <c r="AE23" s="363"/>
      <c r="AF23" s="353">
        <f>+OCCMarkets!AJ23</f>
        <v>8958</v>
      </c>
      <c r="AG23" s="353">
        <f t="shared" si="10"/>
        <v>4479</v>
      </c>
      <c r="AH23" s="353">
        <f>+OCCMarkets!AN23</f>
        <v>3554</v>
      </c>
      <c r="AI23" s="362">
        <f t="shared" si="11"/>
        <v>-925</v>
      </c>
      <c r="AJ23" s="362">
        <f t="shared" si="23"/>
        <v>190700</v>
      </c>
      <c r="AK23" s="363"/>
      <c r="AL23" s="353">
        <f>+OCCMarkets!AQ23</f>
        <v>0</v>
      </c>
      <c r="AM23" s="353">
        <f t="shared" si="12"/>
        <v>0</v>
      </c>
      <c r="AN23" s="353">
        <f>+OCCMarkets!AU23</f>
        <v>0</v>
      </c>
      <c r="AO23" s="362">
        <f t="shared" si="13"/>
        <v>0</v>
      </c>
      <c r="AP23" s="362">
        <f t="shared" si="24"/>
        <v>0</v>
      </c>
      <c r="AQ23" s="363"/>
      <c r="AR23" s="353">
        <f>+OCCMarkets!AX23</f>
        <v>0</v>
      </c>
      <c r="AS23" s="353">
        <f t="shared" si="14"/>
        <v>0</v>
      </c>
      <c r="AT23" s="353">
        <f>+OCCMarkets!BB23</f>
        <v>0</v>
      </c>
      <c r="AU23" s="362">
        <f t="shared" si="15"/>
        <v>0</v>
      </c>
      <c r="AV23" s="362">
        <f t="shared" si="25"/>
        <v>3012</v>
      </c>
      <c r="AW23" s="363"/>
      <c r="AX23" s="353">
        <f>+OCCMarkets!BE23</f>
        <v>24</v>
      </c>
      <c r="AY23" s="353">
        <f t="shared" si="16"/>
        <v>12</v>
      </c>
      <c r="AZ23" s="353">
        <f>+OCCMarkets!BI23</f>
        <v>0</v>
      </c>
      <c r="BA23" s="362">
        <f t="shared" si="17"/>
        <v>-12</v>
      </c>
      <c r="BB23" s="362">
        <f t="shared" si="26"/>
        <v>3970.5</v>
      </c>
      <c r="BC23" s="363"/>
      <c r="BD23" s="395"/>
      <c r="BE23" s="362">
        <f t="shared" si="27"/>
        <v>89469</v>
      </c>
      <c r="BF23" s="362">
        <f t="shared" si="27"/>
        <v>44734.5</v>
      </c>
      <c r="BG23" s="362">
        <f t="shared" si="28"/>
        <v>50044</v>
      </c>
      <c r="BH23" s="362">
        <f t="shared" si="28"/>
        <v>5309.5</v>
      </c>
      <c r="BI23" s="362">
        <f t="shared" si="28"/>
        <v>1235524.5</v>
      </c>
      <c r="BJ23" s="362"/>
    </row>
    <row r="24" spans="1:63" x14ac:dyDescent="0.25">
      <c r="A24" s="359">
        <f>+BaseloadMarkets!A24</f>
        <v>36696</v>
      </c>
      <c r="B24" s="360">
        <f>+OCCMarkets!O24</f>
        <v>1848</v>
      </c>
      <c r="C24" s="361">
        <f t="shared" si="0"/>
        <v>924</v>
      </c>
      <c r="D24" s="361">
        <f>+OCCMarkets!S24</f>
        <v>530</v>
      </c>
      <c r="E24" s="362">
        <f t="shared" si="1"/>
        <v>-394</v>
      </c>
      <c r="F24" s="362">
        <f t="shared" si="18"/>
        <v>9047</v>
      </c>
      <c r="G24" s="363"/>
      <c r="H24" s="360">
        <f>+OCCMarkets!C24</f>
        <v>7180</v>
      </c>
      <c r="I24" s="361">
        <f t="shared" si="2"/>
        <v>3590</v>
      </c>
      <c r="J24" s="361">
        <f>+OCCMarkets!L24-OCCMarkets!H24</f>
        <v>4527</v>
      </c>
      <c r="K24" s="362">
        <f t="shared" si="3"/>
        <v>937</v>
      </c>
      <c r="L24" s="362">
        <f t="shared" si="19"/>
        <v>125669</v>
      </c>
      <c r="M24" s="363"/>
      <c r="N24" s="360">
        <f>+OCCMarkets!V24</f>
        <v>784</v>
      </c>
      <c r="O24" s="361">
        <f t="shared" si="4"/>
        <v>392</v>
      </c>
      <c r="P24" s="361">
        <f>+OCCMarkets!Z24</f>
        <v>371</v>
      </c>
      <c r="Q24" s="362">
        <f t="shared" si="5"/>
        <v>-21</v>
      </c>
      <c r="R24" s="362">
        <f t="shared" si="20"/>
        <v>13735.5</v>
      </c>
      <c r="S24" s="363"/>
      <c r="T24" s="353">
        <f>+EES!C23</f>
        <v>70000</v>
      </c>
      <c r="U24" s="353">
        <f t="shared" si="6"/>
        <v>35000</v>
      </c>
      <c r="V24" s="353">
        <f>+EES!AI23-EES!M23</f>
        <v>80444</v>
      </c>
      <c r="W24" s="362">
        <f t="shared" si="7"/>
        <v>45444</v>
      </c>
      <c r="X24" s="362">
        <f t="shared" si="21"/>
        <v>932636</v>
      </c>
      <c r="Y24" s="363"/>
      <c r="Z24" s="353">
        <f>+OCCMarkets!AC24</f>
        <v>98</v>
      </c>
      <c r="AA24" s="353">
        <f t="shared" si="8"/>
        <v>49</v>
      </c>
      <c r="AB24" s="353">
        <f>+OCCMarkets!AG24</f>
        <v>0</v>
      </c>
      <c r="AC24" s="362">
        <f t="shared" si="9"/>
        <v>-49</v>
      </c>
      <c r="AD24" s="362">
        <f t="shared" si="22"/>
        <v>2671.5</v>
      </c>
      <c r="AE24" s="363"/>
      <c r="AF24" s="353">
        <f>+OCCMarkets!AJ24</f>
        <v>9034</v>
      </c>
      <c r="AG24" s="353">
        <f t="shared" si="10"/>
        <v>4517</v>
      </c>
      <c r="AH24" s="353">
        <f>+OCCMarkets!AN24</f>
        <v>3582</v>
      </c>
      <c r="AI24" s="362">
        <f t="shared" si="11"/>
        <v>-935</v>
      </c>
      <c r="AJ24" s="362">
        <f t="shared" si="23"/>
        <v>189765</v>
      </c>
      <c r="AK24" s="363"/>
      <c r="AL24" s="353">
        <f>+OCCMarkets!AQ24</f>
        <v>0</v>
      </c>
      <c r="AM24" s="353">
        <f t="shared" si="12"/>
        <v>0</v>
      </c>
      <c r="AN24" s="353">
        <f>+OCCMarkets!AU24</f>
        <v>0</v>
      </c>
      <c r="AO24" s="362">
        <f t="shared" si="13"/>
        <v>0</v>
      </c>
      <c r="AP24" s="362">
        <f t="shared" si="24"/>
        <v>0</v>
      </c>
      <c r="AQ24" s="363"/>
      <c r="AR24" s="353">
        <f>+OCCMarkets!AX24</f>
        <v>116</v>
      </c>
      <c r="AS24" s="353">
        <f t="shared" si="14"/>
        <v>58</v>
      </c>
      <c r="AT24" s="353">
        <f>+OCCMarkets!BB24</f>
        <v>0</v>
      </c>
      <c r="AU24" s="362">
        <f t="shared" si="15"/>
        <v>-58</v>
      </c>
      <c r="AV24" s="362">
        <f t="shared" si="25"/>
        <v>2954</v>
      </c>
      <c r="AW24" s="363"/>
      <c r="AX24" s="353">
        <f>+OCCMarkets!BE24</f>
        <v>269</v>
      </c>
      <c r="AY24" s="353">
        <f t="shared" si="16"/>
        <v>134.5</v>
      </c>
      <c r="AZ24" s="353">
        <f>+OCCMarkets!BI24</f>
        <v>0</v>
      </c>
      <c r="BA24" s="362">
        <f t="shared" si="17"/>
        <v>-134.5</v>
      </c>
      <c r="BB24" s="362">
        <f t="shared" si="26"/>
        <v>3836</v>
      </c>
      <c r="BC24" s="363"/>
      <c r="BD24" s="395"/>
      <c r="BE24" s="362">
        <f t="shared" si="27"/>
        <v>89329</v>
      </c>
      <c r="BF24" s="362">
        <f t="shared" si="27"/>
        <v>44664.5</v>
      </c>
      <c r="BG24" s="362">
        <f t="shared" si="28"/>
        <v>89454</v>
      </c>
      <c r="BH24" s="362">
        <f t="shared" si="28"/>
        <v>44789.5</v>
      </c>
      <c r="BI24" s="362">
        <f t="shared" si="28"/>
        <v>1280314</v>
      </c>
      <c r="BJ24" s="362"/>
    </row>
    <row r="25" spans="1:63" x14ac:dyDescent="0.25">
      <c r="A25" s="359">
        <f>+BaseloadMarkets!A25</f>
        <v>36697</v>
      </c>
      <c r="B25" s="360">
        <f>+OCCMarkets!O25</f>
        <v>1457</v>
      </c>
      <c r="C25" s="361">
        <f t="shared" si="0"/>
        <v>728.5</v>
      </c>
      <c r="D25" s="361">
        <f>+OCCMarkets!S25</f>
        <v>981</v>
      </c>
      <c r="E25" s="362">
        <f t="shared" si="1"/>
        <v>252.5</v>
      </c>
      <c r="F25" s="362">
        <f t="shared" si="18"/>
        <v>9299.5</v>
      </c>
      <c r="G25" s="363">
        <f>SUM(E21:E25)</f>
        <v>-1523.5</v>
      </c>
      <c r="H25" s="360">
        <f>+OCCMarkets!C25</f>
        <v>10118</v>
      </c>
      <c r="I25" s="361">
        <f t="shared" si="2"/>
        <v>5059</v>
      </c>
      <c r="J25" s="361">
        <f>+OCCMarkets!L25-OCCMarkets!H25</f>
        <v>5905</v>
      </c>
      <c r="K25" s="362">
        <f t="shared" si="3"/>
        <v>846</v>
      </c>
      <c r="L25" s="362">
        <f t="shared" si="19"/>
        <v>126515</v>
      </c>
      <c r="M25" s="363">
        <f>SUM(K21:K25)</f>
        <v>1862</v>
      </c>
      <c r="N25" s="360">
        <f>+OCCMarkets!V25</f>
        <v>1307</v>
      </c>
      <c r="O25" s="361">
        <f t="shared" si="4"/>
        <v>653.5</v>
      </c>
      <c r="P25" s="361">
        <f>+OCCMarkets!Z25</f>
        <v>545</v>
      </c>
      <c r="Q25" s="362">
        <f t="shared" si="5"/>
        <v>-108.5</v>
      </c>
      <c r="R25" s="362">
        <f t="shared" si="20"/>
        <v>13627</v>
      </c>
      <c r="S25" s="363">
        <f>SUM(Q21:Q25)</f>
        <v>-1245.5</v>
      </c>
      <c r="T25" s="353">
        <f>+EES!C24</f>
        <v>70000</v>
      </c>
      <c r="U25" s="353">
        <f t="shared" si="6"/>
        <v>35000</v>
      </c>
      <c r="V25" s="353">
        <f>+EES!AI24-EES!M24</f>
        <v>6341</v>
      </c>
      <c r="W25" s="362">
        <f t="shared" si="7"/>
        <v>-28659</v>
      </c>
      <c r="X25" s="362">
        <f t="shared" si="21"/>
        <v>903977</v>
      </c>
      <c r="Y25" s="363">
        <f>SUM(W21:W25)</f>
        <v>4584</v>
      </c>
      <c r="Z25" s="353">
        <f>+OCCMarkets!AC25</f>
        <v>179</v>
      </c>
      <c r="AA25" s="353">
        <f t="shared" si="8"/>
        <v>89.5</v>
      </c>
      <c r="AB25" s="353">
        <f>+OCCMarkets!AG25</f>
        <v>545</v>
      </c>
      <c r="AC25" s="362">
        <f t="shared" si="9"/>
        <v>455.5</v>
      </c>
      <c r="AD25" s="362">
        <f t="shared" si="22"/>
        <v>3127</v>
      </c>
      <c r="AE25" s="363">
        <f>SUM(AC21:AC25)</f>
        <v>217.5</v>
      </c>
      <c r="AF25" s="353">
        <f>+OCCMarkets!AJ25</f>
        <v>8953</v>
      </c>
      <c r="AG25" s="353">
        <f t="shared" si="10"/>
        <v>4476.5</v>
      </c>
      <c r="AH25" s="353">
        <f>+OCCMarkets!AN25</f>
        <v>4969</v>
      </c>
      <c r="AI25" s="362">
        <f t="shared" si="11"/>
        <v>492.5</v>
      </c>
      <c r="AJ25" s="362">
        <f t="shared" si="23"/>
        <v>190257.5</v>
      </c>
      <c r="AK25" s="363">
        <f>SUM(AI21:AI25)</f>
        <v>-6509</v>
      </c>
      <c r="AL25" s="353">
        <f>+OCCMarkets!AQ25</f>
        <v>0</v>
      </c>
      <c r="AM25" s="353">
        <f t="shared" si="12"/>
        <v>0</v>
      </c>
      <c r="AN25" s="353">
        <f>+OCCMarkets!AU25</f>
        <v>0</v>
      </c>
      <c r="AO25" s="362">
        <f t="shared" si="13"/>
        <v>0</v>
      </c>
      <c r="AP25" s="362">
        <f t="shared" si="24"/>
        <v>0</v>
      </c>
      <c r="AQ25" s="363">
        <f>SUM(AO21:AO25)</f>
        <v>0</v>
      </c>
      <c r="AR25" s="353">
        <f>+OCCMarkets!AX25</f>
        <v>202</v>
      </c>
      <c r="AS25" s="353">
        <f t="shared" si="14"/>
        <v>101</v>
      </c>
      <c r="AT25" s="353">
        <f>+OCCMarkets!BB25</f>
        <v>545</v>
      </c>
      <c r="AU25" s="362">
        <f t="shared" si="15"/>
        <v>444</v>
      </c>
      <c r="AV25" s="362">
        <f t="shared" si="25"/>
        <v>3398</v>
      </c>
      <c r="AW25" s="363">
        <f>SUM(AU21:AU25)</f>
        <v>270.5</v>
      </c>
      <c r="AX25" s="353">
        <f>+OCCMarkets!BE25</f>
        <v>320</v>
      </c>
      <c r="AY25" s="353">
        <f t="shared" si="16"/>
        <v>160</v>
      </c>
      <c r="AZ25" s="353">
        <f>+OCCMarkets!BI25</f>
        <v>545</v>
      </c>
      <c r="BA25" s="362">
        <f t="shared" si="17"/>
        <v>385</v>
      </c>
      <c r="BB25" s="362">
        <f t="shared" si="26"/>
        <v>4221</v>
      </c>
      <c r="BC25" s="363">
        <f>SUM(BA21:BA25)</f>
        <v>15.5</v>
      </c>
      <c r="BD25" s="395"/>
      <c r="BE25" s="362">
        <f t="shared" si="27"/>
        <v>92536</v>
      </c>
      <c r="BF25" s="362">
        <f t="shared" si="27"/>
        <v>46268</v>
      </c>
      <c r="BG25" s="362">
        <f t="shared" si="28"/>
        <v>20376</v>
      </c>
      <c r="BH25" s="362">
        <f t="shared" si="28"/>
        <v>-25892</v>
      </c>
      <c r="BI25" s="362">
        <f t="shared" si="28"/>
        <v>1254422</v>
      </c>
      <c r="BJ25" s="395">
        <f>+G25+M25+S25+Y25+AE25+AK25+AQ25+AW25+BC25</f>
        <v>-2328.5</v>
      </c>
      <c r="BK25" s="205"/>
    </row>
    <row r="26" spans="1:63" x14ac:dyDescent="0.25">
      <c r="A26" s="359">
        <f>+BaseloadMarkets!A26</f>
        <v>36698</v>
      </c>
      <c r="B26" s="360">
        <f>+OCCMarkets!O26</f>
        <v>1882</v>
      </c>
      <c r="C26" s="361">
        <f t="shared" si="0"/>
        <v>941</v>
      </c>
      <c r="D26" s="361">
        <f>+OCCMarkets!S26</f>
        <v>0</v>
      </c>
      <c r="E26" s="362">
        <f t="shared" si="1"/>
        <v>-941</v>
      </c>
      <c r="F26" s="362">
        <f t="shared" si="18"/>
        <v>8358.5</v>
      </c>
      <c r="G26" s="363"/>
      <c r="H26" s="360">
        <f>+OCCMarkets!C26</f>
        <v>9883</v>
      </c>
      <c r="I26" s="361">
        <f t="shared" si="2"/>
        <v>4941.5</v>
      </c>
      <c r="J26" s="361">
        <f>+OCCMarkets!L26-OCCMarkets!H26</f>
        <v>3997</v>
      </c>
      <c r="K26" s="362">
        <f t="shared" si="3"/>
        <v>-944.5</v>
      </c>
      <c r="L26" s="362">
        <f t="shared" si="19"/>
        <v>125570.5</v>
      </c>
      <c r="M26" s="363"/>
      <c r="N26" s="360">
        <f>+OCCMarkets!V26</f>
        <v>1249</v>
      </c>
      <c r="O26" s="361">
        <f t="shared" si="4"/>
        <v>624.5</v>
      </c>
      <c r="P26" s="361">
        <f>+OCCMarkets!Z26</f>
        <v>0</v>
      </c>
      <c r="Q26" s="362">
        <f t="shared" si="5"/>
        <v>-624.5</v>
      </c>
      <c r="R26" s="362">
        <f t="shared" si="20"/>
        <v>13002.5</v>
      </c>
      <c r="S26" s="363"/>
      <c r="T26" s="353">
        <f>+EES!C25</f>
        <v>70000</v>
      </c>
      <c r="U26" s="353">
        <f t="shared" si="6"/>
        <v>35000</v>
      </c>
      <c r="V26" s="353">
        <f>+EES!AI25-EES!M25</f>
        <v>4000</v>
      </c>
      <c r="W26" s="362">
        <f t="shared" si="7"/>
        <v>-31000</v>
      </c>
      <c r="X26" s="362">
        <f t="shared" si="21"/>
        <v>872977</v>
      </c>
      <c r="Y26" s="363"/>
      <c r="Z26" s="353">
        <f>+OCCMarkets!AC26</f>
        <v>178</v>
      </c>
      <c r="AA26" s="353">
        <f t="shared" si="8"/>
        <v>89</v>
      </c>
      <c r="AB26" s="353">
        <f>+OCCMarkets!AG26</f>
        <v>0</v>
      </c>
      <c r="AC26" s="362">
        <f t="shared" si="9"/>
        <v>-89</v>
      </c>
      <c r="AD26" s="362">
        <f t="shared" si="22"/>
        <v>3038</v>
      </c>
      <c r="AE26" s="363"/>
      <c r="AF26" s="353">
        <f>+OCCMarkets!AJ26</f>
        <v>9037</v>
      </c>
      <c r="AG26" s="353">
        <f t="shared" si="10"/>
        <v>4518.5</v>
      </c>
      <c r="AH26" s="353">
        <f>+OCCMarkets!AN26</f>
        <v>1466</v>
      </c>
      <c r="AI26" s="362">
        <f t="shared" si="11"/>
        <v>-3052.5</v>
      </c>
      <c r="AJ26" s="362">
        <f t="shared" si="23"/>
        <v>187205</v>
      </c>
      <c r="AK26" s="363"/>
      <c r="AL26" s="353">
        <f>+OCCMarkets!AQ26</f>
        <v>0</v>
      </c>
      <c r="AM26" s="353">
        <f t="shared" si="12"/>
        <v>0</v>
      </c>
      <c r="AN26" s="353">
        <f>+OCCMarkets!AU26</f>
        <v>0</v>
      </c>
      <c r="AO26" s="362">
        <f t="shared" si="13"/>
        <v>0</v>
      </c>
      <c r="AP26" s="362">
        <f t="shared" si="24"/>
        <v>0</v>
      </c>
      <c r="AQ26" s="363"/>
      <c r="AR26" s="353">
        <f>+OCCMarkets!AX26</f>
        <v>190</v>
      </c>
      <c r="AS26" s="353">
        <f t="shared" si="14"/>
        <v>95</v>
      </c>
      <c r="AT26" s="353">
        <f>+OCCMarkets!BB26</f>
        <v>0</v>
      </c>
      <c r="AU26" s="362">
        <f t="shared" si="15"/>
        <v>-95</v>
      </c>
      <c r="AV26" s="362">
        <f t="shared" si="25"/>
        <v>3303</v>
      </c>
      <c r="AW26" s="363"/>
      <c r="AX26" s="353">
        <f>+OCCMarkets!BE26</f>
        <v>301</v>
      </c>
      <c r="AY26" s="353">
        <f t="shared" si="16"/>
        <v>150.5</v>
      </c>
      <c r="AZ26" s="353">
        <f>+OCCMarkets!BI26</f>
        <v>0</v>
      </c>
      <c r="BA26" s="362">
        <f t="shared" si="17"/>
        <v>-150.5</v>
      </c>
      <c r="BB26" s="362">
        <f t="shared" si="26"/>
        <v>4070.5</v>
      </c>
      <c r="BC26" s="363"/>
      <c r="BD26" s="395"/>
      <c r="BE26" s="362">
        <f t="shared" si="27"/>
        <v>92720</v>
      </c>
      <c r="BF26" s="362">
        <f t="shared" si="27"/>
        <v>46360</v>
      </c>
      <c r="BG26" s="362">
        <f t="shared" si="28"/>
        <v>9463</v>
      </c>
      <c r="BH26" s="362">
        <f t="shared" si="28"/>
        <v>-36897</v>
      </c>
      <c r="BI26" s="362">
        <f t="shared" si="28"/>
        <v>1217525</v>
      </c>
      <c r="BJ26" s="362"/>
    </row>
    <row r="27" spans="1:63" x14ac:dyDescent="0.25">
      <c r="A27" s="359">
        <f>+BaseloadMarkets!A27</f>
        <v>36699</v>
      </c>
      <c r="B27" s="360">
        <f>+OCCMarkets!O27</f>
        <v>1689</v>
      </c>
      <c r="C27" s="361">
        <f t="shared" si="0"/>
        <v>844.5</v>
      </c>
      <c r="D27" s="361">
        <f>+OCCMarkets!S27</f>
        <v>819</v>
      </c>
      <c r="E27" s="362">
        <f t="shared" si="1"/>
        <v>-25.5</v>
      </c>
      <c r="F27" s="362">
        <f t="shared" si="18"/>
        <v>8333</v>
      </c>
      <c r="G27" s="363"/>
      <c r="H27" s="360">
        <f>+OCCMarkets!C27</f>
        <v>10297</v>
      </c>
      <c r="I27" s="361">
        <f t="shared" si="2"/>
        <v>5148.5</v>
      </c>
      <c r="J27" s="361">
        <f>+OCCMarkets!L27-OCCMarkets!H27</f>
        <v>5590</v>
      </c>
      <c r="K27" s="362">
        <f t="shared" si="3"/>
        <v>441.5</v>
      </c>
      <c r="L27" s="362">
        <f t="shared" si="19"/>
        <v>126012</v>
      </c>
      <c r="M27" s="363"/>
      <c r="N27" s="360">
        <f>+OCCMarkets!V27</f>
        <v>1200</v>
      </c>
      <c r="O27" s="361">
        <f t="shared" si="4"/>
        <v>600</v>
      </c>
      <c r="P27" s="361">
        <f>+OCCMarkets!Z27</f>
        <v>455</v>
      </c>
      <c r="Q27" s="362">
        <f t="shared" si="5"/>
        <v>-145</v>
      </c>
      <c r="R27" s="362">
        <f t="shared" si="20"/>
        <v>12857.5</v>
      </c>
      <c r="S27" s="363"/>
      <c r="T27" s="353">
        <f>+EES!C26</f>
        <v>70000</v>
      </c>
      <c r="U27" s="353">
        <f t="shared" si="6"/>
        <v>35000</v>
      </c>
      <c r="V27" s="353">
        <f>+EES!AI26-EES!M26</f>
        <v>7787</v>
      </c>
      <c r="W27" s="362">
        <f t="shared" si="7"/>
        <v>-27213</v>
      </c>
      <c r="X27" s="362">
        <f t="shared" si="21"/>
        <v>845764</v>
      </c>
      <c r="Y27" s="363"/>
      <c r="Z27" s="353">
        <f>+OCCMarkets!AC27</f>
        <v>177</v>
      </c>
      <c r="AA27" s="353">
        <f t="shared" si="8"/>
        <v>88.5</v>
      </c>
      <c r="AB27" s="353">
        <f>+OCCMarkets!AG27</f>
        <v>0</v>
      </c>
      <c r="AC27" s="362">
        <f t="shared" si="9"/>
        <v>-88.5</v>
      </c>
      <c r="AD27" s="362">
        <f t="shared" si="22"/>
        <v>2949.5</v>
      </c>
      <c r="AE27" s="363"/>
      <c r="AF27" s="353">
        <f>+OCCMarkets!AJ27</f>
        <v>9084</v>
      </c>
      <c r="AG27" s="353">
        <f t="shared" si="10"/>
        <v>4542</v>
      </c>
      <c r="AH27" s="353">
        <f>+OCCMarkets!AN27</f>
        <v>3994</v>
      </c>
      <c r="AI27" s="362">
        <f t="shared" si="11"/>
        <v>-548</v>
      </c>
      <c r="AJ27" s="362">
        <f t="shared" si="23"/>
        <v>186657</v>
      </c>
      <c r="AK27" s="363"/>
      <c r="AL27" s="353">
        <f>+OCCMarkets!AQ27</f>
        <v>0</v>
      </c>
      <c r="AM27" s="353">
        <f t="shared" si="12"/>
        <v>0</v>
      </c>
      <c r="AN27" s="353">
        <f>+OCCMarkets!AU27</f>
        <v>0</v>
      </c>
      <c r="AO27" s="362">
        <f t="shared" si="13"/>
        <v>0</v>
      </c>
      <c r="AP27" s="362">
        <f t="shared" si="24"/>
        <v>0</v>
      </c>
      <c r="AQ27" s="363"/>
      <c r="AR27" s="353">
        <f>+OCCMarkets!AX27</f>
        <v>206</v>
      </c>
      <c r="AS27" s="353">
        <f t="shared" si="14"/>
        <v>103</v>
      </c>
      <c r="AT27" s="353">
        <f>+OCCMarkets!BB27</f>
        <v>0</v>
      </c>
      <c r="AU27" s="362">
        <f t="shared" si="15"/>
        <v>-103</v>
      </c>
      <c r="AV27" s="362">
        <f t="shared" si="25"/>
        <v>3200</v>
      </c>
      <c r="AW27" s="363"/>
      <c r="AX27" s="353">
        <f>+OCCMarkets!BE27</f>
        <v>308</v>
      </c>
      <c r="AY27" s="353">
        <f t="shared" si="16"/>
        <v>154</v>
      </c>
      <c r="AZ27" s="353">
        <f>+OCCMarkets!BI27</f>
        <v>0</v>
      </c>
      <c r="BA27" s="362">
        <f t="shared" si="17"/>
        <v>-154</v>
      </c>
      <c r="BB27" s="362">
        <f t="shared" si="26"/>
        <v>3916.5</v>
      </c>
      <c r="BC27" s="363"/>
      <c r="BD27" s="395"/>
      <c r="BE27" s="362">
        <f t="shared" si="27"/>
        <v>92961</v>
      </c>
      <c r="BF27" s="362">
        <f t="shared" si="27"/>
        <v>46480.5</v>
      </c>
      <c r="BG27" s="362">
        <f t="shared" si="28"/>
        <v>18645</v>
      </c>
      <c r="BH27" s="362">
        <f t="shared" si="28"/>
        <v>-27835.5</v>
      </c>
      <c r="BI27" s="362">
        <f t="shared" si="28"/>
        <v>1189689.5</v>
      </c>
      <c r="BJ27" s="362"/>
    </row>
    <row r="28" spans="1:63" x14ac:dyDescent="0.25">
      <c r="A28" s="359">
        <f>+BaseloadMarkets!A28</f>
        <v>36700</v>
      </c>
      <c r="B28" s="360">
        <f>+OCCMarkets!O28</f>
        <v>1498</v>
      </c>
      <c r="C28" s="361">
        <f t="shared" si="0"/>
        <v>749</v>
      </c>
      <c r="D28" s="361">
        <f>+OCCMarkets!S28</f>
        <v>52</v>
      </c>
      <c r="E28" s="362">
        <f t="shared" si="1"/>
        <v>-697</v>
      </c>
      <c r="F28" s="362">
        <f t="shared" si="18"/>
        <v>7636</v>
      </c>
      <c r="G28" s="363"/>
      <c r="H28" s="360">
        <f>+OCCMarkets!C28</f>
        <v>10806</v>
      </c>
      <c r="I28" s="361">
        <f t="shared" si="2"/>
        <v>5403</v>
      </c>
      <c r="J28" s="361">
        <f>+OCCMarkets!L28-OCCMarkets!H28</f>
        <v>4063</v>
      </c>
      <c r="K28" s="362">
        <f t="shared" si="3"/>
        <v>-1340</v>
      </c>
      <c r="L28" s="362">
        <f t="shared" si="19"/>
        <v>124672</v>
      </c>
      <c r="M28" s="363"/>
      <c r="N28" s="360">
        <f>+OCCMarkets!V28</f>
        <v>1288</v>
      </c>
      <c r="O28" s="361">
        <f t="shared" si="4"/>
        <v>644</v>
      </c>
      <c r="P28" s="361">
        <f>+OCCMarkets!Z28</f>
        <v>52</v>
      </c>
      <c r="Q28" s="362">
        <f t="shared" si="5"/>
        <v>-592</v>
      </c>
      <c r="R28" s="362">
        <f t="shared" si="20"/>
        <v>12265.5</v>
      </c>
      <c r="S28" s="363"/>
      <c r="T28" s="353">
        <f>+EES!C27</f>
        <v>70000</v>
      </c>
      <c r="U28" s="353">
        <f t="shared" si="6"/>
        <v>35000</v>
      </c>
      <c r="V28" s="353">
        <f>+EES!AI27-EES!M27</f>
        <v>59054</v>
      </c>
      <c r="W28" s="362">
        <f t="shared" si="7"/>
        <v>24054</v>
      </c>
      <c r="X28" s="362">
        <f t="shared" si="21"/>
        <v>869818</v>
      </c>
      <c r="Y28" s="363"/>
      <c r="Z28" s="353">
        <f>+OCCMarkets!AC28</f>
        <v>182</v>
      </c>
      <c r="AA28" s="353">
        <f t="shared" si="8"/>
        <v>91</v>
      </c>
      <c r="AB28" s="353">
        <f>+OCCMarkets!AG28</f>
        <v>0</v>
      </c>
      <c r="AC28" s="362">
        <f t="shared" si="9"/>
        <v>-91</v>
      </c>
      <c r="AD28" s="362">
        <f t="shared" si="22"/>
        <v>2858.5</v>
      </c>
      <c r="AE28" s="363"/>
      <c r="AF28" s="353">
        <f>+OCCMarkets!AJ28</f>
        <v>9505</v>
      </c>
      <c r="AG28" s="353">
        <f t="shared" si="10"/>
        <v>4752.5</v>
      </c>
      <c r="AH28" s="353">
        <f>+OCCMarkets!AN28</f>
        <v>2464</v>
      </c>
      <c r="AI28" s="362">
        <f t="shared" si="11"/>
        <v>-2288.5</v>
      </c>
      <c r="AJ28" s="362">
        <f t="shared" si="23"/>
        <v>184368.5</v>
      </c>
      <c r="AK28" s="363"/>
      <c r="AL28" s="353">
        <f>+OCCMarkets!AQ28</f>
        <v>0</v>
      </c>
      <c r="AM28" s="353">
        <f t="shared" si="12"/>
        <v>0</v>
      </c>
      <c r="AN28" s="353">
        <f>+OCCMarkets!AU28</f>
        <v>0</v>
      </c>
      <c r="AO28" s="362">
        <f t="shared" si="13"/>
        <v>0</v>
      </c>
      <c r="AP28" s="362">
        <f t="shared" si="24"/>
        <v>0</v>
      </c>
      <c r="AQ28" s="363"/>
      <c r="AR28" s="353">
        <f>+OCCMarkets!AX28</f>
        <v>210</v>
      </c>
      <c r="AS28" s="353">
        <f t="shared" si="14"/>
        <v>105</v>
      </c>
      <c r="AT28" s="353">
        <f>+OCCMarkets!BB28</f>
        <v>0</v>
      </c>
      <c r="AU28" s="362">
        <f t="shared" si="15"/>
        <v>-105</v>
      </c>
      <c r="AV28" s="362">
        <f t="shared" si="25"/>
        <v>3095</v>
      </c>
      <c r="AW28" s="363"/>
      <c r="AX28" s="353">
        <f>+OCCMarkets!BE28</f>
        <v>317</v>
      </c>
      <c r="AY28" s="353">
        <f t="shared" si="16"/>
        <v>158.5</v>
      </c>
      <c r="AZ28" s="353">
        <f>+OCCMarkets!BI28</f>
        <v>0</v>
      </c>
      <c r="BA28" s="362">
        <f t="shared" si="17"/>
        <v>-158.5</v>
      </c>
      <c r="BB28" s="362">
        <f t="shared" si="26"/>
        <v>3758</v>
      </c>
      <c r="BC28" s="363"/>
      <c r="BD28" s="395"/>
      <c r="BE28" s="362">
        <f t="shared" si="27"/>
        <v>93806</v>
      </c>
      <c r="BF28" s="362">
        <f t="shared" si="27"/>
        <v>46903</v>
      </c>
      <c r="BG28" s="362">
        <f t="shared" si="28"/>
        <v>65685</v>
      </c>
      <c r="BH28" s="362">
        <f t="shared" si="28"/>
        <v>18782</v>
      </c>
      <c r="BI28" s="362">
        <f t="shared" si="28"/>
        <v>1208471.5</v>
      </c>
      <c r="BJ28" s="362"/>
    </row>
    <row r="29" spans="1:63" x14ac:dyDescent="0.25">
      <c r="A29" s="359">
        <f>+BaseloadMarkets!A29</f>
        <v>36701</v>
      </c>
      <c r="B29" s="360">
        <f>+OCCMarkets!O29</f>
        <v>1717</v>
      </c>
      <c r="C29" s="361">
        <f t="shared" si="0"/>
        <v>858.5</v>
      </c>
      <c r="D29" s="361">
        <f>+OCCMarkets!S29</f>
        <v>93</v>
      </c>
      <c r="E29" s="362">
        <f t="shared" si="1"/>
        <v>-765.5</v>
      </c>
      <c r="F29" s="362">
        <f t="shared" si="18"/>
        <v>6870.5</v>
      </c>
      <c r="G29" s="363"/>
      <c r="H29" s="360">
        <f>+OCCMarkets!C29</f>
        <v>11323</v>
      </c>
      <c r="I29" s="361">
        <f t="shared" si="2"/>
        <v>5661.5</v>
      </c>
      <c r="J29" s="361">
        <f>+OCCMarkets!L29-OCCMarkets!H29</f>
        <v>4245</v>
      </c>
      <c r="K29" s="362">
        <f t="shared" si="3"/>
        <v>-1416.5</v>
      </c>
      <c r="L29" s="362">
        <f t="shared" si="19"/>
        <v>123255.5</v>
      </c>
      <c r="M29" s="363"/>
      <c r="N29" s="360">
        <f>+OCCMarkets!V29</f>
        <v>2</v>
      </c>
      <c r="O29" s="361">
        <f t="shared" si="4"/>
        <v>1</v>
      </c>
      <c r="P29" s="361">
        <f>+OCCMarkets!Z29</f>
        <v>62</v>
      </c>
      <c r="Q29" s="362">
        <f t="shared" si="5"/>
        <v>61</v>
      </c>
      <c r="R29" s="362">
        <f t="shared" si="20"/>
        <v>12326.5</v>
      </c>
      <c r="S29" s="363"/>
      <c r="T29" s="353">
        <f>+EES!C28</f>
        <v>70000</v>
      </c>
      <c r="U29" s="353">
        <f t="shared" si="6"/>
        <v>35000</v>
      </c>
      <c r="V29" s="353">
        <f>+EES!AI28-EES!M28</f>
        <v>51563</v>
      </c>
      <c r="W29" s="362">
        <f t="shared" si="7"/>
        <v>16563</v>
      </c>
      <c r="X29" s="362">
        <f t="shared" si="21"/>
        <v>886381</v>
      </c>
      <c r="Y29" s="363"/>
      <c r="Z29" s="353">
        <f>+OCCMarkets!AC29</f>
        <v>177</v>
      </c>
      <c r="AA29" s="353">
        <f t="shared" si="8"/>
        <v>88.5</v>
      </c>
      <c r="AB29" s="353">
        <f>+OCCMarkets!AG29</f>
        <v>0</v>
      </c>
      <c r="AC29" s="362">
        <f t="shared" si="9"/>
        <v>-88.5</v>
      </c>
      <c r="AD29" s="362">
        <f t="shared" si="22"/>
        <v>2770</v>
      </c>
      <c r="AE29" s="363"/>
      <c r="AF29" s="353">
        <f>+OCCMarkets!AJ29</f>
        <v>9333</v>
      </c>
      <c r="AG29" s="353">
        <f t="shared" si="10"/>
        <v>4666.5</v>
      </c>
      <c r="AH29" s="353">
        <f>+OCCMarkets!AN29</f>
        <v>987</v>
      </c>
      <c r="AI29" s="362">
        <f t="shared" si="11"/>
        <v>-3679.5</v>
      </c>
      <c r="AJ29" s="362">
        <f t="shared" si="23"/>
        <v>180689</v>
      </c>
      <c r="AK29" s="363"/>
      <c r="AL29" s="353">
        <f>+OCCMarkets!AQ29</f>
        <v>0</v>
      </c>
      <c r="AM29" s="353">
        <f t="shared" si="12"/>
        <v>0</v>
      </c>
      <c r="AN29" s="353">
        <f>+OCCMarkets!AU29</f>
        <v>0</v>
      </c>
      <c r="AO29" s="362">
        <f t="shared" si="13"/>
        <v>0</v>
      </c>
      <c r="AP29" s="362">
        <f t="shared" si="24"/>
        <v>0</v>
      </c>
      <c r="AQ29" s="363"/>
      <c r="AR29" s="353">
        <f>+OCCMarkets!AX29</f>
        <v>27</v>
      </c>
      <c r="AS29" s="353">
        <f t="shared" si="14"/>
        <v>13.5</v>
      </c>
      <c r="AT29" s="353">
        <f>+OCCMarkets!BB29</f>
        <v>0</v>
      </c>
      <c r="AU29" s="362">
        <f t="shared" si="15"/>
        <v>-13.5</v>
      </c>
      <c r="AV29" s="362">
        <f t="shared" si="25"/>
        <v>3081.5</v>
      </c>
      <c r="AW29" s="363"/>
      <c r="AX29" s="353">
        <f>+OCCMarkets!BE29</f>
        <v>28</v>
      </c>
      <c r="AY29" s="353">
        <f t="shared" si="16"/>
        <v>14</v>
      </c>
      <c r="AZ29" s="353">
        <f>+OCCMarkets!BI29</f>
        <v>0</v>
      </c>
      <c r="BA29" s="362">
        <f t="shared" si="17"/>
        <v>-14</v>
      </c>
      <c r="BB29" s="362">
        <f t="shared" si="26"/>
        <v>3744</v>
      </c>
      <c r="BC29" s="363"/>
      <c r="BD29" s="395"/>
      <c r="BE29" s="362">
        <f t="shared" si="27"/>
        <v>92607</v>
      </c>
      <c r="BF29" s="362">
        <f t="shared" si="27"/>
        <v>46303.5</v>
      </c>
      <c r="BG29" s="362">
        <f t="shared" si="28"/>
        <v>56950</v>
      </c>
      <c r="BH29" s="362">
        <f t="shared" si="28"/>
        <v>10646.5</v>
      </c>
      <c r="BI29" s="362">
        <f t="shared" si="28"/>
        <v>1219118</v>
      </c>
      <c r="BJ29" s="362"/>
    </row>
    <row r="30" spans="1:63" x14ac:dyDescent="0.25">
      <c r="A30" s="359">
        <f>+BaseloadMarkets!A30</f>
        <v>36702</v>
      </c>
      <c r="B30" s="360">
        <f>+OCCMarkets!O30</f>
        <v>1789</v>
      </c>
      <c r="C30" s="361">
        <f t="shared" si="0"/>
        <v>894.5</v>
      </c>
      <c r="D30" s="361">
        <f>+OCCMarkets!S30</f>
        <v>0</v>
      </c>
      <c r="E30" s="362">
        <f t="shared" si="1"/>
        <v>-894.5</v>
      </c>
      <c r="F30" s="362">
        <f t="shared" si="18"/>
        <v>5976</v>
      </c>
      <c r="G30" s="363">
        <f>SUM(E26:E30)</f>
        <v>-3323.5</v>
      </c>
      <c r="H30" s="360">
        <f>+OCCMarkets!C30</f>
        <v>13533</v>
      </c>
      <c r="I30" s="361">
        <f t="shared" si="2"/>
        <v>6766.5</v>
      </c>
      <c r="J30" s="361">
        <f>+OCCMarkets!L30-OCCMarkets!H30</f>
        <v>3997</v>
      </c>
      <c r="K30" s="362">
        <f t="shared" si="3"/>
        <v>-2769.5</v>
      </c>
      <c r="L30" s="362">
        <f t="shared" si="19"/>
        <v>120486</v>
      </c>
      <c r="M30" s="363">
        <f>SUM(K26:K30)</f>
        <v>-6029</v>
      </c>
      <c r="N30" s="360">
        <f>+OCCMarkets!V30</f>
        <v>0</v>
      </c>
      <c r="O30" s="361">
        <f t="shared" si="4"/>
        <v>0</v>
      </c>
      <c r="P30" s="361">
        <f>+OCCMarkets!Z30</f>
        <v>0</v>
      </c>
      <c r="Q30" s="362">
        <f t="shared" si="5"/>
        <v>0</v>
      </c>
      <c r="R30" s="362">
        <f t="shared" si="20"/>
        <v>12326.5</v>
      </c>
      <c r="S30" s="363">
        <f>SUM(Q26:Q30)</f>
        <v>-1300.5</v>
      </c>
      <c r="T30" s="353">
        <f>+EES!C29</f>
        <v>70000</v>
      </c>
      <c r="U30" s="353">
        <f t="shared" si="6"/>
        <v>35000</v>
      </c>
      <c r="V30" s="353">
        <f>+EES!AI29-EES!M29</f>
        <v>54121</v>
      </c>
      <c r="W30" s="362">
        <f t="shared" si="7"/>
        <v>19121</v>
      </c>
      <c r="X30" s="362">
        <f t="shared" si="21"/>
        <v>905502</v>
      </c>
      <c r="Y30" s="363">
        <f>SUM(W26:W30)</f>
        <v>1525</v>
      </c>
      <c r="Z30" s="353">
        <f>+OCCMarkets!AC30</f>
        <v>59</v>
      </c>
      <c r="AA30" s="353">
        <f t="shared" si="8"/>
        <v>29.5</v>
      </c>
      <c r="AB30" s="353">
        <f>+OCCMarkets!AG30</f>
        <v>0</v>
      </c>
      <c r="AC30" s="362">
        <f t="shared" si="9"/>
        <v>-29.5</v>
      </c>
      <c r="AD30" s="362">
        <f t="shared" si="22"/>
        <v>2740.5</v>
      </c>
      <c r="AE30" s="363">
        <f>SUM(AC26:AC30)</f>
        <v>-386.5</v>
      </c>
      <c r="AF30" s="353">
        <f>+OCCMarkets!AJ30</f>
        <v>7147</v>
      </c>
      <c r="AG30" s="353">
        <f t="shared" si="10"/>
        <v>3573.5</v>
      </c>
      <c r="AH30" s="353">
        <f>+OCCMarkets!AN30</f>
        <v>987</v>
      </c>
      <c r="AI30" s="362">
        <f t="shared" si="11"/>
        <v>-2586.5</v>
      </c>
      <c r="AJ30" s="362">
        <f t="shared" si="23"/>
        <v>178102.5</v>
      </c>
      <c r="AK30" s="363">
        <f>SUM(AI26:AI30)</f>
        <v>-12155</v>
      </c>
      <c r="AL30" s="353">
        <f>+OCCMarkets!AQ30</f>
        <v>0</v>
      </c>
      <c r="AM30" s="353">
        <f t="shared" si="12"/>
        <v>0</v>
      </c>
      <c r="AN30" s="353">
        <f>+OCCMarkets!AU30</f>
        <v>0</v>
      </c>
      <c r="AO30" s="362">
        <f t="shared" si="13"/>
        <v>0</v>
      </c>
      <c r="AP30" s="362">
        <f t="shared" si="24"/>
        <v>0</v>
      </c>
      <c r="AQ30" s="363">
        <f>SUM(AO26:AO30)</f>
        <v>0</v>
      </c>
      <c r="AR30" s="353">
        <f>+OCCMarkets!AX30</f>
        <v>35</v>
      </c>
      <c r="AS30" s="353">
        <f t="shared" si="14"/>
        <v>17.5</v>
      </c>
      <c r="AT30" s="353">
        <f>+OCCMarkets!BB30</f>
        <v>0</v>
      </c>
      <c r="AU30" s="362">
        <f t="shared" si="15"/>
        <v>-17.5</v>
      </c>
      <c r="AV30" s="362">
        <f t="shared" si="25"/>
        <v>3064</v>
      </c>
      <c r="AW30" s="363">
        <f>SUM(AU26:AU30)</f>
        <v>-334</v>
      </c>
      <c r="AX30" s="353">
        <f>+OCCMarkets!BE30</f>
        <v>6</v>
      </c>
      <c r="AY30" s="353">
        <f t="shared" si="16"/>
        <v>3</v>
      </c>
      <c r="AZ30" s="353">
        <f>+OCCMarkets!BI30</f>
        <v>0</v>
      </c>
      <c r="BA30" s="362">
        <f t="shared" si="17"/>
        <v>-3</v>
      </c>
      <c r="BB30" s="362">
        <f t="shared" si="26"/>
        <v>3741</v>
      </c>
      <c r="BC30" s="363">
        <f>SUM(BA26:BA30)</f>
        <v>-480</v>
      </c>
      <c r="BD30" s="395"/>
      <c r="BE30" s="362">
        <f t="shared" si="27"/>
        <v>92569</v>
      </c>
      <c r="BF30" s="362">
        <f t="shared" si="27"/>
        <v>46284.5</v>
      </c>
      <c r="BG30" s="362">
        <f t="shared" si="28"/>
        <v>59105</v>
      </c>
      <c r="BH30" s="362">
        <f t="shared" si="28"/>
        <v>12820.5</v>
      </c>
      <c r="BI30" s="362">
        <f t="shared" si="28"/>
        <v>1231938.5</v>
      </c>
      <c r="BJ30" s="395">
        <f>+G30+M30+S30+Y30+AE30+AK30+AQ30+AW30+BC30</f>
        <v>-22483.5</v>
      </c>
      <c r="BK30" s="205"/>
    </row>
    <row r="31" spans="1:63" x14ac:dyDescent="0.25">
      <c r="A31" s="359">
        <f>+BaseloadMarkets!A31</f>
        <v>36703</v>
      </c>
      <c r="B31" s="360">
        <f>+OCCMarkets!O31</f>
        <v>1749</v>
      </c>
      <c r="C31" s="361">
        <f t="shared" si="0"/>
        <v>874.5</v>
      </c>
      <c r="D31" s="361">
        <f>+OCCMarkets!S31</f>
        <v>0</v>
      </c>
      <c r="E31" s="362">
        <f t="shared" si="1"/>
        <v>-874.5</v>
      </c>
      <c r="F31" s="362">
        <f t="shared" si="18"/>
        <v>5101.5</v>
      </c>
      <c r="G31" s="363"/>
      <c r="H31" s="360">
        <f>+OCCMarkets!C31</f>
        <v>18622</v>
      </c>
      <c r="I31" s="361">
        <f t="shared" si="2"/>
        <v>9311</v>
      </c>
      <c r="J31" s="361">
        <f>+OCCMarkets!L31-OCCMarkets!H31</f>
        <v>3997</v>
      </c>
      <c r="K31" s="362">
        <f t="shared" si="3"/>
        <v>-5314</v>
      </c>
      <c r="L31" s="362">
        <f t="shared" si="19"/>
        <v>115172</v>
      </c>
      <c r="M31" s="363"/>
      <c r="N31" s="360">
        <f>+OCCMarkets!V31</f>
        <v>0</v>
      </c>
      <c r="O31" s="361">
        <f t="shared" si="4"/>
        <v>0</v>
      </c>
      <c r="P31" s="361">
        <f>+OCCMarkets!Z31</f>
        <v>0</v>
      </c>
      <c r="Q31" s="362">
        <f t="shared" si="5"/>
        <v>0</v>
      </c>
      <c r="R31" s="362">
        <f t="shared" si="20"/>
        <v>12326.5</v>
      </c>
      <c r="S31" s="363"/>
      <c r="T31" s="353">
        <f>+EES!C30</f>
        <v>70000</v>
      </c>
      <c r="U31" s="353">
        <f t="shared" si="6"/>
        <v>35000</v>
      </c>
      <c r="V31" s="353">
        <f>+EES!AI30-EES!M30</f>
        <v>92453</v>
      </c>
      <c r="W31" s="362">
        <f t="shared" si="7"/>
        <v>57453</v>
      </c>
      <c r="X31" s="362">
        <f t="shared" si="21"/>
        <v>962955</v>
      </c>
      <c r="Y31" s="363"/>
      <c r="Z31" s="353">
        <f>+OCCMarkets!AC31</f>
        <v>155</v>
      </c>
      <c r="AA31" s="353">
        <f t="shared" si="8"/>
        <v>77.5</v>
      </c>
      <c r="AB31" s="353">
        <f>+OCCMarkets!AG31</f>
        <v>0</v>
      </c>
      <c r="AC31" s="362">
        <f t="shared" si="9"/>
        <v>-77.5</v>
      </c>
      <c r="AD31" s="362">
        <f t="shared" si="22"/>
        <v>2663</v>
      </c>
      <c r="AE31" s="363"/>
      <c r="AF31" s="353">
        <f>+OCCMarkets!AJ31</f>
        <v>9489</v>
      </c>
      <c r="AG31" s="353">
        <f t="shared" si="10"/>
        <v>4744.5</v>
      </c>
      <c r="AH31" s="353">
        <f>+OCCMarkets!AN31</f>
        <v>987</v>
      </c>
      <c r="AI31" s="362">
        <f t="shared" si="11"/>
        <v>-3757.5</v>
      </c>
      <c r="AJ31" s="362">
        <f t="shared" si="23"/>
        <v>174345</v>
      </c>
      <c r="AK31" s="363"/>
      <c r="AL31" s="353">
        <f>+OCCMarkets!AQ31</f>
        <v>0</v>
      </c>
      <c r="AM31" s="353">
        <f t="shared" si="12"/>
        <v>0</v>
      </c>
      <c r="AN31" s="353">
        <f>+OCCMarkets!AU31</f>
        <v>0</v>
      </c>
      <c r="AO31" s="362">
        <f t="shared" si="13"/>
        <v>0</v>
      </c>
      <c r="AP31" s="362">
        <f t="shared" si="24"/>
        <v>0</v>
      </c>
      <c r="AQ31" s="363"/>
      <c r="AR31" s="353">
        <f>+OCCMarkets!AX31</f>
        <v>200</v>
      </c>
      <c r="AS31" s="353">
        <f t="shared" si="14"/>
        <v>100</v>
      </c>
      <c r="AT31" s="353">
        <f>+OCCMarkets!BB31</f>
        <v>0</v>
      </c>
      <c r="AU31" s="362">
        <f t="shared" si="15"/>
        <v>-100</v>
      </c>
      <c r="AV31" s="362">
        <f t="shared" si="25"/>
        <v>2964</v>
      </c>
      <c r="AW31" s="363"/>
      <c r="AX31" s="353">
        <f>+OCCMarkets!BE31</f>
        <v>241</v>
      </c>
      <c r="AY31" s="353">
        <f t="shared" si="16"/>
        <v>120.5</v>
      </c>
      <c r="AZ31" s="353">
        <f>+OCCMarkets!BI31</f>
        <v>0</v>
      </c>
      <c r="BA31" s="362">
        <f t="shared" si="17"/>
        <v>-120.5</v>
      </c>
      <c r="BB31" s="362">
        <f t="shared" si="26"/>
        <v>3620.5</v>
      </c>
      <c r="BC31" s="363"/>
      <c r="BD31" s="395"/>
      <c r="BE31" s="362">
        <f t="shared" si="27"/>
        <v>100456</v>
      </c>
      <c r="BF31" s="362">
        <f t="shared" si="27"/>
        <v>50228</v>
      </c>
      <c r="BG31" s="362">
        <f t="shared" si="28"/>
        <v>97437</v>
      </c>
      <c r="BH31" s="362">
        <f t="shared" si="28"/>
        <v>47209</v>
      </c>
      <c r="BI31" s="362">
        <f t="shared" si="28"/>
        <v>1279147.5</v>
      </c>
      <c r="BJ31" s="362"/>
    </row>
    <row r="32" spans="1:63" x14ac:dyDescent="0.25">
      <c r="A32" s="359">
        <f>+BaseloadMarkets!A32</f>
        <v>36704</v>
      </c>
      <c r="B32" s="360">
        <f>+OCCMarkets!O32</f>
        <v>1343</v>
      </c>
      <c r="C32" s="361">
        <f t="shared" si="0"/>
        <v>671.5</v>
      </c>
      <c r="D32" s="361">
        <f>+OCCMarkets!S32</f>
        <v>557</v>
      </c>
      <c r="E32" s="362">
        <f t="shared" si="1"/>
        <v>-114.5</v>
      </c>
      <c r="F32" s="362">
        <f t="shared" si="18"/>
        <v>4987</v>
      </c>
      <c r="G32" s="363"/>
      <c r="H32" s="360">
        <f>+OCCMarkets!C32</f>
        <v>16339</v>
      </c>
      <c r="I32" s="361">
        <f t="shared" si="2"/>
        <v>8169.5</v>
      </c>
      <c r="J32" s="361">
        <f>+OCCMarkets!L32-OCCMarkets!H32</f>
        <v>10137</v>
      </c>
      <c r="K32" s="362">
        <f t="shared" si="3"/>
        <v>1967.5</v>
      </c>
      <c r="L32" s="362">
        <f t="shared" si="19"/>
        <v>117139.5</v>
      </c>
      <c r="M32" s="363"/>
      <c r="N32" s="360">
        <f>+OCCMarkets!V32</f>
        <v>0</v>
      </c>
      <c r="O32" s="361">
        <f t="shared" si="4"/>
        <v>0</v>
      </c>
      <c r="P32" s="361">
        <f>+OCCMarkets!Z32</f>
        <v>318</v>
      </c>
      <c r="Q32" s="362">
        <f t="shared" si="5"/>
        <v>318</v>
      </c>
      <c r="R32" s="362">
        <f t="shared" si="20"/>
        <v>12644.5</v>
      </c>
      <c r="S32" s="363"/>
      <c r="T32" s="353">
        <f>+EES!C31</f>
        <v>70000</v>
      </c>
      <c r="U32" s="353">
        <f t="shared" si="6"/>
        <v>35000</v>
      </c>
      <c r="V32" s="353">
        <f>+EES!AI31-EES!M31</f>
        <v>49968</v>
      </c>
      <c r="W32" s="362">
        <f t="shared" si="7"/>
        <v>14968</v>
      </c>
      <c r="X32" s="362">
        <f t="shared" si="21"/>
        <v>977923</v>
      </c>
      <c r="Y32" s="363"/>
      <c r="Z32" s="353">
        <f>+OCCMarkets!AC32</f>
        <v>149</v>
      </c>
      <c r="AA32" s="353">
        <f t="shared" si="8"/>
        <v>74.5</v>
      </c>
      <c r="AB32" s="353">
        <f>+OCCMarkets!AG32</f>
        <v>0</v>
      </c>
      <c r="AC32" s="362">
        <f t="shared" si="9"/>
        <v>-74.5</v>
      </c>
      <c r="AD32" s="362">
        <f t="shared" si="22"/>
        <v>2588.5</v>
      </c>
      <c r="AE32" s="363"/>
      <c r="AF32" s="353">
        <f>+OCCMarkets!AJ32</f>
        <v>9954</v>
      </c>
      <c r="AG32" s="353">
        <f t="shared" si="10"/>
        <v>4977</v>
      </c>
      <c r="AH32" s="353">
        <f>+OCCMarkets!AN32</f>
        <v>3376</v>
      </c>
      <c r="AI32" s="362">
        <f t="shared" si="11"/>
        <v>-1601</v>
      </c>
      <c r="AJ32" s="362">
        <f t="shared" si="23"/>
        <v>172744</v>
      </c>
      <c r="AK32" s="363"/>
      <c r="AL32" s="353">
        <f>+OCCMarkets!AQ32</f>
        <v>0</v>
      </c>
      <c r="AM32" s="353">
        <f t="shared" si="12"/>
        <v>0</v>
      </c>
      <c r="AN32" s="353">
        <f>+OCCMarkets!AU32</f>
        <v>0</v>
      </c>
      <c r="AO32" s="362">
        <f t="shared" si="13"/>
        <v>0</v>
      </c>
      <c r="AP32" s="362">
        <f t="shared" si="24"/>
        <v>0</v>
      </c>
      <c r="AQ32" s="363"/>
      <c r="AR32" s="353">
        <f>+OCCMarkets!AX32</f>
        <v>198</v>
      </c>
      <c r="AS32" s="353">
        <f t="shared" si="14"/>
        <v>99</v>
      </c>
      <c r="AT32" s="353">
        <f>+OCCMarkets!BB32</f>
        <v>0</v>
      </c>
      <c r="AU32" s="362">
        <f t="shared" si="15"/>
        <v>-99</v>
      </c>
      <c r="AV32" s="362">
        <f t="shared" si="25"/>
        <v>2865</v>
      </c>
      <c r="AW32" s="363"/>
      <c r="AX32" s="353">
        <f>+OCCMarkets!BE32</f>
        <v>307</v>
      </c>
      <c r="AY32" s="353">
        <f t="shared" si="16"/>
        <v>153.5</v>
      </c>
      <c r="AZ32" s="353">
        <f>+OCCMarkets!BI32</f>
        <v>0</v>
      </c>
      <c r="BA32" s="362">
        <f t="shared" si="17"/>
        <v>-153.5</v>
      </c>
      <c r="BB32" s="362">
        <f t="shared" si="26"/>
        <v>3467</v>
      </c>
      <c r="BC32" s="363"/>
      <c r="BD32" s="395"/>
      <c r="BE32" s="362">
        <f t="shared" si="27"/>
        <v>98290</v>
      </c>
      <c r="BF32" s="362">
        <f t="shared" si="27"/>
        <v>49145</v>
      </c>
      <c r="BG32" s="362">
        <f t="shared" si="28"/>
        <v>64356</v>
      </c>
      <c r="BH32" s="362">
        <f t="shared" si="28"/>
        <v>15211</v>
      </c>
      <c r="BI32" s="362">
        <f t="shared" si="28"/>
        <v>1294358.5</v>
      </c>
      <c r="BJ32" s="362"/>
    </row>
    <row r="33" spans="1:62" x14ac:dyDescent="0.25">
      <c r="A33" s="359">
        <f>+BaseloadMarkets!A33</f>
        <v>36705</v>
      </c>
      <c r="B33" s="360">
        <f>+OCCMarkets!O33</f>
        <v>1633</v>
      </c>
      <c r="C33" s="361">
        <f t="shared" si="0"/>
        <v>816.5</v>
      </c>
      <c r="D33" s="361">
        <f>+OCCMarkets!S33</f>
        <v>12105</v>
      </c>
      <c r="E33" s="362">
        <f t="shared" si="1"/>
        <v>11288.5</v>
      </c>
      <c r="F33" s="362">
        <f t="shared" si="18"/>
        <v>16275.5</v>
      </c>
      <c r="G33" s="363"/>
      <c r="H33" s="360">
        <f>+OCCMarkets!C33</f>
        <v>14563</v>
      </c>
      <c r="I33" s="361">
        <f t="shared" si="2"/>
        <v>7281.5</v>
      </c>
      <c r="J33" s="361">
        <f>+OCCMarkets!L33-OCCMarkets!H33</f>
        <v>70721</v>
      </c>
      <c r="K33" s="362">
        <f t="shared" si="3"/>
        <v>63439.5</v>
      </c>
      <c r="L33" s="362">
        <f t="shared" si="19"/>
        <v>180579</v>
      </c>
      <c r="M33" s="363"/>
      <c r="N33" s="360">
        <f>+OCCMarkets!V33</f>
        <v>83</v>
      </c>
      <c r="O33" s="361">
        <f t="shared" si="4"/>
        <v>41.5</v>
      </c>
      <c r="P33" s="361">
        <f>+OCCMarkets!Z33</f>
        <v>2708</v>
      </c>
      <c r="Q33" s="362">
        <f t="shared" si="5"/>
        <v>2666.5</v>
      </c>
      <c r="R33" s="362">
        <f t="shared" si="20"/>
        <v>15311</v>
      </c>
      <c r="S33" s="363"/>
      <c r="T33" s="353">
        <f>+EES!C32</f>
        <v>70000</v>
      </c>
      <c r="U33" s="353">
        <f t="shared" si="6"/>
        <v>35000</v>
      </c>
      <c r="V33" s="353">
        <f>+EES!AI32-EES!M32</f>
        <v>45747</v>
      </c>
      <c r="W33" s="362">
        <f t="shared" si="7"/>
        <v>10747</v>
      </c>
      <c r="X33" s="362">
        <f t="shared" si="21"/>
        <v>988670</v>
      </c>
      <c r="Y33" s="363"/>
      <c r="Z33" s="353">
        <f>+OCCMarkets!AC33</f>
        <v>173</v>
      </c>
      <c r="AA33" s="353">
        <f t="shared" si="8"/>
        <v>86.5</v>
      </c>
      <c r="AB33" s="353">
        <f>+OCCMarkets!AG33</f>
        <v>0</v>
      </c>
      <c r="AC33" s="362">
        <f t="shared" si="9"/>
        <v>-86.5</v>
      </c>
      <c r="AD33" s="362">
        <f t="shared" si="22"/>
        <v>2502</v>
      </c>
      <c r="AE33" s="363"/>
      <c r="AF33" s="353">
        <f>+OCCMarkets!AJ33</f>
        <v>9576</v>
      </c>
      <c r="AG33" s="353">
        <f t="shared" si="10"/>
        <v>4788</v>
      </c>
      <c r="AH33" s="353">
        <f>+OCCMarkets!AN33</f>
        <v>26216</v>
      </c>
      <c r="AI33" s="362">
        <f t="shared" si="11"/>
        <v>21428</v>
      </c>
      <c r="AJ33" s="362">
        <f t="shared" si="23"/>
        <v>194172</v>
      </c>
      <c r="AK33" s="363"/>
      <c r="AL33" s="353">
        <f>+OCCMarkets!AQ33</f>
        <v>0</v>
      </c>
      <c r="AM33" s="353">
        <f t="shared" si="12"/>
        <v>0</v>
      </c>
      <c r="AN33" s="353">
        <f>+OCCMarkets!AU33</f>
        <v>0</v>
      </c>
      <c r="AO33" s="362">
        <f t="shared" si="13"/>
        <v>0</v>
      </c>
      <c r="AP33" s="362">
        <f t="shared" si="24"/>
        <v>0</v>
      </c>
      <c r="AQ33" s="363"/>
      <c r="AR33" s="353">
        <f>+OCCMarkets!AX33</f>
        <v>206</v>
      </c>
      <c r="AS33" s="353">
        <f t="shared" si="14"/>
        <v>103</v>
      </c>
      <c r="AT33" s="353">
        <f>+OCCMarkets!BB33</f>
        <v>0</v>
      </c>
      <c r="AU33" s="362">
        <f t="shared" si="15"/>
        <v>-103</v>
      </c>
      <c r="AV33" s="362">
        <f t="shared" si="25"/>
        <v>2762</v>
      </c>
      <c r="AW33" s="363"/>
      <c r="AX33" s="353">
        <f>+OCCMarkets!BE33</f>
        <v>277</v>
      </c>
      <c r="AY33" s="353">
        <f t="shared" si="16"/>
        <v>138.5</v>
      </c>
      <c r="AZ33" s="353">
        <f>+OCCMarkets!BI33</f>
        <v>0</v>
      </c>
      <c r="BA33" s="362">
        <f t="shared" si="17"/>
        <v>-138.5</v>
      </c>
      <c r="BB33" s="362">
        <f t="shared" si="26"/>
        <v>3328.5</v>
      </c>
      <c r="BC33" s="363"/>
      <c r="BD33" s="395"/>
      <c r="BE33" s="362">
        <f t="shared" si="27"/>
        <v>96511</v>
      </c>
      <c r="BF33" s="362">
        <f t="shared" si="27"/>
        <v>48255.5</v>
      </c>
      <c r="BG33" s="362">
        <f t="shared" si="28"/>
        <v>157497</v>
      </c>
      <c r="BH33" s="362">
        <f t="shared" si="28"/>
        <v>109241.5</v>
      </c>
      <c r="BI33" s="362">
        <f t="shared" si="28"/>
        <v>1403600</v>
      </c>
      <c r="BJ33" s="362"/>
    </row>
    <row r="34" spans="1:62" x14ac:dyDescent="0.25">
      <c r="A34" s="359">
        <f>+BaseloadMarkets!A34</f>
        <v>36706</v>
      </c>
      <c r="B34" s="360">
        <f>+OCCMarkets!O34</f>
        <v>1657</v>
      </c>
      <c r="C34" s="361">
        <f t="shared" si="0"/>
        <v>828.5</v>
      </c>
      <c r="D34" s="361">
        <f>+OCCMarkets!S34</f>
        <v>0</v>
      </c>
      <c r="E34" s="362">
        <f t="shared" si="1"/>
        <v>-828.5</v>
      </c>
      <c r="F34" s="362">
        <f t="shared" si="18"/>
        <v>15447</v>
      </c>
      <c r="G34" s="363"/>
      <c r="H34" s="360">
        <f>+OCCMarkets!C34</f>
        <v>14394</v>
      </c>
      <c r="I34" s="361">
        <f t="shared" si="2"/>
        <v>7197</v>
      </c>
      <c r="J34" s="361">
        <f>+OCCMarkets!L34-OCCMarkets!H34</f>
        <v>8292</v>
      </c>
      <c r="K34" s="362">
        <f t="shared" si="3"/>
        <v>1095</v>
      </c>
      <c r="L34" s="362">
        <f t="shared" si="19"/>
        <v>181674</v>
      </c>
      <c r="M34" s="363"/>
      <c r="N34" s="360">
        <f>+OCCMarkets!V34</f>
        <v>1101</v>
      </c>
      <c r="O34" s="361">
        <f t="shared" si="4"/>
        <v>550.5</v>
      </c>
      <c r="P34" s="361">
        <f>+OCCMarkets!Z34</f>
        <v>0</v>
      </c>
      <c r="Q34" s="362">
        <f t="shared" si="5"/>
        <v>-550.5</v>
      </c>
      <c r="R34" s="362">
        <f t="shared" si="20"/>
        <v>14760.5</v>
      </c>
      <c r="S34" s="363"/>
      <c r="T34" s="353">
        <f>+EES!C33</f>
        <v>70000</v>
      </c>
      <c r="U34" s="353">
        <f t="shared" si="6"/>
        <v>35000</v>
      </c>
      <c r="V34" s="353">
        <f>+EES!AI33-EES!M33</f>
        <v>16676</v>
      </c>
      <c r="W34" s="362">
        <f t="shared" si="7"/>
        <v>-18324</v>
      </c>
      <c r="X34" s="362">
        <f t="shared" si="21"/>
        <v>970346</v>
      </c>
      <c r="Y34" s="363"/>
      <c r="Z34" s="353">
        <f>+OCCMarkets!AC34</f>
        <v>147</v>
      </c>
      <c r="AA34" s="353">
        <f t="shared" si="8"/>
        <v>73.5</v>
      </c>
      <c r="AB34" s="353">
        <f>+OCCMarkets!AG34</f>
        <v>0</v>
      </c>
      <c r="AC34" s="362">
        <f t="shared" si="9"/>
        <v>-73.5</v>
      </c>
      <c r="AD34" s="362">
        <f t="shared" si="22"/>
        <v>2428.5</v>
      </c>
      <c r="AE34" s="363"/>
      <c r="AF34" s="353">
        <f>+OCCMarkets!AJ34</f>
        <v>9468</v>
      </c>
      <c r="AG34" s="353">
        <f t="shared" si="10"/>
        <v>4734</v>
      </c>
      <c r="AH34" s="353">
        <f>+OCCMarkets!AN34</f>
        <v>5281</v>
      </c>
      <c r="AI34" s="362">
        <f t="shared" si="11"/>
        <v>547</v>
      </c>
      <c r="AJ34" s="362">
        <f t="shared" si="23"/>
        <v>194719</v>
      </c>
      <c r="AK34" s="363"/>
      <c r="AL34" s="353">
        <f>+OCCMarkets!AQ34</f>
        <v>0</v>
      </c>
      <c r="AM34" s="353">
        <f t="shared" si="12"/>
        <v>0</v>
      </c>
      <c r="AN34" s="353">
        <f>+OCCMarkets!AU34</f>
        <v>0</v>
      </c>
      <c r="AO34" s="362">
        <f t="shared" si="13"/>
        <v>0</v>
      </c>
      <c r="AP34" s="362">
        <f t="shared" si="24"/>
        <v>0</v>
      </c>
      <c r="AQ34" s="363"/>
      <c r="AR34" s="353">
        <f>+OCCMarkets!AX34</f>
        <v>197</v>
      </c>
      <c r="AS34" s="353">
        <f t="shared" si="14"/>
        <v>98.5</v>
      </c>
      <c r="AT34" s="353">
        <f>+OCCMarkets!BB34</f>
        <v>0</v>
      </c>
      <c r="AU34" s="362">
        <f t="shared" si="15"/>
        <v>-98.5</v>
      </c>
      <c r="AV34" s="362">
        <f t="shared" si="25"/>
        <v>2663.5</v>
      </c>
      <c r="AW34" s="363"/>
      <c r="AX34" s="353">
        <f>+OCCMarkets!BE34</f>
        <v>305</v>
      </c>
      <c r="AY34" s="353">
        <f t="shared" si="16"/>
        <v>152.5</v>
      </c>
      <c r="AZ34" s="353">
        <f>+OCCMarkets!BI34</f>
        <v>0</v>
      </c>
      <c r="BA34" s="362">
        <f t="shared" si="17"/>
        <v>-152.5</v>
      </c>
      <c r="BB34" s="362">
        <f t="shared" si="26"/>
        <v>3176</v>
      </c>
      <c r="BC34" s="363"/>
      <c r="BD34" s="395"/>
      <c r="BE34" s="362">
        <f t="shared" si="27"/>
        <v>97269</v>
      </c>
      <c r="BF34" s="362">
        <f t="shared" si="27"/>
        <v>48634.5</v>
      </c>
      <c r="BG34" s="362">
        <f t="shared" si="28"/>
        <v>30249</v>
      </c>
      <c r="BH34" s="362">
        <f t="shared" si="28"/>
        <v>-18385.5</v>
      </c>
      <c r="BI34" s="362">
        <f t="shared" si="28"/>
        <v>1385214.5</v>
      </c>
      <c r="BJ34" s="362"/>
    </row>
    <row r="35" spans="1:62" x14ac:dyDescent="0.25">
      <c r="A35" s="359">
        <f>+BaseloadMarkets!A35</f>
        <v>36707</v>
      </c>
      <c r="B35" s="360">
        <f>+OCCMarkets!O35</f>
        <v>1729</v>
      </c>
      <c r="C35" s="361">
        <f t="shared" si="0"/>
        <v>864.5</v>
      </c>
      <c r="D35" s="361">
        <f>+OCCMarkets!S35</f>
        <v>13943</v>
      </c>
      <c r="E35" s="362">
        <f>D35-C35</f>
        <v>13078.5</v>
      </c>
      <c r="F35" s="362">
        <f>F34+E35</f>
        <v>28525.5</v>
      </c>
      <c r="G35" s="363"/>
      <c r="H35" s="360">
        <f>+OCCMarkets!C35</f>
        <v>10517</v>
      </c>
      <c r="I35" s="361">
        <f t="shared" si="2"/>
        <v>5258.5</v>
      </c>
      <c r="J35" s="361">
        <f>+OCCMarkets!L35-OCCMarkets!H35</f>
        <v>29801</v>
      </c>
      <c r="K35" s="362">
        <f>J35-I35</f>
        <v>24542.5</v>
      </c>
      <c r="L35" s="362">
        <f>L34+K35</f>
        <v>206216.5</v>
      </c>
      <c r="M35" s="363"/>
      <c r="N35" s="360">
        <f>+OCCMarkets!V35</f>
        <v>1465</v>
      </c>
      <c r="O35" s="361">
        <f t="shared" si="4"/>
        <v>732.5</v>
      </c>
      <c r="P35" s="361">
        <f>+OCCMarkets!Z35</f>
        <v>3485</v>
      </c>
      <c r="Q35" s="362">
        <f>P35-O35</f>
        <v>2752.5</v>
      </c>
      <c r="R35" s="362">
        <f>R34+Q35</f>
        <v>17513</v>
      </c>
      <c r="S35" s="363"/>
      <c r="T35" s="353">
        <f>+EES!C34</f>
        <v>70000</v>
      </c>
      <c r="U35" s="353">
        <f t="shared" si="6"/>
        <v>35000</v>
      </c>
      <c r="V35" s="353">
        <f>+EES!AI34-EES!M34</f>
        <v>56039</v>
      </c>
      <c r="W35" s="362">
        <f>V35-U35</f>
        <v>21039</v>
      </c>
      <c r="X35" s="362">
        <f>X34+W35</f>
        <v>991385</v>
      </c>
      <c r="Y35" s="363"/>
      <c r="Z35" s="353">
        <f>+OCCMarkets!AC35</f>
        <v>186</v>
      </c>
      <c r="AA35" s="353">
        <f t="shared" si="8"/>
        <v>93</v>
      </c>
      <c r="AB35" s="353">
        <f>+OCCMarkets!AG35</f>
        <v>0</v>
      </c>
      <c r="AC35" s="362">
        <f>AB35-AA35</f>
        <v>-93</v>
      </c>
      <c r="AD35" s="362">
        <f>AD34+AC35</f>
        <v>2335.5</v>
      </c>
      <c r="AE35" s="363"/>
      <c r="AF35" s="353">
        <f>+OCCMarkets!AJ35</f>
        <v>9915</v>
      </c>
      <c r="AG35" s="353">
        <f t="shared" si="10"/>
        <v>4957.5</v>
      </c>
      <c r="AH35" s="353">
        <f>+OCCMarkets!AN35</f>
        <v>25439</v>
      </c>
      <c r="AI35" s="362">
        <f>AH35-AG35</f>
        <v>20481.5</v>
      </c>
      <c r="AJ35" s="362">
        <f>AJ34+AI35</f>
        <v>215200.5</v>
      </c>
      <c r="AK35" s="363"/>
      <c r="AL35" s="353">
        <f>+OCCMarkets!AQ35</f>
        <v>0</v>
      </c>
      <c r="AM35" s="353">
        <f t="shared" si="12"/>
        <v>0</v>
      </c>
      <c r="AN35" s="353">
        <f>+OCCMarkets!AU35</f>
        <v>0</v>
      </c>
      <c r="AO35" s="362">
        <f>AN35-AM35</f>
        <v>0</v>
      </c>
      <c r="AP35" s="362">
        <f>AP34+AO35</f>
        <v>0</v>
      </c>
      <c r="AQ35" s="363">
        <f>SUM(AO31:AO35)</f>
        <v>0</v>
      </c>
      <c r="AR35" s="353">
        <f>+OCCMarkets!AX35</f>
        <v>195</v>
      </c>
      <c r="AS35" s="353">
        <f t="shared" si="14"/>
        <v>97.5</v>
      </c>
      <c r="AT35" s="353">
        <f>+OCCMarkets!BB35</f>
        <v>551</v>
      </c>
      <c r="AU35" s="362">
        <f>AT35-AS35</f>
        <v>453.5</v>
      </c>
      <c r="AV35" s="362">
        <f>AV34+AU35</f>
        <v>3117</v>
      </c>
      <c r="AW35" s="363"/>
      <c r="AX35" s="353">
        <f>+OCCMarkets!BE35</f>
        <v>286</v>
      </c>
      <c r="AY35" s="353">
        <f t="shared" si="16"/>
        <v>143</v>
      </c>
      <c r="AZ35" s="353">
        <f>+OCCMarkets!BI35</f>
        <v>551</v>
      </c>
      <c r="BA35" s="362">
        <f>AZ35-AY35</f>
        <v>408</v>
      </c>
      <c r="BB35" s="362">
        <f>BB34+BA35</f>
        <v>3584</v>
      </c>
      <c r="BC35" s="363"/>
      <c r="BD35" s="395"/>
      <c r="BE35" s="362">
        <f>+B35+H35+N35+T35+Z35+AF35+AL35+AR35+AX35</f>
        <v>94293</v>
      </c>
      <c r="BF35" s="362">
        <f>+C35+I35+O35+U35+AA35+AG35+AM35+AS35+AY35</f>
        <v>47146.5</v>
      </c>
      <c r="BG35" s="362">
        <f>+D35+J35+P35+V35+AB35+AH35+AN35+AT35+AZ35</f>
        <v>129809</v>
      </c>
      <c r="BH35" s="362">
        <f>+E35+K35+Q35+W35+AC35+AI35+AO35+AU35+BA35</f>
        <v>82662.5</v>
      </c>
      <c r="BI35" s="362">
        <f>+F35+L35+R35+X35+AD35+AJ35+AP35+AV35+BB35</f>
        <v>1467877</v>
      </c>
      <c r="BJ35" s="363">
        <f>SUM(BH31:BH35)</f>
        <v>235938.5</v>
      </c>
    </row>
    <row r="36" spans="1:62" ht="13.8" thickBot="1" x14ac:dyDescent="0.3">
      <c r="A36" s="359"/>
      <c r="B36" s="360"/>
      <c r="C36" s="361"/>
      <c r="D36" s="361"/>
      <c r="E36" s="362"/>
      <c r="F36" s="362"/>
      <c r="G36" s="363"/>
      <c r="H36" s="360"/>
      <c r="I36" s="361"/>
      <c r="J36" s="361"/>
      <c r="K36" s="362"/>
      <c r="L36" s="362"/>
      <c r="M36" s="363"/>
      <c r="N36" s="360"/>
      <c r="O36" s="361"/>
      <c r="P36" s="361"/>
      <c r="Q36" s="362"/>
      <c r="R36" s="362"/>
      <c r="S36" s="363"/>
      <c r="W36" s="362"/>
      <c r="X36" s="362"/>
      <c r="Y36" s="363"/>
      <c r="AC36" s="362"/>
      <c r="AD36" s="362"/>
      <c r="AE36" s="363"/>
      <c r="AI36" s="362"/>
      <c r="AJ36" s="362"/>
      <c r="AK36" s="363"/>
      <c r="AO36" s="362"/>
      <c r="AP36" s="362"/>
      <c r="AQ36" s="363"/>
      <c r="AU36" s="362"/>
      <c r="AV36" s="362"/>
      <c r="AW36" s="363"/>
      <c r="BA36" s="362"/>
      <c r="BB36" s="362"/>
      <c r="BC36" s="363"/>
      <c r="BD36" s="395"/>
      <c r="BE36" s="362"/>
      <c r="BF36" s="362"/>
      <c r="BG36" s="362"/>
      <c r="BH36" s="362"/>
      <c r="BI36" s="362"/>
      <c r="BJ36" s="363"/>
    </row>
    <row r="37" spans="1:62" s="208" customFormat="1" ht="13.8" thickTop="1" x14ac:dyDescent="0.25">
      <c r="B37" s="364">
        <f>SUM(B6:B36)</f>
        <v>50311</v>
      </c>
      <c r="C37" s="364">
        <f>SUM(C6:C36)</f>
        <v>25155.5</v>
      </c>
      <c r="D37" s="364">
        <f>SUM(D6:D36)</f>
        <v>53681</v>
      </c>
      <c r="E37" s="365">
        <f>SUM(E6:E36)</f>
        <v>28525.5</v>
      </c>
      <c r="F37" s="365">
        <f>F36</f>
        <v>0</v>
      </c>
      <c r="G37" s="210"/>
      <c r="H37" s="364">
        <f>SUM(H6:H36)</f>
        <v>331137</v>
      </c>
      <c r="I37" s="364">
        <f>SUM(I6:I36)</f>
        <v>165568.5</v>
      </c>
      <c r="J37" s="364">
        <f>SUM(J6:J36)</f>
        <v>371785</v>
      </c>
      <c r="K37" s="365">
        <f>SUM(K6:K36)</f>
        <v>206216.5</v>
      </c>
      <c r="L37" s="365">
        <f>L36</f>
        <v>0</v>
      </c>
      <c r="M37" s="210"/>
      <c r="N37" s="364">
        <f>SUM(N6:N36)</f>
        <v>27678</v>
      </c>
      <c r="O37" s="364">
        <f>SUM(O6:O36)</f>
        <v>13839</v>
      </c>
      <c r="P37" s="364">
        <f>SUM(P6:P36)</f>
        <v>31352</v>
      </c>
      <c r="Q37" s="365">
        <f>SUM(Q6:Q36)</f>
        <v>17513</v>
      </c>
      <c r="R37" s="365">
        <f>R36</f>
        <v>0</v>
      </c>
      <c r="S37" s="210"/>
      <c r="T37" s="364">
        <f>SUM(T6:T36)</f>
        <v>2100000</v>
      </c>
      <c r="U37" s="364">
        <f>SUM(U6:U36)</f>
        <v>1050000</v>
      </c>
      <c r="V37" s="364">
        <f>SUM(V6:V36)</f>
        <v>2041385</v>
      </c>
      <c r="W37" s="365">
        <f>SUM(W6:W36)</f>
        <v>991385</v>
      </c>
      <c r="X37" s="365">
        <f>X36</f>
        <v>0</v>
      </c>
      <c r="Y37" s="210"/>
      <c r="Z37" s="364">
        <f>SUM(Z6:Z36)</f>
        <v>4607</v>
      </c>
      <c r="AA37" s="364">
        <f>SUM(AA6:AA36)</f>
        <v>2303.5</v>
      </c>
      <c r="AB37" s="364">
        <f>SUM(AB6:AB36)</f>
        <v>4639</v>
      </c>
      <c r="AC37" s="365">
        <f>SUM(AC6:AC36)</f>
        <v>2335.5</v>
      </c>
      <c r="AD37" s="365">
        <f>AD36</f>
        <v>0</v>
      </c>
      <c r="AE37" s="210"/>
      <c r="AF37" s="364">
        <f>SUM(AF6:AF36)</f>
        <v>273467</v>
      </c>
      <c r="AG37" s="364">
        <f>SUM(AG6:AG36)</f>
        <v>136733.5</v>
      </c>
      <c r="AH37" s="364">
        <f>SUM(AH6:AH36)</f>
        <v>351934</v>
      </c>
      <c r="AI37" s="365">
        <f>SUM(AI6:AI36)</f>
        <v>215200.5</v>
      </c>
      <c r="AJ37" s="365">
        <f>AJ36</f>
        <v>0</v>
      </c>
      <c r="AK37" s="210"/>
      <c r="AL37" s="364">
        <f>SUM(AL6:AL36)</f>
        <v>0</v>
      </c>
      <c r="AM37" s="364">
        <f>SUM(AM6:AM36)</f>
        <v>0</v>
      </c>
      <c r="AN37" s="364">
        <f>SUM(AN6:AN36)</f>
        <v>0</v>
      </c>
      <c r="AO37" s="365">
        <f>SUM(AO6:AO36)</f>
        <v>0</v>
      </c>
      <c r="AP37" s="365">
        <f>AP36</f>
        <v>0</v>
      </c>
      <c r="AQ37" s="210"/>
      <c r="AR37" s="364">
        <f>SUM(AR6:AR36)</f>
        <v>4398</v>
      </c>
      <c r="AS37" s="364">
        <f>SUM(AS6:AS36)</f>
        <v>2199</v>
      </c>
      <c r="AT37" s="364">
        <f>SUM(AT6:AT36)</f>
        <v>5316</v>
      </c>
      <c r="AU37" s="365">
        <f>SUM(AU6:AU36)</f>
        <v>3117</v>
      </c>
      <c r="AV37" s="365">
        <f>AV36</f>
        <v>0</v>
      </c>
      <c r="AW37" s="210"/>
      <c r="AX37" s="364">
        <f>SUM(AX6:AX36)</f>
        <v>7136</v>
      </c>
      <c r="AY37" s="364">
        <f>SUM(AY6:AY36)</f>
        <v>3568</v>
      </c>
      <c r="AZ37" s="364">
        <f>SUM(AZ6:AZ36)</f>
        <v>7152</v>
      </c>
      <c r="BA37" s="365">
        <f>SUM(BA6:BA36)</f>
        <v>3584</v>
      </c>
      <c r="BB37" s="365">
        <f>BB36</f>
        <v>0</v>
      </c>
      <c r="BC37" s="210"/>
      <c r="BD37" s="210"/>
      <c r="BE37" s="365">
        <f>SUM(BE6:BE36)</f>
        <v>2798734</v>
      </c>
      <c r="BF37" s="365">
        <f>SUM(BF6:BF36)</f>
        <v>1399367</v>
      </c>
      <c r="BG37" s="365">
        <f>SUM(BG6:BG36)</f>
        <v>2867244</v>
      </c>
      <c r="BH37" s="365">
        <f>SUM(BH6:BH36)</f>
        <v>1467877</v>
      </c>
      <c r="BI37" s="365">
        <f>SUM(BI6:BI36)</f>
        <v>29553148</v>
      </c>
    </row>
    <row r="38" spans="1:62" x14ac:dyDescent="0.25">
      <c r="B38" s="361"/>
      <c r="C38" s="361"/>
      <c r="D38" s="361"/>
      <c r="H38" s="361"/>
      <c r="I38" s="361"/>
      <c r="J38" s="361"/>
      <c r="N38" s="361"/>
      <c r="O38" s="361"/>
      <c r="P38" s="361"/>
    </row>
  </sheetData>
  <printOptions horizontalCentered="1"/>
  <pageMargins left="0.25" right="0.25" top="1" bottom="1" header="0.5" footer="0.5"/>
  <pageSetup paperSize="5" scale="6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DQ50"/>
  <sheetViews>
    <sheetView workbookViewId="0">
      <pane xSplit="1" ySplit="5" topLeftCell="B6" activePane="bottomRight" state="frozen"/>
      <selection activeCell="F4" sqref="F4"/>
      <selection pane="topRight" activeCell="F4" sqref="F4"/>
      <selection pane="bottomLeft" activeCell="F4" sqref="F4"/>
      <selection pane="bottomRight" activeCell="B6" sqref="B6"/>
    </sheetView>
  </sheetViews>
  <sheetFormatPr defaultColWidth="9.33203125" defaultRowHeight="13.2" x14ac:dyDescent="0.25"/>
  <cols>
    <col min="1" max="1" width="16.44140625" style="20" customWidth="1"/>
    <col min="2" max="2" width="20" style="27" customWidth="1"/>
    <col min="3" max="3" width="16.44140625" style="20" customWidth="1"/>
    <col min="4" max="4" width="14.44140625" style="20" customWidth="1"/>
    <col min="5" max="5" width="16.44140625" style="20" customWidth="1"/>
    <col min="6" max="6" width="17.77734375" style="20" customWidth="1"/>
    <col min="7" max="7" width="14.44140625" style="20" customWidth="1"/>
    <col min="8" max="8" width="9.33203125" style="394"/>
    <col min="9" max="9" width="18.77734375" style="27" customWidth="1"/>
    <col min="10" max="10" width="16.44140625" style="20" customWidth="1"/>
    <col min="11" max="11" width="14.44140625" style="20" customWidth="1"/>
    <col min="12" max="12" width="16.44140625" style="20" customWidth="1"/>
    <col min="13" max="13" width="17.77734375" style="20" customWidth="1"/>
    <col min="14" max="14" width="14.44140625" style="20" customWidth="1"/>
    <col min="15" max="15" width="9.33203125" style="394"/>
    <col min="16" max="16" width="18.77734375" style="27" customWidth="1"/>
    <col min="17" max="17" width="16.44140625" style="20" customWidth="1"/>
    <col min="18" max="18" width="14.44140625" style="20" customWidth="1"/>
    <col min="19" max="20" width="14.6640625" style="20" customWidth="1"/>
    <col min="21" max="21" width="9.33203125" style="394"/>
    <col min="22" max="22" width="22" style="20" customWidth="1"/>
    <col min="23" max="23" width="16.44140625" style="20" customWidth="1"/>
    <col min="24" max="24" width="14.44140625" style="20" customWidth="1"/>
    <col min="25" max="26" width="14.6640625" style="20" customWidth="1"/>
    <col min="27" max="27" width="9.33203125" style="394"/>
    <col min="28" max="28" width="16.44140625" style="20" customWidth="1"/>
    <col min="29" max="29" width="11.6640625" style="20" customWidth="1"/>
    <col min="30" max="30" width="14.44140625" style="20" customWidth="1"/>
    <col min="31" max="32" width="14.6640625" style="20" customWidth="1"/>
    <col min="33" max="33" width="9.33203125" style="394"/>
    <col min="34" max="34" width="16.44140625" style="20" customWidth="1"/>
    <col min="35" max="35" width="11.6640625" style="20" customWidth="1"/>
    <col min="36" max="36" width="14.44140625" style="20" customWidth="1"/>
    <col min="37" max="38" width="14.6640625" style="20" customWidth="1"/>
    <col min="39" max="16384" width="9.33203125" style="20"/>
  </cols>
  <sheetData>
    <row r="1" spans="1:38" ht="15.6" x14ac:dyDescent="0.3">
      <c r="A1" s="367" t="s">
        <v>161</v>
      </c>
      <c r="B1" s="414">
        <v>0</v>
      </c>
      <c r="C1" s="202"/>
      <c r="I1" s="414">
        <v>0</v>
      </c>
      <c r="J1" s="202"/>
      <c r="P1" s="414">
        <v>0</v>
      </c>
      <c r="Q1" s="202"/>
      <c r="V1" s="202"/>
      <c r="W1" s="202"/>
      <c r="AB1" s="202"/>
      <c r="AC1" s="203"/>
      <c r="AH1" s="202"/>
      <c r="AI1" s="203"/>
    </row>
    <row r="2" spans="1:38" x14ac:dyDescent="0.25">
      <c r="A2" s="368">
        <f>+BaseloadMarkets!B1</f>
        <v>36678</v>
      </c>
      <c r="B2" s="2" t="s">
        <v>240</v>
      </c>
      <c r="C2" s="203"/>
      <c r="I2" s="2" t="s">
        <v>240</v>
      </c>
      <c r="J2" s="203"/>
      <c r="P2" s="2" t="s">
        <v>240</v>
      </c>
      <c r="Q2" s="203"/>
      <c r="V2" s="209" t="str">
        <f>+BaseloadMarkets!I4</f>
        <v>CA Hub</v>
      </c>
      <c r="W2" s="203"/>
      <c r="AB2" s="209" t="str">
        <f>+BaseloadMarkets!O4</f>
        <v>Cook</v>
      </c>
    </row>
    <row r="3" spans="1:38" x14ac:dyDescent="0.25">
      <c r="A3" s="202" t="s">
        <v>162</v>
      </c>
      <c r="B3" s="2">
        <v>170289</v>
      </c>
      <c r="C3" s="408"/>
      <c r="I3" s="2" t="s">
        <v>4</v>
      </c>
      <c r="J3" s="408"/>
      <c r="P3" s="2" t="s">
        <v>4</v>
      </c>
      <c r="Q3" s="408"/>
      <c r="V3" s="408"/>
      <c r="W3" s="408"/>
      <c r="AB3" s="408"/>
      <c r="AH3" s="208"/>
    </row>
    <row r="4" spans="1:38" x14ac:dyDescent="0.25">
      <c r="B4" s="2" t="s">
        <v>4</v>
      </c>
      <c r="C4" s="203"/>
      <c r="D4" s="203" t="s">
        <v>31</v>
      </c>
      <c r="E4" s="203" t="s">
        <v>83</v>
      </c>
      <c r="F4" s="203" t="s">
        <v>83</v>
      </c>
      <c r="G4" s="203" t="s">
        <v>32</v>
      </c>
      <c r="I4" s="2">
        <v>204411</v>
      </c>
      <c r="J4" s="203"/>
      <c r="K4" s="203" t="s">
        <v>31</v>
      </c>
      <c r="L4" s="203" t="s">
        <v>83</v>
      </c>
      <c r="M4" s="203" t="s">
        <v>83</v>
      </c>
      <c r="N4" s="203" t="s">
        <v>32</v>
      </c>
      <c r="P4" s="2">
        <v>205318</v>
      </c>
      <c r="Q4" s="203"/>
      <c r="R4" s="203" t="s">
        <v>31</v>
      </c>
      <c r="S4" s="203"/>
      <c r="T4" s="203" t="s">
        <v>83</v>
      </c>
      <c r="V4" s="209">
        <f>+BaseloadMarkets!I2</f>
        <v>279921</v>
      </c>
      <c r="W4" s="203"/>
      <c r="X4" s="203" t="s">
        <v>31</v>
      </c>
      <c r="Y4" s="203"/>
      <c r="Z4" s="203" t="s">
        <v>83</v>
      </c>
      <c r="AB4" s="209">
        <v>293824</v>
      </c>
      <c r="AC4" s="203" t="s">
        <v>31</v>
      </c>
      <c r="AD4" s="203" t="s">
        <v>31</v>
      </c>
      <c r="AE4" s="203"/>
      <c r="AF4" s="203" t="s">
        <v>83</v>
      </c>
      <c r="AH4" s="203" t="s">
        <v>31</v>
      </c>
      <c r="AI4" s="203" t="s">
        <v>31</v>
      </c>
      <c r="AJ4" s="203" t="s">
        <v>31</v>
      </c>
      <c r="AK4" s="203"/>
      <c r="AL4" s="203" t="s">
        <v>83</v>
      </c>
    </row>
    <row r="5" spans="1:38" x14ac:dyDescent="0.25">
      <c r="B5" s="10" t="s">
        <v>252</v>
      </c>
      <c r="C5" s="203" t="s">
        <v>187</v>
      </c>
      <c r="D5" s="203" t="s">
        <v>85</v>
      </c>
      <c r="E5" s="203" t="s">
        <v>86</v>
      </c>
      <c r="F5" s="203" t="s">
        <v>40</v>
      </c>
      <c r="G5" s="203" t="s">
        <v>87</v>
      </c>
      <c r="I5" s="10" t="s">
        <v>252</v>
      </c>
      <c r="J5" s="203" t="s">
        <v>187</v>
      </c>
      <c r="K5" s="203" t="s">
        <v>85</v>
      </c>
      <c r="L5" s="203" t="s">
        <v>86</v>
      </c>
      <c r="M5" s="203" t="s">
        <v>40</v>
      </c>
      <c r="N5" s="203" t="s">
        <v>87</v>
      </c>
      <c r="P5" s="10" t="s">
        <v>252</v>
      </c>
      <c r="Q5" s="203" t="s">
        <v>187</v>
      </c>
      <c r="R5" s="203" t="s">
        <v>85</v>
      </c>
      <c r="S5" s="203" t="s">
        <v>86</v>
      </c>
      <c r="T5" s="203" t="s">
        <v>40</v>
      </c>
      <c r="V5" s="203" t="s">
        <v>253</v>
      </c>
      <c r="W5" s="203" t="s">
        <v>187</v>
      </c>
      <c r="X5" s="203" t="s">
        <v>85</v>
      </c>
      <c r="Y5" s="203" t="s">
        <v>86</v>
      </c>
      <c r="Z5" s="203" t="s">
        <v>40</v>
      </c>
      <c r="AB5" s="203" t="s">
        <v>292</v>
      </c>
      <c r="AC5" s="203" t="s">
        <v>167</v>
      </c>
      <c r="AD5" s="203" t="s">
        <v>85</v>
      </c>
      <c r="AE5" s="203" t="s">
        <v>86</v>
      </c>
      <c r="AF5" s="203" t="s">
        <v>40</v>
      </c>
      <c r="AH5" s="203" t="s">
        <v>168</v>
      </c>
      <c r="AI5" s="203" t="s">
        <v>167</v>
      </c>
      <c r="AJ5" s="203" t="s">
        <v>85</v>
      </c>
      <c r="AK5" s="203" t="s">
        <v>86</v>
      </c>
      <c r="AL5" s="203" t="s">
        <v>40</v>
      </c>
    </row>
    <row r="6" spans="1:38" x14ac:dyDescent="0.25">
      <c r="A6" s="204">
        <f>BaseloadMarkets!A6</f>
        <v>36678</v>
      </c>
      <c r="B6" s="12">
        <v>10000</v>
      </c>
      <c r="C6" s="205">
        <f>+Supplies!I6</f>
        <v>10000</v>
      </c>
      <c r="D6" s="205">
        <f t="shared" ref="D6:D34" si="0">+C6-B6</f>
        <v>0</v>
      </c>
      <c r="E6" s="205">
        <f>+B6</f>
        <v>10000</v>
      </c>
      <c r="F6" s="205">
        <f>+C6</f>
        <v>10000</v>
      </c>
      <c r="G6" s="205">
        <f>+D6</f>
        <v>0</v>
      </c>
      <c r="I6" s="12">
        <v>3333</v>
      </c>
      <c r="J6" s="205">
        <f>+Supplies!J6</f>
        <v>3333</v>
      </c>
      <c r="K6" s="205">
        <f t="shared" ref="K6:K34" si="1">+J6-I6</f>
        <v>0</v>
      </c>
      <c r="L6" s="205">
        <f>+I6</f>
        <v>3333</v>
      </c>
      <c r="M6" s="205">
        <f>+J6</f>
        <v>3333</v>
      </c>
      <c r="N6" s="205">
        <f>+K6</f>
        <v>0</v>
      </c>
      <c r="P6" s="12">
        <v>1333</v>
      </c>
      <c r="Q6" s="205">
        <f>+Supplies!K6</f>
        <v>1333</v>
      </c>
      <c r="R6" s="205">
        <f t="shared" ref="R6:R34" si="2">+Q6-P6</f>
        <v>0</v>
      </c>
      <c r="S6" s="205">
        <f>+P6</f>
        <v>1333</v>
      </c>
      <c r="T6" s="205">
        <f>+Q6</f>
        <v>1333</v>
      </c>
      <c r="V6" s="205">
        <f>4666+16000</f>
        <v>20666</v>
      </c>
      <c r="W6" s="205">
        <f>+BaseloadMarkets!J6+BaseloadMarkets!M6</f>
        <v>21766</v>
      </c>
      <c r="X6" s="205">
        <f t="shared" ref="X6:X34" si="3">+W6-V6</f>
        <v>1100</v>
      </c>
      <c r="Y6" s="205">
        <f>+V6</f>
        <v>20666</v>
      </c>
      <c r="Z6" s="205">
        <f>+W6</f>
        <v>21766</v>
      </c>
      <c r="AB6" s="205">
        <v>0</v>
      </c>
      <c r="AC6" s="205">
        <f>+Supplies!AN6</f>
        <v>0</v>
      </c>
      <c r="AD6" s="205">
        <f t="shared" ref="AD6:AD34" si="4">+AC6-AB6</f>
        <v>0</v>
      </c>
      <c r="AE6" s="205">
        <f>+AB6</f>
        <v>0</v>
      </c>
      <c r="AF6" s="205">
        <f>+AC6</f>
        <v>0</v>
      </c>
      <c r="AH6" s="205"/>
      <c r="AI6" s="205"/>
      <c r="AJ6" s="205">
        <f t="shared" ref="AJ6:AJ34" si="5">+AI6-AH6</f>
        <v>0</v>
      </c>
      <c r="AK6" s="205">
        <f>+AH6</f>
        <v>0</v>
      </c>
      <c r="AL6" s="205">
        <f>+AI6</f>
        <v>0</v>
      </c>
    </row>
    <row r="7" spans="1:38" x14ac:dyDescent="0.25">
      <c r="A7" s="204">
        <f>BaseloadMarkets!A7</f>
        <v>36679</v>
      </c>
      <c r="B7" s="12">
        <v>10000</v>
      </c>
      <c r="C7" s="205">
        <f>+Supplies!I7</f>
        <v>10000</v>
      </c>
      <c r="D7" s="205">
        <f t="shared" si="0"/>
        <v>0</v>
      </c>
      <c r="E7" s="205">
        <f t="shared" ref="E7:E34" si="6">+E6+B7</f>
        <v>20000</v>
      </c>
      <c r="F7" s="205">
        <f t="shared" ref="F7:F34" si="7">+F6+C7</f>
        <v>20000</v>
      </c>
      <c r="G7" s="205">
        <f t="shared" ref="G7:G34" si="8">+G6+D7</f>
        <v>0</v>
      </c>
      <c r="I7" s="12">
        <v>3333</v>
      </c>
      <c r="J7" s="205">
        <f>+Supplies!J7</f>
        <v>3333</v>
      </c>
      <c r="K7" s="205">
        <f t="shared" si="1"/>
        <v>0</v>
      </c>
      <c r="L7" s="205">
        <f t="shared" ref="L7:L34" si="9">+L6+I7</f>
        <v>6666</v>
      </c>
      <c r="M7" s="205">
        <f t="shared" ref="M7:M34" si="10">+M6+J7</f>
        <v>6666</v>
      </c>
      <c r="N7" s="205">
        <f t="shared" ref="N7:N34" si="11">+N6+K7</f>
        <v>0</v>
      </c>
      <c r="P7" s="12">
        <v>1333</v>
      </c>
      <c r="Q7" s="205">
        <f>+Supplies!K7</f>
        <v>1333</v>
      </c>
      <c r="R7" s="205">
        <f t="shared" si="2"/>
        <v>0</v>
      </c>
      <c r="S7" s="205">
        <f>+S6+P7</f>
        <v>2666</v>
      </c>
      <c r="T7" s="205">
        <f>+T6+Q7</f>
        <v>2666</v>
      </c>
      <c r="V7" s="205">
        <f t="shared" ref="V7:V35" si="12">4666+16000</f>
        <v>20666</v>
      </c>
      <c r="W7" s="205">
        <f>+BaseloadMarkets!J7+BaseloadMarkets!M7</f>
        <v>20665</v>
      </c>
      <c r="X7" s="205">
        <f t="shared" si="3"/>
        <v>-1</v>
      </c>
      <c r="Y7" s="205">
        <f>+Y6+V7</f>
        <v>41332</v>
      </c>
      <c r="Z7" s="205">
        <f>+Z6+W7</f>
        <v>42431</v>
      </c>
      <c r="AB7" s="205">
        <v>0</v>
      </c>
      <c r="AC7" s="205">
        <f>+Supplies!AN7</f>
        <v>0</v>
      </c>
      <c r="AD7" s="205">
        <f t="shared" si="4"/>
        <v>0</v>
      </c>
      <c r="AE7" s="205">
        <f>+AE6+AB7</f>
        <v>0</v>
      </c>
      <c r="AF7" s="205">
        <f>+AF6+AC7</f>
        <v>0</v>
      </c>
      <c r="AH7" s="205"/>
      <c r="AI7" s="205"/>
      <c r="AJ7" s="205">
        <f t="shared" si="5"/>
        <v>0</v>
      </c>
      <c r="AK7" s="205">
        <f>+AK6+AH7</f>
        <v>0</v>
      </c>
      <c r="AL7" s="205">
        <f>+AL6+AI7</f>
        <v>0</v>
      </c>
    </row>
    <row r="8" spans="1:38" x14ac:dyDescent="0.25">
      <c r="A8" s="204">
        <f>BaseloadMarkets!A8</f>
        <v>36680</v>
      </c>
      <c r="B8" s="12">
        <v>10000</v>
      </c>
      <c r="C8" s="205">
        <f>+Supplies!I8</f>
        <v>10000</v>
      </c>
      <c r="D8" s="205">
        <f t="shared" si="0"/>
        <v>0</v>
      </c>
      <c r="E8" s="205">
        <f t="shared" si="6"/>
        <v>30000</v>
      </c>
      <c r="F8" s="205">
        <f t="shared" si="7"/>
        <v>30000</v>
      </c>
      <c r="G8" s="205">
        <f t="shared" si="8"/>
        <v>0</v>
      </c>
      <c r="I8" s="12">
        <v>3333</v>
      </c>
      <c r="J8" s="205">
        <f>+Supplies!J8</f>
        <v>3333</v>
      </c>
      <c r="K8" s="205">
        <f t="shared" si="1"/>
        <v>0</v>
      </c>
      <c r="L8" s="205">
        <f t="shared" si="9"/>
        <v>9999</v>
      </c>
      <c r="M8" s="205">
        <f t="shared" si="10"/>
        <v>9999</v>
      </c>
      <c r="N8" s="205">
        <f t="shared" si="11"/>
        <v>0</v>
      </c>
      <c r="P8" s="12">
        <v>1333</v>
      </c>
      <c r="Q8" s="205">
        <f>+Supplies!K8</f>
        <v>1333</v>
      </c>
      <c r="R8" s="205">
        <f t="shared" si="2"/>
        <v>0</v>
      </c>
      <c r="S8" s="205">
        <f t="shared" ref="S8:S34" si="13">+S7+P8</f>
        <v>3999</v>
      </c>
      <c r="T8" s="205">
        <f t="shared" ref="T8:T34" si="14">+T7+Q8</f>
        <v>3999</v>
      </c>
      <c r="V8" s="205">
        <f t="shared" si="12"/>
        <v>20666</v>
      </c>
      <c r="W8" s="205">
        <f>+BaseloadMarkets!J8+BaseloadMarkets!M8</f>
        <v>20664</v>
      </c>
      <c r="X8" s="205">
        <f t="shared" si="3"/>
        <v>-2</v>
      </c>
      <c r="Y8" s="205">
        <f t="shared" ref="Y8:Y34" si="15">+Y7+V8</f>
        <v>61998</v>
      </c>
      <c r="Z8" s="205">
        <f t="shared" ref="Z8:Z34" si="16">+Z7+W8</f>
        <v>63095</v>
      </c>
      <c r="AB8" s="205">
        <v>0</v>
      </c>
      <c r="AC8" s="205">
        <f>+Supplies!AN8</f>
        <v>0</v>
      </c>
      <c r="AD8" s="205">
        <f t="shared" si="4"/>
        <v>0</v>
      </c>
      <c r="AE8" s="205">
        <f t="shared" ref="AE8:AE34" si="17">+AE7+AB8</f>
        <v>0</v>
      </c>
      <c r="AF8" s="205">
        <f t="shared" ref="AF8:AF34" si="18">+AF7+AC8</f>
        <v>0</v>
      </c>
      <c r="AH8" s="205"/>
      <c r="AI8" s="205"/>
      <c r="AJ8" s="205">
        <f t="shared" si="5"/>
        <v>0</v>
      </c>
      <c r="AK8" s="205">
        <f t="shared" ref="AK8:AK34" si="19">+AK7+AH8</f>
        <v>0</v>
      </c>
      <c r="AL8" s="205">
        <f t="shared" ref="AL8:AL34" si="20">+AL7+AI8</f>
        <v>0</v>
      </c>
    </row>
    <row r="9" spans="1:38" x14ac:dyDescent="0.25">
      <c r="A9" s="204">
        <f>BaseloadMarkets!A9</f>
        <v>36681</v>
      </c>
      <c r="B9" s="12">
        <v>10000</v>
      </c>
      <c r="C9" s="205">
        <f>+Supplies!I9</f>
        <v>10000</v>
      </c>
      <c r="D9" s="205">
        <f t="shared" si="0"/>
        <v>0</v>
      </c>
      <c r="E9" s="205">
        <f t="shared" si="6"/>
        <v>40000</v>
      </c>
      <c r="F9" s="205">
        <f t="shared" si="7"/>
        <v>40000</v>
      </c>
      <c r="G9" s="205">
        <f t="shared" si="8"/>
        <v>0</v>
      </c>
      <c r="I9" s="12">
        <v>3333</v>
      </c>
      <c r="J9" s="205">
        <f>+Supplies!J9</f>
        <v>3333</v>
      </c>
      <c r="K9" s="205">
        <f t="shared" si="1"/>
        <v>0</v>
      </c>
      <c r="L9" s="205">
        <f t="shared" si="9"/>
        <v>13332</v>
      </c>
      <c r="M9" s="205">
        <f t="shared" si="10"/>
        <v>13332</v>
      </c>
      <c r="N9" s="205">
        <f t="shared" si="11"/>
        <v>0</v>
      </c>
      <c r="P9" s="12">
        <v>1333</v>
      </c>
      <c r="Q9" s="205">
        <f>+Supplies!K9</f>
        <v>1333</v>
      </c>
      <c r="R9" s="205">
        <f t="shared" si="2"/>
        <v>0</v>
      </c>
      <c r="S9" s="205">
        <f t="shared" si="13"/>
        <v>5332</v>
      </c>
      <c r="T9" s="205">
        <f t="shared" si="14"/>
        <v>5332</v>
      </c>
      <c r="V9" s="205">
        <f t="shared" si="12"/>
        <v>20666</v>
      </c>
      <c r="W9" s="205">
        <f>+BaseloadMarkets!J9+BaseloadMarkets!M9</f>
        <v>20655</v>
      </c>
      <c r="X9" s="205">
        <f t="shared" si="3"/>
        <v>-11</v>
      </c>
      <c r="Y9" s="205">
        <f t="shared" si="15"/>
        <v>82664</v>
      </c>
      <c r="Z9" s="205">
        <f t="shared" si="16"/>
        <v>83750</v>
      </c>
      <c r="AB9" s="205">
        <v>0</v>
      </c>
      <c r="AC9" s="205">
        <f>+Supplies!AN9</f>
        <v>0</v>
      </c>
      <c r="AD9" s="205">
        <f t="shared" si="4"/>
        <v>0</v>
      </c>
      <c r="AE9" s="205">
        <f t="shared" si="17"/>
        <v>0</v>
      </c>
      <c r="AF9" s="205">
        <f t="shared" si="18"/>
        <v>0</v>
      </c>
      <c r="AH9" s="205"/>
      <c r="AI9" s="205"/>
      <c r="AJ9" s="205">
        <f t="shared" si="5"/>
        <v>0</v>
      </c>
      <c r="AK9" s="205">
        <f t="shared" si="19"/>
        <v>0</v>
      </c>
      <c r="AL9" s="205">
        <f t="shared" si="20"/>
        <v>0</v>
      </c>
    </row>
    <row r="10" spans="1:38" x14ac:dyDescent="0.25">
      <c r="A10" s="204">
        <f>BaseloadMarkets!A10</f>
        <v>36682</v>
      </c>
      <c r="B10" s="12">
        <v>10000</v>
      </c>
      <c r="C10" s="205">
        <f>+Supplies!I10</f>
        <v>10000</v>
      </c>
      <c r="D10" s="205">
        <f t="shared" si="0"/>
        <v>0</v>
      </c>
      <c r="E10" s="205">
        <f t="shared" si="6"/>
        <v>50000</v>
      </c>
      <c r="F10" s="205">
        <f t="shared" si="7"/>
        <v>50000</v>
      </c>
      <c r="G10" s="205">
        <f t="shared" si="8"/>
        <v>0</v>
      </c>
      <c r="I10" s="12">
        <v>3333</v>
      </c>
      <c r="J10" s="205">
        <f>+Supplies!J10</f>
        <v>3333</v>
      </c>
      <c r="K10" s="205">
        <f t="shared" si="1"/>
        <v>0</v>
      </c>
      <c r="L10" s="205">
        <f t="shared" si="9"/>
        <v>16665</v>
      </c>
      <c r="M10" s="205">
        <f t="shared" si="10"/>
        <v>16665</v>
      </c>
      <c r="N10" s="205">
        <f t="shared" si="11"/>
        <v>0</v>
      </c>
      <c r="P10" s="12">
        <v>1333</v>
      </c>
      <c r="Q10" s="205">
        <f>+Supplies!K10</f>
        <v>1333</v>
      </c>
      <c r="R10" s="205">
        <f t="shared" si="2"/>
        <v>0</v>
      </c>
      <c r="S10" s="205">
        <f t="shared" si="13"/>
        <v>6665</v>
      </c>
      <c r="T10" s="205">
        <f t="shared" si="14"/>
        <v>6665</v>
      </c>
      <c r="V10" s="205">
        <f t="shared" si="12"/>
        <v>20666</v>
      </c>
      <c r="W10" s="205">
        <f>+BaseloadMarkets!J10+BaseloadMarkets!M10</f>
        <v>20666</v>
      </c>
      <c r="X10" s="205">
        <f t="shared" si="3"/>
        <v>0</v>
      </c>
      <c r="Y10" s="205">
        <f t="shared" si="15"/>
        <v>103330</v>
      </c>
      <c r="Z10" s="205">
        <f t="shared" si="16"/>
        <v>104416</v>
      </c>
      <c r="AB10" s="205">
        <v>0</v>
      </c>
      <c r="AC10" s="205">
        <f>+Supplies!AN10</f>
        <v>0</v>
      </c>
      <c r="AD10" s="205">
        <f t="shared" si="4"/>
        <v>0</v>
      </c>
      <c r="AE10" s="205">
        <f t="shared" si="17"/>
        <v>0</v>
      </c>
      <c r="AF10" s="205">
        <f t="shared" si="18"/>
        <v>0</v>
      </c>
      <c r="AH10" s="205"/>
      <c r="AI10" s="205"/>
      <c r="AJ10" s="205">
        <f t="shared" si="5"/>
        <v>0</v>
      </c>
      <c r="AK10" s="205">
        <f t="shared" si="19"/>
        <v>0</v>
      </c>
      <c r="AL10" s="205">
        <f t="shared" si="20"/>
        <v>0</v>
      </c>
    </row>
    <row r="11" spans="1:38" x14ac:dyDescent="0.25">
      <c r="A11" s="204">
        <f>BaseloadMarkets!A11</f>
        <v>36683</v>
      </c>
      <c r="B11" s="12">
        <v>10000</v>
      </c>
      <c r="C11" s="205">
        <f>+Supplies!I11</f>
        <v>10000</v>
      </c>
      <c r="D11" s="205">
        <f t="shared" si="0"/>
        <v>0</v>
      </c>
      <c r="E11" s="205">
        <f t="shared" si="6"/>
        <v>60000</v>
      </c>
      <c r="F11" s="205">
        <f t="shared" si="7"/>
        <v>60000</v>
      </c>
      <c r="G11" s="205">
        <f t="shared" si="8"/>
        <v>0</v>
      </c>
      <c r="I11" s="12">
        <v>3333</v>
      </c>
      <c r="J11" s="205">
        <f>+Supplies!J11</f>
        <v>3333</v>
      </c>
      <c r="K11" s="205">
        <f t="shared" si="1"/>
        <v>0</v>
      </c>
      <c r="L11" s="205">
        <f t="shared" si="9"/>
        <v>19998</v>
      </c>
      <c r="M11" s="205">
        <f t="shared" si="10"/>
        <v>19998</v>
      </c>
      <c r="N11" s="205">
        <f t="shared" si="11"/>
        <v>0</v>
      </c>
      <c r="P11" s="12">
        <v>1333</v>
      </c>
      <c r="Q11" s="205">
        <f>+Supplies!K11</f>
        <v>1333</v>
      </c>
      <c r="R11" s="205">
        <f t="shared" si="2"/>
        <v>0</v>
      </c>
      <c r="S11" s="205">
        <f t="shared" si="13"/>
        <v>7998</v>
      </c>
      <c r="T11" s="205">
        <f t="shared" si="14"/>
        <v>7998</v>
      </c>
      <c r="V11" s="205">
        <f t="shared" si="12"/>
        <v>20666</v>
      </c>
      <c r="W11" s="205">
        <f>+BaseloadMarkets!J11+BaseloadMarkets!M11</f>
        <v>20418</v>
      </c>
      <c r="X11" s="205">
        <f t="shared" si="3"/>
        <v>-248</v>
      </c>
      <c r="Y11" s="205">
        <f t="shared" si="15"/>
        <v>123996</v>
      </c>
      <c r="Z11" s="205">
        <f t="shared" si="16"/>
        <v>124834</v>
      </c>
      <c r="AB11" s="205">
        <v>0</v>
      </c>
      <c r="AC11" s="205">
        <f>+Supplies!AN11</f>
        <v>0</v>
      </c>
      <c r="AD11" s="205">
        <f t="shared" si="4"/>
        <v>0</v>
      </c>
      <c r="AE11" s="205">
        <f t="shared" si="17"/>
        <v>0</v>
      </c>
      <c r="AF11" s="205">
        <f t="shared" si="18"/>
        <v>0</v>
      </c>
      <c r="AH11" s="205"/>
      <c r="AI11" s="205"/>
      <c r="AJ11" s="205">
        <f t="shared" si="5"/>
        <v>0</v>
      </c>
      <c r="AK11" s="205">
        <f t="shared" si="19"/>
        <v>0</v>
      </c>
      <c r="AL11" s="205">
        <f t="shared" si="20"/>
        <v>0</v>
      </c>
    </row>
    <row r="12" spans="1:38" x14ac:dyDescent="0.25">
      <c r="A12" s="204">
        <f>BaseloadMarkets!A12</f>
        <v>36684</v>
      </c>
      <c r="B12" s="12">
        <v>10000</v>
      </c>
      <c r="C12" s="205">
        <f>+Supplies!I12</f>
        <v>10000</v>
      </c>
      <c r="D12" s="205">
        <f t="shared" si="0"/>
        <v>0</v>
      </c>
      <c r="E12" s="205">
        <f t="shared" si="6"/>
        <v>70000</v>
      </c>
      <c r="F12" s="205">
        <f t="shared" si="7"/>
        <v>70000</v>
      </c>
      <c r="G12" s="205">
        <f t="shared" si="8"/>
        <v>0</v>
      </c>
      <c r="I12" s="12">
        <v>3333</v>
      </c>
      <c r="J12" s="205">
        <f>+Supplies!J12</f>
        <v>3333</v>
      </c>
      <c r="K12" s="205">
        <f t="shared" si="1"/>
        <v>0</v>
      </c>
      <c r="L12" s="205">
        <f t="shared" si="9"/>
        <v>23331</v>
      </c>
      <c r="M12" s="205">
        <f t="shared" si="10"/>
        <v>23331</v>
      </c>
      <c r="N12" s="205">
        <f t="shared" si="11"/>
        <v>0</v>
      </c>
      <c r="P12" s="12">
        <v>1333</v>
      </c>
      <c r="Q12" s="205">
        <f>+Supplies!K12</f>
        <v>1333</v>
      </c>
      <c r="R12" s="205">
        <f t="shared" si="2"/>
        <v>0</v>
      </c>
      <c r="S12" s="205">
        <f t="shared" si="13"/>
        <v>9331</v>
      </c>
      <c r="T12" s="205">
        <f t="shared" si="14"/>
        <v>9331</v>
      </c>
      <c r="V12" s="205">
        <f t="shared" si="12"/>
        <v>20666</v>
      </c>
      <c r="W12" s="205">
        <f>+BaseloadMarkets!J12+BaseloadMarkets!M12</f>
        <v>16879</v>
      </c>
      <c r="X12" s="205">
        <f t="shared" si="3"/>
        <v>-3787</v>
      </c>
      <c r="Y12" s="205">
        <f t="shared" si="15"/>
        <v>144662</v>
      </c>
      <c r="Z12" s="205">
        <f t="shared" si="16"/>
        <v>141713</v>
      </c>
      <c r="AB12" s="205">
        <v>0</v>
      </c>
      <c r="AC12" s="205">
        <f>+Supplies!AN12</f>
        <v>0</v>
      </c>
      <c r="AD12" s="205">
        <f t="shared" si="4"/>
        <v>0</v>
      </c>
      <c r="AE12" s="205">
        <f t="shared" si="17"/>
        <v>0</v>
      </c>
      <c r="AF12" s="205">
        <f t="shared" si="18"/>
        <v>0</v>
      </c>
      <c r="AH12" s="205"/>
      <c r="AI12" s="205"/>
      <c r="AJ12" s="205">
        <f t="shared" si="5"/>
        <v>0</v>
      </c>
      <c r="AK12" s="205">
        <f t="shared" si="19"/>
        <v>0</v>
      </c>
      <c r="AL12" s="205">
        <f t="shared" si="20"/>
        <v>0</v>
      </c>
    </row>
    <row r="13" spans="1:38" x14ac:dyDescent="0.25">
      <c r="A13" s="204">
        <f>BaseloadMarkets!A13</f>
        <v>36685</v>
      </c>
      <c r="B13" s="12">
        <v>10000</v>
      </c>
      <c r="C13" s="205">
        <f>+Supplies!I13</f>
        <v>10000</v>
      </c>
      <c r="D13" s="205">
        <f t="shared" si="0"/>
        <v>0</v>
      </c>
      <c r="E13" s="205">
        <f t="shared" si="6"/>
        <v>80000</v>
      </c>
      <c r="F13" s="205">
        <f t="shared" si="7"/>
        <v>80000</v>
      </c>
      <c r="G13" s="205">
        <f t="shared" si="8"/>
        <v>0</v>
      </c>
      <c r="I13" s="12">
        <v>3333</v>
      </c>
      <c r="J13" s="205">
        <f>+Supplies!J13</f>
        <v>3333</v>
      </c>
      <c r="K13" s="205">
        <f t="shared" si="1"/>
        <v>0</v>
      </c>
      <c r="L13" s="205">
        <f t="shared" si="9"/>
        <v>26664</v>
      </c>
      <c r="M13" s="205">
        <f t="shared" si="10"/>
        <v>26664</v>
      </c>
      <c r="N13" s="205">
        <f t="shared" si="11"/>
        <v>0</v>
      </c>
      <c r="P13" s="12">
        <v>1333</v>
      </c>
      <c r="Q13" s="205">
        <f>+Supplies!K13</f>
        <v>1333</v>
      </c>
      <c r="R13" s="205">
        <f t="shared" si="2"/>
        <v>0</v>
      </c>
      <c r="S13" s="205">
        <f t="shared" si="13"/>
        <v>10664</v>
      </c>
      <c r="T13" s="205">
        <f t="shared" si="14"/>
        <v>10664</v>
      </c>
      <c r="V13" s="205">
        <f t="shared" si="12"/>
        <v>20666</v>
      </c>
      <c r="W13" s="205">
        <f>+BaseloadMarkets!J13+BaseloadMarkets!M13</f>
        <v>20305</v>
      </c>
      <c r="X13" s="205">
        <f t="shared" si="3"/>
        <v>-361</v>
      </c>
      <c r="Y13" s="205">
        <f t="shared" si="15"/>
        <v>165328</v>
      </c>
      <c r="Z13" s="205">
        <f t="shared" si="16"/>
        <v>162018</v>
      </c>
      <c r="AB13" s="205">
        <v>0</v>
      </c>
      <c r="AC13" s="205">
        <f>+Supplies!AN13</f>
        <v>0</v>
      </c>
      <c r="AD13" s="205">
        <f t="shared" si="4"/>
        <v>0</v>
      </c>
      <c r="AE13" s="205">
        <f t="shared" si="17"/>
        <v>0</v>
      </c>
      <c r="AF13" s="205">
        <f t="shared" si="18"/>
        <v>0</v>
      </c>
      <c r="AH13" s="205"/>
      <c r="AI13" s="205"/>
      <c r="AJ13" s="205">
        <f t="shared" si="5"/>
        <v>0</v>
      </c>
      <c r="AK13" s="205">
        <f t="shared" si="19"/>
        <v>0</v>
      </c>
      <c r="AL13" s="205">
        <f t="shared" si="20"/>
        <v>0</v>
      </c>
    </row>
    <row r="14" spans="1:38" x14ac:dyDescent="0.25">
      <c r="A14" s="204">
        <f>BaseloadMarkets!A14</f>
        <v>36686</v>
      </c>
      <c r="B14" s="12">
        <v>10000</v>
      </c>
      <c r="C14" s="205">
        <f>+Supplies!I14</f>
        <v>10000</v>
      </c>
      <c r="D14" s="205">
        <f t="shared" si="0"/>
        <v>0</v>
      </c>
      <c r="E14" s="205">
        <f t="shared" si="6"/>
        <v>90000</v>
      </c>
      <c r="F14" s="205">
        <f t="shared" si="7"/>
        <v>90000</v>
      </c>
      <c r="G14" s="205">
        <f t="shared" si="8"/>
        <v>0</v>
      </c>
      <c r="I14" s="12">
        <v>3333</v>
      </c>
      <c r="J14" s="205">
        <f>+Supplies!J14</f>
        <v>3333</v>
      </c>
      <c r="K14" s="205">
        <f t="shared" si="1"/>
        <v>0</v>
      </c>
      <c r="L14" s="205">
        <f t="shared" si="9"/>
        <v>29997</v>
      </c>
      <c r="M14" s="205">
        <f t="shared" si="10"/>
        <v>29997</v>
      </c>
      <c r="N14" s="205">
        <f t="shared" si="11"/>
        <v>0</v>
      </c>
      <c r="P14" s="12">
        <v>1333</v>
      </c>
      <c r="Q14" s="205">
        <f>+Supplies!K14</f>
        <v>1333</v>
      </c>
      <c r="R14" s="205">
        <f t="shared" si="2"/>
        <v>0</v>
      </c>
      <c r="S14" s="205">
        <f t="shared" si="13"/>
        <v>11997</v>
      </c>
      <c r="T14" s="205">
        <f t="shared" si="14"/>
        <v>11997</v>
      </c>
      <c r="V14" s="205">
        <f t="shared" si="12"/>
        <v>20666</v>
      </c>
      <c r="W14" s="205">
        <f>+BaseloadMarkets!J14+BaseloadMarkets!M14</f>
        <v>20661</v>
      </c>
      <c r="X14" s="205">
        <f t="shared" si="3"/>
        <v>-5</v>
      </c>
      <c r="Y14" s="205">
        <f t="shared" si="15"/>
        <v>185994</v>
      </c>
      <c r="Z14" s="205">
        <f t="shared" si="16"/>
        <v>182679</v>
      </c>
      <c r="AB14" s="205">
        <v>0</v>
      </c>
      <c r="AC14" s="205">
        <f>+Supplies!AN14</f>
        <v>0</v>
      </c>
      <c r="AD14" s="205">
        <f t="shared" si="4"/>
        <v>0</v>
      </c>
      <c r="AE14" s="205">
        <f t="shared" si="17"/>
        <v>0</v>
      </c>
      <c r="AF14" s="205">
        <f t="shared" si="18"/>
        <v>0</v>
      </c>
      <c r="AH14" s="205"/>
      <c r="AI14" s="205"/>
      <c r="AJ14" s="205">
        <f t="shared" si="5"/>
        <v>0</v>
      </c>
      <c r="AK14" s="205">
        <f t="shared" si="19"/>
        <v>0</v>
      </c>
      <c r="AL14" s="205">
        <f t="shared" si="20"/>
        <v>0</v>
      </c>
    </row>
    <row r="15" spans="1:38" x14ac:dyDescent="0.25">
      <c r="A15" s="204">
        <f>BaseloadMarkets!A15</f>
        <v>36687</v>
      </c>
      <c r="B15" s="12">
        <v>10000</v>
      </c>
      <c r="C15" s="205">
        <f>+Supplies!I15</f>
        <v>10000</v>
      </c>
      <c r="D15" s="205">
        <f t="shared" si="0"/>
        <v>0</v>
      </c>
      <c r="E15" s="205">
        <f t="shared" si="6"/>
        <v>100000</v>
      </c>
      <c r="F15" s="205">
        <f t="shared" si="7"/>
        <v>100000</v>
      </c>
      <c r="G15" s="205">
        <f t="shared" si="8"/>
        <v>0</v>
      </c>
      <c r="I15" s="12">
        <v>3333</v>
      </c>
      <c r="J15" s="205">
        <f>+Supplies!J15</f>
        <v>3333</v>
      </c>
      <c r="K15" s="205">
        <f t="shared" si="1"/>
        <v>0</v>
      </c>
      <c r="L15" s="205">
        <f t="shared" si="9"/>
        <v>33330</v>
      </c>
      <c r="M15" s="205">
        <f t="shared" si="10"/>
        <v>33330</v>
      </c>
      <c r="N15" s="205">
        <f t="shared" si="11"/>
        <v>0</v>
      </c>
      <c r="P15" s="12">
        <v>1333</v>
      </c>
      <c r="Q15" s="205">
        <f>+Supplies!K15</f>
        <v>1333</v>
      </c>
      <c r="R15" s="205">
        <f t="shared" si="2"/>
        <v>0</v>
      </c>
      <c r="S15" s="205">
        <f t="shared" si="13"/>
        <v>13330</v>
      </c>
      <c r="T15" s="205">
        <f t="shared" si="14"/>
        <v>13330</v>
      </c>
      <c r="V15" s="205">
        <f t="shared" si="12"/>
        <v>20666</v>
      </c>
      <c r="W15" s="205">
        <f>+BaseloadMarkets!J15+BaseloadMarkets!M15</f>
        <v>20665</v>
      </c>
      <c r="X15" s="205">
        <f t="shared" si="3"/>
        <v>-1</v>
      </c>
      <c r="Y15" s="205">
        <f t="shared" si="15"/>
        <v>206660</v>
      </c>
      <c r="Z15" s="205">
        <f t="shared" si="16"/>
        <v>203344</v>
      </c>
      <c r="AB15" s="205">
        <v>0</v>
      </c>
      <c r="AC15" s="205">
        <f>+Supplies!AN15</f>
        <v>0</v>
      </c>
      <c r="AD15" s="205">
        <f t="shared" si="4"/>
        <v>0</v>
      </c>
      <c r="AE15" s="205">
        <f t="shared" si="17"/>
        <v>0</v>
      </c>
      <c r="AF15" s="205">
        <f t="shared" si="18"/>
        <v>0</v>
      </c>
      <c r="AH15" s="205"/>
      <c r="AI15" s="205"/>
      <c r="AJ15" s="205">
        <f t="shared" si="5"/>
        <v>0</v>
      </c>
      <c r="AK15" s="205">
        <f t="shared" si="19"/>
        <v>0</v>
      </c>
      <c r="AL15" s="205">
        <f t="shared" si="20"/>
        <v>0</v>
      </c>
    </row>
    <row r="16" spans="1:38" x14ac:dyDescent="0.25">
      <c r="A16" s="204">
        <f>BaseloadMarkets!A16</f>
        <v>36688</v>
      </c>
      <c r="B16" s="12">
        <v>10000</v>
      </c>
      <c r="C16" s="205">
        <f>+Supplies!I16</f>
        <v>10000</v>
      </c>
      <c r="D16" s="205">
        <f t="shared" si="0"/>
        <v>0</v>
      </c>
      <c r="E16" s="205">
        <f t="shared" si="6"/>
        <v>110000</v>
      </c>
      <c r="F16" s="205">
        <f t="shared" si="7"/>
        <v>110000</v>
      </c>
      <c r="G16" s="205">
        <f t="shared" si="8"/>
        <v>0</v>
      </c>
      <c r="I16" s="12">
        <v>3333</v>
      </c>
      <c r="J16" s="205">
        <f>+Supplies!J16</f>
        <v>3333</v>
      </c>
      <c r="K16" s="205">
        <f t="shared" si="1"/>
        <v>0</v>
      </c>
      <c r="L16" s="205">
        <f t="shared" si="9"/>
        <v>36663</v>
      </c>
      <c r="M16" s="205">
        <f t="shared" si="10"/>
        <v>36663</v>
      </c>
      <c r="N16" s="205">
        <f t="shared" si="11"/>
        <v>0</v>
      </c>
      <c r="P16" s="12">
        <v>1333</v>
      </c>
      <c r="Q16" s="205">
        <f>+Supplies!K16</f>
        <v>1333</v>
      </c>
      <c r="R16" s="205">
        <f t="shared" si="2"/>
        <v>0</v>
      </c>
      <c r="S16" s="205">
        <f t="shared" si="13"/>
        <v>14663</v>
      </c>
      <c r="T16" s="205">
        <f t="shared" si="14"/>
        <v>14663</v>
      </c>
      <c r="V16" s="205">
        <f t="shared" si="12"/>
        <v>20666</v>
      </c>
      <c r="W16" s="205">
        <f>+BaseloadMarkets!J16+BaseloadMarkets!M16</f>
        <v>20244</v>
      </c>
      <c r="X16" s="205">
        <f t="shared" si="3"/>
        <v>-422</v>
      </c>
      <c r="Y16" s="205">
        <f t="shared" si="15"/>
        <v>227326</v>
      </c>
      <c r="Z16" s="205">
        <f t="shared" si="16"/>
        <v>223588</v>
      </c>
      <c r="AB16" s="205">
        <v>0</v>
      </c>
      <c r="AC16" s="205">
        <f>+Supplies!AN16</f>
        <v>0</v>
      </c>
      <c r="AD16" s="205">
        <f t="shared" si="4"/>
        <v>0</v>
      </c>
      <c r="AE16" s="205">
        <f t="shared" si="17"/>
        <v>0</v>
      </c>
      <c r="AF16" s="205">
        <f t="shared" si="18"/>
        <v>0</v>
      </c>
      <c r="AH16" s="205"/>
      <c r="AI16" s="205"/>
      <c r="AJ16" s="205">
        <f t="shared" si="5"/>
        <v>0</v>
      </c>
      <c r="AK16" s="205">
        <f t="shared" si="19"/>
        <v>0</v>
      </c>
      <c r="AL16" s="205">
        <f t="shared" si="20"/>
        <v>0</v>
      </c>
    </row>
    <row r="17" spans="1:38" x14ac:dyDescent="0.25">
      <c r="A17" s="204">
        <f>BaseloadMarkets!A17</f>
        <v>36689</v>
      </c>
      <c r="B17" s="12">
        <v>10000</v>
      </c>
      <c r="C17" s="205">
        <f>+Supplies!I17</f>
        <v>10000</v>
      </c>
      <c r="D17" s="205">
        <f t="shared" si="0"/>
        <v>0</v>
      </c>
      <c r="E17" s="205">
        <f t="shared" si="6"/>
        <v>120000</v>
      </c>
      <c r="F17" s="205">
        <f t="shared" si="7"/>
        <v>120000</v>
      </c>
      <c r="G17" s="205">
        <f t="shared" si="8"/>
        <v>0</v>
      </c>
      <c r="I17" s="12">
        <v>3333</v>
      </c>
      <c r="J17" s="205">
        <f>+Supplies!J17</f>
        <v>3333</v>
      </c>
      <c r="K17" s="205">
        <f t="shared" si="1"/>
        <v>0</v>
      </c>
      <c r="L17" s="205">
        <f t="shared" si="9"/>
        <v>39996</v>
      </c>
      <c r="M17" s="205">
        <f t="shared" si="10"/>
        <v>39996</v>
      </c>
      <c r="N17" s="205">
        <f t="shared" si="11"/>
        <v>0</v>
      </c>
      <c r="P17" s="12">
        <v>1333</v>
      </c>
      <c r="Q17" s="205">
        <f>+Supplies!K17</f>
        <v>1333</v>
      </c>
      <c r="R17" s="205">
        <f t="shared" si="2"/>
        <v>0</v>
      </c>
      <c r="S17" s="205">
        <f t="shared" si="13"/>
        <v>15996</v>
      </c>
      <c r="T17" s="205">
        <f t="shared" si="14"/>
        <v>15996</v>
      </c>
      <c r="V17" s="205">
        <f t="shared" si="12"/>
        <v>20666</v>
      </c>
      <c r="W17" s="205">
        <f>+BaseloadMarkets!J17+BaseloadMarkets!M17</f>
        <v>20312</v>
      </c>
      <c r="X17" s="205">
        <f t="shared" si="3"/>
        <v>-354</v>
      </c>
      <c r="Y17" s="205">
        <f t="shared" si="15"/>
        <v>247992</v>
      </c>
      <c r="Z17" s="205">
        <f t="shared" si="16"/>
        <v>243900</v>
      </c>
      <c r="AB17" s="205">
        <v>10333</v>
      </c>
      <c r="AC17" s="205">
        <f>+Supplies!AN17</f>
        <v>10333</v>
      </c>
      <c r="AD17" s="205">
        <f t="shared" si="4"/>
        <v>0</v>
      </c>
      <c r="AE17" s="205">
        <f t="shared" si="17"/>
        <v>10333</v>
      </c>
      <c r="AF17" s="205">
        <f t="shared" si="18"/>
        <v>10333</v>
      </c>
      <c r="AH17" s="205"/>
      <c r="AI17" s="205"/>
      <c r="AJ17" s="205">
        <f t="shared" si="5"/>
        <v>0</v>
      </c>
      <c r="AK17" s="205">
        <f t="shared" si="19"/>
        <v>0</v>
      </c>
      <c r="AL17" s="205">
        <f t="shared" si="20"/>
        <v>0</v>
      </c>
    </row>
    <row r="18" spans="1:38" x14ac:dyDescent="0.25">
      <c r="A18" s="204">
        <f>BaseloadMarkets!A18</f>
        <v>36690</v>
      </c>
      <c r="B18" s="12">
        <v>10000</v>
      </c>
      <c r="C18" s="205">
        <f>+Supplies!I18</f>
        <v>10000</v>
      </c>
      <c r="D18" s="205">
        <f t="shared" si="0"/>
        <v>0</v>
      </c>
      <c r="E18" s="205">
        <f t="shared" si="6"/>
        <v>130000</v>
      </c>
      <c r="F18" s="205">
        <f t="shared" si="7"/>
        <v>130000</v>
      </c>
      <c r="G18" s="205">
        <f t="shared" si="8"/>
        <v>0</v>
      </c>
      <c r="I18" s="12">
        <v>3333</v>
      </c>
      <c r="J18" s="205">
        <f>+Supplies!J18</f>
        <v>3333</v>
      </c>
      <c r="K18" s="205">
        <f t="shared" si="1"/>
        <v>0</v>
      </c>
      <c r="L18" s="205">
        <f t="shared" si="9"/>
        <v>43329</v>
      </c>
      <c r="M18" s="205">
        <f t="shared" si="10"/>
        <v>43329</v>
      </c>
      <c r="N18" s="205">
        <f t="shared" si="11"/>
        <v>0</v>
      </c>
      <c r="P18" s="12">
        <v>1333</v>
      </c>
      <c r="Q18" s="205">
        <f>+Supplies!K18</f>
        <v>1333</v>
      </c>
      <c r="R18" s="205">
        <f t="shared" si="2"/>
        <v>0</v>
      </c>
      <c r="S18" s="205">
        <f t="shared" si="13"/>
        <v>17329</v>
      </c>
      <c r="T18" s="205">
        <f t="shared" si="14"/>
        <v>17329</v>
      </c>
      <c r="V18" s="205">
        <f t="shared" si="12"/>
        <v>20666</v>
      </c>
      <c r="W18" s="205">
        <f>+BaseloadMarkets!J18+BaseloadMarkets!M18</f>
        <v>16458</v>
      </c>
      <c r="X18" s="205">
        <f t="shared" si="3"/>
        <v>-4208</v>
      </c>
      <c r="Y18" s="205">
        <f t="shared" si="15"/>
        <v>268658</v>
      </c>
      <c r="Z18" s="205">
        <f t="shared" si="16"/>
        <v>260358</v>
      </c>
      <c r="AB18" s="205">
        <v>10333</v>
      </c>
      <c r="AC18" s="205">
        <f>+Supplies!AN18</f>
        <v>10333</v>
      </c>
      <c r="AD18" s="205">
        <f t="shared" si="4"/>
        <v>0</v>
      </c>
      <c r="AE18" s="205">
        <f t="shared" si="17"/>
        <v>20666</v>
      </c>
      <c r="AF18" s="205">
        <f t="shared" si="18"/>
        <v>20666</v>
      </c>
      <c r="AH18" s="205"/>
      <c r="AI18" s="205"/>
      <c r="AJ18" s="205">
        <f t="shared" si="5"/>
        <v>0</v>
      </c>
      <c r="AK18" s="205">
        <f t="shared" si="19"/>
        <v>0</v>
      </c>
      <c r="AL18" s="205">
        <f t="shared" si="20"/>
        <v>0</v>
      </c>
    </row>
    <row r="19" spans="1:38" x14ac:dyDescent="0.25">
      <c r="A19" s="204">
        <f>BaseloadMarkets!A19</f>
        <v>36691</v>
      </c>
      <c r="B19" s="12">
        <v>10000</v>
      </c>
      <c r="C19" s="205">
        <f>+Supplies!I19</f>
        <v>10000</v>
      </c>
      <c r="D19" s="205">
        <f t="shared" si="0"/>
        <v>0</v>
      </c>
      <c r="E19" s="205">
        <f t="shared" si="6"/>
        <v>140000</v>
      </c>
      <c r="F19" s="205">
        <f t="shared" si="7"/>
        <v>140000</v>
      </c>
      <c r="G19" s="205">
        <f t="shared" si="8"/>
        <v>0</v>
      </c>
      <c r="I19" s="12">
        <v>3333</v>
      </c>
      <c r="J19" s="205">
        <f>+Supplies!J19</f>
        <v>3333</v>
      </c>
      <c r="K19" s="205">
        <f t="shared" si="1"/>
        <v>0</v>
      </c>
      <c r="L19" s="205">
        <f t="shared" si="9"/>
        <v>46662</v>
      </c>
      <c r="M19" s="205">
        <f t="shared" si="10"/>
        <v>46662</v>
      </c>
      <c r="N19" s="205">
        <f t="shared" si="11"/>
        <v>0</v>
      </c>
      <c r="P19" s="12">
        <v>1333</v>
      </c>
      <c r="Q19" s="205">
        <f>+Supplies!K19</f>
        <v>1333</v>
      </c>
      <c r="R19" s="205">
        <f t="shared" si="2"/>
        <v>0</v>
      </c>
      <c r="S19" s="205">
        <f t="shared" si="13"/>
        <v>18662</v>
      </c>
      <c r="T19" s="205">
        <f t="shared" si="14"/>
        <v>18662</v>
      </c>
      <c r="V19" s="205">
        <f t="shared" si="12"/>
        <v>20666</v>
      </c>
      <c r="W19" s="205">
        <f>+BaseloadMarkets!J19+BaseloadMarkets!M19</f>
        <v>19948</v>
      </c>
      <c r="X19" s="205">
        <f t="shared" si="3"/>
        <v>-718</v>
      </c>
      <c r="Y19" s="205">
        <f t="shared" si="15"/>
        <v>289324</v>
      </c>
      <c r="Z19" s="205">
        <f t="shared" si="16"/>
        <v>280306</v>
      </c>
      <c r="AB19" s="205">
        <v>10333</v>
      </c>
      <c r="AC19" s="205">
        <f>+Supplies!AN19</f>
        <v>10333</v>
      </c>
      <c r="AD19" s="205">
        <f t="shared" si="4"/>
        <v>0</v>
      </c>
      <c r="AE19" s="205">
        <f t="shared" si="17"/>
        <v>30999</v>
      </c>
      <c r="AF19" s="205">
        <f t="shared" si="18"/>
        <v>30999</v>
      </c>
      <c r="AH19" s="205"/>
      <c r="AI19" s="205"/>
      <c r="AJ19" s="205">
        <f t="shared" si="5"/>
        <v>0</v>
      </c>
      <c r="AK19" s="205">
        <f t="shared" si="19"/>
        <v>0</v>
      </c>
      <c r="AL19" s="205">
        <f t="shared" si="20"/>
        <v>0</v>
      </c>
    </row>
    <row r="20" spans="1:38" x14ac:dyDescent="0.25">
      <c r="A20" s="204">
        <f>BaseloadMarkets!A20</f>
        <v>36692</v>
      </c>
      <c r="B20" s="12">
        <v>10000</v>
      </c>
      <c r="C20" s="205">
        <f>+Supplies!I20</f>
        <v>10000</v>
      </c>
      <c r="D20" s="205">
        <f t="shared" si="0"/>
        <v>0</v>
      </c>
      <c r="E20" s="205">
        <f t="shared" si="6"/>
        <v>150000</v>
      </c>
      <c r="F20" s="205">
        <f t="shared" si="7"/>
        <v>150000</v>
      </c>
      <c r="G20" s="205">
        <f t="shared" si="8"/>
        <v>0</v>
      </c>
      <c r="I20" s="12">
        <v>3333</v>
      </c>
      <c r="J20" s="205">
        <f>+Supplies!J20</f>
        <v>3333</v>
      </c>
      <c r="K20" s="205">
        <f t="shared" si="1"/>
        <v>0</v>
      </c>
      <c r="L20" s="205">
        <f t="shared" si="9"/>
        <v>49995</v>
      </c>
      <c r="M20" s="205">
        <f t="shared" si="10"/>
        <v>49995</v>
      </c>
      <c r="N20" s="205">
        <f t="shared" si="11"/>
        <v>0</v>
      </c>
      <c r="P20" s="12">
        <v>1333</v>
      </c>
      <c r="Q20" s="205">
        <f>+Supplies!K20</f>
        <v>1333</v>
      </c>
      <c r="R20" s="205">
        <f t="shared" si="2"/>
        <v>0</v>
      </c>
      <c r="S20" s="205">
        <f t="shared" si="13"/>
        <v>19995</v>
      </c>
      <c r="T20" s="205">
        <f t="shared" si="14"/>
        <v>19995</v>
      </c>
      <c r="V20" s="205">
        <f t="shared" si="12"/>
        <v>20666</v>
      </c>
      <c r="W20" s="205">
        <f>+BaseloadMarkets!J20+BaseloadMarkets!M20</f>
        <v>20160</v>
      </c>
      <c r="X20" s="205">
        <f t="shared" si="3"/>
        <v>-506</v>
      </c>
      <c r="Y20" s="205">
        <f t="shared" si="15"/>
        <v>309990</v>
      </c>
      <c r="Z20" s="205">
        <f t="shared" si="16"/>
        <v>300466</v>
      </c>
      <c r="AB20" s="205">
        <v>10333</v>
      </c>
      <c r="AC20" s="205">
        <f>+Supplies!AN20</f>
        <v>10333</v>
      </c>
      <c r="AD20" s="205">
        <f t="shared" si="4"/>
        <v>0</v>
      </c>
      <c r="AE20" s="205">
        <f t="shared" si="17"/>
        <v>41332</v>
      </c>
      <c r="AF20" s="205">
        <f t="shared" si="18"/>
        <v>41332</v>
      </c>
      <c r="AH20" s="205"/>
      <c r="AI20" s="205"/>
      <c r="AJ20" s="205">
        <f t="shared" si="5"/>
        <v>0</v>
      </c>
      <c r="AK20" s="205">
        <f t="shared" si="19"/>
        <v>0</v>
      </c>
      <c r="AL20" s="205">
        <f t="shared" si="20"/>
        <v>0</v>
      </c>
    </row>
    <row r="21" spans="1:38" x14ac:dyDescent="0.25">
      <c r="A21" s="204">
        <f>BaseloadMarkets!A21</f>
        <v>36693</v>
      </c>
      <c r="B21" s="12">
        <v>10000</v>
      </c>
      <c r="C21" s="205">
        <f>+Supplies!I21</f>
        <v>10000</v>
      </c>
      <c r="D21" s="205">
        <f t="shared" si="0"/>
        <v>0</v>
      </c>
      <c r="E21" s="205">
        <f t="shared" si="6"/>
        <v>160000</v>
      </c>
      <c r="F21" s="205">
        <f t="shared" si="7"/>
        <v>160000</v>
      </c>
      <c r="G21" s="205">
        <f t="shared" si="8"/>
        <v>0</v>
      </c>
      <c r="I21" s="12">
        <v>3333</v>
      </c>
      <c r="J21" s="205">
        <f>+Supplies!J21</f>
        <v>3333</v>
      </c>
      <c r="K21" s="205">
        <f t="shared" si="1"/>
        <v>0</v>
      </c>
      <c r="L21" s="205">
        <f t="shared" si="9"/>
        <v>53328</v>
      </c>
      <c r="M21" s="205">
        <f t="shared" si="10"/>
        <v>53328</v>
      </c>
      <c r="N21" s="205">
        <f t="shared" si="11"/>
        <v>0</v>
      </c>
      <c r="P21" s="12">
        <v>1333</v>
      </c>
      <c r="Q21" s="205">
        <f>+Supplies!K21</f>
        <v>1333</v>
      </c>
      <c r="R21" s="205">
        <f t="shared" si="2"/>
        <v>0</v>
      </c>
      <c r="S21" s="205">
        <f t="shared" si="13"/>
        <v>21328</v>
      </c>
      <c r="T21" s="205">
        <f t="shared" si="14"/>
        <v>21328</v>
      </c>
      <c r="V21" s="205">
        <f t="shared" si="12"/>
        <v>20666</v>
      </c>
      <c r="W21" s="205">
        <f>+BaseloadMarkets!J21+BaseloadMarkets!M21</f>
        <v>19512</v>
      </c>
      <c r="X21" s="205">
        <f t="shared" si="3"/>
        <v>-1154</v>
      </c>
      <c r="Y21" s="205">
        <f t="shared" si="15"/>
        <v>330656</v>
      </c>
      <c r="Z21" s="205">
        <f t="shared" si="16"/>
        <v>319978</v>
      </c>
      <c r="AB21" s="205">
        <v>10333</v>
      </c>
      <c r="AC21" s="205">
        <f>+Supplies!AN21</f>
        <v>10333</v>
      </c>
      <c r="AD21" s="205">
        <f t="shared" si="4"/>
        <v>0</v>
      </c>
      <c r="AE21" s="205">
        <f t="shared" si="17"/>
        <v>51665</v>
      </c>
      <c r="AF21" s="205">
        <f t="shared" si="18"/>
        <v>51665</v>
      </c>
      <c r="AH21" s="205"/>
      <c r="AI21" s="205"/>
      <c r="AJ21" s="205">
        <f t="shared" si="5"/>
        <v>0</v>
      </c>
      <c r="AK21" s="205">
        <f t="shared" si="19"/>
        <v>0</v>
      </c>
      <c r="AL21" s="205">
        <f t="shared" si="20"/>
        <v>0</v>
      </c>
    </row>
    <row r="22" spans="1:38" x14ac:dyDescent="0.25">
      <c r="A22" s="204">
        <f>BaseloadMarkets!A22</f>
        <v>36694</v>
      </c>
      <c r="B22" s="12">
        <v>10000</v>
      </c>
      <c r="C22" s="205">
        <f>+Supplies!I22</f>
        <v>10000</v>
      </c>
      <c r="D22" s="205">
        <f t="shared" si="0"/>
        <v>0</v>
      </c>
      <c r="E22" s="205">
        <f t="shared" si="6"/>
        <v>170000</v>
      </c>
      <c r="F22" s="205">
        <f t="shared" si="7"/>
        <v>170000</v>
      </c>
      <c r="G22" s="205">
        <f t="shared" si="8"/>
        <v>0</v>
      </c>
      <c r="I22" s="12">
        <v>3333</v>
      </c>
      <c r="J22" s="205">
        <f>+Supplies!J22</f>
        <v>3333</v>
      </c>
      <c r="K22" s="205">
        <f t="shared" si="1"/>
        <v>0</v>
      </c>
      <c r="L22" s="205">
        <f t="shared" si="9"/>
        <v>56661</v>
      </c>
      <c r="M22" s="205">
        <f t="shared" si="10"/>
        <v>56661</v>
      </c>
      <c r="N22" s="205">
        <f t="shared" si="11"/>
        <v>0</v>
      </c>
      <c r="P22" s="12">
        <v>1333</v>
      </c>
      <c r="Q22" s="205">
        <f>+Supplies!K22</f>
        <v>1333</v>
      </c>
      <c r="R22" s="205">
        <f t="shared" si="2"/>
        <v>0</v>
      </c>
      <c r="S22" s="205">
        <f t="shared" si="13"/>
        <v>22661</v>
      </c>
      <c r="T22" s="205">
        <f t="shared" si="14"/>
        <v>22661</v>
      </c>
      <c r="V22" s="205">
        <f t="shared" si="12"/>
        <v>20666</v>
      </c>
      <c r="W22" s="205">
        <f>+BaseloadMarkets!J22+BaseloadMarkets!M22</f>
        <v>20436</v>
      </c>
      <c r="X22" s="205">
        <f t="shared" si="3"/>
        <v>-230</v>
      </c>
      <c r="Y22" s="205">
        <f t="shared" si="15"/>
        <v>351322</v>
      </c>
      <c r="Z22" s="205">
        <f t="shared" si="16"/>
        <v>340414</v>
      </c>
      <c r="AB22" s="205">
        <v>0</v>
      </c>
      <c r="AC22" s="205">
        <f>+Supplies!AN22</f>
        <v>0</v>
      </c>
      <c r="AD22" s="205">
        <f t="shared" si="4"/>
        <v>0</v>
      </c>
      <c r="AE22" s="205">
        <f t="shared" si="17"/>
        <v>51665</v>
      </c>
      <c r="AF22" s="205">
        <f t="shared" si="18"/>
        <v>51665</v>
      </c>
      <c r="AH22" s="205"/>
      <c r="AI22" s="205"/>
      <c r="AJ22" s="205">
        <f t="shared" si="5"/>
        <v>0</v>
      </c>
      <c r="AK22" s="205">
        <f t="shared" si="19"/>
        <v>0</v>
      </c>
      <c r="AL22" s="205">
        <f t="shared" si="20"/>
        <v>0</v>
      </c>
    </row>
    <row r="23" spans="1:38" x14ac:dyDescent="0.25">
      <c r="A23" s="204">
        <f>BaseloadMarkets!A23</f>
        <v>36695</v>
      </c>
      <c r="B23" s="12">
        <v>10000</v>
      </c>
      <c r="C23" s="205">
        <f>+Supplies!I23</f>
        <v>10000</v>
      </c>
      <c r="D23" s="205">
        <f t="shared" si="0"/>
        <v>0</v>
      </c>
      <c r="E23" s="205">
        <f t="shared" si="6"/>
        <v>180000</v>
      </c>
      <c r="F23" s="205">
        <f t="shared" si="7"/>
        <v>180000</v>
      </c>
      <c r="G23" s="205">
        <f t="shared" si="8"/>
        <v>0</v>
      </c>
      <c r="I23" s="12">
        <v>3333</v>
      </c>
      <c r="J23" s="205">
        <f>+Supplies!J23</f>
        <v>3333</v>
      </c>
      <c r="K23" s="205">
        <f t="shared" si="1"/>
        <v>0</v>
      </c>
      <c r="L23" s="205">
        <f t="shared" si="9"/>
        <v>59994</v>
      </c>
      <c r="M23" s="205">
        <f t="shared" si="10"/>
        <v>59994</v>
      </c>
      <c r="N23" s="205">
        <f t="shared" si="11"/>
        <v>0</v>
      </c>
      <c r="P23" s="12">
        <v>1333</v>
      </c>
      <c r="Q23" s="205">
        <f>+Supplies!K23</f>
        <v>1333</v>
      </c>
      <c r="R23" s="205">
        <f t="shared" si="2"/>
        <v>0</v>
      </c>
      <c r="S23" s="205">
        <f t="shared" si="13"/>
        <v>23994</v>
      </c>
      <c r="T23" s="205">
        <f t="shared" si="14"/>
        <v>23994</v>
      </c>
      <c r="V23" s="205">
        <f t="shared" si="12"/>
        <v>20666</v>
      </c>
      <c r="W23" s="205">
        <f>+BaseloadMarkets!J23+BaseloadMarkets!M23</f>
        <v>19878</v>
      </c>
      <c r="X23" s="205">
        <f t="shared" si="3"/>
        <v>-788</v>
      </c>
      <c r="Y23" s="205">
        <f t="shared" si="15"/>
        <v>371988</v>
      </c>
      <c r="Z23" s="205">
        <f t="shared" si="16"/>
        <v>360292</v>
      </c>
      <c r="AB23" s="205">
        <v>0</v>
      </c>
      <c r="AC23" s="205">
        <f>+Supplies!AN23</f>
        <v>0</v>
      </c>
      <c r="AD23" s="205">
        <f t="shared" si="4"/>
        <v>0</v>
      </c>
      <c r="AE23" s="205">
        <f t="shared" si="17"/>
        <v>51665</v>
      </c>
      <c r="AF23" s="205">
        <f t="shared" si="18"/>
        <v>51665</v>
      </c>
      <c r="AH23" s="205"/>
      <c r="AI23" s="205"/>
      <c r="AJ23" s="205">
        <f t="shared" si="5"/>
        <v>0</v>
      </c>
      <c r="AK23" s="205">
        <f t="shared" si="19"/>
        <v>0</v>
      </c>
      <c r="AL23" s="205">
        <f t="shared" si="20"/>
        <v>0</v>
      </c>
    </row>
    <row r="24" spans="1:38" x14ac:dyDescent="0.25">
      <c r="A24" s="204">
        <f>BaseloadMarkets!A24</f>
        <v>36696</v>
      </c>
      <c r="B24" s="12">
        <v>10000</v>
      </c>
      <c r="C24" s="205">
        <f>+Supplies!I24</f>
        <v>10000</v>
      </c>
      <c r="D24" s="205">
        <f t="shared" si="0"/>
        <v>0</v>
      </c>
      <c r="E24" s="205">
        <f t="shared" si="6"/>
        <v>190000</v>
      </c>
      <c r="F24" s="205">
        <f t="shared" si="7"/>
        <v>190000</v>
      </c>
      <c r="G24" s="205">
        <f t="shared" si="8"/>
        <v>0</v>
      </c>
      <c r="I24" s="12">
        <v>3333</v>
      </c>
      <c r="J24" s="205">
        <f>+Supplies!J24</f>
        <v>3333</v>
      </c>
      <c r="K24" s="205">
        <f t="shared" si="1"/>
        <v>0</v>
      </c>
      <c r="L24" s="205">
        <f t="shared" si="9"/>
        <v>63327</v>
      </c>
      <c r="M24" s="205">
        <f t="shared" si="10"/>
        <v>63327</v>
      </c>
      <c r="N24" s="205">
        <f t="shared" si="11"/>
        <v>0</v>
      </c>
      <c r="P24" s="12">
        <v>1333</v>
      </c>
      <c r="Q24" s="205">
        <f>+Supplies!K24</f>
        <v>1333</v>
      </c>
      <c r="R24" s="205">
        <f t="shared" si="2"/>
        <v>0</v>
      </c>
      <c r="S24" s="205">
        <f t="shared" si="13"/>
        <v>25327</v>
      </c>
      <c r="T24" s="205">
        <f t="shared" si="14"/>
        <v>25327</v>
      </c>
      <c r="V24" s="205">
        <f t="shared" si="12"/>
        <v>20666</v>
      </c>
      <c r="W24" s="205">
        <f>+BaseloadMarkets!J24+BaseloadMarkets!M24</f>
        <v>19620</v>
      </c>
      <c r="X24" s="205">
        <f t="shared" si="3"/>
        <v>-1046</v>
      </c>
      <c r="Y24" s="205">
        <f t="shared" si="15"/>
        <v>392654</v>
      </c>
      <c r="Z24" s="205">
        <f t="shared" si="16"/>
        <v>379912</v>
      </c>
      <c r="AB24" s="205">
        <v>10333</v>
      </c>
      <c r="AC24" s="205">
        <f>+Supplies!AN24</f>
        <v>10333</v>
      </c>
      <c r="AD24" s="205">
        <f t="shared" si="4"/>
        <v>0</v>
      </c>
      <c r="AE24" s="205">
        <f t="shared" si="17"/>
        <v>61998</v>
      </c>
      <c r="AF24" s="205">
        <f t="shared" si="18"/>
        <v>61998</v>
      </c>
      <c r="AH24" s="205"/>
      <c r="AI24" s="205"/>
      <c r="AJ24" s="205">
        <f t="shared" si="5"/>
        <v>0</v>
      </c>
      <c r="AK24" s="205">
        <f t="shared" si="19"/>
        <v>0</v>
      </c>
      <c r="AL24" s="205">
        <f t="shared" si="20"/>
        <v>0</v>
      </c>
    </row>
    <row r="25" spans="1:38" x14ac:dyDescent="0.25">
      <c r="A25" s="204">
        <f>BaseloadMarkets!A25</f>
        <v>36697</v>
      </c>
      <c r="B25" s="12">
        <v>10000</v>
      </c>
      <c r="C25" s="205">
        <f>+Supplies!I25</f>
        <v>10000</v>
      </c>
      <c r="D25" s="205">
        <f t="shared" si="0"/>
        <v>0</v>
      </c>
      <c r="E25" s="205">
        <f t="shared" si="6"/>
        <v>200000</v>
      </c>
      <c r="F25" s="205">
        <f t="shared" si="7"/>
        <v>200000</v>
      </c>
      <c r="G25" s="205">
        <f t="shared" si="8"/>
        <v>0</v>
      </c>
      <c r="I25" s="12">
        <v>3333</v>
      </c>
      <c r="J25" s="205">
        <f>+Supplies!J25</f>
        <v>3333</v>
      </c>
      <c r="K25" s="205">
        <f t="shared" si="1"/>
        <v>0</v>
      </c>
      <c r="L25" s="205">
        <f t="shared" si="9"/>
        <v>66660</v>
      </c>
      <c r="M25" s="205">
        <f t="shared" si="10"/>
        <v>66660</v>
      </c>
      <c r="N25" s="205">
        <f t="shared" si="11"/>
        <v>0</v>
      </c>
      <c r="P25" s="12">
        <v>1333</v>
      </c>
      <c r="Q25" s="205">
        <f>+Supplies!K25</f>
        <v>1333</v>
      </c>
      <c r="R25" s="205">
        <f t="shared" si="2"/>
        <v>0</v>
      </c>
      <c r="S25" s="205">
        <f t="shared" si="13"/>
        <v>26660</v>
      </c>
      <c r="T25" s="205">
        <f t="shared" si="14"/>
        <v>26660</v>
      </c>
      <c r="V25" s="205">
        <f t="shared" si="12"/>
        <v>20666</v>
      </c>
      <c r="W25" s="205">
        <f>+BaseloadMarkets!J25+BaseloadMarkets!M25</f>
        <v>20664</v>
      </c>
      <c r="X25" s="205">
        <f t="shared" si="3"/>
        <v>-2</v>
      </c>
      <c r="Y25" s="205">
        <f t="shared" si="15"/>
        <v>413320</v>
      </c>
      <c r="Z25" s="205">
        <f t="shared" si="16"/>
        <v>400576</v>
      </c>
      <c r="AB25" s="205">
        <v>10333</v>
      </c>
      <c r="AC25" s="205">
        <f>+Supplies!AN25</f>
        <v>10333</v>
      </c>
      <c r="AD25" s="205">
        <f t="shared" si="4"/>
        <v>0</v>
      </c>
      <c r="AE25" s="205">
        <f t="shared" si="17"/>
        <v>72331</v>
      </c>
      <c r="AF25" s="205">
        <f t="shared" si="18"/>
        <v>72331</v>
      </c>
      <c r="AH25" s="205"/>
      <c r="AI25" s="205"/>
      <c r="AJ25" s="205">
        <f t="shared" si="5"/>
        <v>0</v>
      </c>
      <c r="AK25" s="205">
        <f t="shared" si="19"/>
        <v>0</v>
      </c>
      <c r="AL25" s="205">
        <f t="shared" si="20"/>
        <v>0</v>
      </c>
    </row>
    <row r="26" spans="1:38" x14ac:dyDescent="0.25">
      <c r="A26" s="204">
        <f>BaseloadMarkets!A26</f>
        <v>36698</v>
      </c>
      <c r="B26" s="12">
        <v>10000</v>
      </c>
      <c r="C26" s="205">
        <f>+Supplies!I26</f>
        <v>10000</v>
      </c>
      <c r="D26" s="205">
        <f t="shared" si="0"/>
        <v>0</v>
      </c>
      <c r="E26" s="205">
        <f t="shared" si="6"/>
        <v>210000</v>
      </c>
      <c r="F26" s="205">
        <f t="shared" si="7"/>
        <v>210000</v>
      </c>
      <c r="G26" s="205">
        <f t="shared" si="8"/>
        <v>0</v>
      </c>
      <c r="I26" s="12">
        <v>3333</v>
      </c>
      <c r="J26" s="205">
        <f>+Supplies!J26</f>
        <v>3333</v>
      </c>
      <c r="K26" s="205">
        <f t="shared" si="1"/>
        <v>0</v>
      </c>
      <c r="L26" s="205">
        <f t="shared" si="9"/>
        <v>69993</v>
      </c>
      <c r="M26" s="205">
        <f t="shared" si="10"/>
        <v>69993</v>
      </c>
      <c r="N26" s="205">
        <f t="shared" si="11"/>
        <v>0</v>
      </c>
      <c r="P26" s="12">
        <v>1333</v>
      </c>
      <c r="Q26" s="205">
        <f>+Supplies!K26</f>
        <v>1333</v>
      </c>
      <c r="R26" s="205">
        <f t="shared" si="2"/>
        <v>0</v>
      </c>
      <c r="S26" s="205">
        <f t="shared" si="13"/>
        <v>27993</v>
      </c>
      <c r="T26" s="205">
        <f t="shared" si="14"/>
        <v>27993</v>
      </c>
      <c r="V26" s="205">
        <f t="shared" si="12"/>
        <v>20666</v>
      </c>
      <c r="W26" s="205">
        <f>+BaseloadMarkets!J26+BaseloadMarkets!M26</f>
        <v>15542</v>
      </c>
      <c r="X26" s="205">
        <f t="shared" si="3"/>
        <v>-5124</v>
      </c>
      <c r="Y26" s="205">
        <f t="shared" si="15"/>
        <v>433986</v>
      </c>
      <c r="Z26" s="205">
        <f t="shared" si="16"/>
        <v>416118</v>
      </c>
      <c r="AB26" s="205">
        <v>10333</v>
      </c>
      <c r="AC26" s="205">
        <f>+Supplies!AN26</f>
        <v>10333</v>
      </c>
      <c r="AD26" s="205">
        <f t="shared" si="4"/>
        <v>0</v>
      </c>
      <c r="AE26" s="205">
        <f t="shared" si="17"/>
        <v>82664</v>
      </c>
      <c r="AF26" s="205">
        <f t="shared" si="18"/>
        <v>82664</v>
      </c>
      <c r="AH26" s="205"/>
      <c r="AI26" s="205"/>
      <c r="AJ26" s="205">
        <f t="shared" si="5"/>
        <v>0</v>
      </c>
      <c r="AK26" s="205">
        <f t="shared" si="19"/>
        <v>0</v>
      </c>
      <c r="AL26" s="205">
        <f t="shared" si="20"/>
        <v>0</v>
      </c>
    </row>
    <row r="27" spans="1:38" x14ac:dyDescent="0.25">
      <c r="A27" s="204">
        <f>BaseloadMarkets!A27</f>
        <v>36699</v>
      </c>
      <c r="B27" s="12">
        <v>10000</v>
      </c>
      <c r="C27" s="205">
        <f>+Supplies!I27</f>
        <v>10000</v>
      </c>
      <c r="D27" s="205">
        <f t="shared" si="0"/>
        <v>0</v>
      </c>
      <c r="E27" s="205">
        <f t="shared" si="6"/>
        <v>220000</v>
      </c>
      <c r="F27" s="205">
        <f t="shared" si="7"/>
        <v>220000</v>
      </c>
      <c r="G27" s="205">
        <f t="shared" si="8"/>
        <v>0</v>
      </c>
      <c r="I27" s="12">
        <v>3333</v>
      </c>
      <c r="J27" s="205">
        <f>+Supplies!J27</f>
        <v>3333</v>
      </c>
      <c r="K27" s="205">
        <f t="shared" si="1"/>
        <v>0</v>
      </c>
      <c r="L27" s="205">
        <f t="shared" si="9"/>
        <v>73326</v>
      </c>
      <c r="M27" s="205">
        <f t="shared" si="10"/>
        <v>73326</v>
      </c>
      <c r="N27" s="205">
        <f t="shared" si="11"/>
        <v>0</v>
      </c>
      <c r="P27" s="12">
        <v>1333</v>
      </c>
      <c r="Q27" s="205">
        <f>+Supplies!K27</f>
        <v>1333</v>
      </c>
      <c r="R27" s="205">
        <f t="shared" si="2"/>
        <v>0</v>
      </c>
      <c r="S27" s="205">
        <f t="shared" si="13"/>
        <v>29326</v>
      </c>
      <c r="T27" s="205">
        <f t="shared" si="14"/>
        <v>29326</v>
      </c>
      <c r="V27" s="205">
        <f t="shared" si="12"/>
        <v>20666</v>
      </c>
      <c r="W27" s="205">
        <f>+BaseloadMarkets!J27+BaseloadMarkets!M27</f>
        <v>20349</v>
      </c>
      <c r="X27" s="205">
        <f t="shared" si="3"/>
        <v>-317</v>
      </c>
      <c r="Y27" s="205">
        <f t="shared" si="15"/>
        <v>454652</v>
      </c>
      <c r="Z27" s="205">
        <f t="shared" si="16"/>
        <v>436467</v>
      </c>
      <c r="AB27" s="205">
        <v>10333</v>
      </c>
      <c r="AC27" s="205">
        <f>+Supplies!AN27</f>
        <v>10333</v>
      </c>
      <c r="AD27" s="205">
        <f t="shared" si="4"/>
        <v>0</v>
      </c>
      <c r="AE27" s="205">
        <f t="shared" si="17"/>
        <v>92997</v>
      </c>
      <c r="AF27" s="205">
        <f t="shared" si="18"/>
        <v>92997</v>
      </c>
      <c r="AH27" s="205"/>
      <c r="AI27" s="205"/>
      <c r="AJ27" s="205">
        <f t="shared" si="5"/>
        <v>0</v>
      </c>
      <c r="AK27" s="205">
        <f t="shared" si="19"/>
        <v>0</v>
      </c>
      <c r="AL27" s="205">
        <f t="shared" si="20"/>
        <v>0</v>
      </c>
    </row>
    <row r="28" spans="1:38" x14ac:dyDescent="0.25">
      <c r="A28" s="204">
        <f>BaseloadMarkets!A28</f>
        <v>36700</v>
      </c>
      <c r="B28" s="12">
        <v>10000</v>
      </c>
      <c r="C28" s="205">
        <f>+Supplies!I28</f>
        <v>10000</v>
      </c>
      <c r="D28" s="205">
        <f t="shared" si="0"/>
        <v>0</v>
      </c>
      <c r="E28" s="205">
        <f t="shared" si="6"/>
        <v>230000</v>
      </c>
      <c r="F28" s="205">
        <f t="shared" si="7"/>
        <v>230000</v>
      </c>
      <c r="G28" s="205">
        <f t="shared" si="8"/>
        <v>0</v>
      </c>
      <c r="I28" s="12">
        <v>3333</v>
      </c>
      <c r="J28" s="205">
        <f>+Supplies!J28</f>
        <v>3333</v>
      </c>
      <c r="K28" s="205">
        <f t="shared" si="1"/>
        <v>0</v>
      </c>
      <c r="L28" s="205">
        <f t="shared" si="9"/>
        <v>76659</v>
      </c>
      <c r="M28" s="205">
        <f t="shared" si="10"/>
        <v>76659</v>
      </c>
      <c r="N28" s="205">
        <f t="shared" si="11"/>
        <v>0</v>
      </c>
      <c r="P28" s="12">
        <v>1333</v>
      </c>
      <c r="Q28" s="205">
        <f>+Supplies!K28</f>
        <v>1333</v>
      </c>
      <c r="R28" s="205">
        <f t="shared" si="2"/>
        <v>0</v>
      </c>
      <c r="S28" s="205">
        <f t="shared" si="13"/>
        <v>30659</v>
      </c>
      <c r="T28" s="205">
        <f t="shared" si="14"/>
        <v>30659</v>
      </c>
      <c r="V28" s="205">
        <f t="shared" si="12"/>
        <v>20666</v>
      </c>
      <c r="W28" s="205">
        <f>+BaseloadMarkets!J28+BaseloadMarkets!M28</f>
        <v>20666</v>
      </c>
      <c r="X28" s="205">
        <f t="shared" si="3"/>
        <v>0</v>
      </c>
      <c r="Y28" s="205">
        <f t="shared" si="15"/>
        <v>475318</v>
      </c>
      <c r="Z28" s="205">
        <f t="shared" si="16"/>
        <v>457133</v>
      </c>
      <c r="AB28" s="205">
        <v>10333</v>
      </c>
      <c r="AC28" s="205">
        <f>+Supplies!AN28</f>
        <v>10333</v>
      </c>
      <c r="AD28" s="205">
        <f t="shared" si="4"/>
        <v>0</v>
      </c>
      <c r="AE28" s="205">
        <f t="shared" si="17"/>
        <v>103330</v>
      </c>
      <c r="AF28" s="205">
        <f t="shared" si="18"/>
        <v>103330</v>
      </c>
      <c r="AH28" s="205"/>
      <c r="AI28" s="205"/>
      <c r="AJ28" s="205">
        <f t="shared" si="5"/>
        <v>0</v>
      </c>
      <c r="AK28" s="205">
        <f t="shared" si="19"/>
        <v>0</v>
      </c>
      <c r="AL28" s="205">
        <f t="shared" si="20"/>
        <v>0</v>
      </c>
    </row>
    <row r="29" spans="1:38" x14ac:dyDescent="0.25">
      <c r="A29" s="204">
        <f>BaseloadMarkets!A29</f>
        <v>36701</v>
      </c>
      <c r="B29" s="12">
        <v>10000</v>
      </c>
      <c r="C29" s="205">
        <f>+Supplies!I29</f>
        <v>10000</v>
      </c>
      <c r="D29" s="205">
        <f t="shared" si="0"/>
        <v>0</v>
      </c>
      <c r="E29" s="205">
        <f t="shared" si="6"/>
        <v>240000</v>
      </c>
      <c r="F29" s="205">
        <f t="shared" si="7"/>
        <v>240000</v>
      </c>
      <c r="G29" s="205">
        <f t="shared" si="8"/>
        <v>0</v>
      </c>
      <c r="I29" s="12">
        <v>3333</v>
      </c>
      <c r="J29" s="205">
        <f>+Supplies!J29</f>
        <v>3333</v>
      </c>
      <c r="K29" s="205">
        <f t="shared" si="1"/>
        <v>0</v>
      </c>
      <c r="L29" s="205">
        <f t="shared" si="9"/>
        <v>79992</v>
      </c>
      <c r="M29" s="205">
        <f t="shared" si="10"/>
        <v>79992</v>
      </c>
      <c r="N29" s="205">
        <f t="shared" si="11"/>
        <v>0</v>
      </c>
      <c r="P29" s="12">
        <v>1333</v>
      </c>
      <c r="Q29" s="205">
        <f>+Supplies!K29</f>
        <v>1333</v>
      </c>
      <c r="R29" s="205">
        <f t="shared" si="2"/>
        <v>0</v>
      </c>
      <c r="S29" s="205">
        <f t="shared" si="13"/>
        <v>31992</v>
      </c>
      <c r="T29" s="205">
        <f t="shared" si="14"/>
        <v>31992</v>
      </c>
      <c r="V29" s="205">
        <f t="shared" si="12"/>
        <v>20666</v>
      </c>
      <c r="W29" s="205">
        <f>+BaseloadMarkets!J29+BaseloadMarkets!M29</f>
        <v>23421</v>
      </c>
      <c r="X29" s="205">
        <f t="shared" si="3"/>
        <v>2755</v>
      </c>
      <c r="Y29" s="205">
        <f t="shared" si="15"/>
        <v>495984</v>
      </c>
      <c r="Z29" s="205">
        <f t="shared" si="16"/>
        <v>480554</v>
      </c>
      <c r="AB29" s="205">
        <v>0</v>
      </c>
      <c r="AC29" s="205">
        <f>+Supplies!AN29</f>
        <v>0</v>
      </c>
      <c r="AD29" s="205">
        <f t="shared" si="4"/>
        <v>0</v>
      </c>
      <c r="AE29" s="205">
        <f t="shared" si="17"/>
        <v>103330</v>
      </c>
      <c r="AF29" s="205">
        <f t="shared" si="18"/>
        <v>103330</v>
      </c>
      <c r="AH29" s="205"/>
      <c r="AI29" s="205"/>
      <c r="AJ29" s="205">
        <f t="shared" si="5"/>
        <v>0</v>
      </c>
      <c r="AK29" s="205">
        <f t="shared" si="19"/>
        <v>0</v>
      </c>
      <c r="AL29" s="205">
        <f t="shared" si="20"/>
        <v>0</v>
      </c>
    </row>
    <row r="30" spans="1:38" x14ac:dyDescent="0.25">
      <c r="A30" s="204">
        <f>BaseloadMarkets!A30</f>
        <v>36702</v>
      </c>
      <c r="B30" s="12">
        <v>10000</v>
      </c>
      <c r="C30" s="205">
        <f>+Supplies!I30</f>
        <v>10000</v>
      </c>
      <c r="D30" s="205">
        <f t="shared" si="0"/>
        <v>0</v>
      </c>
      <c r="E30" s="205">
        <f t="shared" si="6"/>
        <v>250000</v>
      </c>
      <c r="F30" s="205">
        <f t="shared" si="7"/>
        <v>250000</v>
      </c>
      <c r="G30" s="205">
        <f t="shared" si="8"/>
        <v>0</v>
      </c>
      <c r="I30" s="12">
        <v>3333</v>
      </c>
      <c r="J30" s="205">
        <f>+Supplies!J30</f>
        <v>3333</v>
      </c>
      <c r="K30" s="205">
        <f t="shared" si="1"/>
        <v>0</v>
      </c>
      <c r="L30" s="205">
        <f t="shared" si="9"/>
        <v>83325</v>
      </c>
      <c r="M30" s="205">
        <f t="shared" si="10"/>
        <v>83325</v>
      </c>
      <c r="N30" s="205">
        <f t="shared" si="11"/>
        <v>0</v>
      </c>
      <c r="P30" s="12">
        <v>1333</v>
      </c>
      <c r="Q30" s="205">
        <f>+Supplies!K30</f>
        <v>1333</v>
      </c>
      <c r="R30" s="205">
        <f t="shared" si="2"/>
        <v>0</v>
      </c>
      <c r="S30" s="205">
        <f t="shared" si="13"/>
        <v>33325</v>
      </c>
      <c r="T30" s="205">
        <f t="shared" si="14"/>
        <v>33325</v>
      </c>
      <c r="V30" s="205">
        <f t="shared" si="12"/>
        <v>20666</v>
      </c>
      <c r="W30" s="205">
        <f>+BaseloadMarkets!J30+BaseloadMarkets!M30</f>
        <v>23421</v>
      </c>
      <c r="X30" s="205">
        <f t="shared" si="3"/>
        <v>2755</v>
      </c>
      <c r="Y30" s="205">
        <f t="shared" si="15"/>
        <v>516650</v>
      </c>
      <c r="Z30" s="205">
        <f t="shared" si="16"/>
        <v>503975</v>
      </c>
      <c r="AB30" s="205">
        <v>0</v>
      </c>
      <c r="AC30" s="205">
        <f>+Supplies!AN30</f>
        <v>0</v>
      </c>
      <c r="AD30" s="205">
        <f t="shared" si="4"/>
        <v>0</v>
      </c>
      <c r="AE30" s="205">
        <f t="shared" si="17"/>
        <v>103330</v>
      </c>
      <c r="AF30" s="205">
        <f t="shared" si="18"/>
        <v>103330</v>
      </c>
      <c r="AH30" s="205"/>
      <c r="AI30" s="205"/>
      <c r="AJ30" s="205">
        <f t="shared" si="5"/>
        <v>0</v>
      </c>
      <c r="AK30" s="205">
        <f t="shared" si="19"/>
        <v>0</v>
      </c>
      <c r="AL30" s="205">
        <f t="shared" si="20"/>
        <v>0</v>
      </c>
    </row>
    <row r="31" spans="1:38" x14ac:dyDescent="0.25">
      <c r="A31" s="204">
        <f>BaseloadMarkets!A31</f>
        <v>36703</v>
      </c>
      <c r="B31" s="12">
        <v>10000</v>
      </c>
      <c r="C31" s="205">
        <f>+Supplies!I31</f>
        <v>10000</v>
      </c>
      <c r="D31" s="205">
        <f t="shared" si="0"/>
        <v>0</v>
      </c>
      <c r="E31" s="205">
        <f t="shared" si="6"/>
        <v>260000</v>
      </c>
      <c r="F31" s="205">
        <f t="shared" si="7"/>
        <v>260000</v>
      </c>
      <c r="G31" s="205">
        <f t="shared" si="8"/>
        <v>0</v>
      </c>
      <c r="I31" s="12">
        <v>3333</v>
      </c>
      <c r="J31" s="205">
        <f>+Supplies!J31</f>
        <v>3333</v>
      </c>
      <c r="K31" s="205">
        <f t="shared" si="1"/>
        <v>0</v>
      </c>
      <c r="L31" s="205">
        <f t="shared" si="9"/>
        <v>86658</v>
      </c>
      <c r="M31" s="205">
        <f t="shared" si="10"/>
        <v>86658</v>
      </c>
      <c r="N31" s="205">
        <f t="shared" si="11"/>
        <v>0</v>
      </c>
      <c r="P31" s="12">
        <v>1333</v>
      </c>
      <c r="Q31" s="205">
        <f>+Supplies!K31</f>
        <v>1333</v>
      </c>
      <c r="R31" s="205">
        <f t="shared" si="2"/>
        <v>0</v>
      </c>
      <c r="S31" s="205">
        <f t="shared" si="13"/>
        <v>34658</v>
      </c>
      <c r="T31" s="205">
        <f t="shared" si="14"/>
        <v>34658</v>
      </c>
      <c r="V31" s="205">
        <f t="shared" si="12"/>
        <v>20666</v>
      </c>
      <c r="W31" s="205">
        <f>+BaseloadMarkets!J31+BaseloadMarkets!M31</f>
        <v>23421</v>
      </c>
      <c r="X31" s="205">
        <f t="shared" si="3"/>
        <v>2755</v>
      </c>
      <c r="Y31" s="205">
        <f t="shared" si="15"/>
        <v>537316</v>
      </c>
      <c r="Z31" s="205">
        <f t="shared" si="16"/>
        <v>527396</v>
      </c>
      <c r="AB31" s="205">
        <v>10333</v>
      </c>
      <c r="AC31" s="205">
        <f>+Supplies!AN31</f>
        <v>10333</v>
      </c>
      <c r="AD31" s="205">
        <f t="shared" si="4"/>
        <v>0</v>
      </c>
      <c r="AE31" s="205">
        <f t="shared" si="17"/>
        <v>113663</v>
      </c>
      <c r="AF31" s="205">
        <f t="shared" si="18"/>
        <v>113663</v>
      </c>
      <c r="AH31" s="205"/>
      <c r="AI31" s="205"/>
      <c r="AJ31" s="205">
        <f t="shared" si="5"/>
        <v>0</v>
      </c>
      <c r="AK31" s="205">
        <f t="shared" si="19"/>
        <v>0</v>
      </c>
      <c r="AL31" s="205">
        <f t="shared" si="20"/>
        <v>0</v>
      </c>
    </row>
    <row r="32" spans="1:38" x14ac:dyDescent="0.25">
      <c r="A32" s="204">
        <f>BaseloadMarkets!A32</f>
        <v>36704</v>
      </c>
      <c r="B32" s="12">
        <v>10000</v>
      </c>
      <c r="C32" s="205">
        <f>+Supplies!I32</f>
        <v>10000</v>
      </c>
      <c r="D32" s="205">
        <f t="shared" si="0"/>
        <v>0</v>
      </c>
      <c r="E32" s="205">
        <f t="shared" si="6"/>
        <v>270000</v>
      </c>
      <c r="F32" s="205">
        <f t="shared" si="7"/>
        <v>270000</v>
      </c>
      <c r="G32" s="205">
        <f t="shared" si="8"/>
        <v>0</v>
      </c>
      <c r="I32" s="12">
        <v>3333</v>
      </c>
      <c r="J32" s="205">
        <f>+Supplies!J32</f>
        <v>3333</v>
      </c>
      <c r="K32" s="205">
        <f t="shared" si="1"/>
        <v>0</v>
      </c>
      <c r="L32" s="205">
        <f t="shared" si="9"/>
        <v>89991</v>
      </c>
      <c r="M32" s="205">
        <f t="shared" si="10"/>
        <v>89991</v>
      </c>
      <c r="N32" s="205">
        <f t="shared" si="11"/>
        <v>0</v>
      </c>
      <c r="P32" s="12">
        <v>1333</v>
      </c>
      <c r="Q32" s="205">
        <f>+Supplies!K32</f>
        <v>1333</v>
      </c>
      <c r="R32" s="205">
        <f t="shared" si="2"/>
        <v>0</v>
      </c>
      <c r="S32" s="205">
        <f t="shared" si="13"/>
        <v>35991</v>
      </c>
      <c r="T32" s="205">
        <f t="shared" si="14"/>
        <v>35991</v>
      </c>
      <c r="V32" s="205">
        <f t="shared" si="12"/>
        <v>20666</v>
      </c>
      <c r="W32" s="205">
        <f>+BaseloadMarkets!J32+BaseloadMarkets!M32</f>
        <v>23421</v>
      </c>
      <c r="X32" s="205">
        <f t="shared" si="3"/>
        <v>2755</v>
      </c>
      <c r="Y32" s="205">
        <f t="shared" si="15"/>
        <v>557982</v>
      </c>
      <c r="Z32" s="205">
        <f t="shared" si="16"/>
        <v>550817</v>
      </c>
      <c r="AB32" s="205">
        <v>10333</v>
      </c>
      <c r="AC32" s="205">
        <f>+Supplies!AN32</f>
        <v>10333</v>
      </c>
      <c r="AD32" s="205">
        <f t="shared" si="4"/>
        <v>0</v>
      </c>
      <c r="AE32" s="205">
        <f t="shared" si="17"/>
        <v>123996</v>
      </c>
      <c r="AF32" s="205">
        <f t="shared" si="18"/>
        <v>123996</v>
      </c>
      <c r="AH32" s="205"/>
      <c r="AI32" s="205"/>
      <c r="AJ32" s="205">
        <f t="shared" si="5"/>
        <v>0</v>
      </c>
      <c r="AK32" s="205">
        <f t="shared" si="19"/>
        <v>0</v>
      </c>
      <c r="AL32" s="205">
        <f t="shared" si="20"/>
        <v>0</v>
      </c>
    </row>
    <row r="33" spans="1:121" x14ac:dyDescent="0.25">
      <c r="A33" s="204">
        <f>BaseloadMarkets!A33</f>
        <v>36705</v>
      </c>
      <c r="B33" s="12">
        <v>10000</v>
      </c>
      <c r="C33" s="205">
        <f>+Supplies!I33</f>
        <v>10000</v>
      </c>
      <c r="D33" s="205">
        <f t="shared" si="0"/>
        <v>0</v>
      </c>
      <c r="E33" s="205">
        <f t="shared" si="6"/>
        <v>280000</v>
      </c>
      <c r="F33" s="205">
        <f t="shared" si="7"/>
        <v>280000</v>
      </c>
      <c r="G33" s="205">
        <f t="shared" si="8"/>
        <v>0</v>
      </c>
      <c r="I33" s="12">
        <v>3333</v>
      </c>
      <c r="J33" s="205">
        <f>+Supplies!J33</f>
        <v>3333</v>
      </c>
      <c r="K33" s="205">
        <f t="shared" si="1"/>
        <v>0</v>
      </c>
      <c r="L33" s="205">
        <f t="shared" si="9"/>
        <v>93324</v>
      </c>
      <c r="M33" s="205">
        <f t="shared" si="10"/>
        <v>93324</v>
      </c>
      <c r="N33" s="205">
        <f t="shared" si="11"/>
        <v>0</v>
      </c>
      <c r="P33" s="12">
        <v>1333</v>
      </c>
      <c r="Q33" s="205">
        <f>+Supplies!K33</f>
        <v>1333</v>
      </c>
      <c r="R33" s="205">
        <f t="shared" si="2"/>
        <v>0</v>
      </c>
      <c r="S33" s="205">
        <f t="shared" si="13"/>
        <v>37324</v>
      </c>
      <c r="T33" s="205">
        <f t="shared" si="14"/>
        <v>37324</v>
      </c>
      <c r="V33" s="205">
        <f t="shared" si="12"/>
        <v>20666</v>
      </c>
      <c r="W33" s="205">
        <f>+BaseloadMarkets!J33+BaseloadMarkets!M33</f>
        <v>23421</v>
      </c>
      <c r="X33" s="205">
        <f t="shared" si="3"/>
        <v>2755</v>
      </c>
      <c r="Y33" s="205">
        <f t="shared" si="15"/>
        <v>578648</v>
      </c>
      <c r="Z33" s="205">
        <f t="shared" si="16"/>
        <v>574238</v>
      </c>
      <c r="AB33" s="205">
        <v>10333</v>
      </c>
      <c r="AC33" s="205">
        <f>+Supplies!AN33</f>
        <v>10333</v>
      </c>
      <c r="AD33" s="205">
        <f t="shared" si="4"/>
        <v>0</v>
      </c>
      <c r="AE33" s="205">
        <f t="shared" si="17"/>
        <v>134329</v>
      </c>
      <c r="AF33" s="205">
        <f t="shared" si="18"/>
        <v>134329</v>
      </c>
      <c r="AH33" s="205"/>
      <c r="AI33" s="205"/>
      <c r="AJ33" s="205">
        <f t="shared" si="5"/>
        <v>0</v>
      </c>
      <c r="AK33" s="205">
        <f t="shared" si="19"/>
        <v>0</v>
      </c>
      <c r="AL33" s="205">
        <f t="shared" si="20"/>
        <v>0</v>
      </c>
    </row>
    <row r="34" spans="1:121" x14ac:dyDescent="0.25">
      <c r="A34" s="204">
        <f>BaseloadMarkets!A34</f>
        <v>36706</v>
      </c>
      <c r="B34" s="12">
        <v>10000</v>
      </c>
      <c r="C34" s="205">
        <f>+Supplies!I34</f>
        <v>10000</v>
      </c>
      <c r="D34" s="205">
        <f t="shared" si="0"/>
        <v>0</v>
      </c>
      <c r="E34" s="205">
        <f t="shared" si="6"/>
        <v>290000</v>
      </c>
      <c r="F34" s="205">
        <f t="shared" si="7"/>
        <v>290000</v>
      </c>
      <c r="G34" s="205">
        <f t="shared" si="8"/>
        <v>0</v>
      </c>
      <c r="I34" s="12">
        <v>3333</v>
      </c>
      <c r="J34" s="205">
        <f>+Supplies!J34</f>
        <v>3333</v>
      </c>
      <c r="K34" s="205">
        <f t="shared" si="1"/>
        <v>0</v>
      </c>
      <c r="L34" s="205">
        <f t="shared" si="9"/>
        <v>96657</v>
      </c>
      <c r="M34" s="205">
        <f t="shared" si="10"/>
        <v>96657</v>
      </c>
      <c r="N34" s="205">
        <f t="shared" si="11"/>
        <v>0</v>
      </c>
      <c r="P34" s="12">
        <v>1333</v>
      </c>
      <c r="Q34" s="205">
        <f>+Supplies!K34</f>
        <v>1333</v>
      </c>
      <c r="R34" s="205">
        <f t="shared" si="2"/>
        <v>0</v>
      </c>
      <c r="S34" s="205">
        <f t="shared" si="13"/>
        <v>38657</v>
      </c>
      <c r="T34" s="205">
        <f t="shared" si="14"/>
        <v>38657</v>
      </c>
      <c r="V34" s="205">
        <f t="shared" si="12"/>
        <v>20666</v>
      </c>
      <c r="W34" s="205">
        <f>+BaseloadMarkets!J34+BaseloadMarkets!M34</f>
        <v>23421</v>
      </c>
      <c r="X34" s="205">
        <f t="shared" si="3"/>
        <v>2755</v>
      </c>
      <c r="Y34" s="205">
        <f t="shared" si="15"/>
        <v>599314</v>
      </c>
      <c r="Z34" s="205">
        <f t="shared" si="16"/>
        <v>597659</v>
      </c>
      <c r="AB34" s="205">
        <v>10333</v>
      </c>
      <c r="AC34" s="205">
        <f>+Supplies!AN34</f>
        <v>10333</v>
      </c>
      <c r="AD34" s="205">
        <f t="shared" si="4"/>
        <v>0</v>
      </c>
      <c r="AE34" s="205">
        <f t="shared" si="17"/>
        <v>144662</v>
      </c>
      <c r="AF34" s="205">
        <f t="shared" si="18"/>
        <v>144662</v>
      </c>
      <c r="AH34" s="205"/>
      <c r="AI34" s="205"/>
      <c r="AJ34" s="205">
        <f t="shared" si="5"/>
        <v>0</v>
      </c>
      <c r="AK34" s="205">
        <f t="shared" si="19"/>
        <v>0</v>
      </c>
      <c r="AL34" s="205">
        <f t="shared" si="20"/>
        <v>0</v>
      </c>
    </row>
    <row r="35" spans="1:121" x14ac:dyDescent="0.25">
      <c r="A35" s="204">
        <f>BaseloadMarkets!A35</f>
        <v>36707</v>
      </c>
      <c r="B35" s="12">
        <v>10000</v>
      </c>
      <c r="C35" s="205">
        <f>+Supplies!I35</f>
        <v>10000</v>
      </c>
      <c r="D35" s="205">
        <f>+C35-B35</f>
        <v>0</v>
      </c>
      <c r="E35" s="205">
        <f>+E34+B35</f>
        <v>300000</v>
      </c>
      <c r="F35" s="205">
        <f>+F34+C35</f>
        <v>300000</v>
      </c>
      <c r="G35" s="205">
        <f>+G34+D35</f>
        <v>0</v>
      </c>
      <c r="I35" s="12">
        <v>3333</v>
      </c>
      <c r="J35" s="205">
        <f>+Supplies!J35</f>
        <v>3333</v>
      </c>
      <c r="K35" s="205">
        <f>+J35-I35</f>
        <v>0</v>
      </c>
      <c r="L35" s="205">
        <f>+L34+I35</f>
        <v>99990</v>
      </c>
      <c r="M35" s="205">
        <f>+M34+J35</f>
        <v>99990</v>
      </c>
      <c r="N35" s="205">
        <f>+N34+K35</f>
        <v>0</v>
      </c>
      <c r="P35" s="12">
        <v>1333</v>
      </c>
      <c r="Q35" s="205">
        <f>+Supplies!K35</f>
        <v>1333</v>
      </c>
      <c r="R35" s="205">
        <f>+Q35-P35</f>
        <v>0</v>
      </c>
      <c r="S35" s="205">
        <f>+S34+P35</f>
        <v>39990</v>
      </c>
      <c r="T35" s="205">
        <f>+T34+Q35</f>
        <v>39990</v>
      </c>
      <c r="V35" s="205">
        <f t="shared" si="12"/>
        <v>20666</v>
      </c>
      <c r="W35" s="205">
        <f>+BaseloadMarkets!J35+BaseloadMarkets!M35</f>
        <v>23421</v>
      </c>
      <c r="X35" s="205">
        <f>+W35-V35</f>
        <v>2755</v>
      </c>
      <c r="Y35" s="205">
        <f>+Y34+V35</f>
        <v>619980</v>
      </c>
      <c r="Z35" s="205">
        <f>+Z34+W35</f>
        <v>621080</v>
      </c>
      <c r="AB35" s="205">
        <v>10338</v>
      </c>
      <c r="AC35" s="205">
        <f>+Supplies!AN35</f>
        <v>10338</v>
      </c>
      <c r="AD35" s="205">
        <f>+AC35-AB35</f>
        <v>0</v>
      </c>
      <c r="AE35" s="205">
        <f>+AE34+AB35</f>
        <v>155000</v>
      </c>
      <c r="AF35" s="205">
        <f>+AF34+AC35</f>
        <v>155000</v>
      </c>
      <c r="AH35" s="205"/>
      <c r="AI35" s="205"/>
      <c r="AJ35" s="205">
        <f>+AI35-AH35</f>
        <v>0</v>
      </c>
      <c r="AK35" s="205">
        <f>+AK34+AH35</f>
        <v>0</v>
      </c>
      <c r="AL35" s="205">
        <f>+AL34+AI35</f>
        <v>0</v>
      </c>
    </row>
    <row r="36" spans="1:121" ht="13.8" thickBot="1" x14ac:dyDescent="0.3">
      <c r="A36" s="204"/>
      <c r="B36" s="12"/>
      <c r="C36" s="205"/>
      <c r="D36" s="205"/>
      <c r="E36" s="205"/>
      <c r="F36" s="205"/>
      <c r="G36" s="205"/>
      <c r="I36" s="12"/>
      <c r="J36" s="205"/>
      <c r="K36" s="205"/>
      <c r="L36" s="205"/>
      <c r="M36" s="205"/>
      <c r="N36" s="205"/>
      <c r="P36" s="12"/>
      <c r="Q36" s="205"/>
      <c r="R36" s="205"/>
      <c r="S36" s="205"/>
      <c r="T36" s="205"/>
      <c r="V36" s="205"/>
      <c r="W36" s="205"/>
      <c r="X36" s="205"/>
      <c r="Y36" s="205"/>
      <c r="Z36" s="205"/>
      <c r="AB36" s="205"/>
      <c r="AC36" s="205"/>
      <c r="AD36" s="205"/>
      <c r="AE36" s="205"/>
      <c r="AF36" s="205"/>
      <c r="AH36" s="205"/>
      <c r="AI36" s="205"/>
      <c r="AJ36" s="205"/>
      <c r="AK36" s="205"/>
      <c r="AL36" s="205"/>
    </row>
    <row r="37" spans="1:121" ht="13.8" thickTop="1" x14ac:dyDescent="0.25">
      <c r="A37" s="204" t="str">
        <f>BaseloadMarkets!A37</f>
        <v>Totals</v>
      </c>
      <c r="B37" s="206">
        <f>SUM(B6:B36)</f>
        <v>300000</v>
      </c>
      <c r="C37" s="206">
        <f>SUM(C6:C36)</f>
        <v>300000</v>
      </c>
      <c r="D37" s="206">
        <f>SUM(D6:D36)</f>
        <v>0</v>
      </c>
      <c r="E37" s="207"/>
      <c r="F37" s="205"/>
      <c r="G37" s="207"/>
      <c r="I37" s="206">
        <f>SUM(I6:I36)</f>
        <v>99990</v>
      </c>
      <c r="J37" s="206">
        <f>SUM(J6:J36)</f>
        <v>99990</v>
      </c>
      <c r="K37" s="206">
        <f>SUM(K6:K36)</f>
        <v>0</v>
      </c>
      <c r="L37" s="207"/>
      <c r="M37" s="205"/>
      <c r="N37" s="207"/>
      <c r="P37" s="206">
        <f>SUM(P6:P36)</f>
        <v>39990</v>
      </c>
      <c r="Q37" s="206">
        <f>SUM(Q6:Q36)</f>
        <v>39990</v>
      </c>
      <c r="R37" s="206">
        <f>SUM(R6:R36)</f>
        <v>0</v>
      </c>
      <c r="V37" s="206">
        <f>SUM(V6:V36)</f>
        <v>619980</v>
      </c>
      <c r="W37" s="206">
        <f>SUM(W6:W36)</f>
        <v>621080</v>
      </c>
      <c r="X37" s="206">
        <f>SUM(X6:X36)</f>
        <v>1100</v>
      </c>
      <c r="AB37" s="206">
        <f>SUM(AB6:AB36)</f>
        <v>155000</v>
      </c>
      <c r="AC37" s="206">
        <f>SUM(AC6:AC36)</f>
        <v>155000</v>
      </c>
      <c r="AD37" s="206">
        <f>SUM(AD6:AD36)</f>
        <v>0</v>
      </c>
      <c r="AH37" s="206">
        <f>SUM(AH6:AH36)</f>
        <v>0</v>
      </c>
      <c r="AI37" s="206">
        <f>SUM(AI6:AI36)</f>
        <v>0</v>
      </c>
      <c r="AJ37" s="206">
        <f>SUM(AJ6:AJ36)</f>
        <v>0</v>
      </c>
    </row>
    <row r="38" spans="1:121" x14ac:dyDescent="0.25">
      <c r="B38" s="21"/>
      <c r="I38" s="21"/>
      <c r="P38" s="21"/>
    </row>
    <row r="39" spans="1:121" x14ac:dyDescent="0.25">
      <c r="B39" s="25"/>
      <c r="H39" s="20"/>
      <c r="I39" s="25"/>
      <c r="O39" s="20"/>
      <c r="P39" s="25"/>
      <c r="U39" s="20"/>
      <c r="AA39" s="20"/>
      <c r="AG39" s="20"/>
    </row>
    <row r="40" spans="1:121" s="216" customFormat="1" x14ac:dyDescent="0.25">
      <c r="A40" s="216">
        <v>1</v>
      </c>
      <c r="B40" s="437">
        <f>+A40+1</f>
        <v>2</v>
      </c>
      <c r="C40" s="437">
        <f t="shared" ref="C40:BN40" si="21">+B40+1</f>
        <v>3</v>
      </c>
      <c r="D40" s="437">
        <f t="shared" si="21"/>
        <v>4</v>
      </c>
      <c r="E40" s="437">
        <f t="shared" si="21"/>
        <v>5</v>
      </c>
      <c r="F40" s="437">
        <f t="shared" si="21"/>
        <v>6</v>
      </c>
      <c r="G40" s="437">
        <f t="shared" si="21"/>
        <v>7</v>
      </c>
      <c r="H40" s="437">
        <f t="shared" si="21"/>
        <v>8</v>
      </c>
      <c r="I40" s="437">
        <f t="shared" si="21"/>
        <v>9</v>
      </c>
      <c r="J40" s="437">
        <f t="shared" si="21"/>
        <v>10</v>
      </c>
      <c r="K40" s="437">
        <f t="shared" si="21"/>
        <v>11</v>
      </c>
      <c r="L40" s="437">
        <f t="shared" si="21"/>
        <v>12</v>
      </c>
      <c r="M40" s="437">
        <f t="shared" si="21"/>
        <v>13</v>
      </c>
      <c r="N40" s="437">
        <f t="shared" si="21"/>
        <v>14</v>
      </c>
      <c r="O40" s="437">
        <f t="shared" si="21"/>
        <v>15</v>
      </c>
      <c r="P40" s="437">
        <f t="shared" si="21"/>
        <v>16</v>
      </c>
      <c r="Q40" s="437">
        <f t="shared" si="21"/>
        <v>17</v>
      </c>
      <c r="R40" s="437">
        <f t="shared" si="21"/>
        <v>18</v>
      </c>
      <c r="S40" s="437">
        <f t="shared" si="21"/>
        <v>19</v>
      </c>
      <c r="T40" s="437">
        <f t="shared" si="21"/>
        <v>20</v>
      </c>
      <c r="U40" s="437">
        <f t="shared" si="21"/>
        <v>21</v>
      </c>
      <c r="V40" s="437">
        <f t="shared" si="21"/>
        <v>22</v>
      </c>
      <c r="W40" s="437">
        <f t="shared" si="21"/>
        <v>23</v>
      </c>
      <c r="X40" s="437">
        <f t="shared" si="21"/>
        <v>24</v>
      </c>
      <c r="Y40" s="437">
        <f t="shared" si="21"/>
        <v>25</v>
      </c>
      <c r="Z40" s="437">
        <f t="shared" si="21"/>
        <v>26</v>
      </c>
      <c r="AA40" s="437">
        <f t="shared" si="21"/>
        <v>27</v>
      </c>
      <c r="AB40" s="437">
        <f t="shared" si="21"/>
        <v>28</v>
      </c>
      <c r="AC40" s="437">
        <f t="shared" si="21"/>
        <v>29</v>
      </c>
      <c r="AD40" s="437">
        <f t="shared" si="21"/>
        <v>30</v>
      </c>
      <c r="AE40" s="437">
        <f t="shared" si="21"/>
        <v>31</v>
      </c>
      <c r="AF40" s="437">
        <f t="shared" si="21"/>
        <v>32</v>
      </c>
      <c r="AG40" s="437">
        <f t="shared" si="21"/>
        <v>33</v>
      </c>
      <c r="AH40" s="437">
        <f t="shared" si="21"/>
        <v>34</v>
      </c>
      <c r="AI40" s="437">
        <f t="shared" si="21"/>
        <v>35</v>
      </c>
      <c r="AJ40" s="437">
        <f t="shared" si="21"/>
        <v>36</v>
      </c>
      <c r="AK40" s="437">
        <f t="shared" si="21"/>
        <v>37</v>
      </c>
      <c r="AL40" s="437">
        <f t="shared" si="21"/>
        <v>38</v>
      </c>
      <c r="AM40" s="437">
        <f t="shared" si="21"/>
        <v>39</v>
      </c>
      <c r="AN40" s="437">
        <f t="shared" si="21"/>
        <v>40</v>
      </c>
      <c r="AO40" s="437">
        <f t="shared" si="21"/>
        <v>41</v>
      </c>
      <c r="AP40" s="437">
        <f t="shared" si="21"/>
        <v>42</v>
      </c>
      <c r="AQ40" s="437">
        <f t="shared" si="21"/>
        <v>43</v>
      </c>
      <c r="AR40" s="437">
        <f t="shared" si="21"/>
        <v>44</v>
      </c>
      <c r="AS40" s="437">
        <f t="shared" si="21"/>
        <v>45</v>
      </c>
      <c r="AT40" s="437">
        <f t="shared" si="21"/>
        <v>46</v>
      </c>
      <c r="AU40" s="437">
        <f t="shared" si="21"/>
        <v>47</v>
      </c>
      <c r="AV40" s="437">
        <f t="shared" si="21"/>
        <v>48</v>
      </c>
      <c r="AW40" s="437">
        <f t="shared" si="21"/>
        <v>49</v>
      </c>
      <c r="AX40" s="437">
        <f t="shared" si="21"/>
        <v>50</v>
      </c>
      <c r="AY40" s="437">
        <f t="shared" si="21"/>
        <v>51</v>
      </c>
      <c r="AZ40" s="437">
        <f t="shared" si="21"/>
        <v>52</v>
      </c>
      <c r="BA40" s="437">
        <f t="shared" si="21"/>
        <v>53</v>
      </c>
      <c r="BB40" s="437">
        <f t="shared" si="21"/>
        <v>54</v>
      </c>
      <c r="BC40" s="437">
        <f t="shared" si="21"/>
        <v>55</v>
      </c>
      <c r="BD40" s="437">
        <f t="shared" si="21"/>
        <v>56</v>
      </c>
      <c r="BE40" s="437">
        <f t="shared" si="21"/>
        <v>57</v>
      </c>
      <c r="BF40" s="437">
        <f t="shared" si="21"/>
        <v>58</v>
      </c>
      <c r="BG40" s="437">
        <f t="shared" si="21"/>
        <v>59</v>
      </c>
      <c r="BH40" s="437">
        <f t="shared" si="21"/>
        <v>60</v>
      </c>
      <c r="BI40" s="437">
        <f t="shared" si="21"/>
        <v>61</v>
      </c>
      <c r="BJ40" s="437">
        <f t="shared" si="21"/>
        <v>62</v>
      </c>
      <c r="BK40" s="437">
        <f t="shared" si="21"/>
        <v>63</v>
      </c>
      <c r="BL40" s="437">
        <f t="shared" si="21"/>
        <v>64</v>
      </c>
      <c r="BM40" s="437">
        <f t="shared" si="21"/>
        <v>65</v>
      </c>
      <c r="BN40" s="437">
        <f t="shared" si="21"/>
        <v>66</v>
      </c>
      <c r="BO40" s="437">
        <f t="shared" ref="BO40:DQ40" si="22">+BN40+1</f>
        <v>67</v>
      </c>
      <c r="BP40" s="437">
        <f t="shared" si="22"/>
        <v>68</v>
      </c>
      <c r="BQ40" s="437">
        <f t="shared" si="22"/>
        <v>69</v>
      </c>
      <c r="BR40" s="437">
        <f t="shared" si="22"/>
        <v>70</v>
      </c>
      <c r="BS40" s="437">
        <f t="shared" si="22"/>
        <v>71</v>
      </c>
      <c r="BT40" s="437">
        <f t="shared" si="22"/>
        <v>72</v>
      </c>
      <c r="BU40" s="437">
        <f t="shared" si="22"/>
        <v>73</v>
      </c>
      <c r="BV40" s="437">
        <f t="shared" si="22"/>
        <v>74</v>
      </c>
      <c r="BW40" s="437">
        <f t="shared" si="22"/>
        <v>75</v>
      </c>
      <c r="BX40" s="437">
        <f t="shared" si="22"/>
        <v>76</v>
      </c>
      <c r="BY40" s="437">
        <f t="shared" si="22"/>
        <v>77</v>
      </c>
      <c r="BZ40" s="437">
        <f t="shared" si="22"/>
        <v>78</v>
      </c>
      <c r="CA40" s="437">
        <f t="shared" si="22"/>
        <v>79</v>
      </c>
      <c r="CB40" s="437">
        <f t="shared" si="22"/>
        <v>80</v>
      </c>
      <c r="CC40" s="437">
        <f t="shared" si="22"/>
        <v>81</v>
      </c>
      <c r="CD40" s="437">
        <f t="shared" si="22"/>
        <v>82</v>
      </c>
      <c r="CE40" s="437">
        <f t="shared" si="22"/>
        <v>83</v>
      </c>
      <c r="CF40" s="437">
        <f t="shared" si="22"/>
        <v>84</v>
      </c>
      <c r="CG40" s="437">
        <f t="shared" si="22"/>
        <v>85</v>
      </c>
      <c r="CH40" s="437">
        <f t="shared" si="22"/>
        <v>86</v>
      </c>
      <c r="CI40" s="437">
        <f t="shared" si="22"/>
        <v>87</v>
      </c>
      <c r="CJ40" s="437">
        <f t="shared" si="22"/>
        <v>88</v>
      </c>
      <c r="CK40" s="437">
        <f t="shared" si="22"/>
        <v>89</v>
      </c>
      <c r="CL40" s="437">
        <f t="shared" si="22"/>
        <v>90</v>
      </c>
      <c r="CM40" s="437">
        <f t="shared" si="22"/>
        <v>91</v>
      </c>
      <c r="CN40" s="437">
        <f t="shared" si="22"/>
        <v>92</v>
      </c>
      <c r="CO40" s="437">
        <f t="shared" si="22"/>
        <v>93</v>
      </c>
      <c r="CP40" s="437">
        <f t="shared" si="22"/>
        <v>94</v>
      </c>
      <c r="CQ40" s="437">
        <f t="shared" si="22"/>
        <v>95</v>
      </c>
      <c r="CR40" s="437">
        <f t="shared" si="22"/>
        <v>96</v>
      </c>
      <c r="CS40" s="437">
        <f t="shared" si="22"/>
        <v>97</v>
      </c>
      <c r="CT40" s="437">
        <f t="shared" si="22"/>
        <v>98</v>
      </c>
      <c r="CU40" s="437">
        <f t="shared" si="22"/>
        <v>99</v>
      </c>
      <c r="CV40" s="437">
        <f t="shared" si="22"/>
        <v>100</v>
      </c>
      <c r="CW40" s="437">
        <f t="shared" si="22"/>
        <v>101</v>
      </c>
      <c r="CX40" s="437">
        <f t="shared" si="22"/>
        <v>102</v>
      </c>
      <c r="CY40" s="437">
        <f t="shared" si="22"/>
        <v>103</v>
      </c>
      <c r="CZ40" s="437">
        <f t="shared" si="22"/>
        <v>104</v>
      </c>
      <c r="DA40" s="437">
        <f t="shared" si="22"/>
        <v>105</v>
      </c>
      <c r="DB40" s="437">
        <f t="shared" si="22"/>
        <v>106</v>
      </c>
      <c r="DC40" s="437">
        <f t="shared" si="22"/>
        <v>107</v>
      </c>
      <c r="DD40" s="437">
        <f t="shared" si="22"/>
        <v>108</v>
      </c>
      <c r="DE40" s="437">
        <f t="shared" si="22"/>
        <v>109</v>
      </c>
      <c r="DF40" s="437">
        <f t="shared" si="22"/>
        <v>110</v>
      </c>
      <c r="DG40" s="437">
        <f t="shared" si="22"/>
        <v>111</v>
      </c>
      <c r="DH40" s="437">
        <f t="shared" si="22"/>
        <v>112</v>
      </c>
      <c r="DI40" s="437">
        <f t="shared" si="22"/>
        <v>113</v>
      </c>
      <c r="DJ40" s="437">
        <f t="shared" si="22"/>
        <v>114</v>
      </c>
      <c r="DK40" s="437">
        <f t="shared" si="22"/>
        <v>115</v>
      </c>
      <c r="DL40" s="437">
        <f t="shared" si="22"/>
        <v>116</v>
      </c>
      <c r="DM40" s="437">
        <f t="shared" si="22"/>
        <v>117</v>
      </c>
      <c r="DN40" s="437">
        <f t="shared" si="22"/>
        <v>118</v>
      </c>
      <c r="DO40" s="437">
        <f t="shared" si="22"/>
        <v>119</v>
      </c>
      <c r="DP40" s="437">
        <f t="shared" si="22"/>
        <v>120</v>
      </c>
      <c r="DQ40" s="437">
        <f t="shared" si="22"/>
        <v>121</v>
      </c>
    </row>
    <row r="41" spans="1:121" x14ac:dyDescent="0.25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</row>
    <row r="42" spans="1:121" x14ac:dyDescent="0.25">
      <c r="B42" s="21"/>
      <c r="I42" s="21"/>
      <c r="P42" s="21"/>
    </row>
    <row r="43" spans="1:121" x14ac:dyDescent="0.25">
      <c r="B43" s="21"/>
      <c r="I43" s="21"/>
      <c r="P43" s="21"/>
    </row>
    <row r="44" spans="1:121" x14ac:dyDescent="0.25">
      <c r="B44" s="21"/>
      <c r="I44" s="21"/>
      <c r="P44" s="21"/>
    </row>
    <row r="45" spans="1:121" x14ac:dyDescent="0.25">
      <c r="B45" s="21"/>
      <c r="I45" s="21"/>
      <c r="P45" s="21"/>
    </row>
    <row r="46" spans="1:121" x14ac:dyDescent="0.25">
      <c r="B46" s="21"/>
      <c r="I46" s="21"/>
      <c r="P46" s="21"/>
    </row>
    <row r="47" spans="1:121" x14ac:dyDescent="0.25">
      <c r="B47" s="21"/>
      <c r="I47" s="21"/>
      <c r="P47" s="21"/>
    </row>
    <row r="48" spans="1:121" x14ac:dyDescent="0.25">
      <c r="B48" s="21"/>
      <c r="I48" s="21"/>
      <c r="P48" s="21"/>
    </row>
    <row r="49" spans="2:16" x14ac:dyDescent="0.25">
      <c r="B49" s="21"/>
      <c r="I49" s="21"/>
      <c r="P49" s="21"/>
    </row>
    <row r="50" spans="2:16" x14ac:dyDescent="0.25">
      <c r="B50" s="21"/>
      <c r="I50" s="21"/>
      <c r="P50" s="21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selection activeCell="F4" sqref="F4"/>
    </sheetView>
  </sheetViews>
  <sheetFormatPr defaultColWidth="9.33203125" defaultRowHeight="13.2" x14ac:dyDescent="0.25"/>
  <cols>
    <col min="1" max="1" width="16.6640625" style="20" customWidth="1"/>
    <col min="2" max="2" width="16.44140625" style="20" customWidth="1"/>
    <col min="3" max="3" width="11.6640625" style="20" customWidth="1"/>
    <col min="4" max="4" width="14.44140625" style="20" customWidth="1"/>
    <col min="5" max="5" width="16.44140625" style="20" customWidth="1"/>
    <col min="6" max="6" width="17.77734375" style="20" customWidth="1"/>
    <col min="7" max="7" width="14.44140625" style="20" customWidth="1"/>
    <col min="8" max="16384" width="9.33203125" style="20"/>
  </cols>
  <sheetData>
    <row r="1" spans="1:7" ht="15.6" x14ac:dyDescent="0.3">
      <c r="A1" s="367" t="s">
        <v>3</v>
      </c>
      <c r="B1" s="202" t="s">
        <v>81</v>
      </c>
      <c r="C1" s="203">
        <v>107872</v>
      </c>
    </row>
    <row r="2" spans="1:7" x14ac:dyDescent="0.25">
      <c r="A2" s="368">
        <f>+BaseloadMarkets!B1</f>
        <v>36678</v>
      </c>
    </row>
    <row r="4" spans="1:7" x14ac:dyDescent="0.25">
      <c r="B4" s="203" t="s">
        <v>82</v>
      </c>
      <c r="C4" s="203" t="s">
        <v>40</v>
      </c>
      <c r="D4" s="203" t="s">
        <v>31</v>
      </c>
      <c r="E4" s="203" t="s">
        <v>83</v>
      </c>
      <c r="F4" s="203" t="s">
        <v>83</v>
      </c>
      <c r="G4" s="203" t="s">
        <v>32</v>
      </c>
    </row>
    <row r="5" spans="1:7" x14ac:dyDescent="0.25">
      <c r="B5" s="203" t="s">
        <v>84</v>
      </c>
      <c r="C5" s="203" t="s">
        <v>84</v>
      </c>
      <c r="D5" s="203" t="s">
        <v>85</v>
      </c>
      <c r="E5" s="203" t="s">
        <v>86</v>
      </c>
      <c r="F5" s="203" t="s">
        <v>40</v>
      </c>
      <c r="G5" s="203" t="s">
        <v>87</v>
      </c>
    </row>
    <row r="6" spans="1:7" x14ac:dyDescent="0.25">
      <c r="A6" s="204">
        <f>BaseloadMarkets!A6</f>
        <v>36678</v>
      </c>
      <c r="B6" s="205">
        <v>20000</v>
      </c>
      <c r="C6" s="205">
        <f>+Supplies!D6</f>
        <v>30000</v>
      </c>
      <c r="D6" s="205">
        <f t="shared" ref="D6:D34" si="0">+C6-B6</f>
        <v>10000</v>
      </c>
      <c r="E6" s="205">
        <f>+B6</f>
        <v>20000</v>
      </c>
      <c r="F6" s="205">
        <f>+C6</f>
        <v>30000</v>
      </c>
      <c r="G6" s="205">
        <f>+D6</f>
        <v>10000</v>
      </c>
    </row>
    <row r="7" spans="1:7" x14ac:dyDescent="0.25">
      <c r="A7" s="204">
        <f>BaseloadMarkets!A7</f>
        <v>36679</v>
      </c>
      <c r="B7" s="205">
        <v>20000</v>
      </c>
      <c r="C7" s="205">
        <f>+Supplies!D7</f>
        <v>30000</v>
      </c>
      <c r="D7" s="205">
        <f t="shared" si="0"/>
        <v>10000</v>
      </c>
      <c r="E7" s="205">
        <f t="shared" ref="E7:E34" si="1">+E6+B7</f>
        <v>40000</v>
      </c>
      <c r="F7" s="205">
        <f t="shared" ref="F7:F34" si="2">+F6+C7</f>
        <v>60000</v>
      </c>
      <c r="G7" s="205">
        <f t="shared" ref="G7:G34" si="3">+G6+D7</f>
        <v>20000</v>
      </c>
    </row>
    <row r="8" spans="1:7" x14ac:dyDescent="0.25">
      <c r="A8" s="204">
        <f>BaseloadMarkets!A8</f>
        <v>36680</v>
      </c>
      <c r="B8" s="205">
        <v>20000</v>
      </c>
      <c r="C8" s="205">
        <f>+Supplies!D8</f>
        <v>0</v>
      </c>
      <c r="D8" s="205">
        <f t="shared" si="0"/>
        <v>-20000</v>
      </c>
      <c r="E8" s="205">
        <f t="shared" si="1"/>
        <v>60000</v>
      </c>
      <c r="F8" s="205">
        <f t="shared" si="2"/>
        <v>60000</v>
      </c>
      <c r="G8" s="205">
        <f t="shared" si="3"/>
        <v>0</v>
      </c>
    </row>
    <row r="9" spans="1:7" x14ac:dyDescent="0.25">
      <c r="A9" s="204">
        <f>BaseloadMarkets!A9</f>
        <v>36681</v>
      </c>
      <c r="B9" s="205">
        <v>20000</v>
      </c>
      <c r="C9" s="205">
        <f>+Supplies!D9</f>
        <v>0</v>
      </c>
      <c r="D9" s="205">
        <f t="shared" si="0"/>
        <v>-20000</v>
      </c>
      <c r="E9" s="205">
        <f t="shared" si="1"/>
        <v>80000</v>
      </c>
      <c r="F9" s="205">
        <f t="shared" si="2"/>
        <v>60000</v>
      </c>
      <c r="G9" s="205">
        <f t="shared" si="3"/>
        <v>-20000</v>
      </c>
    </row>
    <row r="10" spans="1:7" x14ac:dyDescent="0.25">
      <c r="A10" s="204">
        <f>BaseloadMarkets!A10</f>
        <v>36682</v>
      </c>
      <c r="B10" s="205">
        <v>20000</v>
      </c>
      <c r="C10" s="205">
        <f>+Supplies!D10</f>
        <v>30000</v>
      </c>
      <c r="D10" s="205">
        <f t="shared" si="0"/>
        <v>10000</v>
      </c>
      <c r="E10" s="205">
        <f t="shared" si="1"/>
        <v>100000</v>
      </c>
      <c r="F10" s="205">
        <f t="shared" si="2"/>
        <v>90000</v>
      </c>
      <c r="G10" s="205">
        <f t="shared" si="3"/>
        <v>-10000</v>
      </c>
    </row>
    <row r="11" spans="1:7" x14ac:dyDescent="0.25">
      <c r="A11" s="204">
        <f>BaseloadMarkets!A11</f>
        <v>36683</v>
      </c>
      <c r="B11" s="205">
        <v>20000</v>
      </c>
      <c r="C11" s="205">
        <f>+Supplies!D11</f>
        <v>30000</v>
      </c>
      <c r="D11" s="205">
        <f t="shared" si="0"/>
        <v>10000</v>
      </c>
      <c r="E11" s="205">
        <f t="shared" si="1"/>
        <v>120000</v>
      </c>
      <c r="F11" s="205">
        <f t="shared" si="2"/>
        <v>120000</v>
      </c>
      <c r="G11" s="205">
        <f t="shared" si="3"/>
        <v>0</v>
      </c>
    </row>
    <row r="12" spans="1:7" x14ac:dyDescent="0.25">
      <c r="A12" s="204">
        <f>BaseloadMarkets!A12</f>
        <v>36684</v>
      </c>
      <c r="B12" s="205">
        <v>20000</v>
      </c>
      <c r="C12" s="205">
        <f>+Supplies!D12</f>
        <v>10000</v>
      </c>
      <c r="D12" s="205">
        <f t="shared" si="0"/>
        <v>-10000</v>
      </c>
      <c r="E12" s="205">
        <f t="shared" si="1"/>
        <v>140000</v>
      </c>
      <c r="F12" s="205">
        <f t="shared" si="2"/>
        <v>130000</v>
      </c>
      <c r="G12" s="205">
        <f t="shared" si="3"/>
        <v>-10000</v>
      </c>
    </row>
    <row r="13" spans="1:7" x14ac:dyDescent="0.25">
      <c r="A13" s="204">
        <f>BaseloadMarkets!A13</f>
        <v>36685</v>
      </c>
      <c r="B13" s="205">
        <v>20000</v>
      </c>
      <c r="C13" s="205">
        <f>+Supplies!D13</f>
        <v>30000</v>
      </c>
      <c r="D13" s="205">
        <f t="shared" si="0"/>
        <v>10000</v>
      </c>
      <c r="E13" s="205">
        <f t="shared" si="1"/>
        <v>160000</v>
      </c>
      <c r="F13" s="205">
        <f t="shared" si="2"/>
        <v>160000</v>
      </c>
      <c r="G13" s="205">
        <f t="shared" si="3"/>
        <v>0</v>
      </c>
    </row>
    <row r="14" spans="1:7" x14ac:dyDescent="0.25">
      <c r="A14" s="204">
        <f>BaseloadMarkets!A14</f>
        <v>36686</v>
      </c>
      <c r="B14" s="205">
        <v>20000</v>
      </c>
      <c r="C14" s="205">
        <f>+Supplies!D14</f>
        <v>30000</v>
      </c>
      <c r="D14" s="205">
        <f t="shared" si="0"/>
        <v>10000</v>
      </c>
      <c r="E14" s="205">
        <f t="shared" si="1"/>
        <v>180000</v>
      </c>
      <c r="F14" s="205">
        <f t="shared" si="2"/>
        <v>190000</v>
      </c>
      <c r="G14" s="205">
        <f t="shared" si="3"/>
        <v>10000</v>
      </c>
    </row>
    <row r="15" spans="1:7" x14ac:dyDescent="0.25">
      <c r="A15" s="204">
        <f>BaseloadMarkets!A15</f>
        <v>36687</v>
      </c>
      <c r="B15" s="205">
        <v>20000</v>
      </c>
      <c r="C15" s="205">
        <f>+Supplies!D15</f>
        <v>0</v>
      </c>
      <c r="D15" s="205">
        <f t="shared" si="0"/>
        <v>-20000</v>
      </c>
      <c r="E15" s="205">
        <f t="shared" si="1"/>
        <v>200000</v>
      </c>
      <c r="F15" s="205">
        <f t="shared" si="2"/>
        <v>190000</v>
      </c>
      <c r="G15" s="205">
        <f t="shared" si="3"/>
        <v>-10000</v>
      </c>
    </row>
    <row r="16" spans="1:7" x14ac:dyDescent="0.25">
      <c r="A16" s="204">
        <f>BaseloadMarkets!A16</f>
        <v>36688</v>
      </c>
      <c r="B16" s="205">
        <v>20000</v>
      </c>
      <c r="C16" s="205">
        <f>+Supplies!D16</f>
        <v>0</v>
      </c>
      <c r="D16" s="205">
        <f t="shared" si="0"/>
        <v>-20000</v>
      </c>
      <c r="E16" s="205">
        <f t="shared" si="1"/>
        <v>220000</v>
      </c>
      <c r="F16" s="205">
        <f t="shared" si="2"/>
        <v>190000</v>
      </c>
      <c r="G16" s="205">
        <f t="shared" si="3"/>
        <v>-30000</v>
      </c>
    </row>
    <row r="17" spans="1:7" x14ac:dyDescent="0.25">
      <c r="A17" s="204">
        <f>BaseloadMarkets!A17</f>
        <v>36689</v>
      </c>
      <c r="B17" s="205">
        <v>20000</v>
      </c>
      <c r="C17" s="205">
        <f>+Supplies!D17</f>
        <v>30000</v>
      </c>
      <c r="D17" s="205">
        <f t="shared" si="0"/>
        <v>10000</v>
      </c>
      <c r="E17" s="205">
        <f t="shared" si="1"/>
        <v>240000</v>
      </c>
      <c r="F17" s="205">
        <f t="shared" si="2"/>
        <v>220000</v>
      </c>
      <c r="G17" s="205">
        <f t="shared" si="3"/>
        <v>-20000</v>
      </c>
    </row>
    <row r="18" spans="1:7" x14ac:dyDescent="0.25">
      <c r="A18" s="204">
        <f>BaseloadMarkets!A18</f>
        <v>36690</v>
      </c>
      <c r="B18" s="205">
        <v>20000</v>
      </c>
      <c r="C18" s="205">
        <f>+Supplies!D18</f>
        <v>30000</v>
      </c>
      <c r="D18" s="205">
        <f t="shared" si="0"/>
        <v>10000</v>
      </c>
      <c r="E18" s="205">
        <f t="shared" si="1"/>
        <v>260000</v>
      </c>
      <c r="F18" s="205">
        <f t="shared" si="2"/>
        <v>250000</v>
      </c>
      <c r="G18" s="205">
        <f t="shared" si="3"/>
        <v>-10000</v>
      </c>
    </row>
    <row r="19" spans="1:7" x14ac:dyDescent="0.25">
      <c r="A19" s="204">
        <f>BaseloadMarkets!A19</f>
        <v>36691</v>
      </c>
      <c r="B19" s="205">
        <v>20000</v>
      </c>
      <c r="C19" s="205">
        <f>+Supplies!D19</f>
        <v>30000</v>
      </c>
      <c r="D19" s="205">
        <f t="shared" si="0"/>
        <v>10000</v>
      </c>
      <c r="E19" s="205">
        <f t="shared" si="1"/>
        <v>280000</v>
      </c>
      <c r="F19" s="205">
        <f t="shared" si="2"/>
        <v>280000</v>
      </c>
      <c r="G19" s="205">
        <f t="shared" si="3"/>
        <v>0</v>
      </c>
    </row>
    <row r="20" spans="1:7" x14ac:dyDescent="0.25">
      <c r="A20" s="204">
        <f>BaseloadMarkets!A20</f>
        <v>36692</v>
      </c>
      <c r="B20" s="205">
        <v>20000</v>
      </c>
      <c r="C20" s="205">
        <f>+Supplies!D20</f>
        <v>30000</v>
      </c>
      <c r="D20" s="205">
        <f t="shared" si="0"/>
        <v>10000</v>
      </c>
      <c r="E20" s="205">
        <f t="shared" si="1"/>
        <v>300000</v>
      </c>
      <c r="F20" s="205">
        <f t="shared" si="2"/>
        <v>310000</v>
      </c>
      <c r="G20" s="205">
        <f t="shared" si="3"/>
        <v>10000</v>
      </c>
    </row>
    <row r="21" spans="1:7" x14ac:dyDescent="0.25">
      <c r="A21" s="204">
        <f>BaseloadMarkets!A21</f>
        <v>36693</v>
      </c>
      <c r="B21" s="205">
        <v>20000</v>
      </c>
      <c r="C21" s="205">
        <f>+Supplies!D21</f>
        <v>30000</v>
      </c>
      <c r="D21" s="205">
        <f t="shared" si="0"/>
        <v>10000</v>
      </c>
      <c r="E21" s="205">
        <f t="shared" si="1"/>
        <v>320000</v>
      </c>
      <c r="F21" s="205">
        <f t="shared" si="2"/>
        <v>340000</v>
      </c>
      <c r="G21" s="205">
        <f t="shared" si="3"/>
        <v>20000</v>
      </c>
    </row>
    <row r="22" spans="1:7" x14ac:dyDescent="0.25">
      <c r="A22" s="204">
        <f>BaseloadMarkets!A22</f>
        <v>36694</v>
      </c>
      <c r="B22" s="205">
        <v>20000</v>
      </c>
      <c r="C22" s="205">
        <f>+Supplies!D22</f>
        <v>0</v>
      </c>
      <c r="D22" s="205">
        <f t="shared" si="0"/>
        <v>-20000</v>
      </c>
      <c r="E22" s="205">
        <f t="shared" si="1"/>
        <v>340000</v>
      </c>
      <c r="F22" s="205">
        <f t="shared" si="2"/>
        <v>340000</v>
      </c>
      <c r="G22" s="205">
        <f t="shared" si="3"/>
        <v>0</v>
      </c>
    </row>
    <row r="23" spans="1:7" x14ac:dyDescent="0.25">
      <c r="A23" s="204">
        <f>BaseloadMarkets!A23</f>
        <v>36695</v>
      </c>
      <c r="B23" s="205">
        <v>20000</v>
      </c>
      <c r="C23" s="205">
        <f>+Supplies!D23</f>
        <v>0</v>
      </c>
      <c r="D23" s="205">
        <f t="shared" si="0"/>
        <v>-20000</v>
      </c>
      <c r="E23" s="205">
        <f t="shared" si="1"/>
        <v>360000</v>
      </c>
      <c r="F23" s="205">
        <f t="shared" si="2"/>
        <v>340000</v>
      </c>
      <c r="G23" s="205">
        <f t="shared" si="3"/>
        <v>-20000</v>
      </c>
    </row>
    <row r="24" spans="1:7" x14ac:dyDescent="0.25">
      <c r="A24" s="204">
        <f>BaseloadMarkets!A24</f>
        <v>36696</v>
      </c>
      <c r="B24" s="205">
        <v>20000</v>
      </c>
      <c r="C24" s="205">
        <f>+Supplies!D24</f>
        <v>30000</v>
      </c>
      <c r="D24" s="205">
        <f t="shared" si="0"/>
        <v>10000</v>
      </c>
      <c r="E24" s="205">
        <f t="shared" si="1"/>
        <v>380000</v>
      </c>
      <c r="F24" s="205">
        <f t="shared" si="2"/>
        <v>370000</v>
      </c>
      <c r="G24" s="205">
        <f t="shared" si="3"/>
        <v>-10000</v>
      </c>
    </row>
    <row r="25" spans="1:7" x14ac:dyDescent="0.25">
      <c r="A25" s="204">
        <f>BaseloadMarkets!A25</f>
        <v>36697</v>
      </c>
      <c r="B25" s="205">
        <v>20000</v>
      </c>
      <c r="C25" s="205">
        <f>+Supplies!D25</f>
        <v>30000</v>
      </c>
      <c r="D25" s="205">
        <f t="shared" si="0"/>
        <v>10000</v>
      </c>
      <c r="E25" s="205">
        <f t="shared" si="1"/>
        <v>400000</v>
      </c>
      <c r="F25" s="205">
        <f t="shared" si="2"/>
        <v>400000</v>
      </c>
      <c r="G25" s="205">
        <f t="shared" si="3"/>
        <v>0</v>
      </c>
    </row>
    <row r="26" spans="1:7" x14ac:dyDescent="0.25">
      <c r="A26" s="204">
        <f>BaseloadMarkets!A26</f>
        <v>36698</v>
      </c>
      <c r="B26" s="205">
        <v>20000</v>
      </c>
      <c r="C26" s="205">
        <f>+Supplies!D26</f>
        <v>30000</v>
      </c>
      <c r="D26" s="205">
        <f t="shared" si="0"/>
        <v>10000</v>
      </c>
      <c r="E26" s="205">
        <f t="shared" si="1"/>
        <v>420000</v>
      </c>
      <c r="F26" s="205">
        <f t="shared" si="2"/>
        <v>430000</v>
      </c>
      <c r="G26" s="205">
        <f t="shared" si="3"/>
        <v>10000</v>
      </c>
    </row>
    <row r="27" spans="1:7" x14ac:dyDescent="0.25">
      <c r="A27" s="204">
        <f>BaseloadMarkets!A27</f>
        <v>36699</v>
      </c>
      <c r="B27" s="205">
        <v>20000</v>
      </c>
      <c r="C27" s="205">
        <f>+Supplies!D27</f>
        <v>30000</v>
      </c>
      <c r="D27" s="205">
        <f t="shared" si="0"/>
        <v>10000</v>
      </c>
      <c r="E27" s="205">
        <f t="shared" si="1"/>
        <v>440000</v>
      </c>
      <c r="F27" s="205">
        <f t="shared" si="2"/>
        <v>460000</v>
      </c>
      <c r="G27" s="205">
        <f t="shared" si="3"/>
        <v>20000</v>
      </c>
    </row>
    <row r="28" spans="1:7" x14ac:dyDescent="0.25">
      <c r="A28" s="204">
        <f>BaseloadMarkets!A28</f>
        <v>36700</v>
      </c>
      <c r="B28" s="205">
        <v>20000</v>
      </c>
      <c r="C28" s="205">
        <f>+Supplies!D28</f>
        <v>38000</v>
      </c>
      <c r="D28" s="205">
        <f t="shared" si="0"/>
        <v>18000</v>
      </c>
      <c r="E28" s="205">
        <f t="shared" si="1"/>
        <v>460000</v>
      </c>
      <c r="F28" s="205">
        <f t="shared" si="2"/>
        <v>498000</v>
      </c>
      <c r="G28" s="205">
        <f t="shared" si="3"/>
        <v>38000</v>
      </c>
    </row>
    <row r="29" spans="1:7" x14ac:dyDescent="0.25">
      <c r="A29" s="204">
        <f>BaseloadMarkets!A29</f>
        <v>36701</v>
      </c>
      <c r="B29" s="205">
        <v>20000</v>
      </c>
      <c r="C29" s="205">
        <f>+Supplies!D29</f>
        <v>0</v>
      </c>
      <c r="D29" s="205">
        <f t="shared" si="0"/>
        <v>-20000</v>
      </c>
      <c r="E29" s="205">
        <f t="shared" si="1"/>
        <v>480000</v>
      </c>
      <c r="F29" s="205">
        <f t="shared" si="2"/>
        <v>498000</v>
      </c>
      <c r="G29" s="205">
        <f t="shared" si="3"/>
        <v>18000</v>
      </c>
    </row>
    <row r="30" spans="1:7" x14ac:dyDescent="0.25">
      <c r="A30" s="204">
        <f>BaseloadMarkets!A30</f>
        <v>36702</v>
      </c>
      <c r="B30" s="205">
        <v>20000</v>
      </c>
      <c r="C30" s="205">
        <f>+Supplies!D30</f>
        <v>0</v>
      </c>
      <c r="D30" s="205">
        <f t="shared" si="0"/>
        <v>-20000</v>
      </c>
      <c r="E30" s="205">
        <f t="shared" si="1"/>
        <v>500000</v>
      </c>
      <c r="F30" s="205">
        <f t="shared" si="2"/>
        <v>498000</v>
      </c>
      <c r="G30" s="205">
        <f t="shared" si="3"/>
        <v>-2000</v>
      </c>
    </row>
    <row r="31" spans="1:7" x14ac:dyDescent="0.25">
      <c r="A31" s="204">
        <f>BaseloadMarkets!A31</f>
        <v>36703</v>
      </c>
      <c r="B31" s="205">
        <v>20000</v>
      </c>
      <c r="C31" s="205">
        <f>+Supplies!D31</f>
        <v>30000</v>
      </c>
      <c r="D31" s="205">
        <f t="shared" si="0"/>
        <v>10000</v>
      </c>
      <c r="E31" s="205">
        <f t="shared" si="1"/>
        <v>520000</v>
      </c>
      <c r="F31" s="205">
        <f t="shared" si="2"/>
        <v>528000</v>
      </c>
      <c r="G31" s="205">
        <f t="shared" si="3"/>
        <v>8000</v>
      </c>
    </row>
    <row r="32" spans="1:7" x14ac:dyDescent="0.25">
      <c r="A32" s="204">
        <f>BaseloadMarkets!A32</f>
        <v>36704</v>
      </c>
      <c r="B32" s="205">
        <v>20000</v>
      </c>
      <c r="C32" s="205">
        <f>+Supplies!D32</f>
        <v>30000</v>
      </c>
      <c r="D32" s="205">
        <f t="shared" si="0"/>
        <v>10000</v>
      </c>
      <c r="E32" s="205">
        <f t="shared" si="1"/>
        <v>540000</v>
      </c>
      <c r="F32" s="205">
        <f t="shared" si="2"/>
        <v>558000</v>
      </c>
      <c r="G32" s="205">
        <f t="shared" si="3"/>
        <v>18000</v>
      </c>
    </row>
    <row r="33" spans="1:7" x14ac:dyDescent="0.25">
      <c r="A33" s="204">
        <f>BaseloadMarkets!A33</f>
        <v>36705</v>
      </c>
      <c r="B33" s="205">
        <v>20000</v>
      </c>
      <c r="C33" s="205">
        <f>+Supplies!D33</f>
        <v>30000</v>
      </c>
      <c r="D33" s="205">
        <f t="shared" si="0"/>
        <v>10000</v>
      </c>
      <c r="E33" s="205">
        <f t="shared" si="1"/>
        <v>560000</v>
      </c>
      <c r="F33" s="205">
        <f t="shared" si="2"/>
        <v>588000</v>
      </c>
      <c r="G33" s="205">
        <f t="shared" si="3"/>
        <v>28000</v>
      </c>
    </row>
    <row r="34" spans="1:7" x14ac:dyDescent="0.25">
      <c r="A34" s="204">
        <f>BaseloadMarkets!A34</f>
        <v>36706</v>
      </c>
      <c r="B34" s="205">
        <v>20000</v>
      </c>
      <c r="C34" s="205">
        <f>+Supplies!D34</f>
        <v>12000</v>
      </c>
      <c r="D34" s="205">
        <f t="shared" si="0"/>
        <v>-8000</v>
      </c>
      <c r="E34" s="205">
        <f t="shared" si="1"/>
        <v>580000</v>
      </c>
      <c r="F34" s="205">
        <f t="shared" si="2"/>
        <v>600000</v>
      </c>
      <c r="G34" s="205">
        <f t="shared" si="3"/>
        <v>20000</v>
      </c>
    </row>
    <row r="35" spans="1:7" x14ac:dyDescent="0.25">
      <c r="A35" s="204">
        <f>BaseloadMarkets!A35</f>
        <v>36707</v>
      </c>
      <c r="B35" s="205">
        <v>20000</v>
      </c>
      <c r="C35" s="205">
        <f>+Supplies!D35</f>
        <v>0</v>
      </c>
      <c r="D35" s="205">
        <f>+C35-B35</f>
        <v>-20000</v>
      </c>
      <c r="E35" s="205">
        <f>+E34+B35</f>
        <v>600000</v>
      </c>
      <c r="F35" s="205">
        <f>+F34+C35</f>
        <v>600000</v>
      </c>
      <c r="G35" s="205">
        <f>+G34+D35</f>
        <v>0</v>
      </c>
    </row>
    <row r="36" spans="1:7" ht="13.8" thickBot="1" x14ac:dyDescent="0.3">
      <c r="A36" s="204"/>
      <c r="B36" s="205"/>
      <c r="C36" s="205"/>
      <c r="D36" s="205"/>
      <c r="E36" s="205"/>
      <c r="F36" s="205"/>
      <c r="G36" s="205"/>
    </row>
    <row r="37" spans="1:7" ht="13.8" thickTop="1" x14ac:dyDescent="0.25">
      <c r="A37" s="204" t="str">
        <f>BaseloadMarkets!A37</f>
        <v>Totals</v>
      </c>
      <c r="B37" s="206">
        <f>SUM(B6:B36)</f>
        <v>600000</v>
      </c>
      <c r="C37" s="206">
        <f>SUM(C6:C36)</f>
        <v>600000</v>
      </c>
      <c r="D37" s="206">
        <f>SUM(D6:D36)</f>
        <v>0</v>
      </c>
      <c r="E37" s="207"/>
      <c r="F37" s="205"/>
      <c r="G37" s="207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D40"/>
  <sheetViews>
    <sheetView workbookViewId="0">
      <pane xSplit="1" ySplit="5" topLeftCell="AF6" activePane="bottomRight" state="frozen"/>
      <selection activeCell="F4" sqref="F4"/>
      <selection pane="topRight" activeCell="F4" sqref="F4"/>
      <selection pane="bottomLeft" activeCell="F4" sqref="F4"/>
      <selection pane="bottomRight" activeCell="AM14" sqref="AM14"/>
    </sheetView>
  </sheetViews>
  <sheetFormatPr defaultColWidth="12.77734375" defaultRowHeight="13.2" x14ac:dyDescent="0.25"/>
  <cols>
    <col min="1" max="1" width="12.77734375" style="20" customWidth="1"/>
    <col min="2" max="2" width="12.77734375" style="205" customWidth="1"/>
    <col min="3" max="3" width="15.44140625" style="205" customWidth="1"/>
    <col min="4" max="53" width="12.77734375" style="205" customWidth="1"/>
    <col min="54" max="16384" width="12.77734375" style="20"/>
  </cols>
  <sheetData>
    <row r="1" spans="1:108" x14ac:dyDescent="0.25">
      <c r="A1" s="208" t="s">
        <v>88</v>
      </c>
      <c r="C1" s="390">
        <f>+BaseloadMarkets!B1</f>
        <v>36678</v>
      </c>
      <c r="D1" s="385"/>
    </row>
    <row r="3" spans="1:108" s="203" customFormat="1" x14ac:dyDescent="0.25">
      <c r="A3" s="202" t="str">
        <f>+OCCMarkets!A3</f>
        <v>OCC</v>
      </c>
      <c r="B3" s="386" t="str">
        <f>+OCCMarkets!AC3</f>
        <v>S18</v>
      </c>
      <c r="C3" s="386"/>
      <c r="D3" s="386"/>
      <c r="E3" s="386"/>
      <c r="F3" s="386" t="str">
        <f>+OCCMarkets!AG3</f>
        <v>Total</v>
      </c>
      <c r="G3" s="386"/>
      <c r="H3" s="386"/>
      <c r="I3" s="387" t="str">
        <f>+OCCMarkets!AJ3</f>
        <v>C01</v>
      </c>
      <c r="J3" s="387"/>
      <c r="K3" s="387"/>
      <c r="L3" s="387"/>
      <c r="M3" s="387" t="str">
        <f>+OCCMarkets!AN3</f>
        <v>Total</v>
      </c>
      <c r="N3" s="387"/>
      <c r="O3" s="387"/>
      <c r="P3" s="388" t="str">
        <f>+OCCMarkets!AQ3</f>
        <v>S07</v>
      </c>
      <c r="Q3" s="388"/>
      <c r="R3" s="388"/>
      <c r="S3" s="388"/>
      <c r="T3" s="388" t="str">
        <f>+OCCMarkets!AU3</f>
        <v>Total</v>
      </c>
      <c r="U3" s="388"/>
      <c r="V3" s="388"/>
      <c r="W3" s="391" t="str">
        <f>+OCCMarkets!AX3</f>
        <v>S19</v>
      </c>
      <c r="X3" s="391"/>
      <c r="Y3" s="391"/>
      <c r="Z3" s="391"/>
      <c r="AA3" s="391" t="str">
        <f>+OCCMarkets!BB3</f>
        <v>Total</v>
      </c>
      <c r="AB3" s="391"/>
      <c r="AC3" s="391"/>
      <c r="AD3" s="389" t="str">
        <f>+OCCMarkets!BE3</f>
        <v>S88</v>
      </c>
      <c r="AE3" s="389"/>
      <c r="AF3" s="389"/>
      <c r="AG3" s="389"/>
      <c r="AH3" s="389" t="str">
        <f>+OCCMarkets!BI3</f>
        <v>Total</v>
      </c>
      <c r="AI3" s="389"/>
      <c r="AJ3" s="389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09"/>
      <c r="BC3" s="209"/>
      <c r="BD3" s="209"/>
      <c r="BE3" s="209"/>
      <c r="BF3" s="209"/>
      <c r="BG3" s="209"/>
      <c r="BH3" s="209"/>
      <c r="BI3" s="209"/>
      <c r="BJ3" s="209"/>
      <c r="BK3" s="209"/>
      <c r="BL3" s="209"/>
      <c r="BM3" s="209"/>
      <c r="BN3" s="209"/>
      <c r="BO3" s="209"/>
      <c r="BP3" s="209"/>
      <c r="BQ3" s="209"/>
      <c r="BR3" s="209"/>
      <c r="BS3" s="209"/>
      <c r="BT3" s="209"/>
      <c r="BU3" s="209"/>
      <c r="BV3" s="209"/>
      <c r="BW3" s="209"/>
      <c r="BX3" s="209"/>
      <c r="BY3" s="209"/>
      <c r="BZ3" s="209"/>
      <c r="CA3" s="209"/>
      <c r="CB3" s="209"/>
      <c r="CC3" s="209"/>
      <c r="CD3" s="209"/>
      <c r="CE3" s="209"/>
      <c r="CF3" s="209"/>
      <c r="CG3" s="209"/>
      <c r="CH3" s="209"/>
      <c r="CI3" s="209"/>
      <c r="CJ3" s="209"/>
      <c r="CK3" s="209"/>
      <c r="CL3" s="209"/>
      <c r="CM3" s="209"/>
      <c r="CN3" s="209"/>
      <c r="CO3" s="209"/>
      <c r="CP3" s="209"/>
      <c r="CQ3" s="209"/>
      <c r="CR3" s="209"/>
      <c r="CS3" s="209"/>
      <c r="CT3" s="209"/>
      <c r="CU3" s="209"/>
      <c r="CV3" s="209"/>
      <c r="CW3" s="209"/>
      <c r="CX3" s="209"/>
      <c r="CY3" s="209"/>
      <c r="CZ3" s="209"/>
      <c r="DA3" s="209"/>
      <c r="DB3" s="209"/>
      <c r="DC3" s="209"/>
      <c r="DD3" s="209"/>
    </row>
    <row r="4" spans="1:108" s="203" customFormat="1" x14ac:dyDescent="0.25">
      <c r="A4" s="202" t="str">
        <f>+OCCMarkets!A4</f>
        <v>CounterParty</v>
      </c>
      <c r="B4" s="386" t="str">
        <f>+OCCMarkets!AC4</f>
        <v>Smurfit</v>
      </c>
      <c r="C4" s="386" t="str">
        <f>+OCCMarkets!AD4</f>
        <v>9KUB/9KUC</v>
      </c>
      <c r="D4" s="386"/>
      <c r="E4" s="386"/>
      <c r="F4" s="386" t="str">
        <f>+B3</f>
        <v>S18</v>
      </c>
      <c r="G4" s="386" t="str">
        <f>+OCCMarkets!AH4</f>
        <v>Daily</v>
      </c>
      <c r="H4" s="386" t="str">
        <f>+OCCMarkets!AI4</f>
        <v>Cumulative</v>
      </c>
      <c r="I4" s="387" t="str">
        <f>+OCCMarkets!AJ4</f>
        <v>Smurfit</v>
      </c>
      <c r="J4" s="387" t="str">
        <f>+OCCMarkets!AK4</f>
        <v>9KUB/9KUC</v>
      </c>
      <c r="K4" s="387">
        <f>+OCCMarkets!AL4</f>
        <v>0</v>
      </c>
      <c r="L4" s="387"/>
      <c r="M4" s="387" t="str">
        <f>+OCCMarkets!AN4</f>
        <v>Smurfit</v>
      </c>
      <c r="N4" s="387" t="str">
        <f>+OCCMarkets!AO4</f>
        <v>Daily</v>
      </c>
      <c r="O4" s="387" t="str">
        <f>+OCCMarkets!AP4</f>
        <v>Cumulative</v>
      </c>
      <c r="P4" s="388" t="str">
        <f>+OCCMarkets!AQ4</f>
        <v>Smurfit</v>
      </c>
      <c r="Q4" s="388" t="str">
        <f>+OCCMarkets!AR4</f>
        <v>9KUB</v>
      </c>
      <c r="R4" s="388"/>
      <c r="S4" s="388"/>
      <c r="T4" s="388" t="str">
        <f>+OCCMarkets!AU4</f>
        <v>Smurfit</v>
      </c>
      <c r="U4" s="388" t="str">
        <f>+OCCMarkets!AV4</f>
        <v>Daily</v>
      </c>
      <c r="V4" s="388" t="str">
        <f>+OCCMarkets!AW4</f>
        <v>Cumulative</v>
      </c>
      <c r="W4" s="391" t="str">
        <f>+OCCMarkets!AX4</f>
        <v>Smurfit</v>
      </c>
      <c r="X4" s="391"/>
      <c r="Y4" s="391"/>
      <c r="Z4" s="391"/>
      <c r="AA4" s="391" t="str">
        <f>+OCCMarkets!BB4</f>
        <v>Smurfit</v>
      </c>
      <c r="AB4" s="391" t="str">
        <f>+OCCMarkets!BC4</f>
        <v>Daily</v>
      </c>
      <c r="AC4" s="391" t="str">
        <f>+OCCMarkets!BD4</f>
        <v>Cumulative</v>
      </c>
      <c r="AD4" s="389" t="str">
        <f>+OCCMarkets!BE4</f>
        <v>Smurfit</v>
      </c>
      <c r="AE4" s="389"/>
      <c r="AF4" s="389"/>
      <c r="AG4" s="389"/>
      <c r="AH4" s="389" t="str">
        <f>+OCCMarkets!BI4</f>
        <v>Smurfit</v>
      </c>
      <c r="AI4" s="389" t="str">
        <f>+OCCMarkets!BJ4</f>
        <v>Daily</v>
      </c>
      <c r="AJ4" s="389" t="str">
        <f>+OCCMarkets!BK4</f>
        <v>Cumulative</v>
      </c>
      <c r="AK4" s="210"/>
      <c r="AL4" s="210" t="s">
        <v>10</v>
      </c>
      <c r="AM4" s="210" t="s">
        <v>10</v>
      </c>
      <c r="AN4" s="210" t="s">
        <v>31</v>
      </c>
      <c r="AO4" s="210" t="s">
        <v>32</v>
      </c>
      <c r="AP4" s="210"/>
      <c r="AQ4" s="210"/>
      <c r="AR4" s="210"/>
      <c r="AS4" s="210"/>
      <c r="AT4" s="210"/>
      <c r="AU4" s="210"/>
      <c r="AV4" s="210"/>
      <c r="AW4" s="210"/>
      <c r="AX4" s="210"/>
      <c r="AY4" s="210"/>
      <c r="AZ4" s="210"/>
      <c r="BA4" s="210"/>
      <c r="BB4" s="209"/>
      <c r="BC4" s="209"/>
      <c r="BD4" s="209"/>
      <c r="BE4" s="209"/>
      <c r="BF4" s="209"/>
      <c r="BG4" s="209"/>
      <c r="BH4" s="209"/>
      <c r="BI4" s="209"/>
      <c r="BJ4" s="209"/>
      <c r="BK4" s="209"/>
      <c r="BL4" s="209"/>
      <c r="BM4" s="209"/>
      <c r="BN4" s="209"/>
      <c r="BO4" s="209"/>
      <c r="BP4" s="209"/>
      <c r="BQ4" s="209"/>
      <c r="BR4" s="209"/>
      <c r="BS4" s="209"/>
      <c r="BT4" s="209"/>
      <c r="BU4" s="209"/>
      <c r="BV4" s="209"/>
      <c r="BW4" s="209"/>
      <c r="BX4" s="209"/>
      <c r="BY4" s="209"/>
      <c r="BZ4" s="209"/>
      <c r="CA4" s="209"/>
      <c r="CB4" s="209"/>
      <c r="CC4" s="209"/>
      <c r="CD4" s="209"/>
      <c r="CE4" s="209"/>
      <c r="CF4" s="209"/>
      <c r="CG4" s="209"/>
      <c r="CH4" s="209"/>
      <c r="CI4" s="209"/>
      <c r="CJ4" s="209"/>
      <c r="CK4" s="209"/>
      <c r="CL4" s="209"/>
      <c r="CM4" s="209"/>
      <c r="CN4" s="209"/>
      <c r="CO4" s="209"/>
      <c r="CP4" s="209"/>
      <c r="CQ4" s="209"/>
      <c r="CR4" s="209"/>
      <c r="CS4" s="209"/>
      <c r="CT4" s="209"/>
      <c r="CU4" s="209"/>
      <c r="CV4" s="209"/>
      <c r="CW4" s="209"/>
      <c r="CX4" s="209"/>
      <c r="CY4" s="209"/>
      <c r="CZ4" s="209"/>
      <c r="DA4" s="209"/>
      <c r="DB4" s="209"/>
      <c r="DC4" s="209"/>
      <c r="DD4" s="209"/>
    </row>
    <row r="5" spans="1:108" s="203" customFormat="1" x14ac:dyDescent="0.25">
      <c r="A5" s="202" t="str">
        <f>+OCCMarkets!A5</f>
        <v>Pipeline</v>
      </c>
      <c r="B5" s="386" t="str">
        <f>+OCCMarkets!AC5</f>
        <v>Demand</v>
      </c>
      <c r="C5" s="386" t="str">
        <f>+OCCMarkets!AD5</f>
        <v>Top/Ehr</v>
      </c>
      <c r="D5" s="386" t="str">
        <f>+OCCMarkets!AE5</f>
        <v>KRS</v>
      </c>
      <c r="E5" s="386">
        <f>+OCCMarkets!AF5</f>
        <v>0</v>
      </c>
      <c r="F5" s="386" t="str">
        <f>+OCCMarkets!AG5</f>
        <v>Scheduled</v>
      </c>
      <c r="G5" s="386" t="str">
        <f>+OCCMarkets!AH5</f>
        <v>Long/(Short)</v>
      </c>
      <c r="H5" s="386" t="str">
        <f>+OCCMarkets!AI5</f>
        <v>Imbalance</v>
      </c>
      <c r="I5" s="387" t="str">
        <f>+OCCMarkets!AJ5</f>
        <v>Demand</v>
      </c>
      <c r="J5" s="387" t="str">
        <f>+OCCMarkets!AK5</f>
        <v>Top/Ehr</v>
      </c>
      <c r="K5" s="387" t="str">
        <f>+OCCMarkets!AL5</f>
        <v>KS0202DD</v>
      </c>
      <c r="L5" s="387"/>
      <c r="M5" s="387" t="str">
        <f>+OCCMarkets!AN5</f>
        <v>Scheduled</v>
      </c>
      <c r="N5" s="387" t="str">
        <f>+OCCMarkets!AO5</f>
        <v>Long/(Short)</v>
      </c>
      <c r="O5" s="387" t="str">
        <f>+OCCMarkets!AP5</f>
        <v>Imbalance</v>
      </c>
      <c r="P5" s="388" t="str">
        <f>+OCCMarkets!AQ5</f>
        <v>Demand</v>
      </c>
      <c r="Q5" s="388" t="str">
        <f>+OCCMarkets!AR5</f>
        <v>TOP</v>
      </c>
      <c r="R5" s="388">
        <f>+OCCMarkets!AS5</f>
        <v>0</v>
      </c>
      <c r="S5" s="388"/>
      <c r="T5" s="388" t="str">
        <f>+OCCMarkets!AU5</f>
        <v>Scheduled</v>
      </c>
      <c r="U5" s="388" t="str">
        <f>+OCCMarkets!AV5</f>
        <v>Long/(Short)</v>
      </c>
      <c r="V5" s="388" t="str">
        <f>+OCCMarkets!AW5</f>
        <v>Imbalance</v>
      </c>
      <c r="W5" s="391" t="str">
        <f>+OCCMarkets!AX5</f>
        <v>Demand</v>
      </c>
      <c r="X5" s="391" t="str">
        <f>+OCCMarkets!AY5</f>
        <v>Top/Ehr</v>
      </c>
      <c r="Y5" s="391"/>
      <c r="Z5" s="391"/>
      <c r="AA5" s="391" t="str">
        <f>+OCCMarkets!BB5</f>
        <v>Scheduled</v>
      </c>
      <c r="AB5" s="391" t="str">
        <f>+OCCMarkets!BC5</f>
        <v>Long/(Short)</v>
      </c>
      <c r="AC5" s="391" t="str">
        <f>+OCCMarkets!BD5</f>
        <v>Imbalance</v>
      </c>
      <c r="AD5" s="389" t="str">
        <f>+OCCMarkets!BE5</f>
        <v>Demand</v>
      </c>
      <c r="AE5" s="389" t="str">
        <f>+OCCMarkets!BF5</f>
        <v>Top/Ehr</v>
      </c>
      <c r="AF5" s="389"/>
      <c r="AG5" s="389"/>
      <c r="AH5" s="389" t="str">
        <f>+OCCMarkets!BI5</f>
        <v>Scheduled</v>
      </c>
      <c r="AI5" s="389" t="str">
        <f>+OCCMarkets!BJ5</f>
        <v>Long/(Short)</v>
      </c>
      <c r="AJ5" s="389" t="str">
        <f>+OCCMarkets!BK5</f>
        <v>Imbalance</v>
      </c>
      <c r="AK5" s="210"/>
      <c r="AL5" s="210" t="s">
        <v>38</v>
      </c>
      <c r="AM5" s="210" t="s">
        <v>40</v>
      </c>
      <c r="AN5" s="210" t="s">
        <v>41</v>
      </c>
      <c r="AO5" s="210" t="s">
        <v>42</v>
      </c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0"/>
      <c r="BA5" s="210"/>
      <c r="BB5" s="209"/>
      <c r="BC5" s="209"/>
      <c r="BD5" s="209"/>
      <c r="BE5" s="209"/>
      <c r="BF5" s="209"/>
      <c r="BG5" s="209"/>
      <c r="BH5" s="209"/>
      <c r="BI5" s="209"/>
      <c r="BJ5" s="209"/>
      <c r="BK5" s="209"/>
      <c r="BL5" s="209"/>
      <c r="BM5" s="209"/>
      <c r="BN5" s="209"/>
      <c r="BO5" s="209"/>
      <c r="BP5" s="209"/>
      <c r="BQ5" s="209"/>
      <c r="BR5" s="209"/>
      <c r="BS5" s="209"/>
      <c r="BT5" s="209"/>
      <c r="BU5" s="209"/>
      <c r="BV5" s="209"/>
      <c r="BW5" s="209"/>
      <c r="BX5" s="209"/>
      <c r="BY5" s="209"/>
      <c r="BZ5" s="209"/>
      <c r="CA5" s="209"/>
      <c r="CB5" s="209"/>
      <c r="CC5" s="209"/>
      <c r="CD5" s="209"/>
      <c r="CE5" s="209"/>
      <c r="CF5" s="209"/>
      <c r="CG5" s="209"/>
      <c r="CH5" s="209"/>
      <c r="CI5" s="209"/>
      <c r="CJ5" s="209"/>
      <c r="CK5" s="209"/>
      <c r="CL5" s="209"/>
      <c r="CM5" s="209"/>
      <c r="CN5" s="209"/>
      <c r="CO5" s="209"/>
      <c r="CP5" s="209"/>
      <c r="CQ5" s="209"/>
      <c r="CR5" s="209"/>
      <c r="CS5" s="209"/>
      <c r="CT5" s="209"/>
      <c r="CU5" s="209"/>
      <c r="CV5" s="209"/>
      <c r="CW5" s="209"/>
      <c r="CX5" s="209"/>
      <c r="CY5" s="209"/>
      <c r="CZ5" s="209"/>
      <c r="DA5" s="209"/>
      <c r="DB5" s="209"/>
      <c r="DC5" s="209"/>
      <c r="DD5" s="209"/>
    </row>
    <row r="6" spans="1:108" x14ac:dyDescent="0.25">
      <c r="A6" s="211">
        <f>+BaseloadMarkets!A6</f>
        <v>36678</v>
      </c>
      <c r="B6" s="386">
        <f>+OCCMarkets!AC6</f>
        <v>157</v>
      </c>
      <c r="C6" s="386">
        <f>+OCCMarkets!AD6</f>
        <v>1757</v>
      </c>
      <c r="D6" s="386">
        <f>+OCCMarkets!AE6</f>
        <v>0</v>
      </c>
      <c r="E6" s="386">
        <f>+OCCMarkets!AF6</f>
        <v>0</v>
      </c>
      <c r="F6" s="386">
        <f>+OCCMarkets!AG6</f>
        <v>1757</v>
      </c>
      <c r="G6" s="386">
        <f>+OCCMarkets!AH6</f>
        <v>1600</v>
      </c>
      <c r="H6" s="386">
        <f>+OCCMarkets!AI6</f>
        <v>1600</v>
      </c>
      <c r="I6" s="387">
        <f>+OCCMarkets!AJ6</f>
        <v>9487</v>
      </c>
      <c r="J6" s="387">
        <f>+OCCMarkets!AK6</f>
        <v>7375</v>
      </c>
      <c r="K6" s="387">
        <f>+OCCMarkets!AL6</f>
        <v>10299</v>
      </c>
      <c r="L6" s="387">
        <f>+OCCMarkets!AM6</f>
        <v>3600</v>
      </c>
      <c r="M6" s="387">
        <f>+OCCMarkets!AN6</f>
        <v>21274</v>
      </c>
      <c r="N6" s="387">
        <f>+OCCMarkets!AO6</f>
        <v>11787</v>
      </c>
      <c r="O6" s="387">
        <f>+OCCMarkets!AP6</f>
        <v>11787</v>
      </c>
      <c r="P6" s="388">
        <f>+OCCMarkets!AQ6</f>
        <v>0</v>
      </c>
      <c r="Q6" s="388">
        <f>+OCCMarkets!AR6</f>
        <v>0</v>
      </c>
      <c r="R6" s="388">
        <f>+OCCMarkets!AS6</f>
        <v>0</v>
      </c>
      <c r="S6" s="388">
        <f>+OCCMarkets!AT6</f>
        <v>0</v>
      </c>
      <c r="T6" s="388">
        <f>+OCCMarkets!AU6</f>
        <v>0</v>
      </c>
      <c r="U6" s="388">
        <f>+OCCMarkets!AV6</f>
        <v>0</v>
      </c>
      <c r="V6" s="388">
        <f>+OCCMarkets!AW6</f>
        <v>0</v>
      </c>
      <c r="W6" s="391">
        <f>+OCCMarkets!AX6</f>
        <v>195</v>
      </c>
      <c r="X6" s="391">
        <f>+OCCMarkets!AY6</f>
        <v>1757</v>
      </c>
      <c r="Y6" s="391">
        <f>+OCCMarkets!AZ6</f>
        <v>0</v>
      </c>
      <c r="Z6" s="391">
        <f>+OCCMarkets!BA6</f>
        <v>0</v>
      </c>
      <c r="AA6" s="391">
        <f>+OCCMarkets!BB6</f>
        <v>1757</v>
      </c>
      <c r="AB6" s="391">
        <f>+OCCMarkets!BC6</f>
        <v>1562</v>
      </c>
      <c r="AC6" s="391">
        <f>+OCCMarkets!BD6</f>
        <v>1562</v>
      </c>
      <c r="AD6" s="389">
        <f>+OCCMarkets!BE6</f>
        <v>321</v>
      </c>
      <c r="AE6" s="389">
        <f>+OCCMarkets!BF6</f>
        <v>2343</v>
      </c>
      <c r="AF6" s="389">
        <f>+OCCMarkets!BG6</f>
        <v>0</v>
      </c>
      <c r="AG6" s="389">
        <f>+OCCMarkets!BH6</f>
        <v>0</v>
      </c>
      <c r="AH6" s="389">
        <f>+OCCMarkets!BI6</f>
        <v>2343</v>
      </c>
      <c r="AI6" s="389">
        <f>+OCCMarkets!BJ6</f>
        <v>2022</v>
      </c>
      <c r="AJ6" s="389">
        <f>+OCCMarkets!BK6</f>
        <v>2022</v>
      </c>
      <c r="AL6" s="205">
        <f t="shared" ref="AL6:AL34" si="0">+B6+I6+P6+W6+AD6</f>
        <v>10160</v>
      </c>
      <c r="AM6" s="205">
        <f t="shared" ref="AM6:AM34" si="1">+F6+M6+T6+AA6+AH6</f>
        <v>27131</v>
      </c>
      <c r="AN6" s="205">
        <f t="shared" ref="AN6:AN34" si="2">+AM6-AL6</f>
        <v>16971</v>
      </c>
      <c r="AO6" s="205">
        <f>+H6+O6+V6+AC6+AJ6</f>
        <v>16971</v>
      </c>
      <c r="BB6" s="216"/>
      <c r="BC6" s="216"/>
      <c r="BD6" s="216"/>
      <c r="BE6" s="216"/>
      <c r="BF6" s="216"/>
      <c r="BG6" s="216"/>
      <c r="BH6" s="216"/>
      <c r="BI6" s="216"/>
      <c r="BJ6" s="216"/>
      <c r="BK6" s="216"/>
      <c r="BL6" s="216"/>
      <c r="BM6" s="216"/>
      <c r="BN6" s="216"/>
      <c r="BO6" s="216"/>
      <c r="BP6" s="216"/>
      <c r="BQ6" s="216"/>
      <c r="BR6" s="216"/>
      <c r="BS6" s="216"/>
      <c r="BT6" s="216"/>
      <c r="BU6" s="216"/>
      <c r="BV6" s="216"/>
      <c r="BW6" s="216"/>
      <c r="BX6" s="216"/>
      <c r="BY6" s="216"/>
      <c r="BZ6" s="216"/>
      <c r="CA6" s="216"/>
      <c r="CB6" s="216"/>
      <c r="CC6" s="216"/>
      <c r="CD6" s="216"/>
      <c r="CE6" s="216"/>
      <c r="CF6" s="216"/>
      <c r="CG6" s="216"/>
      <c r="CH6" s="216"/>
      <c r="CI6" s="216"/>
      <c r="CJ6" s="216"/>
      <c r="CK6" s="216"/>
      <c r="CL6" s="216"/>
      <c r="CM6" s="216"/>
      <c r="CN6" s="216"/>
      <c r="CO6" s="216"/>
      <c r="CP6" s="216"/>
      <c r="CQ6" s="216"/>
      <c r="CR6" s="216"/>
      <c r="CS6" s="216"/>
      <c r="CT6" s="216"/>
      <c r="CU6" s="216"/>
      <c r="CV6" s="216"/>
      <c r="CW6" s="216"/>
      <c r="CX6" s="216"/>
      <c r="CY6" s="216"/>
      <c r="CZ6" s="216"/>
      <c r="DA6" s="216"/>
      <c r="DB6" s="216"/>
      <c r="DC6" s="216"/>
      <c r="DD6" s="216"/>
    </row>
    <row r="7" spans="1:108" x14ac:dyDescent="0.25">
      <c r="A7" s="211">
        <f>+BaseloadMarkets!A7</f>
        <v>36679</v>
      </c>
      <c r="B7" s="386">
        <f>+OCCMarkets!AC7</f>
        <v>184</v>
      </c>
      <c r="C7" s="386">
        <f>+OCCMarkets!AD7</f>
        <v>934</v>
      </c>
      <c r="D7" s="386">
        <f>+OCCMarkets!AE7</f>
        <v>0</v>
      </c>
      <c r="E7" s="386">
        <f>+OCCMarkets!AF7</f>
        <v>0</v>
      </c>
      <c r="F7" s="386">
        <f>+OCCMarkets!AG7</f>
        <v>934</v>
      </c>
      <c r="G7" s="386">
        <f>+OCCMarkets!AH7</f>
        <v>750</v>
      </c>
      <c r="H7" s="386">
        <f>+OCCMarkets!AI7</f>
        <v>2350</v>
      </c>
      <c r="I7" s="387">
        <f>+OCCMarkets!AJ7</f>
        <v>8354</v>
      </c>
      <c r="J7" s="387">
        <f>+OCCMarkets!AK7</f>
        <v>15230</v>
      </c>
      <c r="K7" s="387">
        <f>+OCCMarkets!AL7</f>
        <v>3783</v>
      </c>
      <c r="L7" s="387">
        <f>+OCCMarkets!AM7</f>
        <v>3600</v>
      </c>
      <c r="M7" s="387">
        <f>+OCCMarkets!AN7</f>
        <v>22613</v>
      </c>
      <c r="N7" s="387">
        <f>+OCCMarkets!AO7</f>
        <v>14259</v>
      </c>
      <c r="O7" s="387">
        <f>+OCCMarkets!AP7</f>
        <v>26046</v>
      </c>
      <c r="P7" s="388">
        <f>+OCCMarkets!AQ7</f>
        <v>0</v>
      </c>
      <c r="Q7" s="388">
        <f>+OCCMarkets!AR7</f>
        <v>0</v>
      </c>
      <c r="R7" s="388">
        <f>+OCCMarkets!AS7</f>
        <v>0</v>
      </c>
      <c r="S7" s="388">
        <f>+OCCMarkets!AT7</f>
        <v>0</v>
      </c>
      <c r="T7" s="388">
        <f>+OCCMarkets!AU7</f>
        <v>0</v>
      </c>
      <c r="U7" s="388">
        <f>+OCCMarkets!AV7</f>
        <v>0</v>
      </c>
      <c r="V7" s="388">
        <f>+OCCMarkets!AW7</f>
        <v>0</v>
      </c>
      <c r="W7" s="391">
        <f>+OCCMarkets!AX7</f>
        <v>199</v>
      </c>
      <c r="X7" s="391">
        <f>+OCCMarkets!AY7</f>
        <v>934</v>
      </c>
      <c r="Y7" s="391">
        <f>+OCCMarkets!AZ7</f>
        <v>0</v>
      </c>
      <c r="Z7" s="391">
        <f>+OCCMarkets!BA7</f>
        <v>0</v>
      </c>
      <c r="AA7" s="391">
        <f>+OCCMarkets!BB7</f>
        <v>934</v>
      </c>
      <c r="AB7" s="391">
        <f>+OCCMarkets!BC7</f>
        <v>735</v>
      </c>
      <c r="AC7" s="391">
        <f>+OCCMarkets!BD7</f>
        <v>2297</v>
      </c>
      <c r="AD7" s="389">
        <f>+OCCMarkets!BE7</f>
        <v>326</v>
      </c>
      <c r="AE7" s="389">
        <f>+OCCMarkets!BF7</f>
        <v>934</v>
      </c>
      <c r="AF7" s="389">
        <f>+OCCMarkets!BG7</f>
        <v>0</v>
      </c>
      <c r="AG7" s="389">
        <f>+OCCMarkets!BH7</f>
        <v>0</v>
      </c>
      <c r="AH7" s="389">
        <f>+OCCMarkets!BI7</f>
        <v>934</v>
      </c>
      <c r="AI7" s="389">
        <f>+OCCMarkets!BJ7</f>
        <v>608</v>
      </c>
      <c r="AJ7" s="389">
        <f>+OCCMarkets!BK7</f>
        <v>2630</v>
      </c>
      <c r="AL7" s="205">
        <f t="shared" si="0"/>
        <v>9063</v>
      </c>
      <c r="AM7" s="205">
        <f t="shared" si="1"/>
        <v>25415</v>
      </c>
      <c r="AN7" s="205">
        <f t="shared" si="2"/>
        <v>16352</v>
      </c>
      <c r="AO7" s="205">
        <f t="shared" ref="AO7:AO34" si="3">+H7+O7+V7+AC7+AJ7</f>
        <v>33323</v>
      </c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  <c r="CG7" s="216"/>
      <c r="CH7" s="216"/>
      <c r="CI7" s="216"/>
      <c r="CJ7" s="216"/>
      <c r="CK7" s="216"/>
      <c r="CL7" s="216"/>
      <c r="CM7" s="216"/>
      <c r="CN7" s="216"/>
      <c r="CO7" s="216"/>
      <c r="CP7" s="216"/>
      <c r="CQ7" s="216"/>
      <c r="CR7" s="216"/>
      <c r="CS7" s="216"/>
      <c r="CT7" s="216"/>
      <c r="CU7" s="216"/>
      <c r="CV7" s="216"/>
      <c r="CW7" s="216"/>
      <c r="CX7" s="216"/>
      <c r="CY7" s="216"/>
      <c r="CZ7" s="216"/>
      <c r="DA7" s="216"/>
      <c r="DB7" s="216"/>
      <c r="DC7" s="216"/>
      <c r="DD7" s="216"/>
    </row>
    <row r="8" spans="1:108" x14ac:dyDescent="0.25">
      <c r="A8" s="211">
        <f>+BaseloadMarkets!A8</f>
        <v>36680</v>
      </c>
      <c r="B8" s="386">
        <f>+OCCMarkets!AC8</f>
        <v>196</v>
      </c>
      <c r="C8" s="386">
        <f>+OCCMarkets!AD8</f>
        <v>0</v>
      </c>
      <c r="D8" s="386">
        <f>+OCCMarkets!AE8</f>
        <v>0</v>
      </c>
      <c r="E8" s="386">
        <f>+OCCMarkets!AF8</f>
        <v>0</v>
      </c>
      <c r="F8" s="386">
        <f>+OCCMarkets!AG8</f>
        <v>0</v>
      </c>
      <c r="G8" s="386">
        <f>+OCCMarkets!AH8</f>
        <v>-196</v>
      </c>
      <c r="H8" s="386">
        <f>+OCCMarkets!AI8</f>
        <v>2154</v>
      </c>
      <c r="I8" s="387">
        <f>+OCCMarkets!AJ8</f>
        <v>6487</v>
      </c>
      <c r="J8" s="387">
        <f>+OCCMarkets!AK8</f>
        <v>2620</v>
      </c>
      <c r="K8" s="387">
        <f>+OCCMarkets!AL8</f>
        <v>988</v>
      </c>
      <c r="L8" s="387">
        <f>+OCCMarkets!AM8</f>
        <v>2600</v>
      </c>
      <c r="M8" s="387">
        <f>+OCCMarkets!AN8</f>
        <v>6208</v>
      </c>
      <c r="N8" s="387">
        <f>+OCCMarkets!AO8</f>
        <v>-279</v>
      </c>
      <c r="O8" s="387">
        <f>+OCCMarkets!AP8</f>
        <v>25767</v>
      </c>
      <c r="P8" s="388">
        <f>+OCCMarkets!AQ8</f>
        <v>0</v>
      </c>
      <c r="Q8" s="388">
        <f>+OCCMarkets!AR8</f>
        <v>0</v>
      </c>
      <c r="R8" s="388">
        <f>+OCCMarkets!AS8</f>
        <v>0</v>
      </c>
      <c r="S8" s="388">
        <f>+OCCMarkets!AT8</f>
        <v>0</v>
      </c>
      <c r="T8" s="388">
        <f>+OCCMarkets!AU8</f>
        <v>0</v>
      </c>
      <c r="U8" s="388">
        <f>+OCCMarkets!AV8</f>
        <v>0</v>
      </c>
      <c r="V8" s="388">
        <f>+OCCMarkets!AW8</f>
        <v>0</v>
      </c>
      <c r="W8" s="391">
        <f>+OCCMarkets!AX8</f>
        <v>27</v>
      </c>
      <c r="X8" s="391">
        <f>+OCCMarkets!AY8</f>
        <v>0</v>
      </c>
      <c r="Y8" s="391">
        <f>+OCCMarkets!AZ8</f>
        <v>0</v>
      </c>
      <c r="Z8" s="391">
        <f>+OCCMarkets!BA8</f>
        <v>0</v>
      </c>
      <c r="AA8" s="391">
        <f>+OCCMarkets!BB8</f>
        <v>0</v>
      </c>
      <c r="AB8" s="391">
        <f>+OCCMarkets!BC8</f>
        <v>-27</v>
      </c>
      <c r="AC8" s="391">
        <f>+OCCMarkets!BD8</f>
        <v>2270</v>
      </c>
      <c r="AD8" s="389">
        <f>+OCCMarkets!BE8</f>
        <v>184</v>
      </c>
      <c r="AE8" s="389">
        <f>+OCCMarkets!BF8</f>
        <v>0</v>
      </c>
      <c r="AF8" s="389">
        <f>+OCCMarkets!BG8</f>
        <v>0</v>
      </c>
      <c r="AG8" s="389">
        <f>+OCCMarkets!BH8</f>
        <v>0</v>
      </c>
      <c r="AH8" s="389">
        <f>+OCCMarkets!BI8</f>
        <v>0</v>
      </c>
      <c r="AI8" s="389">
        <f>+OCCMarkets!BJ8</f>
        <v>-184</v>
      </c>
      <c r="AJ8" s="389">
        <f>+OCCMarkets!BK8</f>
        <v>2446</v>
      </c>
      <c r="AL8" s="205">
        <f t="shared" si="0"/>
        <v>6894</v>
      </c>
      <c r="AM8" s="205">
        <f t="shared" si="1"/>
        <v>6208</v>
      </c>
      <c r="AN8" s="205">
        <f t="shared" si="2"/>
        <v>-686</v>
      </c>
      <c r="AO8" s="205">
        <f t="shared" si="3"/>
        <v>32637</v>
      </c>
      <c r="BB8" s="216"/>
      <c r="BC8" s="216"/>
      <c r="BD8" s="216"/>
      <c r="BE8" s="216"/>
      <c r="BF8" s="216"/>
      <c r="BG8" s="216"/>
      <c r="BH8" s="216"/>
      <c r="BI8" s="216"/>
      <c r="BJ8" s="216"/>
      <c r="BK8" s="216"/>
      <c r="BL8" s="216"/>
      <c r="BM8" s="216"/>
      <c r="BN8" s="216"/>
      <c r="BO8" s="216"/>
      <c r="BP8" s="216"/>
      <c r="BQ8" s="216"/>
      <c r="BR8" s="216"/>
      <c r="BS8" s="216"/>
      <c r="BT8" s="216"/>
      <c r="BU8" s="216"/>
      <c r="BV8" s="216"/>
      <c r="BW8" s="216"/>
      <c r="BX8" s="216"/>
      <c r="BY8" s="216"/>
      <c r="BZ8" s="216"/>
      <c r="CA8" s="216"/>
      <c r="CB8" s="216"/>
      <c r="CC8" s="216"/>
      <c r="CD8" s="216"/>
      <c r="CE8" s="216"/>
      <c r="CF8" s="216"/>
      <c r="CG8" s="216"/>
      <c r="CH8" s="216"/>
      <c r="CI8" s="216"/>
      <c r="CJ8" s="216"/>
      <c r="CK8" s="216"/>
      <c r="CL8" s="216"/>
      <c r="CM8" s="216"/>
      <c r="CN8" s="216"/>
      <c r="CO8" s="216"/>
      <c r="CP8" s="216"/>
      <c r="CQ8" s="216"/>
      <c r="CR8" s="216"/>
      <c r="CS8" s="216"/>
      <c r="CT8" s="216"/>
      <c r="CU8" s="216"/>
      <c r="CV8" s="216"/>
      <c r="CW8" s="216"/>
      <c r="CX8" s="216"/>
      <c r="CY8" s="216"/>
      <c r="CZ8" s="216"/>
      <c r="DA8" s="216"/>
      <c r="DB8" s="216"/>
      <c r="DC8" s="216"/>
      <c r="DD8" s="216"/>
    </row>
    <row r="9" spans="1:108" x14ac:dyDescent="0.25">
      <c r="A9" s="211">
        <f>+BaseloadMarkets!A9</f>
        <v>36681</v>
      </c>
      <c r="B9" s="386">
        <f>+OCCMarkets!AC9</f>
        <v>29</v>
      </c>
      <c r="C9" s="386">
        <f>+OCCMarkets!AD9</f>
        <v>0</v>
      </c>
      <c r="D9" s="386">
        <f>+OCCMarkets!AE9</f>
        <v>0</v>
      </c>
      <c r="E9" s="386">
        <f>+OCCMarkets!AF9</f>
        <v>0</v>
      </c>
      <c r="F9" s="386">
        <f>+OCCMarkets!AG9</f>
        <v>0</v>
      </c>
      <c r="G9" s="386">
        <f>+OCCMarkets!AH9</f>
        <v>-29</v>
      </c>
      <c r="H9" s="386">
        <f>+OCCMarkets!AI9</f>
        <v>2125</v>
      </c>
      <c r="I9" s="387">
        <f>+OCCMarkets!AJ9</f>
        <v>8902</v>
      </c>
      <c r="J9" s="387">
        <f>+OCCMarkets!AK9</f>
        <v>1622</v>
      </c>
      <c r="K9" s="387">
        <f>+OCCMarkets!AL9</f>
        <v>987</v>
      </c>
      <c r="L9" s="387">
        <f>+OCCMarkets!AM9</f>
        <v>2600</v>
      </c>
      <c r="M9" s="387">
        <f>+OCCMarkets!AN9</f>
        <v>5209</v>
      </c>
      <c r="N9" s="387">
        <f>+OCCMarkets!AO9</f>
        <v>-3693</v>
      </c>
      <c r="O9" s="387">
        <f>+OCCMarkets!AP9</f>
        <v>22074</v>
      </c>
      <c r="P9" s="388">
        <f>+OCCMarkets!AQ9</f>
        <v>0</v>
      </c>
      <c r="Q9" s="388">
        <f>+OCCMarkets!AR9</f>
        <v>0</v>
      </c>
      <c r="R9" s="388">
        <f>+OCCMarkets!AS9</f>
        <v>0</v>
      </c>
      <c r="S9" s="388">
        <f>+OCCMarkets!AT9</f>
        <v>0</v>
      </c>
      <c r="T9" s="388">
        <f>+OCCMarkets!AU9</f>
        <v>0</v>
      </c>
      <c r="U9" s="388">
        <f>+OCCMarkets!AV9</f>
        <v>0</v>
      </c>
      <c r="V9" s="388">
        <f>+OCCMarkets!AW9</f>
        <v>0</v>
      </c>
      <c r="W9" s="391">
        <f>+OCCMarkets!AX9</f>
        <v>0</v>
      </c>
      <c r="X9" s="391">
        <f>+OCCMarkets!AY9</f>
        <v>0</v>
      </c>
      <c r="Y9" s="391">
        <f>+OCCMarkets!AZ9</f>
        <v>0</v>
      </c>
      <c r="Z9" s="391">
        <f>+OCCMarkets!BA9</f>
        <v>0</v>
      </c>
      <c r="AA9" s="391">
        <f>+OCCMarkets!BB9</f>
        <v>0</v>
      </c>
      <c r="AB9" s="391">
        <f>+OCCMarkets!BC9</f>
        <v>0</v>
      </c>
      <c r="AC9" s="391">
        <f>+OCCMarkets!BD9</f>
        <v>2270</v>
      </c>
      <c r="AD9" s="389">
        <f>+OCCMarkets!BE9</f>
        <v>0</v>
      </c>
      <c r="AE9" s="389">
        <f>+OCCMarkets!BF9</f>
        <v>0</v>
      </c>
      <c r="AF9" s="389">
        <f>+OCCMarkets!BG9</f>
        <v>0</v>
      </c>
      <c r="AG9" s="389">
        <f>+OCCMarkets!BH9</f>
        <v>0</v>
      </c>
      <c r="AH9" s="389">
        <f>+OCCMarkets!BI9</f>
        <v>0</v>
      </c>
      <c r="AI9" s="389">
        <f>+OCCMarkets!BJ9</f>
        <v>0</v>
      </c>
      <c r="AJ9" s="389">
        <f>+OCCMarkets!BK9</f>
        <v>2446</v>
      </c>
      <c r="AL9" s="205">
        <f t="shared" si="0"/>
        <v>8931</v>
      </c>
      <c r="AM9" s="205">
        <f t="shared" si="1"/>
        <v>5209</v>
      </c>
      <c r="AN9" s="205">
        <f t="shared" si="2"/>
        <v>-3722</v>
      </c>
      <c r="AO9" s="205">
        <f t="shared" si="3"/>
        <v>28915</v>
      </c>
      <c r="BB9" s="216"/>
      <c r="BC9" s="216"/>
      <c r="BD9" s="216"/>
      <c r="BE9" s="216"/>
      <c r="BF9" s="216"/>
      <c r="BG9" s="216"/>
      <c r="BH9" s="216"/>
      <c r="BI9" s="216"/>
      <c r="BJ9" s="216"/>
      <c r="BK9" s="216"/>
      <c r="BL9" s="216"/>
      <c r="BM9" s="216"/>
      <c r="BN9" s="216"/>
      <c r="BO9" s="216"/>
      <c r="BP9" s="216"/>
      <c r="BQ9" s="216"/>
      <c r="BR9" s="216"/>
      <c r="BS9" s="216"/>
      <c r="BT9" s="216"/>
      <c r="BU9" s="216"/>
      <c r="BV9" s="216"/>
      <c r="BW9" s="216"/>
      <c r="BX9" s="216"/>
      <c r="BY9" s="216"/>
      <c r="BZ9" s="216"/>
      <c r="CA9" s="216"/>
      <c r="CB9" s="216"/>
      <c r="CC9" s="216"/>
      <c r="CD9" s="216"/>
      <c r="CE9" s="216"/>
      <c r="CF9" s="216"/>
      <c r="CG9" s="216"/>
      <c r="CH9" s="216"/>
      <c r="CI9" s="216"/>
      <c r="CJ9" s="216"/>
      <c r="CK9" s="216"/>
      <c r="CL9" s="216"/>
      <c r="CM9" s="216"/>
      <c r="CN9" s="216"/>
      <c r="CO9" s="216"/>
      <c r="CP9" s="216"/>
      <c r="CQ9" s="216"/>
      <c r="CR9" s="216"/>
      <c r="CS9" s="216"/>
      <c r="CT9" s="216"/>
      <c r="CU9" s="216"/>
      <c r="CV9" s="216"/>
      <c r="CW9" s="216"/>
      <c r="CX9" s="216"/>
      <c r="CY9" s="216"/>
      <c r="CZ9" s="216"/>
      <c r="DA9" s="216"/>
      <c r="DB9" s="216"/>
      <c r="DC9" s="216"/>
      <c r="DD9" s="216"/>
    </row>
    <row r="10" spans="1:108" x14ac:dyDescent="0.25">
      <c r="A10" s="211">
        <f>+BaseloadMarkets!A10</f>
        <v>36682</v>
      </c>
      <c r="B10" s="386">
        <f>+OCCMarkets!AC10</f>
        <v>99</v>
      </c>
      <c r="C10" s="386">
        <f>+OCCMarkets!AD10</f>
        <v>0</v>
      </c>
      <c r="D10" s="386">
        <f>+OCCMarkets!AE10</f>
        <v>0</v>
      </c>
      <c r="E10" s="386">
        <f>+OCCMarkets!AF10</f>
        <v>0</v>
      </c>
      <c r="F10" s="386">
        <f>+OCCMarkets!AG10</f>
        <v>0</v>
      </c>
      <c r="G10" s="386">
        <f>+OCCMarkets!AH10</f>
        <v>-99</v>
      </c>
      <c r="H10" s="386">
        <f>+OCCMarkets!AI10</f>
        <v>2026</v>
      </c>
      <c r="I10" s="387">
        <f>+OCCMarkets!AJ10</f>
        <v>9253</v>
      </c>
      <c r="J10" s="387">
        <f>+OCCMarkets!AK10</f>
        <v>2351</v>
      </c>
      <c r="K10" s="387">
        <f>+OCCMarkets!AL10</f>
        <v>987</v>
      </c>
      <c r="L10" s="387">
        <f>+OCCMarkets!AM10</f>
        <v>2600</v>
      </c>
      <c r="M10" s="387">
        <f>+OCCMarkets!AN10</f>
        <v>5938</v>
      </c>
      <c r="N10" s="387">
        <f>+OCCMarkets!AO10</f>
        <v>-3315</v>
      </c>
      <c r="O10" s="387">
        <f>+OCCMarkets!AP10</f>
        <v>18759</v>
      </c>
      <c r="P10" s="388">
        <f>+OCCMarkets!AQ10</f>
        <v>0</v>
      </c>
      <c r="Q10" s="388">
        <f>+OCCMarkets!AR10</f>
        <v>0</v>
      </c>
      <c r="R10" s="388">
        <f>+OCCMarkets!AS10</f>
        <v>0</v>
      </c>
      <c r="S10" s="388">
        <f>+OCCMarkets!AT10</f>
        <v>0</v>
      </c>
      <c r="T10" s="388">
        <f>+OCCMarkets!AU10</f>
        <v>0</v>
      </c>
      <c r="U10" s="388">
        <f>+OCCMarkets!AV10</f>
        <v>0</v>
      </c>
      <c r="V10" s="388">
        <f>+OCCMarkets!AW10</f>
        <v>0</v>
      </c>
      <c r="W10" s="391">
        <f>+OCCMarkets!AX10</f>
        <v>172</v>
      </c>
      <c r="X10" s="391">
        <f>+OCCMarkets!AY10</f>
        <v>0</v>
      </c>
      <c r="Y10" s="391">
        <f>+OCCMarkets!AZ10</f>
        <v>0</v>
      </c>
      <c r="Z10" s="391">
        <f>+OCCMarkets!BA10</f>
        <v>0</v>
      </c>
      <c r="AA10" s="391">
        <f>+OCCMarkets!BB10</f>
        <v>0</v>
      </c>
      <c r="AB10" s="391">
        <f>+OCCMarkets!BC10</f>
        <v>-172</v>
      </c>
      <c r="AC10" s="391">
        <f>+OCCMarkets!BD10</f>
        <v>2098</v>
      </c>
      <c r="AD10" s="389">
        <f>+OCCMarkets!BE10</f>
        <v>271</v>
      </c>
      <c r="AE10" s="389">
        <f>+OCCMarkets!BF10</f>
        <v>0</v>
      </c>
      <c r="AF10" s="389">
        <f>+OCCMarkets!BG10</f>
        <v>0</v>
      </c>
      <c r="AG10" s="389">
        <f>+OCCMarkets!BH10</f>
        <v>0</v>
      </c>
      <c r="AH10" s="389">
        <f>+OCCMarkets!BI10</f>
        <v>0</v>
      </c>
      <c r="AI10" s="389">
        <f>+OCCMarkets!BJ10</f>
        <v>-271</v>
      </c>
      <c r="AJ10" s="389">
        <f>+OCCMarkets!BK10</f>
        <v>2175</v>
      </c>
      <c r="AL10" s="205">
        <f t="shared" si="0"/>
        <v>9795</v>
      </c>
      <c r="AM10" s="205">
        <f t="shared" si="1"/>
        <v>5938</v>
      </c>
      <c r="AN10" s="205">
        <f t="shared" si="2"/>
        <v>-3857</v>
      </c>
      <c r="AO10" s="205">
        <f t="shared" si="3"/>
        <v>25058</v>
      </c>
      <c r="BB10" s="216"/>
      <c r="BC10" s="216"/>
      <c r="BD10" s="216"/>
      <c r="BE10" s="216"/>
      <c r="BF10" s="216"/>
      <c r="BG10" s="216"/>
      <c r="BH10" s="216"/>
      <c r="BI10" s="216"/>
      <c r="BJ10" s="216"/>
      <c r="BK10" s="216"/>
      <c r="BL10" s="216"/>
      <c r="BM10" s="216"/>
      <c r="BN10" s="216"/>
      <c r="BO10" s="216"/>
      <c r="BP10" s="216"/>
      <c r="BQ10" s="216"/>
      <c r="BR10" s="216"/>
      <c r="BS10" s="216"/>
      <c r="BT10" s="216"/>
      <c r="BU10" s="216"/>
      <c r="BV10" s="216"/>
      <c r="BW10" s="216"/>
      <c r="BX10" s="216"/>
      <c r="BY10" s="216"/>
      <c r="BZ10" s="216"/>
      <c r="CA10" s="216"/>
      <c r="CB10" s="216"/>
      <c r="CC10" s="216"/>
      <c r="CD10" s="216"/>
      <c r="CE10" s="216"/>
      <c r="CF10" s="216"/>
      <c r="CG10" s="216"/>
      <c r="CH10" s="216"/>
      <c r="CI10" s="216"/>
      <c r="CJ10" s="216"/>
      <c r="CK10" s="216"/>
      <c r="CL10" s="216"/>
      <c r="CM10" s="216"/>
      <c r="CN10" s="216"/>
      <c r="CO10" s="216"/>
      <c r="CP10" s="216"/>
      <c r="CQ10" s="216"/>
      <c r="CR10" s="216"/>
      <c r="CS10" s="216"/>
      <c r="CT10" s="216"/>
      <c r="CU10" s="216"/>
      <c r="CV10" s="216"/>
      <c r="CW10" s="216"/>
      <c r="CX10" s="216"/>
      <c r="CY10" s="216"/>
      <c r="CZ10" s="216"/>
      <c r="DA10" s="216"/>
      <c r="DB10" s="216"/>
      <c r="DC10" s="216"/>
      <c r="DD10" s="216"/>
    </row>
    <row r="11" spans="1:108" x14ac:dyDescent="0.25">
      <c r="A11" s="211">
        <f>+BaseloadMarkets!A11</f>
        <v>36683</v>
      </c>
      <c r="B11" s="386">
        <f>+OCCMarkets!AC11</f>
        <v>211</v>
      </c>
      <c r="C11" s="386">
        <f>+OCCMarkets!AD11</f>
        <v>361</v>
      </c>
      <c r="D11" s="386">
        <f>+OCCMarkets!AE11</f>
        <v>0</v>
      </c>
      <c r="E11" s="386">
        <f>+OCCMarkets!AF11</f>
        <v>0</v>
      </c>
      <c r="F11" s="386">
        <f>+OCCMarkets!AG11</f>
        <v>361</v>
      </c>
      <c r="G11" s="386">
        <f>+OCCMarkets!AH11</f>
        <v>150</v>
      </c>
      <c r="H11" s="386">
        <f>+OCCMarkets!AI11</f>
        <v>2176</v>
      </c>
      <c r="I11" s="387">
        <f>+OCCMarkets!AJ11</f>
        <v>9307</v>
      </c>
      <c r="J11" s="387">
        <f>+OCCMarkets!AK11</f>
        <v>12261</v>
      </c>
      <c r="K11" s="387">
        <f>+OCCMarkets!AL11</f>
        <v>987</v>
      </c>
      <c r="L11" s="387">
        <f>+OCCMarkets!AM11</f>
        <v>9000</v>
      </c>
      <c r="M11" s="387">
        <f>+OCCMarkets!AN11</f>
        <v>22248</v>
      </c>
      <c r="N11" s="387">
        <f>+OCCMarkets!AO11</f>
        <v>12941</v>
      </c>
      <c r="O11" s="387">
        <f>+OCCMarkets!AP11</f>
        <v>31700</v>
      </c>
      <c r="P11" s="388">
        <f>+OCCMarkets!AQ11</f>
        <v>0</v>
      </c>
      <c r="Q11" s="388">
        <f>+OCCMarkets!AR11</f>
        <v>0</v>
      </c>
      <c r="R11" s="388">
        <f>+OCCMarkets!AS11</f>
        <v>0</v>
      </c>
      <c r="S11" s="388">
        <f>+OCCMarkets!AT11</f>
        <v>0</v>
      </c>
      <c r="T11" s="388">
        <f>+OCCMarkets!AU11</f>
        <v>0</v>
      </c>
      <c r="U11" s="388">
        <f>+OCCMarkets!AV11</f>
        <v>0</v>
      </c>
      <c r="V11" s="388">
        <f>+OCCMarkets!AW11</f>
        <v>0</v>
      </c>
      <c r="W11" s="391">
        <f>+OCCMarkets!AX11</f>
        <v>199</v>
      </c>
      <c r="X11" s="391">
        <f>+OCCMarkets!AY11</f>
        <v>361</v>
      </c>
      <c r="Y11" s="391">
        <f>+OCCMarkets!AZ11</f>
        <v>0</v>
      </c>
      <c r="Z11" s="391">
        <f>+OCCMarkets!BA11</f>
        <v>0</v>
      </c>
      <c r="AA11" s="391">
        <f>+OCCMarkets!BB11</f>
        <v>361</v>
      </c>
      <c r="AB11" s="391">
        <f>+OCCMarkets!BC11</f>
        <v>162</v>
      </c>
      <c r="AC11" s="391">
        <f>+OCCMarkets!BD11</f>
        <v>2260</v>
      </c>
      <c r="AD11" s="389">
        <f>+OCCMarkets!BE11</f>
        <v>327</v>
      </c>
      <c r="AE11" s="389">
        <f>+OCCMarkets!BF11</f>
        <v>361</v>
      </c>
      <c r="AF11" s="389">
        <f>+OCCMarkets!BG11</f>
        <v>0</v>
      </c>
      <c r="AG11" s="389">
        <f>+OCCMarkets!BH11</f>
        <v>0</v>
      </c>
      <c r="AH11" s="389">
        <f>+OCCMarkets!BI11</f>
        <v>361</v>
      </c>
      <c r="AI11" s="389">
        <f>+OCCMarkets!BJ11</f>
        <v>34</v>
      </c>
      <c r="AJ11" s="389">
        <f>+OCCMarkets!BK11</f>
        <v>2209</v>
      </c>
      <c r="AL11" s="205">
        <f t="shared" si="0"/>
        <v>10044</v>
      </c>
      <c r="AM11" s="205">
        <f t="shared" si="1"/>
        <v>23331</v>
      </c>
      <c r="AN11" s="205">
        <f t="shared" si="2"/>
        <v>13287</v>
      </c>
      <c r="AO11" s="205">
        <f t="shared" si="3"/>
        <v>38345</v>
      </c>
      <c r="BB11" s="216"/>
      <c r="BC11" s="216"/>
      <c r="BD11" s="216"/>
      <c r="BE11" s="216"/>
      <c r="BF11" s="216"/>
      <c r="BG11" s="216"/>
      <c r="BH11" s="216"/>
      <c r="BI11" s="216"/>
      <c r="BJ11" s="216"/>
      <c r="BK11" s="216"/>
      <c r="BL11" s="216"/>
      <c r="BM11" s="216"/>
      <c r="BN11" s="216"/>
      <c r="BO11" s="216"/>
      <c r="BP11" s="216"/>
      <c r="BQ11" s="216"/>
      <c r="BR11" s="216"/>
      <c r="BS11" s="216"/>
      <c r="BT11" s="216"/>
      <c r="BU11" s="216"/>
      <c r="BV11" s="216"/>
      <c r="BW11" s="216"/>
      <c r="BX11" s="216"/>
      <c r="BY11" s="216"/>
      <c r="BZ11" s="216"/>
      <c r="CA11" s="216"/>
      <c r="CB11" s="216"/>
      <c r="CC11" s="216"/>
      <c r="CD11" s="216"/>
      <c r="CE11" s="216"/>
      <c r="CF11" s="216"/>
      <c r="CG11" s="216"/>
      <c r="CH11" s="216"/>
      <c r="CI11" s="216"/>
      <c r="CJ11" s="216"/>
      <c r="CK11" s="216"/>
      <c r="CL11" s="216"/>
      <c r="CM11" s="216"/>
      <c r="CN11" s="216"/>
      <c r="CO11" s="216"/>
      <c r="CP11" s="216"/>
      <c r="CQ11" s="216"/>
      <c r="CR11" s="216"/>
      <c r="CS11" s="216"/>
      <c r="CT11" s="216"/>
      <c r="CU11" s="216"/>
      <c r="CV11" s="216"/>
      <c r="CW11" s="216"/>
      <c r="CX11" s="216"/>
      <c r="CY11" s="216"/>
      <c r="CZ11" s="216"/>
      <c r="DA11" s="216"/>
      <c r="DB11" s="216"/>
      <c r="DC11" s="216"/>
      <c r="DD11" s="216"/>
    </row>
    <row r="12" spans="1:108" x14ac:dyDescent="0.25">
      <c r="A12" s="211">
        <f>+BaseloadMarkets!A12</f>
        <v>36684</v>
      </c>
      <c r="B12" s="386">
        <f>+OCCMarkets!AC12</f>
        <v>190</v>
      </c>
      <c r="C12" s="386">
        <f>+OCCMarkets!AD12</f>
        <v>204</v>
      </c>
      <c r="D12" s="386">
        <f>+OCCMarkets!AE12</f>
        <v>0</v>
      </c>
      <c r="E12" s="386">
        <f>+OCCMarkets!AF12</f>
        <v>0</v>
      </c>
      <c r="F12" s="386">
        <f>+OCCMarkets!AG12</f>
        <v>204</v>
      </c>
      <c r="G12" s="386">
        <f>+OCCMarkets!AH12</f>
        <v>14</v>
      </c>
      <c r="H12" s="386">
        <f>+OCCMarkets!AI12</f>
        <v>2190</v>
      </c>
      <c r="I12" s="387">
        <f>+OCCMarkets!AJ12</f>
        <v>9274</v>
      </c>
      <c r="J12" s="387">
        <f>+OCCMarkets!AK12</f>
        <v>17254</v>
      </c>
      <c r="K12" s="387">
        <f>+OCCMarkets!AL12</f>
        <v>988</v>
      </c>
      <c r="L12" s="387">
        <f>+OCCMarkets!AM12</f>
        <v>52165</v>
      </c>
      <c r="M12" s="387">
        <f>+OCCMarkets!AN12</f>
        <v>70407</v>
      </c>
      <c r="N12" s="387">
        <f>+OCCMarkets!AO12</f>
        <v>61133</v>
      </c>
      <c r="O12" s="387">
        <f>+OCCMarkets!AP12</f>
        <v>92833</v>
      </c>
      <c r="P12" s="388">
        <f>+OCCMarkets!AQ12</f>
        <v>0</v>
      </c>
      <c r="Q12" s="388">
        <f>+OCCMarkets!AR12</f>
        <v>0</v>
      </c>
      <c r="R12" s="388">
        <f>+OCCMarkets!AS12</f>
        <v>0</v>
      </c>
      <c r="S12" s="388">
        <f>+OCCMarkets!AT12</f>
        <v>0</v>
      </c>
      <c r="T12" s="388">
        <f>+OCCMarkets!AU12</f>
        <v>0</v>
      </c>
      <c r="U12" s="388">
        <f>+OCCMarkets!AV12</f>
        <v>0</v>
      </c>
      <c r="V12" s="388">
        <f>+OCCMarkets!AW12</f>
        <v>0</v>
      </c>
      <c r="W12" s="391">
        <f>+OCCMarkets!AX12</f>
        <v>192</v>
      </c>
      <c r="X12" s="391">
        <f>+OCCMarkets!AY12</f>
        <v>204</v>
      </c>
      <c r="Y12" s="391">
        <f>+OCCMarkets!AZ12</f>
        <v>0</v>
      </c>
      <c r="Z12" s="391">
        <f>+OCCMarkets!BA12</f>
        <v>0</v>
      </c>
      <c r="AA12" s="391">
        <f>+OCCMarkets!BB12</f>
        <v>204</v>
      </c>
      <c r="AB12" s="391">
        <f>+OCCMarkets!BC12</f>
        <v>12</v>
      </c>
      <c r="AC12" s="391">
        <f>+OCCMarkets!BD12</f>
        <v>2272</v>
      </c>
      <c r="AD12" s="389">
        <f>+OCCMarkets!BE12</f>
        <v>323</v>
      </c>
      <c r="AE12" s="389">
        <f>+OCCMarkets!BF12</f>
        <v>656</v>
      </c>
      <c r="AF12" s="389">
        <f>+OCCMarkets!BG12</f>
        <v>0</v>
      </c>
      <c r="AG12" s="389">
        <f>+OCCMarkets!BH12</f>
        <v>0</v>
      </c>
      <c r="AH12" s="389">
        <f>+OCCMarkets!BI12</f>
        <v>656</v>
      </c>
      <c r="AI12" s="389">
        <f>+OCCMarkets!BJ12</f>
        <v>333</v>
      </c>
      <c r="AJ12" s="389">
        <f>+OCCMarkets!BK12</f>
        <v>2542</v>
      </c>
      <c r="AL12" s="205">
        <f t="shared" si="0"/>
        <v>9979</v>
      </c>
      <c r="AM12" s="205">
        <f t="shared" si="1"/>
        <v>71471</v>
      </c>
      <c r="AN12" s="205">
        <f t="shared" si="2"/>
        <v>61492</v>
      </c>
      <c r="AO12" s="205">
        <f t="shared" si="3"/>
        <v>99837</v>
      </c>
      <c r="BB12" s="216"/>
      <c r="BC12" s="216"/>
      <c r="BD12" s="216"/>
      <c r="BE12" s="216"/>
      <c r="BF12" s="216"/>
      <c r="BG12" s="216"/>
      <c r="BH12" s="216"/>
      <c r="BI12" s="216"/>
      <c r="BJ12" s="216"/>
      <c r="BK12" s="216"/>
      <c r="BL12" s="216"/>
      <c r="BM12" s="216"/>
      <c r="BN12" s="216"/>
      <c r="BO12" s="216"/>
      <c r="BP12" s="216"/>
      <c r="BQ12" s="216"/>
      <c r="BR12" s="216"/>
      <c r="BS12" s="216"/>
      <c r="BT12" s="216"/>
      <c r="BU12" s="216"/>
      <c r="BV12" s="216"/>
      <c r="BW12" s="216"/>
      <c r="BX12" s="216"/>
      <c r="BY12" s="216"/>
      <c r="BZ12" s="216"/>
      <c r="CA12" s="216"/>
      <c r="CB12" s="216"/>
      <c r="CC12" s="216"/>
      <c r="CD12" s="216"/>
      <c r="CE12" s="216"/>
      <c r="CF12" s="216"/>
      <c r="CG12" s="216"/>
      <c r="CH12" s="216"/>
      <c r="CI12" s="216"/>
      <c r="CJ12" s="216"/>
      <c r="CK12" s="216"/>
      <c r="CL12" s="216"/>
      <c r="CM12" s="216"/>
      <c r="CN12" s="216"/>
      <c r="CO12" s="216"/>
      <c r="CP12" s="216"/>
      <c r="CQ12" s="216"/>
      <c r="CR12" s="216"/>
      <c r="CS12" s="216"/>
      <c r="CT12" s="216"/>
      <c r="CU12" s="216"/>
      <c r="CV12" s="216"/>
      <c r="CW12" s="216"/>
      <c r="CX12" s="216"/>
      <c r="CY12" s="216"/>
      <c r="CZ12" s="216"/>
      <c r="DA12" s="216"/>
      <c r="DB12" s="216"/>
      <c r="DC12" s="216"/>
      <c r="DD12" s="216"/>
    </row>
    <row r="13" spans="1:108" x14ac:dyDescent="0.25">
      <c r="A13" s="211">
        <f>+BaseloadMarkets!A13</f>
        <v>36685</v>
      </c>
      <c r="B13" s="386">
        <f>+OCCMarkets!AC13</f>
        <v>200</v>
      </c>
      <c r="C13" s="386">
        <f>+OCCMarkets!AD13</f>
        <v>418</v>
      </c>
      <c r="D13" s="386">
        <f>+OCCMarkets!AE13</f>
        <v>0</v>
      </c>
      <c r="E13" s="386">
        <f>+OCCMarkets!AF13</f>
        <v>0</v>
      </c>
      <c r="F13" s="386">
        <f>+OCCMarkets!AG13</f>
        <v>418</v>
      </c>
      <c r="G13" s="386">
        <f>+OCCMarkets!AH13</f>
        <v>218</v>
      </c>
      <c r="H13" s="386">
        <f>+OCCMarkets!AI13</f>
        <v>2408</v>
      </c>
      <c r="I13" s="387">
        <f>+OCCMarkets!AJ13</f>
        <v>9399</v>
      </c>
      <c r="J13" s="387">
        <f>+OCCMarkets!AK13</f>
        <v>9468</v>
      </c>
      <c r="K13" s="387">
        <f>+OCCMarkets!AL13</f>
        <v>988</v>
      </c>
      <c r="L13" s="387">
        <f>+OCCMarkets!AM13</f>
        <v>18100</v>
      </c>
      <c r="M13" s="387">
        <f>+OCCMarkets!AN13</f>
        <v>28556</v>
      </c>
      <c r="N13" s="387">
        <f>+OCCMarkets!AO13</f>
        <v>19157</v>
      </c>
      <c r="O13" s="387">
        <f>+OCCMarkets!AP13</f>
        <v>111990</v>
      </c>
      <c r="P13" s="388">
        <f>+OCCMarkets!AQ13</f>
        <v>0</v>
      </c>
      <c r="Q13" s="388">
        <f>+OCCMarkets!AR13</f>
        <v>0</v>
      </c>
      <c r="R13" s="388">
        <f>+OCCMarkets!AS13</f>
        <v>0</v>
      </c>
      <c r="S13" s="388">
        <f>+OCCMarkets!AT13</f>
        <v>0</v>
      </c>
      <c r="T13" s="388">
        <f>+OCCMarkets!AU13</f>
        <v>0</v>
      </c>
      <c r="U13" s="388">
        <f>+OCCMarkets!AV13</f>
        <v>0</v>
      </c>
      <c r="V13" s="388">
        <f>+OCCMarkets!AW13</f>
        <v>0</v>
      </c>
      <c r="W13" s="391">
        <f>+OCCMarkets!AX13</f>
        <v>200</v>
      </c>
      <c r="X13" s="391">
        <f>+OCCMarkets!AY13</f>
        <v>418</v>
      </c>
      <c r="Y13" s="391">
        <f>+OCCMarkets!AZ13</f>
        <v>0</v>
      </c>
      <c r="Z13" s="391">
        <f>+OCCMarkets!BA13</f>
        <v>0</v>
      </c>
      <c r="AA13" s="391">
        <f>+OCCMarkets!BB13</f>
        <v>418</v>
      </c>
      <c r="AB13" s="391">
        <f>+OCCMarkets!BC13</f>
        <v>218</v>
      </c>
      <c r="AC13" s="391">
        <f>+OCCMarkets!BD13</f>
        <v>2490</v>
      </c>
      <c r="AD13" s="389">
        <f>+OCCMarkets!BE13</f>
        <v>307</v>
      </c>
      <c r="AE13" s="389">
        <f>+OCCMarkets!BF13</f>
        <v>878</v>
      </c>
      <c r="AF13" s="389">
        <f>+OCCMarkets!BG13</f>
        <v>0</v>
      </c>
      <c r="AG13" s="389">
        <f>+OCCMarkets!BH13</f>
        <v>0</v>
      </c>
      <c r="AH13" s="389">
        <f>+OCCMarkets!BI13</f>
        <v>878</v>
      </c>
      <c r="AI13" s="389">
        <f>+OCCMarkets!BJ13</f>
        <v>571</v>
      </c>
      <c r="AJ13" s="389">
        <f>+OCCMarkets!BK13</f>
        <v>3113</v>
      </c>
      <c r="AL13" s="205">
        <f t="shared" si="0"/>
        <v>10106</v>
      </c>
      <c r="AM13" s="205">
        <f t="shared" si="1"/>
        <v>30270</v>
      </c>
      <c r="AN13" s="205">
        <f t="shared" si="2"/>
        <v>20164</v>
      </c>
      <c r="AO13" s="205">
        <f t="shared" si="3"/>
        <v>120001</v>
      </c>
      <c r="BB13" s="216"/>
      <c r="BC13" s="216"/>
      <c r="BD13" s="216"/>
      <c r="BE13" s="216"/>
      <c r="BF13" s="216"/>
      <c r="BG13" s="216"/>
      <c r="BH13" s="216"/>
      <c r="BI13" s="216"/>
      <c r="BJ13" s="216"/>
      <c r="BK13" s="216"/>
      <c r="BL13" s="216"/>
      <c r="BM13" s="216"/>
      <c r="BN13" s="216"/>
      <c r="BO13" s="216"/>
      <c r="BP13" s="216"/>
      <c r="BQ13" s="216"/>
      <c r="BR13" s="216"/>
      <c r="BS13" s="216"/>
      <c r="BT13" s="216"/>
      <c r="BU13" s="216"/>
      <c r="BV13" s="216"/>
      <c r="BW13" s="216"/>
      <c r="BX13" s="216"/>
      <c r="BY13" s="216"/>
      <c r="BZ13" s="216"/>
      <c r="CA13" s="216"/>
      <c r="CB13" s="216"/>
      <c r="CC13" s="216"/>
      <c r="CD13" s="216"/>
      <c r="CE13" s="216"/>
      <c r="CF13" s="216"/>
      <c r="CG13" s="216"/>
      <c r="CH13" s="216"/>
      <c r="CI13" s="216"/>
      <c r="CJ13" s="216"/>
      <c r="CK13" s="216"/>
      <c r="CL13" s="216"/>
      <c r="CM13" s="216"/>
      <c r="CN13" s="216"/>
      <c r="CO13" s="216"/>
      <c r="CP13" s="216"/>
      <c r="CQ13" s="216"/>
      <c r="CR13" s="216"/>
      <c r="CS13" s="216"/>
      <c r="CT13" s="216"/>
      <c r="CU13" s="216"/>
      <c r="CV13" s="216"/>
      <c r="CW13" s="216"/>
      <c r="CX13" s="216"/>
      <c r="CY13" s="216"/>
      <c r="CZ13" s="216"/>
      <c r="DA13" s="216"/>
      <c r="DB13" s="216"/>
      <c r="DC13" s="216"/>
      <c r="DD13" s="216"/>
    </row>
    <row r="14" spans="1:108" x14ac:dyDescent="0.25">
      <c r="A14" s="211">
        <f>+BaseloadMarkets!A14</f>
        <v>36686</v>
      </c>
      <c r="B14" s="386">
        <f>+OCCMarkets!AC14</f>
        <v>208</v>
      </c>
      <c r="C14" s="386">
        <f>+OCCMarkets!AD14</f>
        <v>420</v>
      </c>
      <c r="D14" s="386">
        <f>+OCCMarkets!AE14</f>
        <v>0</v>
      </c>
      <c r="E14" s="386">
        <f>+OCCMarkets!AF14</f>
        <v>0</v>
      </c>
      <c r="F14" s="386">
        <f>+OCCMarkets!AG14</f>
        <v>420</v>
      </c>
      <c r="G14" s="386">
        <f>+OCCMarkets!AH14</f>
        <v>212</v>
      </c>
      <c r="H14" s="386">
        <f>+OCCMarkets!AI14</f>
        <v>2620</v>
      </c>
      <c r="I14" s="387">
        <f>+OCCMarkets!AJ14</f>
        <v>9156</v>
      </c>
      <c r="J14" s="387">
        <f>+OCCMarkets!AK14</f>
        <v>12702</v>
      </c>
      <c r="K14" s="387">
        <f>+OCCMarkets!AL14</f>
        <v>987</v>
      </c>
      <c r="L14" s="387">
        <f>+OCCMarkets!AM14</f>
        <v>9000</v>
      </c>
      <c r="M14" s="387">
        <f>+OCCMarkets!AN14</f>
        <v>22689</v>
      </c>
      <c r="N14" s="387">
        <f>+OCCMarkets!AO14</f>
        <v>13533</v>
      </c>
      <c r="O14" s="387">
        <f>+OCCMarkets!AP14</f>
        <v>125523</v>
      </c>
      <c r="P14" s="388">
        <f>+OCCMarkets!AQ14</f>
        <v>0</v>
      </c>
      <c r="Q14" s="388">
        <f>+OCCMarkets!AR14</f>
        <v>0</v>
      </c>
      <c r="R14" s="388">
        <f>+OCCMarkets!AS14</f>
        <v>0</v>
      </c>
      <c r="S14" s="388">
        <f>+OCCMarkets!AT14</f>
        <v>0</v>
      </c>
      <c r="T14" s="388">
        <f>+OCCMarkets!AU14</f>
        <v>0</v>
      </c>
      <c r="U14" s="388">
        <f>+OCCMarkets!AV14</f>
        <v>0</v>
      </c>
      <c r="V14" s="388">
        <f>+OCCMarkets!AW14</f>
        <v>0</v>
      </c>
      <c r="W14" s="391">
        <f>+OCCMarkets!AX14</f>
        <v>207</v>
      </c>
      <c r="X14" s="391">
        <f>+OCCMarkets!AY14</f>
        <v>546</v>
      </c>
      <c r="Y14" s="391">
        <f>+OCCMarkets!AZ14</f>
        <v>0</v>
      </c>
      <c r="Z14" s="391">
        <f>+OCCMarkets!BA14</f>
        <v>0</v>
      </c>
      <c r="AA14" s="391">
        <f>+OCCMarkets!BB14</f>
        <v>546</v>
      </c>
      <c r="AB14" s="391">
        <f>+OCCMarkets!BC14</f>
        <v>339</v>
      </c>
      <c r="AC14" s="391">
        <f>+OCCMarkets!BD14</f>
        <v>2829</v>
      </c>
      <c r="AD14" s="389">
        <f>+OCCMarkets!BE14</f>
        <v>312</v>
      </c>
      <c r="AE14" s="389">
        <f>+OCCMarkets!BF14</f>
        <v>884</v>
      </c>
      <c r="AF14" s="389">
        <f>+OCCMarkets!BG14</f>
        <v>0</v>
      </c>
      <c r="AG14" s="389">
        <f>+OCCMarkets!BH14</f>
        <v>0</v>
      </c>
      <c r="AH14" s="389">
        <f>+OCCMarkets!BI14</f>
        <v>884</v>
      </c>
      <c r="AI14" s="389">
        <f>+OCCMarkets!BJ14</f>
        <v>572</v>
      </c>
      <c r="AJ14" s="389">
        <f>+OCCMarkets!BK14</f>
        <v>3685</v>
      </c>
      <c r="AL14" s="205">
        <f t="shared" si="0"/>
        <v>9883</v>
      </c>
      <c r="AM14" s="205">
        <f t="shared" si="1"/>
        <v>24539</v>
      </c>
      <c r="AN14" s="205">
        <f t="shared" si="2"/>
        <v>14656</v>
      </c>
      <c r="AO14" s="205">
        <f t="shared" si="3"/>
        <v>134657</v>
      </c>
      <c r="BB14" s="216"/>
      <c r="BC14" s="216"/>
      <c r="BD14" s="216"/>
      <c r="BE14" s="216"/>
      <c r="BF14" s="216"/>
      <c r="BG14" s="216"/>
      <c r="BH14" s="216"/>
      <c r="BI14" s="216"/>
      <c r="BJ14" s="216"/>
      <c r="BK14" s="216"/>
      <c r="BL14" s="216"/>
      <c r="BM14" s="216"/>
      <c r="BN14" s="216"/>
      <c r="BO14" s="216"/>
      <c r="BP14" s="216"/>
      <c r="BQ14" s="216"/>
      <c r="BR14" s="216"/>
      <c r="BS14" s="216"/>
      <c r="BT14" s="216"/>
      <c r="BU14" s="216"/>
      <c r="BV14" s="216"/>
      <c r="BW14" s="216"/>
      <c r="BX14" s="216"/>
      <c r="BY14" s="216"/>
      <c r="BZ14" s="216"/>
      <c r="CA14" s="216"/>
      <c r="CB14" s="216"/>
      <c r="CC14" s="216"/>
      <c r="CD14" s="216"/>
      <c r="CE14" s="216"/>
      <c r="CF14" s="216"/>
      <c r="CG14" s="216"/>
      <c r="CH14" s="216"/>
      <c r="CI14" s="216"/>
      <c r="CJ14" s="216"/>
      <c r="CK14" s="216"/>
      <c r="CL14" s="216"/>
      <c r="CM14" s="216"/>
      <c r="CN14" s="216"/>
      <c r="CO14" s="216"/>
      <c r="CP14" s="216"/>
      <c r="CQ14" s="216"/>
      <c r="CR14" s="216"/>
      <c r="CS14" s="216"/>
      <c r="CT14" s="216"/>
      <c r="CU14" s="216"/>
      <c r="CV14" s="216"/>
      <c r="CW14" s="216"/>
      <c r="CX14" s="216"/>
      <c r="CY14" s="216"/>
      <c r="CZ14" s="216"/>
      <c r="DA14" s="216"/>
      <c r="DB14" s="216"/>
      <c r="DC14" s="216"/>
      <c r="DD14" s="216"/>
    </row>
    <row r="15" spans="1:108" x14ac:dyDescent="0.25">
      <c r="A15" s="211">
        <f>+BaseloadMarkets!A15</f>
        <v>36687</v>
      </c>
      <c r="B15" s="386">
        <f>+OCCMarkets!AC15</f>
        <v>202</v>
      </c>
      <c r="C15" s="386">
        <f>+OCCMarkets!AD15</f>
        <v>0</v>
      </c>
      <c r="D15" s="386">
        <f>+OCCMarkets!AE15</f>
        <v>0</v>
      </c>
      <c r="E15" s="386">
        <f>+OCCMarkets!AF15</f>
        <v>0</v>
      </c>
      <c r="F15" s="386">
        <f>+OCCMarkets!AG15</f>
        <v>0</v>
      </c>
      <c r="G15" s="386">
        <f>+OCCMarkets!AH15</f>
        <v>-202</v>
      </c>
      <c r="H15" s="386">
        <f>+OCCMarkets!AI15</f>
        <v>2418</v>
      </c>
      <c r="I15" s="387">
        <f>+OCCMarkets!AJ15</f>
        <v>9387</v>
      </c>
      <c r="J15" s="387">
        <f>+OCCMarkets!AK15</f>
        <v>2651</v>
      </c>
      <c r="K15" s="387">
        <f>+OCCMarkets!AL15</f>
        <v>987</v>
      </c>
      <c r="L15" s="387">
        <f>+OCCMarkets!AM15</f>
        <v>9000</v>
      </c>
      <c r="M15" s="387">
        <f>+OCCMarkets!AN15</f>
        <v>12638</v>
      </c>
      <c r="N15" s="387">
        <f>+OCCMarkets!AO15</f>
        <v>3251</v>
      </c>
      <c r="O15" s="387">
        <f>+OCCMarkets!AP15</f>
        <v>128774</v>
      </c>
      <c r="P15" s="388">
        <f>+OCCMarkets!AQ15</f>
        <v>0</v>
      </c>
      <c r="Q15" s="388">
        <f>+OCCMarkets!AR15</f>
        <v>0</v>
      </c>
      <c r="R15" s="388">
        <f>+OCCMarkets!AS15</f>
        <v>0</v>
      </c>
      <c r="S15" s="388">
        <f>+OCCMarkets!AT15</f>
        <v>0</v>
      </c>
      <c r="T15" s="388">
        <f>+OCCMarkets!AU15</f>
        <v>0</v>
      </c>
      <c r="U15" s="388">
        <f>+OCCMarkets!AV15</f>
        <v>0</v>
      </c>
      <c r="V15" s="388">
        <f>+OCCMarkets!AW15</f>
        <v>0</v>
      </c>
      <c r="W15" s="391">
        <f>+OCCMarkets!AX15</f>
        <v>28</v>
      </c>
      <c r="X15" s="391">
        <f>+OCCMarkets!AY15</f>
        <v>0</v>
      </c>
      <c r="Y15" s="391">
        <f>+OCCMarkets!AZ15</f>
        <v>0</v>
      </c>
      <c r="Z15" s="391">
        <f>+OCCMarkets!BA15</f>
        <v>0</v>
      </c>
      <c r="AA15" s="391">
        <f>+OCCMarkets!BB15</f>
        <v>0</v>
      </c>
      <c r="AB15" s="391">
        <f>+OCCMarkets!BC15</f>
        <v>-28</v>
      </c>
      <c r="AC15" s="391">
        <f>+OCCMarkets!BD15</f>
        <v>2801</v>
      </c>
      <c r="AD15" s="389">
        <f>+OCCMarkets!BE15</f>
        <v>163</v>
      </c>
      <c r="AE15" s="389">
        <f>+OCCMarkets!BF15</f>
        <v>0</v>
      </c>
      <c r="AF15" s="389">
        <f>+OCCMarkets!BG15</f>
        <v>0</v>
      </c>
      <c r="AG15" s="389">
        <f>+OCCMarkets!BH15</f>
        <v>0</v>
      </c>
      <c r="AH15" s="389">
        <f>+OCCMarkets!BI15</f>
        <v>0</v>
      </c>
      <c r="AI15" s="389">
        <f>+OCCMarkets!BJ15</f>
        <v>-163</v>
      </c>
      <c r="AJ15" s="389">
        <f>+OCCMarkets!BK15</f>
        <v>3522</v>
      </c>
      <c r="AL15" s="205">
        <f t="shared" si="0"/>
        <v>9780</v>
      </c>
      <c r="AM15" s="205">
        <f t="shared" si="1"/>
        <v>12638</v>
      </c>
      <c r="AN15" s="205">
        <f t="shared" si="2"/>
        <v>2858</v>
      </c>
      <c r="AO15" s="205">
        <f t="shared" si="3"/>
        <v>137515</v>
      </c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216"/>
      <c r="BM15" s="216"/>
      <c r="BN15" s="216"/>
      <c r="BO15" s="216"/>
      <c r="BP15" s="216"/>
      <c r="BQ15" s="216"/>
      <c r="BR15" s="216"/>
      <c r="BS15" s="216"/>
      <c r="BT15" s="216"/>
      <c r="BU15" s="216"/>
      <c r="BV15" s="216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216"/>
      <c r="CQ15" s="216"/>
      <c r="CR15" s="216"/>
      <c r="CS15" s="216"/>
      <c r="CT15" s="216"/>
      <c r="CU15" s="216"/>
      <c r="CV15" s="216"/>
      <c r="CW15" s="216"/>
      <c r="CX15" s="216"/>
      <c r="CY15" s="216"/>
      <c r="CZ15" s="216"/>
      <c r="DA15" s="216"/>
      <c r="DB15" s="216"/>
      <c r="DC15" s="216"/>
      <c r="DD15" s="216"/>
    </row>
    <row r="16" spans="1:108" x14ac:dyDescent="0.25">
      <c r="A16" s="211">
        <f>+BaseloadMarkets!A16</f>
        <v>36688</v>
      </c>
      <c r="B16" s="386">
        <f>+OCCMarkets!AC16</f>
        <v>22</v>
      </c>
      <c r="C16" s="386">
        <f>+OCCMarkets!AD16</f>
        <v>0</v>
      </c>
      <c r="D16" s="386">
        <f>+OCCMarkets!AE16</f>
        <v>0</v>
      </c>
      <c r="E16" s="386">
        <f>+OCCMarkets!AF16</f>
        <v>0</v>
      </c>
      <c r="F16" s="386">
        <f>+OCCMarkets!AG16</f>
        <v>0</v>
      </c>
      <c r="G16" s="386">
        <f>+OCCMarkets!AH16</f>
        <v>-22</v>
      </c>
      <c r="H16" s="386">
        <f>+OCCMarkets!AI16</f>
        <v>2396</v>
      </c>
      <c r="I16" s="387">
        <f>+OCCMarkets!AJ16</f>
        <v>9165</v>
      </c>
      <c r="J16" s="387">
        <f>+OCCMarkets!AK16</f>
        <v>2620</v>
      </c>
      <c r="K16" s="387">
        <f>+OCCMarkets!AL16</f>
        <v>987</v>
      </c>
      <c r="L16" s="387">
        <f>+OCCMarkets!AM16</f>
        <v>9000</v>
      </c>
      <c r="M16" s="387">
        <f>+OCCMarkets!AN16</f>
        <v>12607</v>
      </c>
      <c r="N16" s="387">
        <f>+OCCMarkets!AO16</f>
        <v>3442</v>
      </c>
      <c r="O16" s="387">
        <f>+OCCMarkets!AP16</f>
        <v>132216</v>
      </c>
      <c r="P16" s="388">
        <f>+OCCMarkets!AQ16</f>
        <v>0</v>
      </c>
      <c r="Q16" s="388">
        <f>+OCCMarkets!AR16</f>
        <v>0</v>
      </c>
      <c r="R16" s="388">
        <f>+OCCMarkets!AS16</f>
        <v>0</v>
      </c>
      <c r="S16" s="388">
        <f>+OCCMarkets!AT16</f>
        <v>0</v>
      </c>
      <c r="T16" s="388">
        <f>+OCCMarkets!AU16</f>
        <v>0</v>
      </c>
      <c r="U16" s="388">
        <f>+OCCMarkets!AV16</f>
        <v>0</v>
      </c>
      <c r="V16" s="388">
        <f>+OCCMarkets!AW16</f>
        <v>0</v>
      </c>
      <c r="W16" s="391">
        <f>+OCCMarkets!AX16</f>
        <v>0</v>
      </c>
      <c r="X16" s="391">
        <f>+OCCMarkets!AY16</f>
        <v>0</v>
      </c>
      <c r="Y16" s="391">
        <f>+OCCMarkets!AZ16</f>
        <v>0</v>
      </c>
      <c r="Z16" s="391">
        <f>+OCCMarkets!BA16</f>
        <v>0</v>
      </c>
      <c r="AA16" s="391">
        <f>+OCCMarkets!BB16</f>
        <v>0</v>
      </c>
      <c r="AB16" s="391">
        <f>+OCCMarkets!BC16</f>
        <v>0</v>
      </c>
      <c r="AC16" s="391">
        <f>+OCCMarkets!BD16</f>
        <v>2801</v>
      </c>
      <c r="AD16" s="389">
        <f>+OCCMarkets!BE16</f>
        <v>27</v>
      </c>
      <c r="AE16" s="389">
        <f>+OCCMarkets!BF16</f>
        <v>0</v>
      </c>
      <c r="AF16" s="389">
        <f>+OCCMarkets!BG16</f>
        <v>0</v>
      </c>
      <c r="AG16" s="389">
        <f>+OCCMarkets!BH16</f>
        <v>0</v>
      </c>
      <c r="AH16" s="389">
        <f>+OCCMarkets!BI16</f>
        <v>0</v>
      </c>
      <c r="AI16" s="389">
        <f>+OCCMarkets!BJ16</f>
        <v>-27</v>
      </c>
      <c r="AJ16" s="389">
        <f>+OCCMarkets!BK16</f>
        <v>3495</v>
      </c>
      <c r="AL16" s="205">
        <f t="shared" si="0"/>
        <v>9214</v>
      </c>
      <c r="AM16" s="205">
        <f t="shared" si="1"/>
        <v>12607</v>
      </c>
      <c r="AN16" s="205">
        <f t="shared" si="2"/>
        <v>3393</v>
      </c>
      <c r="AO16" s="205">
        <f t="shared" si="3"/>
        <v>140908</v>
      </c>
      <c r="BB16" s="216"/>
      <c r="BC16" s="216"/>
      <c r="BD16" s="216"/>
      <c r="BE16" s="216"/>
      <c r="BF16" s="216"/>
      <c r="BG16" s="216"/>
      <c r="BH16" s="216"/>
      <c r="BI16" s="216"/>
      <c r="BJ16" s="216"/>
      <c r="BK16" s="216"/>
      <c r="BL16" s="216"/>
      <c r="BM16" s="216"/>
      <c r="BN16" s="216"/>
      <c r="BO16" s="216"/>
      <c r="BP16" s="216"/>
      <c r="BQ16" s="216"/>
      <c r="BR16" s="216"/>
      <c r="BS16" s="216"/>
      <c r="BT16" s="216"/>
      <c r="BU16" s="216"/>
      <c r="BV16" s="216"/>
      <c r="BW16" s="216"/>
      <c r="BX16" s="216"/>
      <c r="BY16" s="216"/>
      <c r="BZ16" s="216"/>
      <c r="CA16" s="216"/>
      <c r="CB16" s="216"/>
      <c r="CC16" s="216"/>
      <c r="CD16" s="216"/>
      <c r="CE16" s="216"/>
      <c r="CF16" s="216"/>
      <c r="CG16" s="216"/>
      <c r="CH16" s="216"/>
      <c r="CI16" s="216"/>
      <c r="CJ16" s="216"/>
      <c r="CK16" s="216"/>
      <c r="CL16" s="216"/>
      <c r="CM16" s="216"/>
      <c r="CN16" s="216"/>
      <c r="CO16" s="216"/>
      <c r="CP16" s="216"/>
      <c r="CQ16" s="216"/>
      <c r="CR16" s="216"/>
      <c r="CS16" s="216"/>
      <c r="CT16" s="216"/>
      <c r="CU16" s="216"/>
      <c r="CV16" s="216"/>
      <c r="CW16" s="216"/>
      <c r="CX16" s="216"/>
      <c r="CY16" s="216"/>
      <c r="CZ16" s="216"/>
      <c r="DA16" s="216"/>
      <c r="DB16" s="216"/>
      <c r="DC16" s="216"/>
      <c r="DD16" s="216"/>
    </row>
    <row r="17" spans="1:108" x14ac:dyDescent="0.25">
      <c r="A17" s="211">
        <f>+BaseloadMarkets!A17</f>
        <v>36689</v>
      </c>
      <c r="B17" s="386">
        <f>+OCCMarkets!AC17</f>
        <v>173</v>
      </c>
      <c r="C17" s="386">
        <f>+OCCMarkets!AD17</f>
        <v>0</v>
      </c>
      <c r="D17" s="386">
        <f>+OCCMarkets!AE17</f>
        <v>0</v>
      </c>
      <c r="E17" s="386">
        <f>+OCCMarkets!AF17</f>
        <v>0</v>
      </c>
      <c r="F17" s="386">
        <f>+OCCMarkets!AG17</f>
        <v>0</v>
      </c>
      <c r="G17" s="386">
        <f>+OCCMarkets!AH17</f>
        <v>-173</v>
      </c>
      <c r="H17" s="386">
        <f>+OCCMarkets!AI17</f>
        <v>2223</v>
      </c>
      <c r="I17" s="387">
        <f>+OCCMarkets!AJ17</f>
        <v>9262</v>
      </c>
      <c r="J17" s="387">
        <f>+OCCMarkets!AK17</f>
        <v>2314</v>
      </c>
      <c r="K17" s="387">
        <f>+OCCMarkets!AL17</f>
        <v>987</v>
      </c>
      <c r="L17" s="387">
        <f>+OCCMarkets!AM17</f>
        <v>9000</v>
      </c>
      <c r="M17" s="387">
        <f>+OCCMarkets!AN17</f>
        <v>12301</v>
      </c>
      <c r="N17" s="387">
        <f>+OCCMarkets!AO17</f>
        <v>3039</v>
      </c>
      <c r="O17" s="387">
        <f>+OCCMarkets!AP17</f>
        <v>135255</v>
      </c>
      <c r="P17" s="388">
        <f>+OCCMarkets!AQ17</f>
        <v>0</v>
      </c>
      <c r="Q17" s="388">
        <f>+OCCMarkets!AR17</f>
        <v>0</v>
      </c>
      <c r="R17" s="388">
        <f>+OCCMarkets!AS17</f>
        <v>0</v>
      </c>
      <c r="S17" s="388">
        <f>+OCCMarkets!AT17</f>
        <v>0</v>
      </c>
      <c r="T17" s="388">
        <f>+OCCMarkets!AU17</f>
        <v>0</v>
      </c>
      <c r="U17" s="388">
        <f>+OCCMarkets!AV17</f>
        <v>0</v>
      </c>
      <c r="V17" s="388">
        <f>+OCCMarkets!AW17</f>
        <v>0</v>
      </c>
      <c r="W17" s="391">
        <f>+OCCMarkets!AX17</f>
        <v>167</v>
      </c>
      <c r="X17" s="391">
        <f>+OCCMarkets!AY17</f>
        <v>0</v>
      </c>
      <c r="Y17" s="391">
        <f>+OCCMarkets!AZ17</f>
        <v>0</v>
      </c>
      <c r="Z17" s="391">
        <f>+OCCMarkets!BA17</f>
        <v>0</v>
      </c>
      <c r="AA17" s="391">
        <f>+OCCMarkets!BB17</f>
        <v>0</v>
      </c>
      <c r="AB17" s="391">
        <f>+OCCMarkets!BC17</f>
        <v>-167</v>
      </c>
      <c r="AC17" s="391">
        <f>+OCCMarkets!BD17</f>
        <v>2634</v>
      </c>
      <c r="AD17" s="389">
        <f>+OCCMarkets!BE17</f>
        <v>261</v>
      </c>
      <c r="AE17" s="389">
        <f>+OCCMarkets!BF17</f>
        <v>0</v>
      </c>
      <c r="AF17" s="389">
        <f>+OCCMarkets!BG17</f>
        <v>0</v>
      </c>
      <c r="AG17" s="389">
        <f>+OCCMarkets!BH17</f>
        <v>0</v>
      </c>
      <c r="AH17" s="389">
        <f>+OCCMarkets!BI17</f>
        <v>0</v>
      </c>
      <c r="AI17" s="389">
        <f>+OCCMarkets!BJ17</f>
        <v>-261</v>
      </c>
      <c r="AJ17" s="389">
        <f>+OCCMarkets!BK17</f>
        <v>3234</v>
      </c>
      <c r="AL17" s="205">
        <f t="shared" si="0"/>
        <v>9863</v>
      </c>
      <c r="AM17" s="205">
        <f t="shared" si="1"/>
        <v>12301</v>
      </c>
      <c r="AN17" s="205">
        <f t="shared" si="2"/>
        <v>2438</v>
      </c>
      <c r="AO17" s="205">
        <f t="shared" si="3"/>
        <v>143346</v>
      </c>
      <c r="BB17" s="216"/>
      <c r="BC17" s="216"/>
      <c r="BD17" s="216"/>
      <c r="BE17" s="216"/>
      <c r="BF17" s="216"/>
      <c r="BG17" s="216"/>
      <c r="BH17" s="216"/>
      <c r="BI17" s="216"/>
      <c r="BJ17" s="216"/>
      <c r="BK17" s="216"/>
      <c r="BL17" s="216"/>
      <c r="BM17" s="216"/>
      <c r="BN17" s="216"/>
      <c r="BO17" s="216"/>
      <c r="BP17" s="216"/>
      <c r="BQ17" s="216"/>
      <c r="BR17" s="216"/>
      <c r="BS17" s="216"/>
      <c r="BT17" s="216"/>
      <c r="BU17" s="216"/>
      <c r="BV17" s="216"/>
      <c r="BW17" s="216"/>
      <c r="BX17" s="216"/>
      <c r="BY17" s="216"/>
      <c r="BZ17" s="216"/>
      <c r="CA17" s="216"/>
      <c r="CB17" s="216"/>
      <c r="CC17" s="216"/>
      <c r="CD17" s="216"/>
      <c r="CE17" s="216"/>
      <c r="CF17" s="216"/>
      <c r="CG17" s="216"/>
      <c r="CH17" s="216"/>
      <c r="CI17" s="216"/>
      <c r="CJ17" s="216"/>
      <c r="CK17" s="216"/>
      <c r="CL17" s="216"/>
      <c r="CM17" s="216"/>
      <c r="CN17" s="216"/>
      <c r="CO17" s="216"/>
      <c r="CP17" s="216"/>
      <c r="CQ17" s="216"/>
      <c r="CR17" s="216"/>
      <c r="CS17" s="216"/>
      <c r="CT17" s="216"/>
      <c r="CU17" s="216"/>
      <c r="CV17" s="216"/>
      <c r="CW17" s="216"/>
      <c r="CX17" s="216"/>
      <c r="CY17" s="216"/>
      <c r="CZ17" s="216"/>
      <c r="DA17" s="216"/>
      <c r="DB17" s="216"/>
      <c r="DC17" s="216"/>
      <c r="DD17" s="216"/>
    </row>
    <row r="18" spans="1:108" x14ac:dyDescent="0.25">
      <c r="A18" s="211">
        <f>+BaseloadMarkets!A18</f>
        <v>36690</v>
      </c>
      <c r="B18" s="386">
        <f>+OCCMarkets!AC18</f>
        <v>155</v>
      </c>
      <c r="C18" s="386">
        <f>+OCCMarkets!AD18</f>
        <v>0</v>
      </c>
      <c r="D18" s="386">
        <f>+OCCMarkets!AE18</f>
        <v>0</v>
      </c>
      <c r="E18" s="386">
        <f>+OCCMarkets!AF18</f>
        <v>0</v>
      </c>
      <c r="F18" s="386">
        <f>+OCCMarkets!AG18</f>
        <v>0</v>
      </c>
      <c r="G18" s="386">
        <f>+OCCMarkets!AH18</f>
        <v>-155</v>
      </c>
      <c r="H18" s="386">
        <f>+OCCMarkets!AI18</f>
        <v>2068</v>
      </c>
      <c r="I18" s="387">
        <f>+OCCMarkets!AJ18</f>
        <v>9192</v>
      </c>
      <c r="J18" s="387">
        <f>+OCCMarkets!AK18</f>
        <v>2693</v>
      </c>
      <c r="K18" s="387">
        <f>+OCCMarkets!AL18</f>
        <v>987</v>
      </c>
      <c r="L18" s="387">
        <f>+OCCMarkets!AM18</f>
        <v>4000</v>
      </c>
      <c r="M18" s="387">
        <f>+OCCMarkets!AN18</f>
        <v>7680</v>
      </c>
      <c r="N18" s="387">
        <f>+OCCMarkets!AO18</f>
        <v>-1512</v>
      </c>
      <c r="O18" s="387">
        <f>+OCCMarkets!AP18</f>
        <v>133743</v>
      </c>
      <c r="P18" s="388">
        <f>+OCCMarkets!AQ18</f>
        <v>0</v>
      </c>
      <c r="Q18" s="388">
        <f>+OCCMarkets!AR18</f>
        <v>0</v>
      </c>
      <c r="R18" s="388">
        <f>+OCCMarkets!AS18</f>
        <v>0</v>
      </c>
      <c r="S18" s="388">
        <f>+OCCMarkets!AT18</f>
        <v>0</v>
      </c>
      <c r="T18" s="388">
        <f>+OCCMarkets!AU18</f>
        <v>0</v>
      </c>
      <c r="U18" s="388">
        <f>+OCCMarkets!AV18</f>
        <v>0</v>
      </c>
      <c r="V18" s="388">
        <f>+OCCMarkets!AW18</f>
        <v>0</v>
      </c>
      <c r="W18" s="391">
        <f>+OCCMarkets!AX18</f>
        <v>197</v>
      </c>
      <c r="X18" s="391">
        <f>+OCCMarkets!AY18</f>
        <v>0</v>
      </c>
      <c r="Y18" s="391">
        <f>+OCCMarkets!AZ18</f>
        <v>0</v>
      </c>
      <c r="Z18" s="391">
        <f>+OCCMarkets!BA18</f>
        <v>0</v>
      </c>
      <c r="AA18" s="391">
        <f>+OCCMarkets!BB18</f>
        <v>0</v>
      </c>
      <c r="AB18" s="391">
        <f>+OCCMarkets!BC18</f>
        <v>-197</v>
      </c>
      <c r="AC18" s="391">
        <f>+OCCMarkets!BD18</f>
        <v>2437</v>
      </c>
      <c r="AD18" s="389">
        <f>+OCCMarkets!BE18</f>
        <v>309</v>
      </c>
      <c r="AE18" s="389">
        <f>+OCCMarkets!BF18</f>
        <v>0</v>
      </c>
      <c r="AF18" s="389">
        <f>+OCCMarkets!BG18</f>
        <v>0</v>
      </c>
      <c r="AG18" s="389">
        <f>+OCCMarkets!BH18</f>
        <v>0</v>
      </c>
      <c r="AH18" s="389">
        <f>+OCCMarkets!BI18</f>
        <v>0</v>
      </c>
      <c r="AI18" s="389">
        <f>+OCCMarkets!BJ18</f>
        <v>-309</v>
      </c>
      <c r="AJ18" s="389">
        <f>+OCCMarkets!BK18</f>
        <v>2925</v>
      </c>
      <c r="AL18" s="205">
        <f t="shared" si="0"/>
        <v>9853</v>
      </c>
      <c r="AM18" s="205">
        <f t="shared" si="1"/>
        <v>7680</v>
      </c>
      <c r="AN18" s="205">
        <f t="shared" si="2"/>
        <v>-2173</v>
      </c>
      <c r="AO18" s="205">
        <f t="shared" si="3"/>
        <v>141173</v>
      </c>
      <c r="BB18" s="216"/>
      <c r="BC18" s="216"/>
      <c r="BD18" s="216"/>
      <c r="BE18" s="216"/>
      <c r="BF18" s="216"/>
      <c r="BG18" s="216"/>
      <c r="BH18" s="216"/>
      <c r="BI18" s="216"/>
      <c r="BJ18" s="216"/>
      <c r="BK18" s="216"/>
      <c r="BL18" s="216"/>
      <c r="BM18" s="216"/>
      <c r="BN18" s="216"/>
      <c r="BO18" s="216"/>
      <c r="BP18" s="216"/>
      <c r="BQ18" s="216"/>
      <c r="BR18" s="216"/>
      <c r="BS18" s="216"/>
      <c r="BT18" s="216"/>
      <c r="BU18" s="216"/>
      <c r="BV18" s="216"/>
      <c r="BW18" s="216"/>
      <c r="BX18" s="216"/>
      <c r="BY18" s="216"/>
      <c r="BZ18" s="216"/>
      <c r="CA18" s="216"/>
      <c r="CB18" s="216"/>
      <c r="CC18" s="216"/>
      <c r="CD18" s="216"/>
      <c r="CE18" s="216"/>
      <c r="CF18" s="216"/>
      <c r="CG18" s="216"/>
      <c r="CH18" s="216"/>
      <c r="CI18" s="216"/>
      <c r="CJ18" s="216"/>
      <c r="CK18" s="216"/>
      <c r="CL18" s="216"/>
      <c r="CM18" s="216"/>
      <c r="CN18" s="216"/>
      <c r="CO18" s="216"/>
      <c r="CP18" s="216"/>
      <c r="CQ18" s="216"/>
      <c r="CR18" s="216"/>
      <c r="CS18" s="216"/>
      <c r="CT18" s="216"/>
      <c r="CU18" s="216"/>
      <c r="CV18" s="216"/>
      <c r="CW18" s="216"/>
      <c r="CX18" s="216"/>
      <c r="CY18" s="216"/>
      <c r="CZ18" s="216"/>
      <c r="DA18" s="216"/>
      <c r="DB18" s="216"/>
      <c r="DC18" s="216"/>
      <c r="DD18" s="216"/>
    </row>
    <row r="19" spans="1:108" x14ac:dyDescent="0.25">
      <c r="A19" s="211">
        <f>+BaseloadMarkets!A19</f>
        <v>36691</v>
      </c>
      <c r="B19" s="386">
        <f>+OCCMarkets!AC19</f>
        <v>176</v>
      </c>
      <c r="C19" s="386">
        <f>+OCCMarkets!AD19</f>
        <v>0</v>
      </c>
      <c r="D19" s="386">
        <f>+OCCMarkets!AE19</f>
        <v>0</v>
      </c>
      <c r="E19" s="386">
        <f>+OCCMarkets!AF19</f>
        <v>0</v>
      </c>
      <c r="F19" s="386">
        <f>+OCCMarkets!AG19</f>
        <v>0</v>
      </c>
      <c r="G19" s="386">
        <f>+OCCMarkets!AH19</f>
        <v>-176</v>
      </c>
      <c r="H19" s="386">
        <f>+OCCMarkets!AI19</f>
        <v>1892</v>
      </c>
      <c r="I19" s="387">
        <f>+OCCMarkets!AJ19</f>
        <v>9556</v>
      </c>
      <c r="J19" s="387">
        <f>+OCCMarkets!AK19</f>
        <v>4316</v>
      </c>
      <c r="K19" s="387">
        <f>+OCCMarkets!AL19</f>
        <v>987</v>
      </c>
      <c r="L19" s="387">
        <f>+OCCMarkets!AM19</f>
        <v>4000</v>
      </c>
      <c r="M19" s="387">
        <f>+OCCMarkets!AN19</f>
        <v>9303</v>
      </c>
      <c r="N19" s="387">
        <f>+OCCMarkets!AO19</f>
        <v>-253</v>
      </c>
      <c r="O19" s="387">
        <f>+OCCMarkets!AP19</f>
        <v>133490</v>
      </c>
      <c r="P19" s="388">
        <f>+OCCMarkets!AQ19</f>
        <v>0</v>
      </c>
      <c r="Q19" s="388">
        <f>+OCCMarkets!AR19</f>
        <v>0</v>
      </c>
      <c r="R19" s="388">
        <f>+OCCMarkets!AS19</f>
        <v>0</v>
      </c>
      <c r="S19" s="388">
        <f>+OCCMarkets!AT19</f>
        <v>0</v>
      </c>
      <c r="T19" s="388">
        <f>+OCCMarkets!AU19</f>
        <v>0</v>
      </c>
      <c r="U19" s="388">
        <f>+OCCMarkets!AV19</f>
        <v>0</v>
      </c>
      <c r="V19" s="388">
        <f>+OCCMarkets!AW19</f>
        <v>0</v>
      </c>
      <c r="W19" s="391">
        <f>+OCCMarkets!AX19</f>
        <v>200</v>
      </c>
      <c r="X19" s="391">
        <f>+OCCMarkets!AY19</f>
        <v>0</v>
      </c>
      <c r="Y19" s="391">
        <f>+OCCMarkets!AZ19</f>
        <v>0</v>
      </c>
      <c r="Z19" s="391">
        <f>+OCCMarkets!BA19</f>
        <v>0</v>
      </c>
      <c r="AA19" s="391">
        <f>+OCCMarkets!BB19</f>
        <v>0</v>
      </c>
      <c r="AB19" s="391">
        <f>+OCCMarkets!BC19</f>
        <v>-200</v>
      </c>
      <c r="AC19" s="391">
        <f>+OCCMarkets!BD19</f>
        <v>2237</v>
      </c>
      <c r="AD19" s="389">
        <f>+OCCMarkets!BE19</f>
        <v>277</v>
      </c>
      <c r="AE19" s="389">
        <f>+OCCMarkets!BF19</f>
        <v>0</v>
      </c>
      <c r="AF19" s="389">
        <f>+OCCMarkets!BG19</f>
        <v>0</v>
      </c>
      <c r="AG19" s="389">
        <f>+OCCMarkets!BH19</f>
        <v>0</v>
      </c>
      <c r="AH19" s="389">
        <f>+OCCMarkets!BI19</f>
        <v>0</v>
      </c>
      <c r="AI19" s="389">
        <f>+OCCMarkets!BJ19</f>
        <v>-277</v>
      </c>
      <c r="AJ19" s="389">
        <f>+OCCMarkets!BK19</f>
        <v>2648</v>
      </c>
      <c r="AL19" s="205">
        <f t="shared" si="0"/>
        <v>10209</v>
      </c>
      <c r="AM19" s="205">
        <f t="shared" si="1"/>
        <v>9303</v>
      </c>
      <c r="AN19" s="205">
        <f t="shared" si="2"/>
        <v>-906</v>
      </c>
      <c r="AO19" s="205">
        <f t="shared" si="3"/>
        <v>140267</v>
      </c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  <c r="BM19" s="216"/>
      <c r="BN19" s="216"/>
      <c r="BO19" s="216"/>
      <c r="BP19" s="216"/>
      <c r="BQ19" s="216"/>
      <c r="BR19" s="216"/>
      <c r="BS19" s="216"/>
      <c r="BT19" s="216"/>
      <c r="BU19" s="216"/>
      <c r="BV19" s="216"/>
      <c r="BW19" s="216"/>
      <c r="BX19" s="216"/>
      <c r="BY19" s="216"/>
      <c r="BZ19" s="216"/>
      <c r="CA19" s="216"/>
      <c r="CB19" s="216"/>
      <c r="CC19" s="216"/>
      <c r="CD19" s="216"/>
      <c r="CE19" s="216"/>
      <c r="CF19" s="216"/>
      <c r="CG19" s="216"/>
      <c r="CH19" s="216"/>
      <c r="CI19" s="216"/>
      <c r="CJ19" s="216"/>
      <c r="CK19" s="216"/>
      <c r="CL19" s="216"/>
      <c r="CM19" s="216"/>
      <c r="CN19" s="216"/>
      <c r="CO19" s="216"/>
      <c r="CP19" s="216"/>
      <c r="CQ19" s="216"/>
      <c r="CR19" s="216"/>
      <c r="CS19" s="216"/>
      <c r="CT19" s="216"/>
      <c r="CU19" s="216"/>
      <c r="CV19" s="216"/>
      <c r="CW19" s="216"/>
      <c r="CX19" s="216"/>
      <c r="CY19" s="216"/>
      <c r="CZ19" s="216"/>
      <c r="DA19" s="216"/>
      <c r="DB19" s="216"/>
      <c r="DC19" s="216"/>
      <c r="DD19" s="216"/>
    </row>
    <row r="20" spans="1:108" x14ac:dyDescent="0.25">
      <c r="A20" s="211">
        <f>+BaseloadMarkets!A20</f>
        <v>36692</v>
      </c>
      <c r="B20" s="386">
        <f>+OCCMarkets!AC20</f>
        <v>167</v>
      </c>
      <c r="C20" s="386">
        <f>+OCCMarkets!AD20</f>
        <v>0</v>
      </c>
      <c r="D20" s="386">
        <f>+OCCMarkets!AE20</f>
        <v>0</v>
      </c>
      <c r="E20" s="386">
        <f>+OCCMarkets!AF20</f>
        <v>0</v>
      </c>
      <c r="F20" s="386">
        <f>+OCCMarkets!AG20</f>
        <v>0</v>
      </c>
      <c r="G20" s="386">
        <f>+OCCMarkets!AH20</f>
        <v>-167</v>
      </c>
      <c r="H20" s="386">
        <f>+OCCMarkets!AI20</f>
        <v>1725</v>
      </c>
      <c r="I20" s="387">
        <f>+OCCMarkets!AJ20</f>
        <v>9602</v>
      </c>
      <c r="J20" s="387">
        <f>+OCCMarkets!AK20</f>
        <v>0</v>
      </c>
      <c r="K20" s="387">
        <f>+OCCMarkets!AL20</f>
        <v>987</v>
      </c>
      <c r="L20" s="387">
        <f>+OCCMarkets!AM20</f>
        <v>4000</v>
      </c>
      <c r="M20" s="387">
        <f>+OCCMarkets!AN20</f>
        <v>4987</v>
      </c>
      <c r="N20" s="387">
        <f>+OCCMarkets!AO20</f>
        <v>-4615</v>
      </c>
      <c r="O20" s="387">
        <f>+OCCMarkets!AP20</f>
        <v>128875</v>
      </c>
      <c r="P20" s="388">
        <f>+OCCMarkets!AQ20</f>
        <v>0</v>
      </c>
      <c r="Q20" s="388">
        <f>+OCCMarkets!AR20</f>
        <v>0</v>
      </c>
      <c r="R20" s="388">
        <f>+OCCMarkets!AS20</f>
        <v>0</v>
      </c>
      <c r="S20" s="388">
        <f>+OCCMarkets!AT20</f>
        <v>0</v>
      </c>
      <c r="T20" s="388">
        <f>+OCCMarkets!AU20</f>
        <v>0</v>
      </c>
      <c r="U20" s="388">
        <f>+OCCMarkets!AV20</f>
        <v>0</v>
      </c>
      <c r="V20" s="388">
        <f>+OCCMarkets!AW20</f>
        <v>0</v>
      </c>
      <c r="W20" s="391">
        <f>+OCCMarkets!AX20</f>
        <v>202</v>
      </c>
      <c r="X20" s="391">
        <f>+OCCMarkets!AY20</f>
        <v>0</v>
      </c>
      <c r="Y20" s="391">
        <f>+OCCMarkets!AZ20</f>
        <v>0</v>
      </c>
      <c r="Z20" s="391">
        <f>+OCCMarkets!BA20</f>
        <v>0</v>
      </c>
      <c r="AA20" s="391">
        <f>+OCCMarkets!BB20</f>
        <v>0</v>
      </c>
      <c r="AB20" s="391">
        <f>+OCCMarkets!BC20</f>
        <v>-202</v>
      </c>
      <c r="AC20" s="391">
        <f>+OCCMarkets!BD20</f>
        <v>2035</v>
      </c>
      <c r="AD20" s="389">
        <f>+OCCMarkets!BE20</f>
        <v>293</v>
      </c>
      <c r="AE20" s="389">
        <f>+OCCMarkets!BF20</f>
        <v>0</v>
      </c>
      <c r="AF20" s="389">
        <f>+OCCMarkets!BG20</f>
        <v>0</v>
      </c>
      <c r="AG20" s="389">
        <f>+OCCMarkets!BH20</f>
        <v>0</v>
      </c>
      <c r="AH20" s="389">
        <f>+OCCMarkets!BI20</f>
        <v>0</v>
      </c>
      <c r="AI20" s="389">
        <f>+OCCMarkets!BJ20</f>
        <v>-293</v>
      </c>
      <c r="AJ20" s="389">
        <f>+OCCMarkets!BK20</f>
        <v>2355</v>
      </c>
      <c r="AL20" s="205">
        <f t="shared" si="0"/>
        <v>10264</v>
      </c>
      <c r="AM20" s="205">
        <f t="shared" si="1"/>
        <v>4987</v>
      </c>
      <c r="AN20" s="205">
        <f t="shared" si="2"/>
        <v>-5277</v>
      </c>
      <c r="AO20" s="205">
        <f t="shared" si="3"/>
        <v>134990</v>
      </c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216"/>
      <c r="BO20" s="216"/>
      <c r="BP20" s="216"/>
      <c r="BQ20" s="216"/>
      <c r="BR20" s="216"/>
      <c r="BS20" s="216"/>
      <c r="BT20" s="216"/>
      <c r="BU20" s="216"/>
      <c r="BV20" s="216"/>
      <c r="BW20" s="216"/>
      <c r="BX20" s="216"/>
      <c r="BY20" s="216"/>
      <c r="BZ20" s="216"/>
      <c r="CA20" s="216"/>
      <c r="CB20" s="216"/>
      <c r="CC20" s="216"/>
      <c r="CD20" s="216"/>
      <c r="CE20" s="216"/>
      <c r="CF20" s="216"/>
      <c r="CG20" s="216"/>
      <c r="CH20" s="216"/>
      <c r="CI20" s="216"/>
      <c r="CJ20" s="216"/>
      <c r="CK20" s="216"/>
      <c r="CL20" s="216"/>
      <c r="CM20" s="216"/>
      <c r="CN20" s="216"/>
      <c r="CO20" s="216"/>
      <c r="CP20" s="216"/>
      <c r="CQ20" s="216"/>
      <c r="CR20" s="216"/>
      <c r="CS20" s="216"/>
      <c r="CT20" s="216"/>
      <c r="CU20" s="216"/>
      <c r="CV20" s="216"/>
      <c r="CW20" s="216"/>
      <c r="CX20" s="216"/>
      <c r="CY20" s="216"/>
      <c r="CZ20" s="216"/>
      <c r="DA20" s="216"/>
      <c r="DB20" s="216"/>
      <c r="DC20" s="216"/>
      <c r="DD20" s="216"/>
    </row>
    <row r="21" spans="1:108" x14ac:dyDescent="0.25">
      <c r="A21" s="211">
        <f>+BaseloadMarkets!A21</f>
        <v>36693</v>
      </c>
      <c r="B21" s="386">
        <f>+OCCMarkets!AC21</f>
        <v>165</v>
      </c>
      <c r="C21" s="386">
        <f>+OCCMarkets!AD21</f>
        <v>0</v>
      </c>
      <c r="D21" s="386">
        <f>+OCCMarkets!AE21</f>
        <v>0</v>
      </c>
      <c r="E21" s="386">
        <f>+OCCMarkets!AF21</f>
        <v>0</v>
      </c>
      <c r="F21" s="386">
        <f>+OCCMarkets!AG21</f>
        <v>0</v>
      </c>
      <c r="G21" s="386">
        <f>+OCCMarkets!AH21</f>
        <v>-165</v>
      </c>
      <c r="H21" s="386">
        <f>+OCCMarkets!AI21</f>
        <v>1560</v>
      </c>
      <c r="I21" s="387">
        <f>+OCCMarkets!AJ21</f>
        <v>9309</v>
      </c>
      <c r="J21" s="387">
        <f>+OCCMarkets!AK21</f>
        <v>0</v>
      </c>
      <c r="K21" s="387">
        <f>+OCCMarkets!AL21</f>
        <v>987</v>
      </c>
      <c r="L21" s="387">
        <f>+OCCMarkets!AM21</f>
        <v>0</v>
      </c>
      <c r="M21" s="387">
        <f>+OCCMarkets!AN21</f>
        <v>987</v>
      </c>
      <c r="N21" s="387">
        <f>+OCCMarkets!AO21</f>
        <v>-8322</v>
      </c>
      <c r="O21" s="387">
        <f>+OCCMarkets!AP21</f>
        <v>120553</v>
      </c>
      <c r="P21" s="388">
        <f>+OCCMarkets!AQ21</f>
        <v>0</v>
      </c>
      <c r="Q21" s="388">
        <f>+OCCMarkets!AR21</f>
        <v>0</v>
      </c>
      <c r="R21" s="388">
        <f>+OCCMarkets!AS21</f>
        <v>0</v>
      </c>
      <c r="S21" s="388">
        <f>+OCCMarkets!AT21</f>
        <v>0</v>
      </c>
      <c r="T21" s="388">
        <f>+OCCMarkets!AU21</f>
        <v>0</v>
      </c>
      <c r="U21" s="388">
        <f>+OCCMarkets!AV21</f>
        <v>0</v>
      </c>
      <c r="V21" s="388">
        <f>+OCCMarkets!AW21</f>
        <v>0</v>
      </c>
      <c r="W21" s="391">
        <f>+OCCMarkets!AX21</f>
        <v>205</v>
      </c>
      <c r="X21" s="391">
        <f>+OCCMarkets!AY21</f>
        <v>0</v>
      </c>
      <c r="Y21" s="391">
        <f>+OCCMarkets!AZ21</f>
        <v>0</v>
      </c>
      <c r="Z21" s="391">
        <f>+OCCMarkets!BA21</f>
        <v>0</v>
      </c>
      <c r="AA21" s="391">
        <f>+OCCMarkets!BB21</f>
        <v>0</v>
      </c>
      <c r="AB21" s="391">
        <f>+OCCMarkets!BC21</f>
        <v>-205</v>
      </c>
      <c r="AC21" s="391">
        <f>+OCCMarkets!BD21</f>
        <v>1830</v>
      </c>
      <c r="AD21" s="389">
        <f>+OCCMarkets!BE21</f>
        <v>301</v>
      </c>
      <c r="AE21" s="389">
        <f>+OCCMarkets!BF21</f>
        <v>0</v>
      </c>
      <c r="AF21" s="389">
        <f>+OCCMarkets!BG21</f>
        <v>0</v>
      </c>
      <c r="AG21" s="389">
        <f>+OCCMarkets!BH21</f>
        <v>0</v>
      </c>
      <c r="AH21" s="389">
        <f>+OCCMarkets!BI21</f>
        <v>0</v>
      </c>
      <c r="AI21" s="389">
        <f>+OCCMarkets!BJ21</f>
        <v>-301</v>
      </c>
      <c r="AJ21" s="389">
        <f>+OCCMarkets!BK21</f>
        <v>2054</v>
      </c>
      <c r="AL21" s="205">
        <f t="shared" si="0"/>
        <v>9980</v>
      </c>
      <c r="AM21" s="205">
        <f t="shared" si="1"/>
        <v>987</v>
      </c>
      <c r="AN21" s="205">
        <f t="shared" si="2"/>
        <v>-8993</v>
      </c>
      <c r="AO21" s="205">
        <f t="shared" si="3"/>
        <v>125997</v>
      </c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216"/>
      <c r="BO21" s="216"/>
      <c r="BP21" s="216"/>
      <c r="BQ21" s="216"/>
      <c r="BR21" s="216"/>
      <c r="BS21" s="216"/>
      <c r="BT21" s="216"/>
      <c r="BU21" s="216"/>
      <c r="BV21" s="216"/>
      <c r="BW21" s="216"/>
      <c r="BX21" s="216"/>
      <c r="BY21" s="216"/>
      <c r="BZ21" s="216"/>
      <c r="CA21" s="216"/>
      <c r="CB21" s="216"/>
      <c r="CC21" s="216"/>
      <c r="CD21" s="216"/>
      <c r="CE21" s="216"/>
      <c r="CF21" s="216"/>
      <c r="CG21" s="216"/>
      <c r="CH21" s="216"/>
      <c r="CI21" s="216"/>
      <c r="CJ21" s="216"/>
      <c r="CK21" s="216"/>
      <c r="CL21" s="216"/>
      <c r="CM21" s="216"/>
      <c r="CN21" s="216"/>
      <c r="CO21" s="216"/>
      <c r="CP21" s="216"/>
      <c r="CQ21" s="216"/>
      <c r="CR21" s="216"/>
      <c r="CS21" s="216"/>
      <c r="CT21" s="216"/>
      <c r="CU21" s="216"/>
      <c r="CV21" s="216"/>
      <c r="CW21" s="216"/>
      <c r="CX21" s="216"/>
      <c r="CY21" s="216"/>
      <c r="CZ21" s="216"/>
      <c r="DA21" s="216"/>
      <c r="DB21" s="216"/>
      <c r="DC21" s="216"/>
      <c r="DD21" s="216"/>
    </row>
    <row r="22" spans="1:108" x14ac:dyDescent="0.25">
      <c r="A22" s="211">
        <f>+BaseloadMarkets!A22</f>
        <v>36694</v>
      </c>
      <c r="B22" s="386">
        <f>+OCCMarkets!AC22</f>
        <v>177</v>
      </c>
      <c r="C22" s="386">
        <f>+OCCMarkets!AD22</f>
        <v>0</v>
      </c>
      <c r="D22" s="386">
        <f>+OCCMarkets!AE22</f>
        <v>0</v>
      </c>
      <c r="E22" s="386">
        <f>+OCCMarkets!AF22</f>
        <v>0</v>
      </c>
      <c r="F22" s="386">
        <f>+OCCMarkets!AG22</f>
        <v>0</v>
      </c>
      <c r="G22" s="386">
        <f>+OCCMarkets!AH22</f>
        <v>-177</v>
      </c>
      <c r="H22" s="386">
        <f>+OCCMarkets!AI22</f>
        <v>1383</v>
      </c>
      <c r="I22" s="387">
        <f>+OCCMarkets!AJ22</f>
        <v>8922</v>
      </c>
      <c r="J22" s="387">
        <f>+OCCMarkets!AK22</f>
        <v>2000</v>
      </c>
      <c r="K22" s="387">
        <f>+OCCMarkets!AL22</f>
        <v>987</v>
      </c>
      <c r="L22" s="387">
        <f>+OCCMarkets!AM22</f>
        <v>0</v>
      </c>
      <c r="M22" s="387">
        <f>+OCCMarkets!AN22</f>
        <v>2987</v>
      </c>
      <c r="N22" s="387">
        <f>+OCCMarkets!AO22</f>
        <v>-5935</v>
      </c>
      <c r="O22" s="387">
        <f>+OCCMarkets!AP22</f>
        <v>114618</v>
      </c>
      <c r="P22" s="388">
        <f>+OCCMarkets!AQ22</f>
        <v>0</v>
      </c>
      <c r="Q22" s="388">
        <f>+OCCMarkets!AR22</f>
        <v>0</v>
      </c>
      <c r="R22" s="388">
        <f>+OCCMarkets!AS22</f>
        <v>0</v>
      </c>
      <c r="S22" s="388">
        <f>+OCCMarkets!AT22</f>
        <v>0</v>
      </c>
      <c r="T22" s="388">
        <f>+OCCMarkets!AU22</f>
        <v>0</v>
      </c>
      <c r="U22" s="388">
        <f>+OCCMarkets!AV22</f>
        <v>0</v>
      </c>
      <c r="V22" s="388">
        <f>+OCCMarkets!AW22</f>
        <v>0</v>
      </c>
      <c r="W22" s="391">
        <f>+OCCMarkets!AX22</f>
        <v>26</v>
      </c>
      <c r="X22" s="391">
        <f>+OCCMarkets!AY22</f>
        <v>0</v>
      </c>
      <c r="Y22" s="391">
        <f>+OCCMarkets!AZ22</f>
        <v>0</v>
      </c>
      <c r="Z22" s="391">
        <f>+OCCMarkets!BA22</f>
        <v>0</v>
      </c>
      <c r="AA22" s="391">
        <f>+OCCMarkets!BB22</f>
        <v>0</v>
      </c>
      <c r="AB22" s="391">
        <f>+OCCMarkets!BC22</f>
        <v>-26</v>
      </c>
      <c r="AC22" s="391">
        <f>+OCCMarkets!BD22</f>
        <v>1804</v>
      </c>
      <c r="AD22" s="389">
        <f>+OCCMarkets!BE22</f>
        <v>145</v>
      </c>
      <c r="AE22" s="389">
        <f>+OCCMarkets!BF22</f>
        <v>0</v>
      </c>
      <c r="AF22" s="389">
        <f>+OCCMarkets!BG22</f>
        <v>0</v>
      </c>
      <c r="AG22" s="389">
        <f>+OCCMarkets!BH22</f>
        <v>0</v>
      </c>
      <c r="AH22" s="389">
        <f>+OCCMarkets!BI22</f>
        <v>0</v>
      </c>
      <c r="AI22" s="389">
        <f>+OCCMarkets!BJ22</f>
        <v>-145</v>
      </c>
      <c r="AJ22" s="389">
        <f>+OCCMarkets!BK22</f>
        <v>1909</v>
      </c>
      <c r="AL22" s="205">
        <f t="shared" si="0"/>
        <v>9270</v>
      </c>
      <c r="AM22" s="205">
        <f t="shared" si="1"/>
        <v>2987</v>
      </c>
      <c r="AN22" s="205">
        <f t="shared" si="2"/>
        <v>-6283</v>
      </c>
      <c r="AO22" s="205">
        <f t="shared" si="3"/>
        <v>119714</v>
      </c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216"/>
      <c r="BO22" s="216"/>
      <c r="BP22" s="216"/>
      <c r="BQ22" s="216"/>
      <c r="BR22" s="216"/>
      <c r="BS22" s="216"/>
      <c r="BT22" s="216"/>
      <c r="BU22" s="216"/>
      <c r="BV22" s="216"/>
      <c r="BW22" s="216"/>
      <c r="BX22" s="216"/>
      <c r="BY22" s="216"/>
      <c r="BZ22" s="216"/>
      <c r="CA22" s="216"/>
      <c r="CB22" s="216"/>
      <c r="CC22" s="216"/>
      <c r="CD22" s="216"/>
      <c r="CE22" s="216"/>
      <c r="CF22" s="216"/>
      <c r="CG22" s="216"/>
      <c r="CH22" s="216"/>
      <c r="CI22" s="216"/>
      <c r="CJ22" s="216"/>
      <c r="CK22" s="216"/>
      <c r="CL22" s="216"/>
      <c r="CM22" s="216"/>
      <c r="CN22" s="216"/>
      <c r="CO22" s="216"/>
      <c r="CP22" s="216"/>
      <c r="CQ22" s="216"/>
      <c r="CR22" s="216"/>
      <c r="CS22" s="216"/>
      <c r="CT22" s="216"/>
      <c r="CU22" s="216"/>
      <c r="CV22" s="216"/>
      <c r="CW22" s="216"/>
      <c r="CX22" s="216"/>
      <c r="CY22" s="216"/>
      <c r="CZ22" s="216"/>
      <c r="DA22" s="216"/>
      <c r="DB22" s="216"/>
      <c r="DC22" s="216"/>
      <c r="DD22" s="216"/>
    </row>
    <row r="23" spans="1:108" x14ac:dyDescent="0.25">
      <c r="A23" s="211">
        <f>+BaseloadMarkets!A23</f>
        <v>36695</v>
      </c>
      <c r="B23" s="386">
        <f>+OCCMarkets!AC23</f>
        <v>36</v>
      </c>
      <c r="C23" s="386">
        <f>+OCCMarkets!AD23</f>
        <v>0</v>
      </c>
      <c r="D23" s="386">
        <f>+OCCMarkets!AE23</f>
        <v>0</v>
      </c>
      <c r="E23" s="386">
        <f>+OCCMarkets!AF23</f>
        <v>0</v>
      </c>
      <c r="F23" s="386">
        <f>+OCCMarkets!AG23</f>
        <v>0</v>
      </c>
      <c r="G23" s="386">
        <f>+OCCMarkets!AH23</f>
        <v>-36</v>
      </c>
      <c r="H23" s="386">
        <f>+OCCMarkets!AI23</f>
        <v>1347</v>
      </c>
      <c r="I23" s="387">
        <f>+OCCMarkets!AJ23</f>
        <v>8958</v>
      </c>
      <c r="J23" s="387">
        <f>+OCCMarkets!AK23</f>
        <v>2567</v>
      </c>
      <c r="K23" s="387">
        <f>+OCCMarkets!AL23</f>
        <v>987</v>
      </c>
      <c r="L23" s="387">
        <f>+OCCMarkets!AM23</f>
        <v>0</v>
      </c>
      <c r="M23" s="387">
        <f>+OCCMarkets!AN23</f>
        <v>3554</v>
      </c>
      <c r="N23" s="387">
        <f>+OCCMarkets!AO23</f>
        <v>-5404</v>
      </c>
      <c r="O23" s="387">
        <f>+OCCMarkets!AP23</f>
        <v>109214</v>
      </c>
      <c r="P23" s="388">
        <f>+OCCMarkets!AQ23</f>
        <v>0</v>
      </c>
      <c r="Q23" s="388">
        <f>+OCCMarkets!AR23</f>
        <v>0</v>
      </c>
      <c r="R23" s="388">
        <f>+OCCMarkets!AS23</f>
        <v>0</v>
      </c>
      <c r="S23" s="388">
        <f>+OCCMarkets!AT23</f>
        <v>0</v>
      </c>
      <c r="T23" s="388">
        <f>+OCCMarkets!AU23</f>
        <v>0</v>
      </c>
      <c r="U23" s="388">
        <f>+OCCMarkets!AV23</f>
        <v>0</v>
      </c>
      <c r="V23" s="388">
        <f>+OCCMarkets!AW23</f>
        <v>0</v>
      </c>
      <c r="W23" s="391">
        <f>+OCCMarkets!AX23</f>
        <v>0</v>
      </c>
      <c r="X23" s="391">
        <f>+OCCMarkets!AY23</f>
        <v>0</v>
      </c>
      <c r="Y23" s="391">
        <f>+OCCMarkets!AZ23</f>
        <v>0</v>
      </c>
      <c r="Z23" s="391">
        <f>+OCCMarkets!BA23</f>
        <v>0</v>
      </c>
      <c r="AA23" s="391">
        <f>+OCCMarkets!BB23</f>
        <v>0</v>
      </c>
      <c r="AB23" s="391">
        <f>+OCCMarkets!BC23</f>
        <v>0</v>
      </c>
      <c r="AC23" s="391">
        <f>+OCCMarkets!BD23</f>
        <v>1804</v>
      </c>
      <c r="AD23" s="389">
        <f>+OCCMarkets!BE23</f>
        <v>24</v>
      </c>
      <c r="AE23" s="389">
        <f>+OCCMarkets!BF23</f>
        <v>0</v>
      </c>
      <c r="AF23" s="389">
        <f>+OCCMarkets!BG23</f>
        <v>0</v>
      </c>
      <c r="AG23" s="389">
        <f>+OCCMarkets!BH23</f>
        <v>0</v>
      </c>
      <c r="AH23" s="389">
        <f>+OCCMarkets!BI23</f>
        <v>0</v>
      </c>
      <c r="AI23" s="389">
        <f>+OCCMarkets!BJ23</f>
        <v>-24</v>
      </c>
      <c r="AJ23" s="389">
        <f>+OCCMarkets!BK23</f>
        <v>1885</v>
      </c>
      <c r="AL23" s="205">
        <f t="shared" si="0"/>
        <v>9018</v>
      </c>
      <c r="AM23" s="205">
        <f t="shared" si="1"/>
        <v>3554</v>
      </c>
      <c r="AN23" s="205">
        <f t="shared" si="2"/>
        <v>-5464</v>
      </c>
      <c r="AO23" s="205">
        <f t="shared" si="3"/>
        <v>114250</v>
      </c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216"/>
      <c r="BO23" s="216"/>
      <c r="BP23" s="216"/>
      <c r="BQ23" s="216"/>
      <c r="BR23" s="216"/>
      <c r="BS23" s="216"/>
      <c r="BT23" s="216"/>
      <c r="BU23" s="216"/>
      <c r="BV23" s="216"/>
      <c r="BW23" s="216"/>
      <c r="BX23" s="216"/>
      <c r="BY23" s="216"/>
      <c r="BZ23" s="216"/>
      <c r="CA23" s="216"/>
      <c r="CB23" s="216"/>
      <c r="CC23" s="216"/>
      <c r="CD23" s="216"/>
      <c r="CE23" s="216"/>
      <c r="CF23" s="216"/>
      <c r="CG23" s="216"/>
      <c r="CH23" s="216"/>
      <c r="CI23" s="216"/>
      <c r="CJ23" s="216"/>
      <c r="CK23" s="216"/>
      <c r="CL23" s="216"/>
      <c r="CM23" s="216"/>
      <c r="CN23" s="216"/>
      <c r="CO23" s="216"/>
      <c r="CP23" s="216"/>
      <c r="CQ23" s="216"/>
      <c r="CR23" s="216"/>
      <c r="CS23" s="216"/>
      <c r="CT23" s="216"/>
      <c r="CU23" s="216"/>
      <c r="CV23" s="216"/>
      <c r="CW23" s="216"/>
      <c r="CX23" s="216"/>
      <c r="CY23" s="216"/>
      <c r="CZ23" s="216"/>
      <c r="DA23" s="216"/>
      <c r="DB23" s="216"/>
      <c r="DC23" s="216"/>
      <c r="DD23" s="216"/>
    </row>
    <row r="24" spans="1:108" x14ac:dyDescent="0.25">
      <c r="A24" s="211">
        <f>+BaseloadMarkets!A24</f>
        <v>36696</v>
      </c>
      <c r="B24" s="386">
        <f>+OCCMarkets!AC24</f>
        <v>98</v>
      </c>
      <c r="C24" s="386">
        <f>+OCCMarkets!AD24</f>
        <v>0</v>
      </c>
      <c r="D24" s="386">
        <f>+OCCMarkets!AE24</f>
        <v>0</v>
      </c>
      <c r="E24" s="386">
        <f>+OCCMarkets!AF24</f>
        <v>0</v>
      </c>
      <c r="F24" s="386">
        <f>+OCCMarkets!AG24</f>
        <v>0</v>
      </c>
      <c r="G24" s="386">
        <f>+OCCMarkets!AH24</f>
        <v>-98</v>
      </c>
      <c r="H24" s="386">
        <f>+OCCMarkets!AI24</f>
        <v>1249</v>
      </c>
      <c r="I24" s="387">
        <f>+OCCMarkets!AJ24</f>
        <v>9034</v>
      </c>
      <c r="J24" s="387">
        <f>+OCCMarkets!AK24</f>
        <v>2595</v>
      </c>
      <c r="K24" s="387">
        <f>+OCCMarkets!AL24</f>
        <v>987</v>
      </c>
      <c r="L24" s="387">
        <f>+OCCMarkets!AM24</f>
        <v>0</v>
      </c>
      <c r="M24" s="387">
        <f>+OCCMarkets!AN24</f>
        <v>3582</v>
      </c>
      <c r="N24" s="387">
        <f>+OCCMarkets!AO24</f>
        <v>-5452</v>
      </c>
      <c r="O24" s="387">
        <f>+OCCMarkets!AP24</f>
        <v>103762</v>
      </c>
      <c r="P24" s="388">
        <f>+OCCMarkets!AQ24</f>
        <v>0</v>
      </c>
      <c r="Q24" s="388">
        <f>+OCCMarkets!AR24</f>
        <v>0</v>
      </c>
      <c r="R24" s="388">
        <f>+OCCMarkets!AS24</f>
        <v>0</v>
      </c>
      <c r="S24" s="388">
        <f>+OCCMarkets!AT24</f>
        <v>0</v>
      </c>
      <c r="T24" s="388">
        <f>+OCCMarkets!AU24</f>
        <v>0</v>
      </c>
      <c r="U24" s="388">
        <f>+OCCMarkets!AV24</f>
        <v>0</v>
      </c>
      <c r="V24" s="388">
        <f>+OCCMarkets!AW24</f>
        <v>0</v>
      </c>
      <c r="W24" s="391">
        <f>+OCCMarkets!AX24</f>
        <v>116</v>
      </c>
      <c r="X24" s="391">
        <f>+OCCMarkets!AY24</f>
        <v>0</v>
      </c>
      <c r="Y24" s="391">
        <f>+OCCMarkets!AZ24</f>
        <v>0</v>
      </c>
      <c r="Z24" s="391">
        <f>+OCCMarkets!BA24</f>
        <v>0</v>
      </c>
      <c r="AA24" s="391">
        <f>+OCCMarkets!BB24</f>
        <v>0</v>
      </c>
      <c r="AB24" s="391">
        <f>+OCCMarkets!BC24</f>
        <v>-116</v>
      </c>
      <c r="AC24" s="391">
        <f>+OCCMarkets!BD24</f>
        <v>1688</v>
      </c>
      <c r="AD24" s="389">
        <f>+OCCMarkets!BE24</f>
        <v>269</v>
      </c>
      <c r="AE24" s="389">
        <f>+OCCMarkets!BF24</f>
        <v>0</v>
      </c>
      <c r="AF24" s="389">
        <f>+OCCMarkets!BG24</f>
        <v>0</v>
      </c>
      <c r="AG24" s="389">
        <f>+OCCMarkets!BH24</f>
        <v>0</v>
      </c>
      <c r="AH24" s="389">
        <f>+OCCMarkets!BI24</f>
        <v>0</v>
      </c>
      <c r="AI24" s="389">
        <f>+OCCMarkets!BJ24</f>
        <v>-269</v>
      </c>
      <c r="AJ24" s="389">
        <f>+OCCMarkets!BK24</f>
        <v>1616</v>
      </c>
      <c r="AL24" s="205">
        <f t="shared" si="0"/>
        <v>9517</v>
      </c>
      <c r="AM24" s="205">
        <f t="shared" si="1"/>
        <v>3582</v>
      </c>
      <c r="AN24" s="205">
        <f t="shared" si="2"/>
        <v>-5935</v>
      </c>
      <c r="AO24" s="205">
        <f t="shared" si="3"/>
        <v>108315</v>
      </c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216"/>
      <c r="BO24" s="216"/>
      <c r="BP24" s="216"/>
      <c r="BQ24" s="216"/>
      <c r="BR24" s="216"/>
      <c r="BS24" s="216"/>
      <c r="BT24" s="216"/>
      <c r="BU24" s="216"/>
      <c r="BV24" s="216"/>
      <c r="BW24" s="216"/>
      <c r="BX24" s="216"/>
      <c r="BY24" s="216"/>
      <c r="BZ24" s="216"/>
      <c r="CA24" s="216"/>
      <c r="CB24" s="216"/>
      <c r="CC24" s="216"/>
      <c r="CD24" s="216"/>
      <c r="CE24" s="216"/>
      <c r="CF24" s="216"/>
      <c r="CG24" s="216"/>
      <c r="CH24" s="216"/>
      <c r="CI24" s="216"/>
      <c r="CJ24" s="216"/>
      <c r="CK24" s="216"/>
      <c r="CL24" s="216"/>
      <c r="CM24" s="216"/>
      <c r="CN24" s="216"/>
      <c r="CO24" s="216"/>
      <c r="CP24" s="216"/>
      <c r="CQ24" s="216"/>
      <c r="CR24" s="216"/>
      <c r="CS24" s="216"/>
      <c r="CT24" s="216"/>
      <c r="CU24" s="216"/>
      <c r="CV24" s="216"/>
      <c r="CW24" s="216"/>
      <c r="CX24" s="216"/>
      <c r="CY24" s="216"/>
      <c r="CZ24" s="216"/>
      <c r="DA24" s="216"/>
      <c r="DB24" s="216"/>
      <c r="DC24" s="216"/>
      <c r="DD24" s="216"/>
    </row>
    <row r="25" spans="1:108" x14ac:dyDescent="0.25">
      <c r="A25" s="211">
        <f>+BaseloadMarkets!A25</f>
        <v>36697</v>
      </c>
      <c r="B25" s="386">
        <f>+OCCMarkets!AC25</f>
        <v>179</v>
      </c>
      <c r="C25" s="386">
        <f>+OCCMarkets!AD25</f>
        <v>545</v>
      </c>
      <c r="D25" s="386">
        <f>+OCCMarkets!AE25</f>
        <v>0</v>
      </c>
      <c r="E25" s="386">
        <f>+OCCMarkets!AF25</f>
        <v>0</v>
      </c>
      <c r="F25" s="386">
        <f>+OCCMarkets!AG25</f>
        <v>545</v>
      </c>
      <c r="G25" s="386">
        <f>+OCCMarkets!AH25</f>
        <v>366</v>
      </c>
      <c r="H25" s="386">
        <f>+OCCMarkets!AI25</f>
        <v>1615</v>
      </c>
      <c r="I25" s="387">
        <f>+OCCMarkets!AJ25</f>
        <v>8953</v>
      </c>
      <c r="J25" s="387">
        <f>+OCCMarkets!AK25</f>
        <v>3982</v>
      </c>
      <c r="K25" s="387">
        <f>+OCCMarkets!AL25</f>
        <v>987</v>
      </c>
      <c r="L25" s="387">
        <f>+OCCMarkets!AM25</f>
        <v>0</v>
      </c>
      <c r="M25" s="387">
        <f>+OCCMarkets!AN25</f>
        <v>4969</v>
      </c>
      <c r="N25" s="387">
        <f>+OCCMarkets!AO25</f>
        <v>-3984</v>
      </c>
      <c r="O25" s="387">
        <f>+OCCMarkets!AP25</f>
        <v>99778</v>
      </c>
      <c r="P25" s="388">
        <f>+OCCMarkets!AQ25</f>
        <v>0</v>
      </c>
      <c r="Q25" s="388">
        <f>+OCCMarkets!AR25</f>
        <v>0</v>
      </c>
      <c r="R25" s="388">
        <f>+OCCMarkets!AS25</f>
        <v>0</v>
      </c>
      <c r="S25" s="388">
        <f>+OCCMarkets!AT25</f>
        <v>0</v>
      </c>
      <c r="T25" s="388">
        <f>+OCCMarkets!AU25</f>
        <v>0</v>
      </c>
      <c r="U25" s="388">
        <f>+OCCMarkets!AV25</f>
        <v>0</v>
      </c>
      <c r="V25" s="388">
        <f>+OCCMarkets!AW25</f>
        <v>0</v>
      </c>
      <c r="W25" s="391">
        <f>+OCCMarkets!AX25</f>
        <v>202</v>
      </c>
      <c r="X25" s="391">
        <f>+OCCMarkets!AY25</f>
        <v>545</v>
      </c>
      <c r="Y25" s="391">
        <f>+OCCMarkets!AZ25</f>
        <v>0</v>
      </c>
      <c r="Z25" s="391">
        <f>+OCCMarkets!BA25</f>
        <v>0</v>
      </c>
      <c r="AA25" s="391">
        <f>+OCCMarkets!BB25</f>
        <v>545</v>
      </c>
      <c r="AB25" s="391">
        <f>+OCCMarkets!BC25</f>
        <v>343</v>
      </c>
      <c r="AC25" s="391">
        <f>+OCCMarkets!BD25</f>
        <v>2031</v>
      </c>
      <c r="AD25" s="389">
        <f>+OCCMarkets!BE25</f>
        <v>320</v>
      </c>
      <c r="AE25" s="389">
        <f>+OCCMarkets!BF25</f>
        <v>545</v>
      </c>
      <c r="AF25" s="389">
        <f>+OCCMarkets!BG25</f>
        <v>0</v>
      </c>
      <c r="AG25" s="389">
        <f>+OCCMarkets!BH25</f>
        <v>0</v>
      </c>
      <c r="AH25" s="389">
        <f>+OCCMarkets!BI25</f>
        <v>545</v>
      </c>
      <c r="AI25" s="389">
        <f>+OCCMarkets!BJ25</f>
        <v>225</v>
      </c>
      <c r="AJ25" s="389">
        <f>+OCCMarkets!BK25</f>
        <v>1841</v>
      </c>
      <c r="AL25" s="205">
        <f t="shared" si="0"/>
        <v>9654</v>
      </c>
      <c r="AM25" s="205">
        <f t="shared" si="1"/>
        <v>6604</v>
      </c>
      <c r="AN25" s="205">
        <f t="shared" si="2"/>
        <v>-3050</v>
      </c>
      <c r="AO25" s="205">
        <f t="shared" si="3"/>
        <v>105265</v>
      </c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6"/>
      <c r="BN25" s="216"/>
      <c r="BO25" s="216"/>
      <c r="BP25" s="216"/>
      <c r="BQ25" s="216"/>
      <c r="BR25" s="216"/>
      <c r="BS25" s="216"/>
      <c r="BT25" s="216"/>
      <c r="BU25" s="216"/>
      <c r="BV25" s="216"/>
      <c r="BW25" s="216"/>
      <c r="BX25" s="216"/>
      <c r="BY25" s="216"/>
      <c r="BZ25" s="216"/>
      <c r="CA25" s="216"/>
      <c r="CB25" s="216"/>
      <c r="CC25" s="216"/>
      <c r="CD25" s="216"/>
      <c r="CE25" s="216"/>
      <c r="CF25" s="216"/>
      <c r="CG25" s="216"/>
      <c r="CH25" s="216"/>
      <c r="CI25" s="216"/>
      <c r="CJ25" s="216"/>
      <c r="CK25" s="216"/>
      <c r="CL25" s="216"/>
      <c r="CM25" s="216"/>
      <c r="CN25" s="216"/>
      <c r="CO25" s="216"/>
      <c r="CP25" s="216"/>
      <c r="CQ25" s="216"/>
      <c r="CR25" s="216"/>
      <c r="CS25" s="216"/>
      <c r="CT25" s="216"/>
      <c r="CU25" s="216"/>
      <c r="CV25" s="216"/>
      <c r="CW25" s="216"/>
      <c r="CX25" s="216"/>
      <c r="CY25" s="216"/>
      <c r="CZ25" s="216"/>
      <c r="DA25" s="216"/>
      <c r="DB25" s="216"/>
      <c r="DC25" s="216"/>
      <c r="DD25" s="216"/>
    </row>
    <row r="26" spans="1:108" x14ac:dyDescent="0.25">
      <c r="A26" s="211">
        <f>+BaseloadMarkets!A26</f>
        <v>36698</v>
      </c>
      <c r="B26" s="386">
        <f>+OCCMarkets!AC26</f>
        <v>178</v>
      </c>
      <c r="C26" s="386">
        <f>+OCCMarkets!AD26</f>
        <v>0</v>
      </c>
      <c r="D26" s="386">
        <f>+OCCMarkets!AE26</f>
        <v>0</v>
      </c>
      <c r="E26" s="386">
        <f>+OCCMarkets!AF26</f>
        <v>0</v>
      </c>
      <c r="F26" s="386">
        <f>+OCCMarkets!AG26</f>
        <v>0</v>
      </c>
      <c r="G26" s="386">
        <f>+OCCMarkets!AH26</f>
        <v>-178</v>
      </c>
      <c r="H26" s="386">
        <f>+OCCMarkets!AI26</f>
        <v>1437</v>
      </c>
      <c r="I26" s="387">
        <f>+OCCMarkets!AJ26</f>
        <v>9037</v>
      </c>
      <c r="J26" s="387">
        <f>+OCCMarkets!AK26</f>
        <v>479</v>
      </c>
      <c r="K26" s="387">
        <f>+OCCMarkets!AL26</f>
        <v>987</v>
      </c>
      <c r="L26" s="387">
        <f>+OCCMarkets!AM26</f>
        <v>0</v>
      </c>
      <c r="M26" s="387">
        <f>+OCCMarkets!AN26</f>
        <v>1466</v>
      </c>
      <c r="N26" s="387">
        <f>+OCCMarkets!AO26</f>
        <v>-7571</v>
      </c>
      <c r="O26" s="387">
        <f>+OCCMarkets!AP26</f>
        <v>92207</v>
      </c>
      <c r="P26" s="388">
        <f>+OCCMarkets!AQ26</f>
        <v>0</v>
      </c>
      <c r="Q26" s="388">
        <f>+OCCMarkets!AR26</f>
        <v>0</v>
      </c>
      <c r="R26" s="388">
        <f>+OCCMarkets!AS26</f>
        <v>0</v>
      </c>
      <c r="S26" s="388">
        <f>+OCCMarkets!AT26</f>
        <v>0</v>
      </c>
      <c r="T26" s="388">
        <f>+OCCMarkets!AU26</f>
        <v>0</v>
      </c>
      <c r="U26" s="388">
        <f>+OCCMarkets!AV26</f>
        <v>0</v>
      </c>
      <c r="V26" s="388">
        <f>+OCCMarkets!AW26</f>
        <v>0</v>
      </c>
      <c r="W26" s="391">
        <f>+OCCMarkets!AX26</f>
        <v>190</v>
      </c>
      <c r="X26" s="391">
        <f>+OCCMarkets!AY26</f>
        <v>0</v>
      </c>
      <c r="Y26" s="391">
        <f>+OCCMarkets!AZ26</f>
        <v>0</v>
      </c>
      <c r="Z26" s="391">
        <f>+OCCMarkets!BA26</f>
        <v>0</v>
      </c>
      <c r="AA26" s="391">
        <f>+OCCMarkets!BB26</f>
        <v>0</v>
      </c>
      <c r="AB26" s="391">
        <f>+OCCMarkets!BC26</f>
        <v>-190</v>
      </c>
      <c r="AC26" s="391">
        <f>+OCCMarkets!BD26</f>
        <v>1841</v>
      </c>
      <c r="AD26" s="389">
        <f>+OCCMarkets!BE26</f>
        <v>301</v>
      </c>
      <c r="AE26" s="389">
        <f>+OCCMarkets!BF26</f>
        <v>0</v>
      </c>
      <c r="AF26" s="389">
        <f>+OCCMarkets!BG26</f>
        <v>0</v>
      </c>
      <c r="AG26" s="389">
        <f>+OCCMarkets!BH26</f>
        <v>0</v>
      </c>
      <c r="AH26" s="389">
        <f>+OCCMarkets!BI26</f>
        <v>0</v>
      </c>
      <c r="AI26" s="389">
        <f>+OCCMarkets!BJ26</f>
        <v>-301</v>
      </c>
      <c r="AJ26" s="389">
        <f>+OCCMarkets!BK26</f>
        <v>1540</v>
      </c>
      <c r="AL26" s="205">
        <f t="shared" si="0"/>
        <v>9706</v>
      </c>
      <c r="AM26" s="205">
        <f t="shared" si="1"/>
        <v>1466</v>
      </c>
      <c r="AN26" s="205">
        <f t="shared" si="2"/>
        <v>-8240</v>
      </c>
      <c r="AO26" s="205">
        <f t="shared" si="3"/>
        <v>97025</v>
      </c>
      <c r="BB26" s="216"/>
      <c r="BC26" s="216"/>
      <c r="BD26" s="216"/>
      <c r="BE26" s="216"/>
      <c r="BF26" s="216"/>
      <c r="BG26" s="216"/>
      <c r="BH26" s="216"/>
      <c r="BI26" s="216"/>
      <c r="BJ26" s="216"/>
      <c r="BK26" s="216"/>
      <c r="BL26" s="216"/>
      <c r="BM26" s="216"/>
      <c r="BN26" s="216"/>
      <c r="BO26" s="216"/>
      <c r="BP26" s="216"/>
      <c r="BQ26" s="216"/>
      <c r="BR26" s="216"/>
      <c r="BS26" s="216"/>
      <c r="BT26" s="216"/>
      <c r="BU26" s="216"/>
      <c r="BV26" s="216"/>
      <c r="BW26" s="216"/>
      <c r="BX26" s="216"/>
      <c r="BY26" s="216"/>
      <c r="BZ26" s="216"/>
      <c r="CA26" s="216"/>
      <c r="CB26" s="216"/>
      <c r="CC26" s="216"/>
      <c r="CD26" s="216"/>
      <c r="CE26" s="216"/>
      <c r="CF26" s="216"/>
      <c r="CG26" s="216"/>
      <c r="CH26" s="216"/>
      <c r="CI26" s="216"/>
      <c r="CJ26" s="216"/>
      <c r="CK26" s="216"/>
      <c r="CL26" s="216"/>
      <c r="CM26" s="216"/>
      <c r="CN26" s="216"/>
      <c r="CO26" s="216"/>
      <c r="CP26" s="216"/>
      <c r="CQ26" s="216"/>
      <c r="CR26" s="216"/>
      <c r="CS26" s="216"/>
      <c r="CT26" s="216"/>
      <c r="CU26" s="216"/>
      <c r="CV26" s="216"/>
      <c r="CW26" s="216"/>
      <c r="CX26" s="216"/>
      <c r="CY26" s="216"/>
      <c r="CZ26" s="216"/>
      <c r="DA26" s="216"/>
      <c r="DB26" s="216"/>
      <c r="DC26" s="216"/>
      <c r="DD26" s="216"/>
    </row>
    <row r="27" spans="1:108" x14ac:dyDescent="0.25">
      <c r="A27" s="211">
        <f>+BaseloadMarkets!A27</f>
        <v>36699</v>
      </c>
      <c r="B27" s="386">
        <f>+OCCMarkets!AC27</f>
        <v>177</v>
      </c>
      <c r="C27" s="386">
        <f>+OCCMarkets!AD27</f>
        <v>0</v>
      </c>
      <c r="D27" s="386">
        <f>+OCCMarkets!AE27</f>
        <v>0</v>
      </c>
      <c r="E27" s="386">
        <f>+OCCMarkets!AF27</f>
        <v>0</v>
      </c>
      <c r="F27" s="386">
        <f>+OCCMarkets!AG27</f>
        <v>0</v>
      </c>
      <c r="G27" s="386">
        <f>+OCCMarkets!AH27</f>
        <v>-177</v>
      </c>
      <c r="H27" s="386">
        <f>+OCCMarkets!AI27</f>
        <v>1260</v>
      </c>
      <c r="I27" s="387">
        <f>+OCCMarkets!AJ27</f>
        <v>9084</v>
      </c>
      <c r="J27" s="387">
        <f>+OCCMarkets!AK27</f>
        <v>3007</v>
      </c>
      <c r="K27" s="387">
        <f>+OCCMarkets!AL27</f>
        <v>987</v>
      </c>
      <c r="L27" s="387">
        <f>+OCCMarkets!AM27</f>
        <v>0</v>
      </c>
      <c r="M27" s="387">
        <f>+OCCMarkets!AN27</f>
        <v>3994</v>
      </c>
      <c r="N27" s="387">
        <f>+OCCMarkets!AO27</f>
        <v>-5090</v>
      </c>
      <c r="O27" s="387">
        <f>+OCCMarkets!AP27</f>
        <v>87117</v>
      </c>
      <c r="P27" s="388">
        <f>+OCCMarkets!AQ27</f>
        <v>0</v>
      </c>
      <c r="Q27" s="388">
        <f>+OCCMarkets!AR27</f>
        <v>0</v>
      </c>
      <c r="R27" s="388">
        <f>+OCCMarkets!AS27</f>
        <v>0</v>
      </c>
      <c r="S27" s="388">
        <f>+OCCMarkets!AT27</f>
        <v>0</v>
      </c>
      <c r="T27" s="388">
        <f>+OCCMarkets!AU27</f>
        <v>0</v>
      </c>
      <c r="U27" s="388">
        <f>+OCCMarkets!AV27</f>
        <v>0</v>
      </c>
      <c r="V27" s="388">
        <f>+OCCMarkets!AW27</f>
        <v>0</v>
      </c>
      <c r="W27" s="391">
        <f>+OCCMarkets!AX27</f>
        <v>206</v>
      </c>
      <c r="X27" s="391">
        <f>+OCCMarkets!AY27</f>
        <v>0</v>
      </c>
      <c r="Y27" s="391">
        <f>+OCCMarkets!AZ27</f>
        <v>0</v>
      </c>
      <c r="Z27" s="391">
        <f>+OCCMarkets!BA27</f>
        <v>0</v>
      </c>
      <c r="AA27" s="391">
        <f>+OCCMarkets!BB27</f>
        <v>0</v>
      </c>
      <c r="AB27" s="391">
        <f>+OCCMarkets!BC27</f>
        <v>-206</v>
      </c>
      <c r="AC27" s="391">
        <f>+OCCMarkets!BD27</f>
        <v>1635</v>
      </c>
      <c r="AD27" s="389">
        <f>+OCCMarkets!BE27</f>
        <v>308</v>
      </c>
      <c r="AE27" s="389">
        <f>+OCCMarkets!BF27</f>
        <v>0</v>
      </c>
      <c r="AF27" s="389">
        <f>+OCCMarkets!BG27</f>
        <v>0</v>
      </c>
      <c r="AG27" s="389">
        <f>+OCCMarkets!BH27</f>
        <v>0</v>
      </c>
      <c r="AH27" s="389">
        <f>+OCCMarkets!BI27</f>
        <v>0</v>
      </c>
      <c r="AI27" s="389">
        <f>+OCCMarkets!BJ27</f>
        <v>-308</v>
      </c>
      <c r="AJ27" s="389">
        <f>+OCCMarkets!BK27</f>
        <v>1232</v>
      </c>
      <c r="AL27" s="205">
        <f t="shared" si="0"/>
        <v>9775</v>
      </c>
      <c r="AM27" s="205">
        <f t="shared" si="1"/>
        <v>3994</v>
      </c>
      <c r="AN27" s="205">
        <f t="shared" si="2"/>
        <v>-5781</v>
      </c>
      <c r="AO27" s="205">
        <f t="shared" si="3"/>
        <v>91244</v>
      </c>
      <c r="BB27" s="216"/>
      <c r="BC27" s="216"/>
      <c r="BD27" s="216"/>
      <c r="BE27" s="216"/>
      <c r="BF27" s="216"/>
      <c r="BG27" s="216"/>
      <c r="BH27" s="216"/>
      <c r="BI27" s="216"/>
      <c r="BJ27" s="216"/>
      <c r="BK27" s="216"/>
      <c r="BL27" s="216"/>
      <c r="BM27" s="216"/>
      <c r="BN27" s="216"/>
      <c r="BO27" s="216"/>
      <c r="BP27" s="216"/>
      <c r="BQ27" s="216"/>
      <c r="BR27" s="216"/>
      <c r="BS27" s="216"/>
      <c r="BT27" s="216"/>
      <c r="BU27" s="216"/>
      <c r="BV27" s="216"/>
      <c r="BW27" s="216"/>
      <c r="BX27" s="216"/>
      <c r="BY27" s="216"/>
      <c r="BZ27" s="216"/>
      <c r="CA27" s="216"/>
      <c r="CB27" s="216"/>
      <c r="CC27" s="216"/>
      <c r="CD27" s="216"/>
      <c r="CE27" s="216"/>
      <c r="CF27" s="216"/>
      <c r="CG27" s="216"/>
      <c r="CH27" s="216"/>
      <c r="CI27" s="216"/>
      <c r="CJ27" s="216"/>
      <c r="CK27" s="216"/>
      <c r="CL27" s="216"/>
      <c r="CM27" s="216"/>
      <c r="CN27" s="216"/>
      <c r="CO27" s="216"/>
      <c r="CP27" s="216"/>
      <c r="CQ27" s="216"/>
      <c r="CR27" s="216"/>
      <c r="CS27" s="216"/>
      <c r="CT27" s="216"/>
      <c r="CU27" s="216"/>
      <c r="CV27" s="216"/>
      <c r="CW27" s="216"/>
      <c r="CX27" s="216"/>
      <c r="CY27" s="216"/>
      <c r="CZ27" s="216"/>
      <c r="DA27" s="216"/>
      <c r="DB27" s="216"/>
      <c r="DC27" s="216"/>
      <c r="DD27" s="216"/>
    </row>
    <row r="28" spans="1:108" x14ac:dyDescent="0.25">
      <c r="A28" s="211">
        <f>+BaseloadMarkets!A28</f>
        <v>36700</v>
      </c>
      <c r="B28" s="386">
        <f>+OCCMarkets!AC28</f>
        <v>182</v>
      </c>
      <c r="C28" s="386">
        <f>+OCCMarkets!AD28</f>
        <v>0</v>
      </c>
      <c r="D28" s="386">
        <f>+OCCMarkets!AE28</f>
        <v>0</v>
      </c>
      <c r="E28" s="386">
        <f>+OCCMarkets!AF28</f>
        <v>0</v>
      </c>
      <c r="F28" s="386">
        <f>+OCCMarkets!AG28</f>
        <v>0</v>
      </c>
      <c r="G28" s="386">
        <f>+OCCMarkets!AH28</f>
        <v>-182</v>
      </c>
      <c r="H28" s="386">
        <f>+OCCMarkets!AI28</f>
        <v>1078</v>
      </c>
      <c r="I28" s="387">
        <f>+OCCMarkets!AJ28</f>
        <v>9505</v>
      </c>
      <c r="J28" s="387">
        <f>+OCCMarkets!AK28</f>
        <v>1477</v>
      </c>
      <c r="K28" s="387">
        <f>+OCCMarkets!AL28</f>
        <v>987</v>
      </c>
      <c r="L28" s="387">
        <f>+OCCMarkets!AM28</f>
        <v>0</v>
      </c>
      <c r="M28" s="387">
        <f>+OCCMarkets!AN28</f>
        <v>2464</v>
      </c>
      <c r="N28" s="387">
        <f>+OCCMarkets!AO28</f>
        <v>-7041</v>
      </c>
      <c r="O28" s="387">
        <f>+OCCMarkets!AP28</f>
        <v>80076</v>
      </c>
      <c r="P28" s="388">
        <f>+OCCMarkets!AQ28</f>
        <v>0</v>
      </c>
      <c r="Q28" s="388">
        <f>+OCCMarkets!AR28</f>
        <v>0</v>
      </c>
      <c r="R28" s="388">
        <f>+OCCMarkets!AS28</f>
        <v>0</v>
      </c>
      <c r="S28" s="388">
        <f>+OCCMarkets!AT28</f>
        <v>0</v>
      </c>
      <c r="T28" s="388">
        <f>+OCCMarkets!AU28</f>
        <v>0</v>
      </c>
      <c r="U28" s="388">
        <f>+OCCMarkets!AV28</f>
        <v>0</v>
      </c>
      <c r="V28" s="388">
        <f>+OCCMarkets!AW28</f>
        <v>0</v>
      </c>
      <c r="W28" s="391">
        <f>+OCCMarkets!AX28</f>
        <v>210</v>
      </c>
      <c r="X28" s="391">
        <f>+OCCMarkets!AY28</f>
        <v>0</v>
      </c>
      <c r="Y28" s="391">
        <f>+OCCMarkets!AZ28</f>
        <v>0</v>
      </c>
      <c r="Z28" s="391">
        <f>+OCCMarkets!BA28</f>
        <v>0</v>
      </c>
      <c r="AA28" s="391">
        <f>+OCCMarkets!BB28</f>
        <v>0</v>
      </c>
      <c r="AB28" s="391">
        <f>+OCCMarkets!BC28</f>
        <v>-210</v>
      </c>
      <c r="AC28" s="391">
        <f>+OCCMarkets!BD28</f>
        <v>1425</v>
      </c>
      <c r="AD28" s="389">
        <f>+OCCMarkets!BE28</f>
        <v>317</v>
      </c>
      <c r="AE28" s="389">
        <f>+OCCMarkets!BF28</f>
        <v>0</v>
      </c>
      <c r="AF28" s="389">
        <f>+OCCMarkets!BG28</f>
        <v>0</v>
      </c>
      <c r="AG28" s="389">
        <f>+OCCMarkets!BH28</f>
        <v>0</v>
      </c>
      <c r="AH28" s="389">
        <f>+OCCMarkets!BI28</f>
        <v>0</v>
      </c>
      <c r="AI28" s="389">
        <f>+OCCMarkets!BJ28</f>
        <v>-317</v>
      </c>
      <c r="AJ28" s="389">
        <f>+OCCMarkets!BK28</f>
        <v>915</v>
      </c>
      <c r="AL28" s="205">
        <f t="shared" si="0"/>
        <v>10214</v>
      </c>
      <c r="AM28" s="205">
        <f t="shared" si="1"/>
        <v>2464</v>
      </c>
      <c r="AN28" s="205">
        <f t="shared" si="2"/>
        <v>-7750</v>
      </c>
      <c r="AO28" s="205">
        <f t="shared" si="3"/>
        <v>83494</v>
      </c>
      <c r="BB28" s="216"/>
      <c r="BC28" s="216"/>
      <c r="BD28" s="216"/>
      <c r="BE28" s="216"/>
      <c r="BF28" s="216"/>
      <c r="BG28" s="216"/>
      <c r="BH28" s="216"/>
      <c r="BI28" s="216"/>
      <c r="BJ28" s="216"/>
      <c r="BK28" s="216"/>
      <c r="BL28" s="216"/>
      <c r="BM28" s="216"/>
      <c r="BN28" s="216"/>
      <c r="BO28" s="216"/>
      <c r="BP28" s="216"/>
      <c r="BQ28" s="216"/>
      <c r="BR28" s="216"/>
      <c r="BS28" s="216"/>
      <c r="BT28" s="216"/>
      <c r="BU28" s="216"/>
      <c r="BV28" s="216"/>
      <c r="BW28" s="216"/>
      <c r="BX28" s="216"/>
      <c r="BY28" s="216"/>
      <c r="BZ28" s="216"/>
      <c r="CA28" s="216"/>
      <c r="CB28" s="216"/>
      <c r="CC28" s="216"/>
      <c r="CD28" s="216"/>
      <c r="CE28" s="216"/>
      <c r="CF28" s="216"/>
      <c r="CG28" s="216"/>
      <c r="CH28" s="216"/>
      <c r="CI28" s="216"/>
      <c r="CJ28" s="216"/>
      <c r="CK28" s="216"/>
      <c r="CL28" s="216"/>
      <c r="CM28" s="216"/>
      <c r="CN28" s="216"/>
      <c r="CO28" s="216"/>
      <c r="CP28" s="216"/>
      <c r="CQ28" s="216"/>
      <c r="CR28" s="216"/>
      <c r="CS28" s="216"/>
      <c r="CT28" s="216"/>
      <c r="CU28" s="216"/>
      <c r="CV28" s="216"/>
      <c r="CW28" s="216"/>
      <c r="CX28" s="216"/>
      <c r="CY28" s="216"/>
      <c r="CZ28" s="216"/>
      <c r="DA28" s="216"/>
      <c r="DB28" s="216"/>
      <c r="DC28" s="216"/>
      <c r="DD28" s="216"/>
    </row>
    <row r="29" spans="1:108" x14ac:dyDescent="0.25">
      <c r="A29" s="211">
        <f>+BaseloadMarkets!A29</f>
        <v>36701</v>
      </c>
      <c r="B29" s="386">
        <f>+OCCMarkets!AC29</f>
        <v>177</v>
      </c>
      <c r="C29" s="386">
        <f>+OCCMarkets!AD29</f>
        <v>0</v>
      </c>
      <c r="D29" s="386">
        <f>+OCCMarkets!AE29</f>
        <v>0</v>
      </c>
      <c r="E29" s="386">
        <f>+OCCMarkets!AF29</f>
        <v>0</v>
      </c>
      <c r="F29" s="386">
        <f>+OCCMarkets!AG29</f>
        <v>0</v>
      </c>
      <c r="G29" s="386">
        <f>+OCCMarkets!AH29</f>
        <v>-177</v>
      </c>
      <c r="H29" s="386">
        <f>+OCCMarkets!AI29</f>
        <v>901</v>
      </c>
      <c r="I29" s="387">
        <f>+OCCMarkets!AJ29</f>
        <v>9333</v>
      </c>
      <c r="J29" s="387">
        <f>+OCCMarkets!AK29</f>
        <v>0</v>
      </c>
      <c r="K29" s="387">
        <f>+OCCMarkets!AL29</f>
        <v>987</v>
      </c>
      <c r="L29" s="387">
        <f>+OCCMarkets!AM29</f>
        <v>0</v>
      </c>
      <c r="M29" s="387">
        <f>+OCCMarkets!AN29</f>
        <v>987</v>
      </c>
      <c r="N29" s="387">
        <f>+OCCMarkets!AO29</f>
        <v>-8346</v>
      </c>
      <c r="O29" s="387">
        <f>+OCCMarkets!AP29</f>
        <v>71730</v>
      </c>
      <c r="P29" s="388">
        <f>+OCCMarkets!AQ29</f>
        <v>0</v>
      </c>
      <c r="Q29" s="388">
        <f>+OCCMarkets!AR29</f>
        <v>0</v>
      </c>
      <c r="R29" s="388">
        <f>+OCCMarkets!AS29</f>
        <v>0</v>
      </c>
      <c r="S29" s="388">
        <f>+OCCMarkets!AT29</f>
        <v>0</v>
      </c>
      <c r="T29" s="388">
        <f>+OCCMarkets!AU29</f>
        <v>0</v>
      </c>
      <c r="U29" s="388">
        <f>+OCCMarkets!AV29</f>
        <v>0</v>
      </c>
      <c r="V29" s="388">
        <f>+OCCMarkets!AW29</f>
        <v>0</v>
      </c>
      <c r="W29" s="391">
        <f>+OCCMarkets!AX29</f>
        <v>27</v>
      </c>
      <c r="X29" s="391">
        <f>+OCCMarkets!AY29</f>
        <v>0</v>
      </c>
      <c r="Y29" s="391">
        <f>+OCCMarkets!AZ29</f>
        <v>0</v>
      </c>
      <c r="Z29" s="391">
        <f>+OCCMarkets!BA29</f>
        <v>0</v>
      </c>
      <c r="AA29" s="391">
        <f>+OCCMarkets!BB29</f>
        <v>0</v>
      </c>
      <c r="AB29" s="391">
        <f>+OCCMarkets!BC29</f>
        <v>-27</v>
      </c>
      <c r="AC29" s="391">
        <f>+OCCMarkets!BD29</f>
        <v>1398</v>
      </c>
      <c r="AD29" s="389">
        <f>+OCCMarkets!BE29</f>
        <v>28</v>
      </c>
      <c r="AE29" s="389">
        <f>+OCCMarkets!BF29</f>
        <v>0</v>
      </c>
      <c r="AF29" s="389">
        <f>+OCCMarkets!BG29</f>
        <v>0</v>
      </c>
      <c r="AG29" s="389">
        <f>+OCCMarkets!BH29</f>
        <v>0</v>
      </c>
      <c r="AH29" s="389">
        <f>+OCCMarkets!BI29</f>
        <v>0</v>
      </c>
      <c r="AI29" s="389">
        <f>+OCCMarkets!BJ29</f>
        <v>-28</v>
      </c>
      <c r="AJ29" s="389">
        <f>+OCCMarkets!BK29</f>
        <v>887</v>
      </c>
      <c r="AL29" s="205">
        <f t="shared" si="0"/>
        <v>9565</v>
      </c>
      <c r="AM29" s="205">
        <f t="shared" si="1"/>
        <v>987</v>
      </c>
      <c r="AN29" s="205">
        <f t="shared" si="2"/>
        <v>-8578</v>
      </c>
      <c r="AO29" s="205">
        <f t="shared" si="3"/>
        <v>74916</v>
      </c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6"/>
      <c r="BW29" s="216"/>
      <c r="BX29" s="216"/>
      <c r="BY29" s="216"/>
      <c r="BZ29" s="216"/>
      <c r="CA29" s="216"/>
      <c r="CB29" s="216"/>
      <c r="CC29" s="216"/>
      <c r="CD29" s="216"/>
      <c r="CE29" s="216"/>
      <c r="CF29" s="216"/>
      <c r="CG29" s="216"/>
      <c r="CH29" s="216"/>
      <c r="CI29" s="216"/>
      <c r="CJ29" s="216"/>
      <c r="CK29" s="216"/>
      <c r="CL29" s="216"/>
      <c r="CM29" s="216"/>
      <c r="CN29" s="216"/>
      <c r="CO29" s="216"/>
      <c r="CP29" s="216"/>
      <c r="CQ29" s="216"/>
      <c r="CR29" s="216"/>
      <c r="CS29" s="216"/>
      <c r="CT29" s="216"/>
      <c r="CU29" s="216"/>
      <c r="CV29" s="216"/>
      <c r="CW29" s="216"/>
      <c r="CX29" s="216"/>
      <c r="CY29" s="216"/>
      <c r="CZ29" s="216"/>
      <c r="DA29" s="216"/>
      <c r="DB29" s="216"/>
      <c r="DC29" s="216"/>
      <c r="DD29" s="216"/>
    </row>
    <row r="30" spans="1:108" x14ac:dyDescent="0.25">
      <c r="A30" s="211">
        <f>+BaseloadMarkets!A30</f>
        <v>36702</v>
      </c>
      <c r="B30" s="386">
        <f>+OCCMarkets!AC30</f>
        <v>59</v>
      </c>
      <c r="C30" s="386">
        <f>+OCCMarkets!AD30</f>
        <v>0</v>
      </c>
      <c r="D30" s="386">
        <f>+OCCMarkets!AE30</f>
        <v>0</v>
      </c>
      <c r="E30" s="386">
        <f>+OCCMarkets!AF30</f>
        <v>0</v>
      </c>
      <c r="F30" s="386">
        <f>+OCCMarkets!AG30</f>
        <v>0</v>
      </c>
      <c r="G30" s="386">
        <f>+OCCMarkets!AH30</f>
        <v>-59</v>
      </c>
      <c r="H30" s="386">
        <f>+OCCMarkets!AI30</f>
        <v>842</v>
      </c>
      <c r="I30" s="387">
        <f>+OCCMarkets!AJ30</f>
        <v>7147</v>
      </c>
      <c r="J30" s="387">
        <f>+OCCMarkets!AK30</f>
        <v>0</v>
      </c>
      <c r="K30" s="387">
        <f>+OCCMarkets!AL30</f>
        <v>987</v>
      </c>
      <c r="L30" s="387">
        <f>+OCCMarkets!AM30</f>
        <v>0</v>
      </c>
      <c r="M30" s="387">
        <f>+OCCMarkets!AN30</f>
        <v>987</v>
      </c>
      <c r="N30" s="387">
        <f>+OCCMarkets!AO30</f>
        <v>-6160</v>
      </c>
      <c r="O30" s="387">
        <f>+OCCMarkets!AP30</f>
        <v>65570</v>
      </c>
      <c r="P30" s="388">
        <f>+OCCMarkets!AQ30</f>
        <v>0</v>
      </c>
      <c r="Q30" s="388">
        <f>+OCCMarkets!AR30</f>
        <v>0</v>
      </c>
      <c r="R30" s="388">
        <f>+OCCMarkets!AS30</f>
        <v>0</v>
      </c>
      <c r="S30" s="388">
        <f>+OCCMarkets!AT30</f>
        <v>0</v>
      </c>
      <c r="T30" s="388">
        <f>+OCCMarkets!AU30</f>
        <v>0</v>
      </c>
      <c r="U30" s="388">
        <f>+OCCMarkets!AV30</f>
        <v>0</v>
      </c>
      <c r="V30" s="388">
        <f>+OCCMarkets!AW30</f>
        <v>0</v>
      </c>
      <c r="W30" s="391">
        <f>+OCCMarkets!AX30</f>
        <v>35</v>
      </c>
      <c r="X30" s="391">
        <f>+OCCMarkets!AY30</f>
        <v>0</v>
      </c>
      <c r="Y30" s="391">
        <f>+OCCMarkets!AZ30</f>
        <v>0</v>
      </c>
      <c r="Z30" s="391">
        <f>+OCCMarkets!BA30</f>
        <v>0</v>
      </c>
      <c r="AA30" s="391">
        <f>+OCCMarkets!BB30</f>
        <v>0</v>
      </c>
      <c r="AB30" s="391">
        <f>+OCCMarkets!BC30</f>
        <v>-35</v>
      </c>
      <c r="AC30" s="391">
        <f>+OCCMarkets!BD30</f>
        <v>1363</v>
      </c>
      <c r="AD30" s="389">
        <f>+OCCMarkets!BE30</f>
        <v>6</v>
      </c>
      <c r="AE30" s="389">
        <f>+OCCMarkets!BF30</f>
        <v>0</v>
      </c>
      <c r="AF30" s="389">
        <f>+OCCMarkets!BG30</f>
        <v>0</v>
      </c>
      <c r="AG30" s="389">
        <f>+OCCMarkets!BH30</f>
        <v>0</v>
      </c>
      <c r="AH30" s="389">
        <f>+OCCMarkets!BI30</f>
        <v>0</v>
      </c>
      <c r="AI30" s="389">
        <f>+OCCMarkets!BJ30</f>
        <v>-6</v>
      </c>
      <c r="AJ30" s="389">
        <f>+OCCMarkets!BK30</f>
        <v>881</v>
      </c>
      <c r="AL30" s="205">
        <f t="shared" si="0"/>
        <v>7247</v>
      </c>
      <c r="AM30" s="205">
        <f t="shared" si="1"/>
        <v>987</v>
      </c>
      <c r="AN30" s="205">
        <f t="shared" si="2"/>
        <v>-6260</v>
      </c>
      <c r="AO30" s="205">
        <f t="shared" si="3"/>
        <v>68656</v>
      </c>
      <c r="BB30" s="216"/>
      <c r="BC30" s="216"/>
      <c r="BD30" s="216"/>
      <c r="BE30" s="216"/>
      <c r="BF30" s="216"/>
      <c r="BG30" s="216"/>
      <c r="BH30" s="216"/>
      <c r="BI30" s="216"/>
      <c r="BJ30" s="216"/>
      <c r="BK30" s="216"/>
      <c r="BL30" s="216"/>
      <c r="BM30" s="216"/>
      <c r="BN30" s="216"/>
      <c r="BO30" s="216"/>
      <c r="BP30" s="216"/>
      <c r="BQ30" s="216"/>
      <c r="BR30" s="216"/>
      <c r="BS30" s="216"/>
      <c r="BT30" s="216"/>
      <c r="BU30" s="216"/>
      <c r="BV30" s="216"/>
      <c r="BW30" s="216"/>
      <c r="BX30" s="216"/>
      <c r="BY30" s="216"/>
      <c r="BZ30" s="216"/>
      <c r="CA30" s="216"/>
      <c r="CB30" s="216"/>
      <c r="CC30" s="216"/>
      <c r="CD30" s="216"/>
      <c r="CE30" s="216"/>
      <c r="CF30" s="216"/>
      <c r="CG30" s="216"/>
      <c r="CH30" s="216"/>
      <c r="CI30" s="216"/>
      <c r="CJ30" s="216"/>
      <c r="CK30" s="216"/>
      <c r="CL30" s="216"/>
      <c r="CM30" s="216"/>
      <c r="CN30" s="216"/>
      <c r="CO30" s="216"/>
      <c r="CP30" s="216"/>
      <c r="CQ30" s="216"/>
      <c r="CR30" s="216"/>
      <c r="CS30" s="216"/>
      <c r="CT30" s="216"/>
      <c r="CU30" s="216"/>
      <c r="CV30" s="216"/>
      <c r="CW30" s="216"/>
      <c r="CX30" s="216"/>
      <c r="CY30" s="216"/>
      <c r="CZ30" s="216"/>
      <c r="DA30" s="216"/>
      <c r="DB30" s="216"/>
      <c r="DC30" s="216"/>
      <c r="DD30" s="216"/>
    </row>
    <row r="31" spans="1:108" x14ac:dyDescent="0.25">
      <c r="A31" s="211">
        <f>+BaseloadMarkets!A31</f>
        <v>36703</v>
      </c>
      <c r="B31" s="386">
        <f>+OCCMarkets!AC31</f>
        <v>155</v>
      </c>
      <c r="C31" s="386">
        <f>+OCCMarkets!AD31</f>
        <v>0</v>
      </c>
      <c r="D31" s="386">
        <f>+OCCMarkets!AE31</f>
        <v>0</v>
      </c>
      <c r="E31" s="386">
        <f>+OCCMarkets!AF31</f>
        <v>0</v>
      </c>
      <c r="F31" s="386">
        <f>+OCCMarkets!AG31</f>
        <v>0</v>
      </c>
      <c r="G31" s="386">
        <f>+OCCMarkets!AH31</f>
        <v>-155</v>
      </c>
      <c r="H31" s="386">
        <f>+OCCMarkets!AI31</f>
        <v>687</v>
      </c>
      <c r="I31" s="387">
        <f>+OCCMarkets!AJ31</f>
        <v>9489</v>
      </c>
      <c r="J31" s="387">
        <f>+OCCMarkets!AK31</f>
        <v>0</v>
      </c>
      <c r="K31" s="387">
        <f>+OCCMarkets!AL31</f>
        <v>987</v>
      </c>
      <c r="L31" s="387">
        <f>+OCCMarkets!AM31</f>
        <v>0</v>
      </c>
      <c r="M31" s="387">
        <f>+OCCMarkets!AN31</f>
        <v>987</v>
      </c>
      <c r="N31" s="387">
        <f>+OCCMarkets!AO31</f>
        <v>-8502</v>
      </c>
      <c r="O31" s="387">
        <f>+OCCMarkets!AP31</f>
        <v>57068</v>
      </c>
      <c r="P31" s="388">
        <f>+OCCMarkets!AQ31</f>
        <v>0</v>
      </c>
      <c r="Q31" s="388">
        <f>+OCCMarkets!AR31</f>
        <v>0</v>
      </c>
      <c r="R31" s="388">
        <f>+OCCMarkets!AS31</f>
        <v>0</v>
      </c>
      <c r="S31" s="388">
        <f>+OCCMarkets!AT31</f>
        <v>0</v>
      </c>
      <c r="T31" s="388">
        <f>+OCCMarkets!AU31</f>
        <v>0</v>
      </c>
      <c r="U31" s="388">
        <f>+OCCMarkets!AV31</f>
        <v>0</v>
      </c>
      <c r="V31" s="388">
        <f>+OCCMarkets!AW31</f>
        <v>0</v>
      </c>
      <c r="W31" s="391">
        <f>+OCCMarkets!AX31</f>
        <v>200</v>
      </c>
      <c r="X31" s="391">
        <f>+OCCMarkets!AY31</f>
        <v>0</v>
      </c>
      <c r="Y31" s="391">
        <f>+OCCMarkets!AZ31</f>
        <v>0</v>
      </c>
      <c r="Z31" s="391">
        <f>+OCCMarkets!BA31</f>
        <v>0</v>
      </c>
      <c r="AA31" s="391">
        <f>+OCCMarkets!BB31</f>
        <v>0</v>
      </c>
      <c r="AB31" s="391">
        <f>+OCCMarkets!BC31</f>
        <v>-200</v>
      </c>
      <c r="AC31" s="391">
        <f>+OCCMarkets!BD31</f>
        <v>1163</v>
      </c>
      <c r="AD31" s="389">
        <f>+OCCMarkets!BE31</f>
        <v>241</v>
      </c>
      <c r="AE31" s="389">
        <f>+OCCMarkets!BF31</f>
        <v>0</v>
      </c>
      <c r="AF31" s="389">
        <f>+OCCMarkets!BG31</f>
        <v>0</v>
      </c>
      <c r="AG31" s="389">
        <f>+OCCMarkets!BH31</f>
        <v>0</v>
      </c>
      <c r="AH31" s="389">
        <f>+OCCMarkets!BI31</f>
        <v>0</v>
      </c>
      <c r="AI31" s="389">
        <f>+OCCMarkets!BJ31</f>
        <v>-241</v>
      </c>
      <c r="AJ31" s="389">
        <f>+OCCMarkets!BK31</f>
        <v>640</v>
      </c>
      <c r="AL31" s="205">
        <f t="shared" si="0"/>
        <v>10085</v>
      </c>
      <c r="AM31" s="205">
        <f t="shared" si="1"/>
        <v>987</v>
      </c>
      <c r="AN31" s="205">
        <f t="shared" si="2"/>
        <v>-9098</v>
      </c>
      <c r="AO31" s="205">
        <f t="shared" si="3"/>
        <v>59558</v>
      </c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216"/>
      <c r="BO31" s="216"/>
      <c r="BP31" s="216"/>
      <c r="BQ31" s="216"/>
      <c r="BR31" s="216"/>
      <c r="BS31" s="216"/>
      <c r="BT31" s="216"/>
      <c r="BU31" s="216"/>
      <c r="BV31" s="216"/>
      <c r="BW31" s="216"/>
      <c r="BX31" s="216"/>
      <c r="BY31" s="216"/>
      <c r="BZ31" s="216"/>
      <c r="CA31" s="216"/>
      <c r="CB31" s="216"/>
      <c r="CC31" s="216"/>
      <c r="CD31" s="216"/>
      <c r="CE31" s="216"/>
      <c r="CF31" s="216"/>
      <c r="CG31" s="216"/>
      <c r="CH31" s="216"/>
      <c r="CI31" s="216"/>
      <c r="CJ31" s="216"/>
      <c r="CK31" s="216"/>
      <c r="CL31" s="216"/>
      <c r="CM31" s="216"/>
      <c r="CN31" s="216"/>
      <c r="CO31" s="216"/>
      <c r="CP31" s="216"/>
      <c r="CQ31" s="216"/>
      <c r="CR31" s="216"/>
      <c r="CS31" s="216"/>
      <c r="CT31" s="216"/>
      <c r="CU31" s="216"/>
      <c r="CV31" s="216"/>
      <c r="CW31" s="216"/>
      <c r="CX31" s="216"/>
      <c r="CY31" s="216"/>
      <c r="CZ31" s="216"/>
      <c r="DA31" s="216"/>
      <c r="DB31" s="216"/>
      <c r="DC31" s="216"/>
      <c r="DD31" s="216"/>
    </row>
    <row r="32" spans="1:108" x14ac:dyDescent="0.25">
      <c r="A32" s="211">
        <f>+BaseloadMarkets!A32</f>
        <v>36704</v>
      </c>
      <c r="B32" s="386">
        <f>+OCCMarkets!AC32</f>
        <v>149</v>
      </c>
      <c r="C32" s="386">
        <f>+OCCMarkets!AD32</f>
        <v>0</v>
      </c>
      <c r="D32" s="386">
        <f>+OCCMarkets!AE32</f>
        <v>0</v>
      </c>
      <c r="E32" s="386">
        <f>+OCCMarkets!AF32</f>
        <v>0</v>
      </c>
      <c r="F32" s="386">
        <f>+OCCMarkets!AG32</f>
        <v>0</v>
      </c>
      <c r="G32" s="386">
        <f>+OCCMarkets!AH32</f>
        <v>-149</v>
      </c>
      <c r="H32" s="386">
        <f>+OCCMarkets!AI32</f>
        <v>538</v>
      </c>
      <c r="I32" s="387">
        <f>+OCCMarkets!AJ32</f>
        <v>9954</v>
      </c>
      <c r="J32" s="387">
        <f>+OCCMarkets!AK32</f>
        <v>2389</v>
      </c>
      <c r="K32" s="387">
        <f>+OCCMarkets!AL32</f>
        <v>987</v>
      </c>
      <c r="L32" s="387">
        <f>+OCCMarkets!AM32</f>
        <v>0</v>
      </c>
      <c r="M32" s="387">
        <f>+OCCMarkets!AN32</f>
        <v>3376</v>
      </c>
      <c r="N32" s="387">
        <f>+OCCMarkets!AO32</f>
        <v>-6578</v>
      </c>
      <c r="O32" s="387">
        <f>+OCCMarkets!AP32</f>
        <v>50490</v>
      </c>
      <c r="P32" s="388">
        <f>+OCCMarkets!AQ32</f>
        <v>0</v>
      </c>
      <c r="Q32" s="388">
        <f>+OCCMarkets!AR32</f>
        <v>0</v>
      </c>
      <c r="R32" s="388">
        <f>+OCCMarkets!AS32</f>
        <v>0</v>
      </c>
      <c r="S32" s="388">
        <f>+OCCMarkets!AT32</f>
        <v>0</v>
      </c>
      <c r="T32" s="388">
        <f>+OCCMarkets!AU32</f>
        <v>0</v>
      </c>
      <c r="U32" s="388">
        <f>+OCCMarkets!AV32</f>
        <v>0</v>
      </c>
      <c r="V32" s="388">
        <f>+OCCMarkets!AW32</f>
        <v>0</v>
      </c>
      <c r="W32" s="391">
        <f>+OCCMarkets!AX32</f>
        <v>198</v>
      </c>
      <c r="X32" s="391">
        <f>+OCCMarkets!AY32</f>
        <v>0</v>
      </c>
      <c r="Y32" s="391">
        <f>+OCCMarkets!AZ32</f>
        <v>0</v>
      </c>
      <c r="Z32" s="391">
        <f>+OCCMarkets!BA32</f>
        <v>0</v>
      </c>
      <c r="AA32" s="391">
        <f>+OCCMarkets!BB32</f>
        <v>0</v>
      </c>
      <c r="AB32" s="391">
        <f>+OCCMarkets!BC32</f>
        <v>-198</v>
      </c>
      <c r="AC32" s="391">
        <f>+OCCMarkets!BD32</f>
        <v>965</v>
      </c>
      <c r="AD32" s="389">
        <f>+OCCMarkets!BE32</f>
        <v>307</v>
      </c>
      <c r="AE32" s="389">
        <f>+OCCMarkets!BF32</f>
        <v>0</v>
      </c>
      <c r="AF32" s="389">
        <f>+OCCMarkets!BG32</f>
        <v>0</v>
      </c>
      <c r="AG32" s="389">
        <f>+OCCMarkets!BH32</f>
        <v>0</v>
      </c>
      <c r="AH32" s="389">
        <f>+OCCMarkets!BI32</f>
        <v>0</v>
      </c>
      <c r="AI32" s="389">
        <f>+OCCMarkets!BJ32</f>
        <v>-307</v>
      </c>
      <c r="AJ32" s="389">
        <f>+OCCMarkets!BK32</f>
        <v>333</v>
      </c>
      <c r="AL32" s="205">
        <f t="shared" si="0"/>
        <v>10608</v>
      </c>
      <c r="AM32" s="205">
        <f t="shared" si="1"/>
        <v>3376</v>
      </c>
      <c r="AN32" s="205">
        <f t="shared" si="2"/>
        <v>-7232</v>
      </c>
      <c r="AO32" s="205">
        <f t="shared" si="3"/>
        <v>52326</v>
      </c>
      <c r="BB32" s="216"/>
      <c r="BC32" s="216"/>
      <c r="BD32" s="216"/>
      <c r="BE32" s="216"/>
      <c r="BF32" s="216"/>
      <c r="BG32" s="216"/>
      <c r="BH32" s="216"/>
      <c r="BI32" s="216"/>
      <c r="BJ32" s="216"/>
      <c r="BK32" s="216"/>
      <c r="BL32" s="216"/>
      <c r="BM32" s="216"/>
      <c r="BN32" s="216"/>
      <c r="BO32" s="216"/>
      <c r="BP32" s="216"/>
      <c r="BQ32" s="216"/>
      <c r="BR32" s="216"/>
      <c r="BS32" s="216"/>
      <c r="BT32" s="216"/>
      <c r="BU32" s="216"/>
      <c r="BV32" s="216"/>
      <c r="BW32" s="216"/>
      <c r="BX32" s="216"/>
      <c r="BY32" s="216"/>
      <c r="BZ32" s="216"/>
      <c r="CA32" s="216"/>
      <c r="CB32" s="216"/>
      <c r="CC32" s="216"/>
      <c r="CD32" s="216"/>
      <c r="CE32" s="216"/>
      <c r="CF32" s="216"/>
      <c r="CG32" s="216"/>
      <c r="CH32" s="216"/>
      <c r="CI32" s="216"/>
      <c r="CJ32" s="216"/>
      <c r="CK32" s="216"/>
      <c r="CL32" s="216"/>
      <c r="CM32" s="216"/>
      <c r="CN32" s="216"/>
      <c r="CO32" s="216"/>
      <c r="CP32" s="216"/>
      <c r="CQ32" s="216"/>
      <c r="CR32" s="216"/>
      <c r="CS32" s="216"/>
      <c r="CT32" s="216"/>
      <c r="CU32" s="216"/>
      <c r="CV32" s="216"/>
      <c r="CW32" s="216"/>
      <c r="CX32" s="216"/>
      <c r="CY32" s="216"/>
      <c r="CZ32" s="216"/>
      <c r="DA32" s="216"/>
      <c r="DB32" s="216"/>
      <c r="DC32" s="216"/>
      <c r="DD32" s="216"/>
    </row>
    <row r="33" spans="1:108" x14ac:dyDescent="0.25">
      <c r="A33" s="211">
        <f>+BaseloadMarkets!A33</f>
        <v>36705</v>
      </c>
      <c r="B33" s="386">
        <f>+OCCMarkets!AC33</f>
        <v>173</v>
      </c>
      <c r="C33" s="386">
        <f>+OCCMarkets!AD33</f>
        <v>0</v>
      </c>
      <c r="D33" s="386">
        <f>+OCCMarkets!AE33</f>
        <v>0</v>
      </c>
      <c r="E33" s="386">
        <f>+OCCMarkets!AF33</f>
        <v>0</v>
      </c>
      <c r="F33" s="386">
        <f>+OCCMarkets!AG33</f>
        <v>0</v>
      </c>
      <c r="G33" s="386">
        <f>+OCCMarkets!AH33</f>
        <v>-173</v>
      </c>
      <c r="H33" s="386">
        <f>+OCCMarkets!AI33</f>
        <v>365</v>
      </c>
      <c r="I33" s="387">
        <f>+OCCMarkets!AJ33</f>
        <v>9576</v>
      </c>
      <c r="J33" s="387">
        <f>+OCCMarkets!AK33</f>
        <v>8319</v>
      </c>
      <c r="K33" s="387">
        <f>+OCCMarkets!AL33</f>
        <v>954</v>
      </c>
      <c r="L33" s="387">
        <f>+OCCMarkets!AM33</f>
        <v>16943</v>
      </c>
      <c r="M33" s="387">
        <f>+OCCMarkets!AN33</f>
        <v>26216</v>
      </c>
      <c r="N33" s="387">
        <f>+OCCMarkets!AO33</f>
        <v>16640</v>
      </c>
      <c r="O33" s="387">
        <f>+OCCMarkets!AP33</f>
        <v>67130</v>
      </c>
      <c r="P33" s="388">
        <f>+OCCMarkets!AQ33</f>
        <v>0</v>
      </c>
      <c r="Q33" s="388">
        <f>+OCCMarkets!AR33</f>
        <v>0</v>
      </c>
      <c r="R33" s="388">
        <f>+OCCMarkets!AS33</f>
        <v>0</v>
      </c>
      <c r="S33" s="388">
        <f>+OCCMarkets!AT33</f>
        <v>0</v>
      </c>
      <c r="T33" s="388">
        <f>+OCCMarkets!AU33</f>
        <v>0</v>
      </c>
      <c r="U33" s="388">
        <f>+OCCMarkets!AV33</f>
        <v>0</v>
      </c>
      <c r="V33" s="388">
        <f>+OCCMarkets!AW33</f>
        <v>0</v>
      </c>
      <c r="W33" s="391">
        <f>+OCCMarkets!AX33</f>
        <v>206</v>
      </c>
      <c r="X33" s="391">
        <f>+OCCMarkets!AY33</f>
        <v>0</v>
      </c>
      <c r="Y33" s="391">
        <f>+OCCMarkets!AZ33</f>
        <v>0</v>
      </c>
      <c r="Z33" s="391">
        <f>+OCCMarkets!BA33</f>
        <v>0</v>
      </c>
      <c r="AA33" s="391">
        <f>+OCCMarkets!BB33</f>
        <v>0</v>
      </c>
      <c r="AB33" s="391">
        <f>+OCCMarkets!BC33</f>
        <v>-206</v>
      </c>
      <c r="AC33" s="391">
        <f>+OCCMarkets!BD33</f>
        <v>759</v>
      </c>
      <c r="AD33" s="389">
        <f>+OCCMarkets!BE33</f>
        <v>277</v>
      </c>
      <c r="AE33" s="389">
        <f>+OCCMarkets!BF33</f>
        <v>0</v>
      </c>
      <c r="AF33" s="389">
        <f>+OCCMarkets!BG33</f>
        <v>0</v>
      </c>
      <c r="AG33" s="389">
        <f>+OCCMarkets!BH33</f>
        <v>0</v>
      </c>
      <c r="AH33" s="389">
        <f>+OCCMarkets!BI33</f>
        <v>0</v>
      </c>
      <c r="AI33" s="389">
        <f>+OCCMarkets!BJ33</f>
        <v>-277</v>
      </c>
      <c r="AJ33" s="389">
        <f>+OCCMarkets!BK33</f>
        <v>56</v>
      </c>
      <c r="AL33" s="205">
        <f t="shared" si="0"/>
        <v>10232</v>
      </c>
      <c r="AM33" s="205">
        <f t="shared" si="1"/>
        <v>26216</v>
      </c>
      <c r="AN33" s="205">
        <f t="shared" si="2"/>
        <v>15984</v>
      </c>
      <c r="AO33" s="205">
        <f t="shared" si="3"/>
        <v>68310</v>
      </c>
      <c r="BB33" s="216"/>
      <c r="BC33" s="216"/>
      <c r="BD33" s="216"/>
      <c r="BE33" s="216"/>
      <c r="BF33" s="216"/>
      <c r="BG33" s="216"/>
      <c r="BH33" s="216"/>
      <c r="BI33" s="216"/>
      <c r="BJ33" s="216"/>
      <c r="BK33" s="216"/>
      <c r="BL33" s="216"/>
      <c r="BM33" s="216"/>
      <c r="BN33" s="216"/>
      <c r="BO33" s="216"/>
      <c r="BP33" s="216"/>
      <c r="BQ33" s="216"/>
      <c r="BR33" s="216"/>
      <c r="BS33" s="216"/>
      <c r="BT33" s="216"/>
      <c r="BU33" s="216"/>
      <c r="BV33" s="216"/>
      <c r="BW33" s="216"/>
      <c r="BX33" s="216"/>
      <c r="BY33" s="216"/>
      <c r="BZ33" s="216"/>
      <c r="CA33" s="216"/>
      <c r="CB33" s="216"/>
      <c r="CC33" s="216"/>
      <c r="CD33" s="216"/>
      <c r="CE33" s="216"/>
      <c r="CF33" s="216"/>
      <c r="CG33" s="216"/>
      <c r="CH33" s="216"/>
      <c r="CI33" s="216"/>
      <c r="CJ33" s="216"/>
      <c r="CK33" s="216"/>
      <c r="CL33" s="216"/>
      <c r="CM33" s="216"/>
      <c r="CN33" s="216"/>
      <c r="CO33" s="216"/>
      <c r="CP33" s="216"/>
      <c r="CQ33" s="216"/>
      <c r="CR33" s="216"/>
      <c r="CS33" s="216"/>
      <c r="CT33" s="216"/>
      <c r="CU33" s="216"/>
      <c r="CV33" s="216"/>
      <c r="CW33" s="216"/>
      <c r="CX33" s="216"/>
      <c r="CY33" s="216"/>
      <c r="CZ33" s="216"/>
      <c r="DA33" s="216"/>
      <c r="DB33" s="216"/>
      <c r="DC33" s="216"/>
      <c r="DD33" s="216"/>
    </row>
    <row r="34" spans="1:108" x14ac:dyDescent="0.25">
      <c r="A34" s="211">
        <f>+BaseloadMarkets!A34</f>
        <v>36706</v>
      </c>
      <c r="B34" s="386">
        <f>+OCCMarkets!AC34</f>
        <v>147</v>
      </c>
      <c r="C34" s="386">
        <f>+OCCMarkets!AD34</f>
        <v>0</v>
      </c>
      <c r="D34" s="386">
        <f>+OCCMarkets!AE34</f>
        <v>0</v>
      </c>
      <c r="E34" s="386">
        <f>+OCCMarkets!AF34</f>
        <v>0</v>
      </c>
      <c r="F34" s="386">
        <f>+OCCMarkets!AG34</f>
        <v>0</v>
      </c>
      <c r="G34" s="386">
        <f>+OCCMarkets!AH34</f>
        <v>-147</v>
      </c>
      <c r="H34" s="386">
        <f>+OCCMarkets!AI34</f>
        <v>218</v>
      </c>
      <c r="I34" s="387">
        <f>+OCCMarkets!AJ34</f>
        <v>9468</v>
      </c>
      <c r="J34" s="387">
        <f>+OCCMarkets!AK34</f>
        <v>4294</v>
      </c>
      <c r="K34" s="387">
        <f>+OCCMarkets!AL34</f>
        <v>987</v>
      </c>
      <c r="L34" s="387">
        <f>+OCCMarkets!AM34</f>
        <v>0</v>
      </c>
      <c r="M34" s="387">
        <f>+OCCMarkets!AN34</f>
        <v>5281</v>
      </c>
      <c r="N34" s="387">
        <f>+OCCMarkets!AO34</f>
        <v>-4187</v>
      </c>
      <c r="O34" s="387">
        <f>+OCCMarkets!AP34</f>
        <v>62943</v>
      </c>
      <c r="P34" s="388">
        <f>+OCCMarkets!AQ34</f>
        <v>0</v>
      </c>
      <c r="Q34" s="388">
        <f>+OCCMarkets!AR34</f>
        <v>0</v>
      </c>
      <c r="R34" s="388">
        <f>+OCCMarkets!AS34</f>
        <v>0</v>
      </c>
      <c r="S34" s="388">
        <f>+OCCMarkets!AT34</f>
        <v>0</v>
      </c>
      <c r="T34" s="388">
        <f>+OCCMarkets!AU34</f>
        <v>0</v>
      </c>
      <c r="U34" s="388">
        <f>+OCCMarkets!AV34</f>
        <v>0</v>
      </c>
      <c r="V34" s="388">
        <f>+OCCMarkets!AW34</f>
        <v>0</v>
      </c>
      <c r="W34" s="391">
        <f>+OCCMarkets!AX34</f>
        <v>197</v>
      </c>
      <c r="X34" s="391">
        <f>+OCCMarkets!AY34</f>
        <v>0</v>
      </c>
      <c r="Y34" s="391">
        <f>+OCCMarkets!AZ34</f>
        <v>0</v>
      </c>
      <c r="Z34" s="391">
        <f>+OCCMarkets!BA34</f>
        <v>0</v>
      </c>
      <c r="AA34" s="391">
        <f>+OCCMarkets!BB34</f>
        <v>0</v>
      </c>
      <c r="AB34" s="391">
        <f>+OCCMarkets!BC34</f>
        <v>-197</v>
      </c>
      <c r="AC34" s="391">
        <f>+OCCMarkets!BD34</f>
        <v>562</v>
      </c>
      <c r="AD34" s="389">
        <f>+OCCMarkets!BE34</f>
        <v>305</v>
      </c>
      <c r="AE34" s="389">
        <f>+OCCMarkets!BF34</f>
        <v>0</v>
      </c>
      <c r="AF34" s="389">
        <f>+OCCMarkets!BG34</f>
        <v>0</v>
      </c>
      <c r="AG34" s="389">
        <f>+OCCMarkets!BH34</f>
        <v>0</v>
      </c>
      <c r="AH34" s="389">
        <f>+OCCMarkets!BI34</f>
        <v>0</v>
      </c>
      <c r="AI34" s="389">
        <f>+OCCMarkets!BJ34</f>
        <v>-305</v>
      </c>
      <c r="AJ34" s="389">
        <f>+OCCMarkets!BK34</f>
        <v>-249</v>
      </c>
      <c r="AL34" s="205">
        <f t="shared" si="0"/>
        <v>10117</v>
      </c>
      <c r="AM34" s="205">
        <f t="shared" si="1"/>
        <v>5281</v>
      </c>
      <c r="AN34" s="205">
        <f t="shared" si="2"/>
        <v>-4836</v>
      </c>
      <c r="AO34" s="205">
        <f t="shared" si="3"/>
        <v>63474</v>
      </c>
      <c r="BB34" s="216"/>
      <c r="BC34" s="216"/>
      <c r="BD34" s="216"/>
      <c r="BE34" s="216"/>
      <c r="BF34" s="216"/>
      <c r="BG34" s="216"/>
      <c r="BH34" s="216"/>
      <c r="BI34" s="216"/>
      <c r="BJ34" s="216"/>
      <c r="BK34" s="216"/>
      <c r="BL34" s="216"/>
      <c r="BM34" s="216"/>
      <c r="BN34" s="216"/>
      <c r="BO34" s="216"/>
      <c r="BP34" s="216"/>
      <c r="BQ34" s="216"/>
      <c r="BR34" s="216"/>
      <c r="BS34" s="216"/>
      <c r="BT34" s="216"/>
      <c r="BU34" s="216"/>
      <c r="BV34" s="216"/>
      <c r="BW34" s="216"/>
      <c r="BX34" s="216"/>
      <c r="BY34" s="216"/>
      <c r="BZ34" s="216"/>
      <c r="CA34" s="216"/>
      <c r="CB34" s="216"/>
      <c r="CC34" s="216"/>
      <c r="CD34" s="216"/>
      <c r="CE34" s="216"/>
      <c r="CF34" s="216"/>
      <c r="CG34" s="216"/>
      <c r="CH34" s="216"/>
      <c r="CI34" s="216"/>
      <c r="CJ34" s="216"/>
      <c r="CK34" s="216"/>
      <c r="CL34" s="216"/>
      <c r="CM34" s="216"/>
      <c r="CN34" s="216"/>
      <c r="CO34" s="216"/>
      <c r="CP34" s="216"/>
      <c r="CQ34" s="216"/>
      <c r="CR34" s="216"/>
      <c r="CS34" s="216"/>
      <c r="CT34" s="216"/>
      <c r="CU34" s="216"/>
      <c r="CV34" s="216"/>
      <c r="CW34" s="216"/>
      <c r="CX34" s="216"/>
      <c r="CY34" s="216"/>
      <c r="CZ34" s="216"/>
      <c r="DA34" s="216"/>
      <c r="DB34" s="216"/>
      <c r="DC34" s="216"/>
      <c r="DD34" s="216"/>
    </row>
    <row r="35" spans="1:108" x14ac:dyDescent="0.25">
      <c r="A35" s="211">
        <f>+BaseloadMarkets!A35</f>
        <v>36707</v>
      </c>
      <c r="B35" s="386">
        <f>+OCCMarkets!AC35</f>
        <v>186</v>
      </c>
      <c r="C35" s="386">
        <f>+OCCMarkets!AD35</f>
        <v>0</v>
      </c>
      <c r="D35" s="386">
        <f>+OCCMarkets!AE35</f>
        <v>0</v>
      </c>
      <c r="E35" s="386">
        <f>+OCCMarkets!AF35</f>
        <v>0</v>
      </c>
      <c r="F35" s="386">
        <f>+OCCMarkets!AG35</f>
        <v>0</v>
      </c>
      <c r="G35" s="386">
        <f>+OCCMarkets!AH35</f>
        <v>-186</v>
      </c>
      <c r="H35" s="386">
        <f>+OCCMarkets!AI35</f>
        <v>32</v>
      </c>
      <c r="I35" s="387">
        <f>+OCCMarkets!AJ35</f>
        <v>9915</v>
      </c>
      <c r="J35" s="387">
        <f>+OCCMarkets!AK35</f>
        <v>17427</v>
      </c>
      <c r="K35" s="387">
        <f>+OCCMarkets!AL35</f>
        <v>988</v>
      </c>
      <c r="L35" s="387">
        <f>+OCCMarkets!AM35</f>
        <v>7024</v>
      </c>
      <c r="M35" s="387">
        <f>+OCCMarkets!AN35</f>
        <v>25439</v>
      </c>
      <c r="N35" s="387">
        <f>+OCCMarkets!AO35</f>
        <v>15524</v>
      </c>
      <c r="O35" s="387">
        <f>+OCCMarkets!AP35</f>
        <v>78467</v>
      </c>
      <c r="P35" s="388">
        <f>+OCCMarkets!AQ35</f>
        <v>0</v>
      </c>
      <c r="Q35" s="388">
        <f>+OCCMarkets!AR35</f>
        <v>0</v>
      </c>
      <c r="R35" s="388">
        <f>+OCCMarkets!AS35</f>
        <v>0</v>
      </c>
      <c r="S35" s="388">
        <f>+OCCMarkets!AT35</f>
        <v>0</v>
      </c>
      <c r="T35" s="388">
        <f>+OCCMarkets!AU35</f>
        <v>0</v>
      </c>
      <c r="U35" s="388">
        <f>+OCCMarkets!AV35</f>
        <v>0</v>
      </c>
      <c r="V35" s="388">
        <f>+OCCMarkets!AW35</f>
        <v>0</v>
      </c>
      <c r="W35" s="391">
        <f>+OCCMarkets!AX35</f>
        <v>195</v>
      </c>
      <c r="X35" s="391">
        <f>+OCCMarkets!AY35</f>
        <v>551</v>
      </c>
      <c r="Y35" s="391">
        <f>+OCCMarkets!AZ35</f>
        <v>0</v>
      </c>
      <c r="Z35" s="391">
        <f>+OCCMarkets!BA35</f>
        <v>0</v>
      </c>
      <c r="AA35" s="391">
        <f>+OCCMarkets!BB35</f>
        <v>551</v>
      </c>
      <c r="AB35" s="391">
        <f>+OCCMarkets!BC35</f>
        <v>356</v>
      </c>
      <c r="AC35" s="391">
        <f>+OCCMarkets!BD35</f>
        <v>918</v>
      </c>
      <c r="AD35" s="389">
        <f>+OCCMarkets!BE35</f>
        <v>286</v>
      </c>
      <c r="AE35" s="389">
        <f>+OCCMarkets!BF35</f>
        <v>551</v>
      </c>
      <c r="AF35" s="389">
        <f>+OCCMarkets!BG35</f>
        <v>0</v>
      </c>
      <c r="AG35" s="389">
        <f>+OCCMarkets!BH35</f>
        <v>0</v>
      </c>
      <c r="AH35" s="389">
        <f>+OCCMarkets!BI35</f>
        <v>551</v>
      </c>
      <c r="AI35" s="389">
        <f>+OCCMarkets!BJ35</f>
        <v>265</v>
      </c>
      <c r="AJ35" s="389">
        <f>+OCCMarkets!BK35</f>
        <v>16</v>
      </c>
      <c r="AL35" s="205">
        <f>+B35+I35+P35+W35+AD35</f>
        <v>10582</v>
      </c>
      <c r="AM35" s="205">
        <f>+F35+M35+T35+AA35+AH35</f>
        <v>26541</v>
      </c>
      <c r="AN35" s="205">
        <f>+AM35-AL35</f>
        <v>15959</v>
      </c>
      <c r="AO35" s="205">
        <f>+H35+O35+V35+AC35+AJ35</f>
        <v>79433</v>
      </c>
      <c r="BB35" s="216"/>
      <c r="BC35" s="216"/>
      <c r="BD35" s="216"/>
      <c r="BE35" s="216"/>
      <c r="BF35" s="216"/>
      <c r="BG35" s="216"/>
      <c r="BH35" s="216"/>
      <c r="BI35" s="216"/>
      <c r="BJ35" s="216"/>
      <c r="BK35" s="216"/>
      <c r="BL35" s="216"/>
      <c r="BM35" s="216"/>
      <c r="BN35" s="216"/>
      <c r="BO35" s="216"/>
      <c r="BP35" s="216"/>
      <c r="BQ35" s="216"/>
      <c r="BR35" s="216"/>
      <c r="BS35" s="216"/>
      <c r="BT35" s="216"/>
      <c r="BU35" s="216"/>
      <c r="BV35" s="216"/>
      <c r="BW35" s="216"/>
      <c r="BX35" s="216"/>
      <c r="BY35" s="216"/>
      <c r="BZ35" s="216"/>
      <c r="CA35" s="216"/>
      <c r="CB35" s="216"/>
      <c r="CC35" s="216"/>
      <c r="CD35" s="216"/>
      <c r="CE35" s="216"/>
      <c r="CF35" s="216"/>
      <c r="CG35" s="216"/>
      <c r="CH35" s="216"/>
      <c r="CI35" s="216"/>
      <c r="CJ35" s="216"/>
      <c r="CK35" s="216"/>
      <c r="CL35" s="216"/>
      <c r="CM35" s="216"/>
      <c r="CN35" s="216"/>
      <c r="CO35" s="216"/>
      <c r="CP35" s="216"/>
      <c r="CQ35" s="216"/>
      <c r="CR35" s="216"/>
      <c r="CS35" s="216"/>
      <c r="CT35" s="216"/>
      <c r="CU35" s="216"/>
      <c r="CV35" s="216"/>
      <c r="CW35" s="216"/>
      <c r="CX35" s="216"/>
      <c r="CY35" s="216"/>
      <c r="CZ35" s="216"/>
      <c r="DA35" s="216"/>
      <c r="DB35" s="216"/>
      <c r="DC35" s="216"/>
      <c r="DD35" s="216"/>
    </row>
    <row r="36" spans="1:108" x14ac:dyDescent="0.25">
      <c r="A36" s="211"/>
      <c r="B36" s="386"/>
      <c r="C36" s="386"/>
      <c r="D36" s="386"/>
      <c r="E36" s="386"/>
      <c r="F36" s="386"/>
      <c r="G36" s="386"/>
      <c r="H36" s="386"/>
      <c r="I36" s="387"/>
      <c r="J36" s="387"/>
      <c r="K36" s="387"/>
      <c r="L36" s="387"/>
      <c r="M36" s="387"/>
      <c r="N36" s="387"/>
      <c r="O36" s="387"/>
      <c r="P36" s="388"/>
      <c r="Q36" s="388"/>
      <c r="R36" s="388"/>
      <c r="S36" s="388"/>
      <c r="T36" s="388"/>
      <c r="U36" s="388"/>
      <c r="V36" s="388"/>
      <c r="W36" s="391"/>
      <c r="X36" s="391"/>
      <c r="Y36" s="391"/>
      <c r="Z36" s="391"/>
      <c r="AA36" s="391"/>
      <c r="AB36" s="391"/>
      <c r="AC36" s="391"/>
      <c r="AD36" s="389"/>
      <c r="AE36" s="389"/>
      <c r="AF36" s="389"/>
      <c r="AG36" s="389"/>
      <c r="AH36" s="389"/>
      <c r="AI36" s="389"/>
      <c r="AJ36" s="389"/>
      <c r="BB36" s="216"/>
      <c r="BC36" s="216"/>
      <c r="BD36" s="216"/>
      <c r="BE36" s="216"/>
      <c r="BF36" s="216"/>
      <c r="BG36" s="216"/>
      <c r="BH36" s="216"/>
      <c r="BI36" s="216"/>
      <c r="BJ36" s="216"/>
      <c r="BK36" s="216"/>
      <c r="BL36" s="216"/>
      <c r="BM36" s="216"/>
      <c r="BN36" s="216"/>
      <c r="BO36" s="216"/>
      <c r="BP36" s="216"/>
      <c r="BQ36" s="216"/>
      <c r="BR36" s="216"/>
      <c r="BS36" s="216"/>
      <c r="BT36" s="216"/>
      <c r="BU36" s="216"/>
      <c r="BV36" s="216"/>
      <c r="BW36" s="216"/>
      <c r="BX36" s="216"/>
      <c r="BY36" s="216"/>
      <c r="BZ36" s="216"/>
      <c r="CA36" s="216"/>
      <c r="CB36" s="216"/>
      <c r="CC36" s="216"/>
      <c r="CD36" s="216"/>
      <c r="CE36" s="216"/>
      <c r="CF36" s="216"/>
      <c r="CG36" s="216"/>
      <c r="CH36" s="216"/>
      <c r="CI36" s="216"/>
      <c r="CJ36" s="216"/>
      <c r="CK36" s="216"/>
      <c r="CL36" s="216"/>
      <c r="CM36" s="216"/>
      <c r="CN36" s="216"/>
      <c r="CO36" s="216"/>
      <c r="CP36" s="216"/>
      <c r="CQ36" s="216"/>
      <c r="CR36" s="216"/>
      <c r="CS36" s="216"/>
      <c r="CT36" s="216"/>
      <c r="CU36" s="216"/>
      <c r="CV36" s="216"/>
      <c r="CW36" s="216"/>
      <c r="CX36" s="216"/>
      <c r="CY36" s="216"/>
      <c r="CZ36" s="216"/>
      <c r="DA36" s="216"/>
      <c r="DB36" s="216"/>
      <c r="DC36" s="216"/>
      <c r="DD36" s="216"/>
    </row>
    <row r="37" spans="1:108" ht="13.8" thickBot="1" x14ac:dyDescent="0.3">
      <c r="B37" s="212"/>
      <c r="C37" s="212"/>
      <c r="D37" s="212"/>
      <c r="E37" s="212"/>
      <c r="F37" s="212"/>
      <c r="G37" s="212"/>
      <c r="H37" s="212"/>
      <c r="I37" s="213"/>
      <c r="J37" s="213"/>
      <c r="K37" s="213"/>
      <c r="L37" s="213"/>
      <c r="M37" s="213"/>
      <c r="N37" s="213"/>
      <c r="O37" s="213"/>
      <c r="P37" s="388">
        <f>+OCCMarkets!AQ37</f>
        <v>0</v>
      </c>
      <c r="Q37" s="388">
        <f>+OCCMarkets!AR37</f>
        <v>0</v>
      </c>
      <c r="R37" s="388">
        <f>+OCCMarkets!AS37</f>
        <v>0</v>
      </c>
      <c r="S37" s="388">
        <f>+OCCMarkets!AT37</f>
        <v>0</v>
      </c>
      <c r="T37" s="388">
        <f>+OCCMarkets!AU37</f>
        <v>0</v>
      </c>
      <c r="U37" s="388">
        <f>+OCCMarkets!AV37</f>
        <v>0</v>
      </c>
      <c r="V37" s="388">
        <f>+OCCMarkets!AW37</f>
        <v>0</v>
      </c>
      <c r="W37" s="392"/>
      <c r="X37" s="392"/>
      <c r="Y37" s="392"/>
      <c r="Z37" s="392"/>
      <c r="AA37" s="392"/>
      <c r="AB37" s="392"/>
      <c r="AC37" s="392"/>
      <c r="AD37" s="215"/>
      <c r="AE37" s="215"/>
      <c r="AF37" s="215"/>
      <c r="AG37" s="215"/>
      <c r="AH37" s="215"/>
      <c r="AI37" s="215"/>
      <c r="AJ37" s="215"/>
    </row>
    <row r="38" spans="1:108" ht="13.8" thickTop="1" x14ac:dyDescent="0.25">
      <c r="B38" s="217">
        <f t="shared" ref="B38:G38" si="4">SUM(B6:B36)</f>
        <v>4607</v>
      </c>
      <c r="C38" s="217">
        <f t="shared" si="4"/>
        <v>4639</v>
      </c>
      <c r="D38" s="217">
        <f t="shared" si="4"/>
        <v>0</v>
      </c>
      <c r="E38" s="217">
        <f t="shared" si="4"/>
        <v>0</v>
      </c>
      <c r="F38" s="217">
        <f t="shared" si="4"/>
        <v>4639</v>
      </c>
      <c r="G38" s="217">
        <f t="shared" si="4"/>
        <v>32</v>
      </c>
      <c r="H38" s="212"/>
      <c r="I38" s="218">
        <f t="shared" ref="I38:N38" si="5">SUM(I6:I36)</f>
        <v>273467</v>
      </c>
      <c r="J38" s="218">
        <f t="shared" si="5"/>
        <v>144013</v>
      </c>
      <c r="K38" s="218">
        <f t="shared" si="5"/>
        <v>41689</v>
      </c>
      <c r="L38" s="218">
        <f t="shared" si="5"/>
        <v>166232</v>
      </c>
      <c r="M38" s="218">
        <f t="shared" si="5"/>
        <v>351934</v>
      </c>
      <c r="N38" s="218">
        <f t="shared" si="5"/>
        <v>78467</v>
      </c>
      <c r="O38" s="213"/>
      <c r="P38" s="219">
        <f t="shared" ref="P38:U38" si="6">SUM(P6:P36)</f>
        <v>0</v>
      </c>
      <c r="Q38" s="219">
        <f t="shared" si="6"/>
        <v>0</v>
      </c>
      <c r="R38" s="219">
        <f t="shared" si="6"/>
        <v>0</v>
      </c>
      <c r="S38" s="219">
        <f t="shared" si="6"/>
        <v>0</v>
      </c>
      <c r="T38" s="219">
        <f t="shared" si="6"/>
        <v>0</v>
      </c>
      <c r="U38" s="219">
        <f t="shared" si="6"/>
        <v>0</v>
      </c>
      <c r="V38" s="214"/>
      <c r="W38" s="393">
        <f t="shared" ref="W38:AB38" si="7">SUM(W6:W36)</f>
        <v>4398</v>
      </c>
      <c r="X38" s="393">
        <f t="shared" si="7"/>
        <v>5316</v>
      </c>
      <c r="Y38" s="393">
        <f t="shared" si="7"/>
        <v>0</v>
      </c>
      <c r="Z38" s="393">
        <f t="shared" si="7"/>
        <v>0</v>
      </c>
      <c r="AA38" s="393">
        <f t="shared" si="7"/>
        <v>5316</v>
      </c>
      <c r="AB38" s="393">
        <f t="shared" si="7"/>
        <v>918</v>
      </c>
      <c r="AC38" s="392"/>
      <c r="AD38" s="220">
        <f t="shared" ref="AD38:AI38" si="8">SUM(AD6:AD36)</f>
        <v>7136</v>
      </c>
      <c r="AE38" s="220">
        <f t="shared" si="8"/>
        <v>7152</v>
      </c>
      <c r="AF38" s="220">
        <f t="shared" si="8"/>
        <v>0</v>
      </c>
      <c r="AG38" s="220">
        <f t="shared" si="8"/>
        <v>0</v>
      </c>
      <c r="AH38" s="220">
        <f t="shared" si="8"/>
        <v>7152</v>
      </c>
      <c r="AI38" s="220">
        <f t="shared" si="8"/>
        <v>16</v>
      </c>
      <c r="AJ38" s="215"/>
      <c r="AL38" s="206">
        <f>SUM(AL6:AL36)</f>
        <v>289608</v>
      </c>
      <c r="AM38" s="206">
        <f>SUM(AM6:AM36)</f>
        <v>369041</v>
      </c>
      <c r="AN38" s="206">
        <f>SUM(AN6:AN36)</f>
        <v>79433</v>
      </c>
    </row>
    <row r="40" spans="1:108" x14ac:dyDescent="0.25">
      <c r="A40" s="20">
        <v>1</v>
      </c>
      <c r="B40" s="205">
        <f>+A40+1</f>
        <v>2</v>
      </c>
      <c r="C40" s="205">
        <f t="shared" ref="C40:AO40" si="9">+B40+1</f>
        <v>3</v>
      </c>
      <c r="D40" s="205">
        <f t="shared" si="9"/>
        <v>4</v>
      </c>
      <c r="E40" s="205">
        <f t="shared" si="9"/>
        <v>5</v>
      </c>
      <c r="F40" s="205">
        <f t="shared" si="9"/>
        <v>6</v>
      </c>
      <c r="G40" s="205">
        <f t="shared" si="9"/>
        <v>7</v>
      </c>
      <c r="H40" s="205">
        <f t="shared" si="9"/>
        <v>8</v>
      </c>
      <c r="I40" s="205">
        <f t="shared" si="9"/>
        <v>9</v>
      </c>
      <c r="J40" s="205">
        <f t="shared" si="9"/>
        <v>10</v>
      </c>
      <c r="K40" s="205">
        <f t="shared" si="9"/>
        <v>11</v>
      </c>
      <c r="L40" s="205">
        <f t="shared" si="9"/>
        <v>12</v>
      </c>
      <c r="M40" s="205">
        <f t="shared" si="9"/>
        <v>13</v>
      </c>
      <c r="N40" s="205">
        <f t="shared" si="9"/>
        <v>14</v>
      </c>
      <c r="O40" s="205">
        <f t="shared" si="9"/>
        <v>15</v>
      </c>
      <c r="P40" s="205">
        <f t="shared" si="9"/>
        <v>16</v>
      </c>
      <c r="Q40" s="205">
        <f t="shared" si="9"/>
        <v>17</v>
      </c>
      <c r="R40" s="205">
        <f t="shared" si="9"/>
        <v>18</v>
      </c>
      <c r="S40" s="205">
        <f t="shared" si="9"/>
        <v>19</v>
      </c>
      <c r="T40" s="205">
        <f t="shared" si="9"/>
        <v>20</v>
      </c>
      <c r="U40" s="205">
        <f t="shared" si="9"/>
        <v>21</v>
      </c>
      <c r="V40" s="205">
        <f t="shared" si="9"/>
        <v>22</v>
      </c>
      <c r="W40" s="205">
        <f t="shared" si="9"/>
        <v>23</v>
      </c>
      <c r="X40" s="205">
        <f t="shared" si="9"/>
        <v>24</v>
      </c>
      <c r="Y40" s="205">
        <f t="shared" si="9"/>
        <v>25</v>
      </c>
      <c r="Z40" s="205">
        <f t="shared" si="9"/>
        <v>26</v>
      </c>
      <c r="AA40" s="205">
        <f t="shared" si="9"/>
        <v>27</v>
      </c>
      <c r="AB40" s="205">
        <f t="shared" si="9"/>
        <v>28</v>
      </c>
      <c r="AC40" s="205">
        <f t="shared" si="9"/>
        <v>29</v>
      </c>
      <c r="AD40" s="205">
        <f t="shared" si="9"/>
        <v>30</v>
      </c>
      <c r="AE40" s="205">
        <f t="shared" si="9"/>
        <v>31</v>
      </c>
      <c r="AF40" s="205">
        <f t="shared" si="9"/>
        <v>32</v>
      </c>
      <c r="AG40" s="205">
        <f t="shared" si="9"/>
        <v>33</v>
      </c>
      <c r="AH40" s="205">
        <f t="shared" si="9"/>
        <v>34</v>
      </c>
      <c r="AI40" s="205">
        <f t="shared" si="9"/>
        <v>35</v>
      </c>
      <c r="AJ40" s="205">
        <f t="shared" si="9"/>
        <v>36</v>
      </c>
      <c r="AK40" s="205">
        <f t="shared" si="9"/>
        <v>37</v>
      </c>
      <c r="AL40" s="205">
        <f t="shared" si="9"/>
        <v>38</v>
      </c>
      <c r="AM40" s="205">
        <f t="shared" si="9"/>
        <v>39</v>
      </c>
      <c r="AN40" s="205">
        <f t="shared" si="9"/>
        <v>40</v>
      </c>
      <c r="AO40" s="205">
        <f t="shared" si="9"/>
        <v>41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"/>
  <dimension ref="A1:HP515"/>
  <sheetViews>
    <sheetView zoomScale="90" workbookViewId="0">
      <pane xSplit="2" ySplit="5" topLeftCell="DR6" activePane="bottomRight" state="frozen"/>
      <selection activeCell="BF14" sqref="BF14:BF15"/>
      <selection pane="topRight" activeCell="BF14" sqref="BF14:BF15"/>
      <selection pane="bottomLeft" activeCell="BF14" sqref="BF14:BF15"/>
      <selection pane="bottomRight" activeCell="DW23" sqref="DW23"/>
    </sheetView>
  </sheetViews>
  <sheetFormatPr defaultColWidth="15.109375" defaultRowHeight="13.2" x14ac:dyDescent="0.25"/>
  <cols>
    <col min="1" max="1" width="15.109375" style="109" customWidth="1"/>
    <col min="2" max="2" width="15.109375" style="28" customWidth="1"/>
    <col min="3" max="3" width="17.44140625" style="17" customWidth="1"/>
    <col min="4" max="5" width="15.109375" style="31" customWidth="1"/>
    <col min="6" max="6" width="14.44140625" style="17" customWidth="1"/>
    <col min="7" max="8" width="15.109375" style="31" customWidth="1"/>
    <col min="9" max="9" width="14.44140625" style="17" customWidth="1"/>
    <col min="10" max="11" width="15.109375" style="31" customWidth="1"/>
    <col min="12" max="12" width="14.44140625" style="17" customWidth="1"/>
    <col min="13" max="14" width="15.109375" style="31" customWidth="1"/>
    <col min="15" max="15" width="14.44140625" style="17" customWidth="1"/>
    <col min="16" max="17" width="15.109375" style="31" customWidth="1"/>
    <col min="18" max="18" width="14.44140625" style="17" customWidth="1"/>
    <col min="19" max="20" width="15.109375" style="31" customWidth="1"/>
    <col min="21" max="21" width="14.44140625" style="17" customWidth="1"/>
    <col min="22" max="23" width="15.109375" style="31" customWidth="1"/>
    <col min="24" max="24" width="14.44140625" style="17" customWidth="1"/>
    <col min="25" max="26" width="15.109375" style="31" customWidth="1"/>
    <col min="27" max="27" width="14.44140625" style="17" customWidth="1"/>
    <col min="28" max="29" width="15.109375" style="31" customWidth="1"/>
    <col min="30" max="30" width="14.44140625" style="17" customWidth="1"/>
    <col min="31" max="32" width="15.109375" style="31" customWidth="1"/>
    <col min="33" max="33" width="14.44140625" style="17" customWidth="1"/>
    <col min="34" max="35" width="15.109375" style="31" customWidth="1"/>
    <col min="36" max="36" width="14.44140625" style="17" customWidth="1"/>
    <col min="37" max="38" width="15.109375" style="31" customWidth="1"/>
    <col min="39" max="39" width="14.44140625" style="17" customWidth="1"/>
    <col min="40" max="41" width="15.109375" style="31" customWidth="1"/>
    <col min="42" max="42" width="14.44140625" style="17" customWidth="1"/>
    <col min="43" max="44" width="15.109375" style="31" customWidth="1"/>
    <col min="45" max="45" width="14.44140625" style="17" customWidth="1"/>
    <col min="46" max="47" width="15.109375" style="31" customWidth="1"/>
    <col min="48" max="48" width="14.44140625" style="17" customWidth="1"/>
    <col min="49" max="50" width="15.109375" style="31" customWidth="1"/>
    <col min="51" max="51" width="14.44140625" style="17" customWidth="1"/>
    <col min="52" max="53" width="15.109375" style="31" customWidth="1"/>
    <col min="54" max="54" width="14.44140625" style="17" customWidth="1"/>
    <col min="55" max="56" width="15.109375" style="31" customWidth="1"/>
    <col min="57" max="57" width="14.44140625" style="17" customWidth="1"/>
    <col min="58" max="59" width="15.109375" style="31" customWidth="1"/>
    <col min="60" max="60" width="14.44140625" style="17" customWidth="1"/>
    <col min="61" max="62" width="15.109375" style="31" customWidth="1"/>
    <col min="63" max="63" width="14.44140625" style="17" customWidth="1"/>
    <col min="64" max="65" width="15.109375" style="31" customWidth="1"/>
    <col min="66" max="66" width="14.44140625" style="17" customWidth="1"/>
    <col min="67" max="68" width="15.109375" style="31" customWidth="1"/>
    <col min="69" max="69" width="14.44140625" style="17" customWidth="1"/>
    <col min="70" max="71" width="15.109375" style="31" customWidth="1"/>
    <col min="72" max="72" width="14.44140625" style="17" customWidth="1"/>
    <col min="73" max="74" width="15.109375" style="31" customWidth="1"/>
    <col min="75" max="75" width="14.44140625" style="17" customWidth="1"/>
    <col min="76" max="77" width="15.109375" style="31" customWidth="1"/>
    <col min="78" max="78" width="14.44140625" style="17" customWidth="1"/>
    <col min="79" max="80" width="15.109375" style="31" customWidth="1"/>
    <col min="81" max="81" width="14.44140625" style="17" customWidth="1"/>
    <col min="82" max="83" width="15.109375" style="31" customWidth="1"/>
    <col min="84" max="84" width="14.44140625" style="17" customWidth="1"/>
    <col min="85" max="86" width="15.109375" style="31" customWidth="1"/>
    <col min="87" max="87" width="14.44140625" style="17" customWidth="1"/>
    <col min="88" max="89" width="15.109375" style="31" customWidth="1"/>
    <col min="90" max="90" width="14.44140625" style="17" customWidth="1"/>
    <col min="91" max="92" width="15.109375" style="31" customWidth="1"/>
    <col min="93" max="93" width="14.44140625" style="17" customWidth="1"/>
    <col min="94" max="95" width="15.109375" style="31" customWidth="1"/>
    <col min="96" max="96" width="14.44140625" style="17" customWidth="1"/>
    <col min="97" max="98" width="15.109375" style="31" customWidth="1"/>
    <col min="99" max="99" width="14.44140625" style="17" customWidth="1"/>
    <col min="100" max="101" width="15.109375" style="31" customWidth="1"/>
    <col min="102" max="102" width="14.44140625" style="17" customWidth="1"/>
    <col min="103" max="104" width="15.109375" style="31" customWidth="1"/>
    <col min="105" max="105" width="14.44140625" style="17" customWidth="1"/>
    <col min="106" max="107" width="15.109375" style="31" customWidth="1"/>
    <col min="108" max="108" width="14.44140625" style="17" customWidth="1"/>
    <col min="109" max="110" width="15.109375" style="31" customWidth="1"/>
    <col min="111" max="111" width="14.44140625" style="17" customWidth="1"/>
    <col min="112" max="113" width="15.109375" style="31" customWidth="1"/>
    <col min="114" max="114" width="14.44140625" style="17" customWidth="1"/>
    <col min="115" max="116" width="15.109375" style="31" customWidth="1"/>
    <col min="117" max="117" width="14.44140625" style="17" customWidth="1"/>
    <col min="118" max="119" width="15.109375" style="31" customWidth="1"/>
    <col min="120" max="120" width="14.44140625" style="17" customWidth="1"/>
    <col min="121" max="122" width="15.109375" style="31" customWidth="1"/>
    <col min="123" max="123" width="15.109375" style="37" customWidth="1"/>
    <col min="124" max="126" width="15.109375" style="36" customWidth="1"/>
    <col min="127" max="128" width="15.109375" style="31" customWidth="1"/>
    <col min="129" max="129" width="15.109375" style="37" customWidth="1"/>
    <col min="130" max="141" width="15.109375" style="31" customWidth="1"/>
    <col min="142" max="149" width="15.109375" style="38" customWidth="1"/>
    <col min="150" max="171" width="15.109375" style="39" customWidth="1"/>
    <col min="172" max="178" width="15.109375" style="40" customWidth="1"/>
    <col min="179" max="16384" width="15.109375" style="17"/>
  </cols>
  <sheetData>
    <row r="1" spans="1:178" s="415" customFormat="1" ht="15.6" x14ac:dyDescent="0.3">
      <c r="A1" s="417" t="s">
        <v>19</v>
      </c>
      <c r="B1" s="373">
        <f>+BaseloadMarkets!B1</f>
        <v>36678</v>
      </c>
      <c r="C1" s="412" t="s">
        <v>225</v>
      </c>
      <c r="D1" s="416"/>
      <c r="E1" s="416"/>
      <c r="F1" s="412" t="s">
        <v>231</v>
      </c>
      <c r="G1" s="412"/>
      <c r="H1" s="416"/>
      <c r="I1" s="412" t="s">
        <v>230</v>
      </c>
      <c r="J1" s="416"/>
      <c r="K1" s="416"/>
      <c r="L1" s="412" t="s">
        <v>232</v>
      </c>
      <c r="M1" s="416"/>
      <c r="N1" s="416"/>
      <c r="O1" s="412">
        <v>4.26</v>
      </c>
      <c r="P1" s="416"/>
      <c r="Q1" s="416"/>
      <c r="R1" s="412">
        <v>4.3</v>
      </c>
      <c r="S1" s="416"/>
      <c r="T1" s="416"/>
      <c r="U1" s="412">
        <v>4.28</v>
      </c>
      <c r="V1" s="416"/>
      <c r="W1" s="416"/>
      <c r="X1" s="412">
        <v>4.25</v>
      </c>
      <c r="Y1" s="416"/>
      <c r="Z1" s="416"/>
      <c r="AA1" s="412">
        <v>4.28</v>
      </c>
      <c r="AB1" s="416"/>
      <c r="AC1" s="416"/>
      <c r="AD1" s="412">
        <v>4.2699999999999996</v>
      </c>
      <c r="AE1" s="416"/>
      <c r="AF1" s="416"/>
      <c r="AG1" s="412">
        <v>4.34</v>
      </c>
      <c r="AH1" s="416"/>
      <c r="AI1" s="416"/>
      <c r="AJ1" s="412" t="s">
        <v>237</v>
      </c>
      <c r="AK1" s="416"/>
      <c r="AL1" s="416"/>
      <c r="AM1" s="412" t="s">
        <v>232</v>
      </c>
      <c r="AN1" s="416"/>
      <c r="AO1" s="416"/>
      <c r="AP1" s="412" t="s">
        <v>231</v>
      </c>
      <c r="AQ1" s="416"/>
      <c r="AR1" s="416"/>
      <c r="AS1" s="412"/>
      <c r="AT1" s="416"/>
      <c r="AU1" s="416"/>
      <c r="AV1" s="412"/>
      <c r="AW1" s="416"/>
      <c r="AX1" s="416"/>
      <c r="AY1" s="413"/>
      <c r="AZ1" s="416"/>
      <c r="BA1" s="416"/>
      <c r="BB1" s="413"/>
      <c r="BC1" s="416"/>
      <c r="BD1" s="416"/>
      <c r="BE1" s="413"/>
      <c r="BF1" s="416"/>
      <c r="BG1" s="416"/>
      <c r="BH1" s="413"/>
      <c r="BI1" s="416"/>
      <c r="BJ1" s="416"/>
      <c r="BK1" s="413"/>
      <c r="BL1" s="416"/>
      <c r="BM1" s="416"/>
      <c r="BN1" s="413"/>
      <c r="BO1" s="416"/>
      <c r="BP1" s="416"/>
      <c r="BQ1" s="413"/>
      <c r="BR1" s="416"/>
      <c r="BS1" s="416"/>
      <c r="BT1" s="413"/>
      <c r="BU1" s="416"/>
      <c r="BV1" s="416"/>
      <c r="BW1" s="413"/>
      <c r="BX1" s="416"/>
      <c r="BY1" s="416"/>
      <c r="BZ1" s="413"/>
      <c r="CA1" s="416"/>
      <c r="CB1" s="416"/>
      <c r="CC1" s="413"/>
      <c r="CD1" s="416"/>
      <c r="CE1" s="416"/>
      <c r="CF1" s="413"/>
      <c r="CG1" s="416"/>
      <c r="CH1" s="416"/>
      <c r="CI1" s="413"/>
      <c r="CJ1" s="416"/>
      <c r="CK1" s="416"/>
      <c r="CL1" s="413"/>
      <c r="CM1" s="416"/>
      <c r="CN1" s="416"/>
      <c r="CO1" s="413"/>
      <c r="CP1" s="416"/>
      <c r="CQ1" s="416"/>
      <c r="CR1" s="413"/>
      <c r="CS1" s="416"/>
      <c r="CT1" s="416"/>
      <c r="CU1" s="413"/>
      <c r="CV1" s="416"/>
      <c r="CW1" s="416"/>
      <c r="CX1" s="413"/>
      <c r="CY1" s="416"/>
      <c r="CZ1" s="416"/>
      <c r="DA1" s="413"/>
      <c r="DB1" s="416"/>
      <c r="DC1" s="416"/>
      <c r="DD1" s="413"/>
      <c r="DE1" s="416"/>
      <c r="DF1" s="416"/>
      <c r="DG1" s="413"/>
      <c r="DH1" s="416"/>
      <c r="DI1" s="416"/>
      <c r="DJ1" s="413"/>
      <c r="DK1" s="416"/>
      <c r="DL1" s="416"/>
      <c r="DM1" s="413"/>
      <c r="DN1" s="416"/>
      <c r="DO1" s="416"/>
      <c r="DP1" s="413"/>
      <c r="DQ1" s="416"/>
      <c r="DR1" s="416"/>
      <c r="DS1" s="418"/>
      <c r="DT1" s="418"/>
      <c r="DU1" s="418"/>
      <c r="DV1" s="418"/>
      <c r="DW1" s="416"/>
      <c r="DX1" s="416"/>
      <c r="DY1" s="419"/>
      <c r="DZ1" s="416"/>
      <c r="EA1" s="416"/>
      <c r="EB1" s="416"/>
      <c r="EC1" s="416"/>
      <c r="ED1" s="416"/>
      <c r="EE1" s="416"/>
      <c r="EF1" s="416"/>
      <c r="EG1" s="416"/>
      <c r="EH1" s="416"/>
      <c r="EI1" s="416"/>
      <c r="EJ1" s="416"/>
      <c r="EK1" s="416"/>
    </row>
    <row r="2" spans="1:178" s="1" customFormat="1" ht="12.75" customHeight="1" x14ac:dyDescent="0.25">
      <c r="A2" s="5" t="s">
        <v>8</v>
      </c>
      <c r="B2" s="5"/>
      <c r="C2" s="2">
        <v>276555</v>
      </c>
      <c r="D2" s="35"/>
      <c r="E2" s="35"/>
      <c r="F2" s="2">
        <v>277144</v>
      </c>
      <c r="G2" s="2"/>
      <c r="H2" s="35"/>
      <c r="I2" s="2">
        <v>277290</v>
      </c>
      <c r="J2" s="35"/>
      <c r="K2" s="35"/>
      <c r="L2" s="2">
        <v>271497</v>
      </c>
      <c r="M2" s="35"/>
      <c r="N2" s="35"/>
      <c r="O2" s="2">
        <v>278863</v>
      </c>
      <c r="P2" s="35"/>
      <c r="Q2" s="35"/>
      <c r="R2" s="2">
        <v>280513</v>
      </c>
      <c r="S2" s="35"/>
      <c r="T2" s="35"/>
      <c r="U2" s="2">
        <v>279751</v>
      </c>
      <c r="V2" s="35"/>
      <c r="W2" s="35"/>
      <c r="X2" s="22" t="s">
        <v>235</v>
      </c>
      <c r="Y2" s="35"/>
      <c r="Z2" s="35"/>
      <c r="AA2" s="2">
        <v>280097</v>
      </c>
      <c r="AB2" s="35"/>
      <c r="AC2" s="35"/>
      <c r="AD2" s="22" t="s">
        <v>236</v>
      </c>
      <c r="AE2" s="35"/>
      <c r="AF2" s="35"/>
      <c r="AG2" s="2">
        <v>280473</v>
      </c>
      <c r="AH2" s="35"/>
      <c r="AI2" s="35"/>
      <c r="AJ2" s="22" t="s">
        <v>238</v>
      </c>
      <c r="AK2" s="35"/>
      <c r="AL2" s="35"/>
      <c r="AM2" s="2">
        <v>276523</v>
      </c>
      <c r="AN2" s="35"/>
      <c r="AO2" s="35"/>
      <c r="AP2" s="22" t="s">
        <v>239</v>
      </c>
      <c r="AQ2" s="35"/>
      <c r="AR2" s="35"/>
      <c r="AS2" s="2">
        <v>284030</v>
      </c>
      <c r="AT2" s="35"/>
      <c r="AU2" s="35"/>
      <c r="AV2" s="2" t="s">
        <v>264</v>
      </c>
      <c r="AW2" s="35"/>
      <c r="AX2" s="35"/>
      <c r="AY2" s="2"/>
      <c r="AZ2" s="35"/>
      <c r="BA2" s="35"/>
      <c r="BB2" s="2"/>
      <c r="BC2" s="35"/>
      <c r="BD2" s="35"/>
      <c r="BE2" s="2"/>
      <c r="BF2" s="35"/>
      <c r="BG2" s="35"/>
      <c r="BH2" s="2"/>
      <c r="BI2" s="35"/>
      <c r="BJ2" s="35"/>
      <c r="BK2" s="2"/>
      <c r="BL2" s="35"/>
      <c r="BM2" s="35"/>
      <c r="BN2" s="2"/>
      <c r="BO2" s="35"/>
      <c r="BP2" s="35"/>
      <c r="BQ2" s="2"/>
      <c r="BR2" s="35"/>
      <c r="BS2" s="35"/>
      <c r="BT2" s="2"/>
      <c r="BU2" s="35"/>
      <c r="BV2" s="35"/>
      <c r="BW2" s="2"/>
      <c r="BX2" s="35"/>
      <c r="BY2" s="35"/>
      <c r="BZ2" s="2"/>
      <c r="CA2" s="35"/>
      <c r="CB2" s="35"/>
      <c r="CC2" s="2"/>
      <c r="CD2" s="35"/>
      <c r="CE2" s="35"/>
      <c r="CF2" s="2"/>
      <c r="CG2" s="35"/>
      <c r="CH2" s="35"/>
      <c r="CI2" s="2"/>
      <c r="CJ2" s="35"/>
      <c r="CK2" s="35"/>
      <c r="CL2" s="2"/>
      <c r="CM2" s="35"/>
      <c r="CN2" s="35"/>
      <c r="CO2" s="2"/>
      <c r="CP2" s="35"/>
      <c r="CQ2" s="35"/>
      <c r="CR2" s="2"/>
      <c r="CS2" s="35"/>
      <c r="CT2" s="35"/>
      <c r="CU2" s="2"/>
      <c r="CV2" s="35"/>
      <c r="CW2" s="35"/>
      <c r="CX2" s="2"/>
      <c r="CY2" s="35"/>
      <c r="CZ2" s="35"/>
      <c r="DA2" s="2"/>
      <c r="DB2" s="35"/>
      <c r="DC2" s="35"/>
      <c r="DD2" s="2"/>
      <c r="DE2" s="35"/>
      <c r="DF2" s="35"/>
      <c r="DG2" s="2"/>
      <c r="DH2" s="35"/>
      <c r="DI2" s="35"/>
      <c r="DJ2" s="2"/>
      <c r="DK2" s="35"/>
      <c r="DL2" s="35"/>
      <c r="DM2" s="2"/>
      <c r="DN2" s="35"/>
      <c r="DO2" s="35"/>
      <c r="DP2" s="2"/>
      <c r="DQ2" s="35"/>
      <c r="DR2" s="35"/>
      <c r="DS2" s="49"/>
      <c r="DV2" s="50"/>
      <c r="DW2" s="35"/>
      <c r="DX2" s="35" t="s">
        <v>10</v>
      </c>
      <c r="DY2" s="35" t="s">
        <v>10</v>
      </c>
      <c r="DZ2" s="35" t="s">
        <v>31</v>
      </c>
      <c r="EA2" s="35" t="s">
        <v>32</v>
      </c>
      <c r="EB2" s="35"/>
      <c r="EC2" s="35" t="s">
        <v>31</v>
      </c>
      <c r="ED2" s="35" t="s">
        <v>32</v>
      </c>
      <c r="EE2" s="35"/>
      <c r="EF2" s="35"/>
      <c r="EG2" s="35"/>
      <c r="EH2" s="35"/>
      <c r="EI2" s="35"/>
      <c r="EJ2" s="35"/>
      <c r="EK2" s="35"/>
      <c r="EL2" s="52"/>
      <c r="EM2" s="52"/>
      <c r="EN2" s="52"/>
      <c r="EO2" s="52"/>
      <c r="EP2" s="52"/>
      <c r="EQ2" s="52"/>
      <c r="ER2" s="52"/>
      <c r="ES2" s="52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4"/>
      <c r="FQ2" s="54"/>
      <c r="FR2" s="54"/>
      <c r="FS2" s="54"/>
      <c r="FT2" s="54"/>
      <c r="FU2" s="54"/>
      <c r="FV2" s="54"/>
    </row>
    <row r="3" spans="1:178" s="426" customFormat="1" ht="12.75" customHeight="1" x14ac:dyDescent="0.25">
      <c r="A3" s="425"/>
      <c r="B3" s="425"/>
      <c r="C3" s="433" t="s">
        <v>228</v>
      </c>
      <c r="D3" s="45"/>
      <c r="E3" s="45"/>
      <c r="F3" s="433" t="s">
        <v>228</v>
      </c>
      <c r="G3" s="45"/>
      <c r="H3" s="45"/>
      <c r="I3" s="433" t="s">
        <v>228</v>
      </c>
      <c r="J3" s="45"/>
      <c r="K3" s="45"/>
      <c r="L3" s="433" t="s">
        <v>228</v>
      </c>
      <c r="M3" s="45"/>
      <c r="N3" s="45"/>
      <c r="O3" s="433" t="s">
        <v>228</v>
      </c>
      <c r="P3" s="45"/>
      <c r="Q3" s="45"/>
      <c r="R3" s="433" t="s">
        <v>228</v>
      </c>
      <c r="S3" s="45"/>
      <c r="T3" s="45"/>
      <c r="U3" s="433" t="s">
        <v>228</v>
      </c>
      <c r="V3" s="45"/>
      <c r="W3" s="45"/>
      <c r="X3" s="433" t="s">
        <v>228</v>
      </c>
      <c r="Y3" s="45"/>
      <c r="Z3" s="45"/>
      <c r="AA3" s="433" t="s">
        <v>228</v>
      </c>
      <c r="AB3" s="45"/>
      <c r="AC3" s="45"/>
      <c r="AD3" s="433" t="s">
        <v>228</v>
      </c>
      <c r="AE3" s="45"/>
      <c r="AF3" s="45"/>
      <c r="AG3" s="433" t="s">
        <v>228</v>
      </c>
      <c r="AH3" s="45"/>
      <c r="AI3" s="45"/>
      <c r="AJ3" s="433" t="s">
        <v>228</v>
      </c>
      <c r="AK3" s="45"/>
      <c r="AL3" s="45"/>
      <c r="AM3" s="433" t="s">
        <v>228</v>
      </c>
      <c r="AN3" s="45"/>
      <c r="AO3" s="45"/>
      <c r="AP3" s="433" t="s">
        <v>228</v>
      </c>
      <c r="AQ3" s="45"/>
      <c r="AR3" s="45"/>
      <c r="AS3" s="433" t="s">
        <v>216</v>
      </c>
      <c r="AT3" s="45"/>
      <c r="AU3" s="45"/>
      <c r="AV3" s="433" t="s">
        <v>216</v>
      </c>
      <c r="AW3" s="45"/>
      <c r="AX3" s="45"/>
      <c r="AY3" s="433"/>
      <c r="AZ3" s="45"/>
      <c r="BA3" s="45"/>
      <c r="BB3" s="433"/>
      <c r="BC3" s="45"/>
      <c r="BD3" s="45"/>
      <c r="BE3" s="433"/>
      <c r="BF3" s="45"/>
      <c r="BG3" s="45"/>
      <c r="BH3" s="433"/>
      <c r="BI3" s="45"/>
      <c r="BJ3" s="45"/>
      <c r="BK3" s="433"/>
      <c r="BL3" s="45"/>
      <c r="BM3" s="45"/>
      <c r="BN3" s="433"/>
      <c r="BO3" s="45"/>
      <c r="BP3" s="45"/>
      <c r="BQ3" s="433"/>
      <c r="BR3" s="45"/>
      <c r="BS3" s="45"/>
      <c r="BT3" s="433"/>
      <c r="BU3" s="45"/>
      <c r="BV3" s="45"/>
      <c r="BW3" s="433"/>
      <c r="BX3" s="45"/>
      <c r="BY3" s="45"/>
      <c r="BZ3" s="433"/>
      <c r="CA3" s="45"/>
      <c r="CB3" s="45"/>
      <c r="CC3" s="433"/>
      <c r="CD3" s="45"/>
      <c r="CE3" s="45"/>
      <c r="CF3" s="433"/>
      <c r="CG3" s="45"/>
      <c r="CH3" s="45"/>
      <c r="CI3" s="433"/>
      <c r="CJ3" s="45"/>
      <c r="CK3" s="45"/>
      <c r="CL3" s="433"/>
      <c r="CM3" s="45"/>
      <c r="CN3" s="45"/>
      <c r="CO3" s="433"/>
      <c r="CP3" s="45"/>
      <c r="CQ3" s="45"/>
      <c r="CR3" s="433"/>
      <c r="CS3" s="45"/>
      <c r="CT3" s="45"/>
      <c r="CU3" s="433"/>
      <c r="CV3" s="45"/>
      <c r="CW3" s="45"/>
      <c r="CX3" s="433"/>
      <c r="CY3" s="45"/>
      <c r="CZ3" s="45"/>
      <c r="DA3" s="433"/>
      <c r="DB3" s="45"/>
      <c r="DC3" s="45"/>
      <c r="DD3" s="433"/>
      <c r="DE3" s="45"/>
      <c r="DF3" s="45"/>
      <c r="DG3" s="433"/>
      <c r="DH3" s="45"/>
      <c r="DI3" s="45"/>
      <c r="DJ3" s="433"/>
      <c r="DK3" s="45"/>
      <c r="DL3" s="45"/>
      <c r="DM3" s="433"/>
      <c r="DN3" s="45"/>
      <c r="DO3" s="45"/>
      <c r="DP3" s="433"/>
      <c r="DQ3" s="45"/>
      <c r="DR3" s="45"/>
      <c r="DS3" s="425"/>
      <c r="DV3" s="429"/>
      <c r="DW3" s="45"/>
      <c r="DX3" s="45" t="s">
        <v>228</v>
      </c>
      <c r="DY3" s="45" t="s">
        <v>228</v>
      </c>
      <c r="DZ3" s="45" t="s">
        <v>228</v>
      </c>
      <c r="EA3" s="45" t="s">
        <v>228</v>
      </c>
      <c r="EB3" s="45"/>
      <c r="EC3" s="45" t="s">
        <v>216</v>
      </c>
      <c r="ED3" s="45" t="s">
        <v>216</v>
      </c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34"/>
      <c r="EU3" s="434"/>
      <c r="EV3" s="434"/>
      <c r="EW3" s="434"/>
      <c r="EX3" s="434"/>
      <c r="EY3" s="434"/>
      <c r="EZ3" s="434"/>
      <c r="FA3" s="434"/>
      <c r="FB3" s="434"/>
      <c r="FC3" s="434"/>
      <c r="FD3" s="434"/>
      <c r="FE3" s="434"/>
      <c r="FF3" s="434"/>
      <c r="FG3" s="434"/>
      <c r="FH3" s="434"/>
      <c r="FI3" s="434"/>
      <c r="FJ3" s="434"/>
      <c r="FK3" s="434"/>
      <c r="FL3" s="434"/>
      <c r="FM3" s="434"/>
      <c r="FN3" s="434"/>
      <c r="FO3" s="434"/>
      <c r="FP3" s="435"/>
      <c r="FQ3" s="435"/>
      <c r="FR3" s="435"/>
      <c r="FS3" s="435"/>
      <c r="FT3" s="435"/>
      <c r="FU3" s="435"/>
      <c r="FV3" s="435"/>
    </row>
    <row r="4" spans="1:178" s="1" customFormat="1" ht="12.75" customHeight="1" x14ac:dyDescent="0.25">
      <c r="A4" s="5" t="s">
        <v>28</v>
      </c>
      <c r="B4" s="5" t="s">
        <v>29</v>
      </c>
      <c r="C4" s="7" t="s">
        <v>226</v>
      </c>
      <c r="D4" s="35"/>
      <c r="E4" s="35" t="s">
        <v>31</v>
      </c>
      <c r="F4" s="7" t="s">
        <v>229</v>
      </c>
      <c r="G4" s="35"/>
      <c r="H4" s="35" t="s">
        <v>31</v>
      </c>
      <c r="I4" s="7" t="s">
        <v>229</v>
      </c>
      <c r="J4" s="35"/>
      <c r="K4" s="35" t="s">
        <v>31</v>
      </c>
      <c r="L4" s="7" t="s">
        <v>220</v>
      </c>
      <c r="M4" s="35"/>
      <c r="N4" s="35" t="s">
        <v>31</v>
      </c>
      <c r="O4" s="7" t="s">
        <v>219</v>
      </c>
      <c r="P4" s="35"/>
      <c r="Q4" s="35" t="s">
        <v>31</v>
      </c>
      <c r="R4" s="7" t="s">
        <v>219</v>
      </c>
      <c r="S4" s="35"/>
      <c r="T4" s="35" t="s">
        <v>31</v>
      </c>
      <c r="U4" s="7" t="s">
        <v>213</v>
      </c>
      <c r="V4" s="35"/>
      <c r="W4" s="35" t="s">
        <v>31</v>
      </c>
      <c r="X4" s="7" t="s">
        <v>213</v>
      </c>
      <c r="Y4" s="35"/>
      <c r="Z4" s="35" t="s">
        <v>31</v>
      </c>
      <c r="AA4" s="7" t="s">
        <v>213</v>
      </c>
      <c r="AB4" s="35"/>
      <c r="AC4" s="35" t="s">
        <v>31</v>
      </c>
      <c r="AD4" s="7" t="s">
        <v>213</v>
      </c>
      <c r="AE4" s="35"/>
      <c r="AF4" s="35" t="s">
        <v>31</v>
      </c>
      <c r="AG4" s="7" t="s">
        <v>213</v>
      </c>
      <c r="AH4" s="35"/>
      <c r="AI4" s="35" t="s">
        <v>31</v>
      </c>
      <c r="AJ4" s="7" t="s">
        <v>195</v>
      </c>
      <c r="AK4" s="35"/>
      <c r="AL4" s="35" t="s">
        <v>31</v>
      </c>
      <c r="AM4" s="7" t="s">
        <v>179</v>
      </c>
      <c r="AN4" s="35"/>
      <c r="AO4" s="35" t="s">
        <v>31</v>
      </c>
      <c r="AP4" s="7" t="s">
        <v>179</v>
      </c>
      <c r="AQ4" s="35"/>
      <c r="AR4" s="35" t="s">
        <v>31</v>
      </c>
      <c r="AS4" s="7" t="s">
        <v>271</v>
      </c>
      <c r="AT4" s="35"/>
      <c r="AU4" s="35" t="s">
        <v>31</v>
      </c>
      <c r="AV4" s="7"/>
      <c r="AW4" s="35"/>
      <c r="AX4" s="35" t="s">
        <v>31</v>
      </c>
      <c r="AY4" s="7"/>
      <c r="AZ4" s="35"/>
      <c r="BA4" s="35" t="s">
        <v>31</v>
      </c>
      <c r="BB4" s="7"/>
      <c r="BC4" s="35"/>
      <c r="BD4" s="35" t="s">
        <v>31</v>
      </c>
      <c r="BE4" s="7"/>
      <c r="BF4" s="35"/>
      <c r="BG4" s="35" t="s">
        <v>31</v>
      </c>
      <c r="BH4" s="7"/>
      <c r="BI4" s="35"/>
      <c r="BJ4" s="35" t="s">
        <v>31</v>
      </c>
      <c r="BK4" s="7"/>
      <c r="BL4" s="35"/>
      <c r="BM4" s="35" t="s">
        <v>31</v>
      </c>
      <c r="BN4" s="7"/>
      <c r="BO4" s="35"/>
      <c r="BP4" s="35" t="s">
        <v>31</v>
      </c>
      <c r="BQ4" s="7"/>
      <c r="BR4" s="35"/>
      <c r="BS4" s="35" t="s">
        <v>31</v>
      </c>
      <c r="BT4" s="7"/>
      <c r="BU4" s="35"/>
      <c r="BV4" s="35" t="s">
        <v>31</v>
      </c>
      <c r="BW4" s="7"/>
      <c r="BX4" s="35"/>
      <c r="BY4" s="35" t="s">
        <v>31</v>
      </c>
      <c r="BZ4" s="7"/>
      <c r="CA4" s="35"/>
      <c r="CB4" s="35" t="s">
        <v>31</v>
      </c>
      <c r="CC4" s="7"/>
      <c r="CD4" s="35"/>
      <c r="CE4" s="35" t="s">
        <v>31</v>
      </c>
      <c r="CF4" s="7"/>
      <c r="CG4" s="35"/>
      <c r="CH4" s="35" t="s">
        <v>31</v>
      </c>
      <c r="CI4" s="7"/>
      <c r="CJ4" s="35"/>
      <c r="CK4" s="35" t="s">
        <v>31</v>
      </c>
      <c r="CL4" s="7"/>
      <c r="CM4" s="35"/>
      <c r="CN4" s="35" t="s">
        <v>31</v>
      </c>
      <c r="CO4" s="7"/>
      <c r="CP4" s="35"/>
      <c r="CQ4" s="35" t="s">
        <v>31</v>
      </c>
      <c r="CR4" s="7"/>
      <c r="CS4" s="35"/>
      <c r="CT4" s="35" t="s">
        <v>31</v>
      </c>
      <c r="CU4" s="7"/>
      <c r="CV4" s="35"/>
      <c r="CW4" s="35" t="s">
        <v>31</v>
      </c>
      <c r="CX4" s="7"/>
      <c r="CY4" s="35"/>
      <c r="CZ4" s="35" t="s">
        <v>31</v>
      </c>
      <c r="DA4" s="7"/>
      <c r="DB4" s="35"/>
      <c r="DC4" s="35" t="s">
        <v>31</v>
      </c>
      <c r="DD4" s="7"/>
      <c r="DE4" s="35"/>
      <c r="DF4" s="35" t="s">
        <v>31</v>
      </c>
      <c r="DG4" s="7"/>
      <c r="DH4" s="35"/>
      <c r="DI4" s="35" t="s">
        <v>31</v>
      </c>
      <c r="DJ4" s="7"/>
      <c r="DK4" s="35"/>
      <c r="DL4" s="35" t="s">
        <v>31</v>
      </c>
      <c r="DM4" s="7"/>
      <c r="DN4" s="35"/>
      <c r="DO4" s="35" t="s">
        <v>31</v>
      </c>
      <c r="DP4" s="7"/>
      <c r="DQ4" s="35"/>
      <c r="DR4" s="35" t="s">
        <v>31</v>
      </c>
      <c r="DS4" s="5" t="s">
        <v>10</v>
      </c>
      <c r="DT4" s="2" t="s">
        <v>10</v>
      </c>
      <c r="DV4" s="50" t="s">
        <v>173</v>
      </c>
      <c r="DW4" s="35"/>
      <c r="DX4" s="35" t="s">
        <v>0</v>
      </c>
      <c r="DY4" s="35" t="s">
        <v>0</v>
      </c>
      <c r="DZ4" s="35" t="s">
        <v>264</v>
      </c>
      <c r="EA4" s="35" t="s">
        <v>264</v>
      </c>
      <c r="EB4" s="35"/>
      <c r="EC4" s="35" t="s">
        <v>264</v>
      </c>
      <c r="ED4" s="35" t="s">
        <v>264</v>
      </c>
      <c r="EE4" s="35"/>
      <c r="EF4" s="35"/>
      <c r="EG4" s="35"/>
      <c r="EH4" s="35"/>
      <c r="EI4" s="35"/>
      <c r="EJ4" s="35"/>
      <c r="EK4" s="35"/>
      <c r="EL4" s="52"/>
      <c r="EM4" s="52"/>
      <c r="EN4" s="52"/>
      <c r="EO4" s="52"/>
      <c r="EP4" s="52"/>
      <c r="EQ4" s="52"/>
      <c r="ER4" s="52"/>
      <c r="ES4" s="52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4"/>
      <c r="FQ4" s="54"/>
      <c r="FR4" s="54"/>
      <c r="FS4" s="54"/>
      <c r="FT4" s="54"/>
      <c r="FU4" s="54"/>
      <c r="FV4" s="54"/>
    </row>
    <row r="5" spans="1:178" s="65" customFormat="1" ht="12.75" customHeight="1" x14ac:dyDescent="0.25">
      <c r="A5" s="5" t="s">
        <v>11</v>
      </c>
      <c r="B5" s="5" t="s">
        <v>37</v>
      </c>
      <c r="C5" s="10" t="s">
        <v>227</v>
      </c>
      <c r="D5" s="57"/>
      <c r="E5" s="57" t="s">
        <v>41</v>
      </c>
      <c r="F5" s="10" t="s">
        <v>227</v>
      </c>
      <c r="G5" s="57"/>
      <c r="H5" s="57" t="s">
        <v>41</v>
      </c>
      <c r="I5" s="10" t="s">
        <v>227</v>
      </c>
      <c r="J5" s="57"/>
      <c r="K5" s="57" t="s">
        <v>41</v>
      </c>
      <c r="L5" s="10" t="s">
        <v>227</v>
      </c>
      <c r="M5" s="57"/>
      <c r="N5" s="57" t="s">
        <v>41</v>
      </c>
      <c r="O5" s="10" t="s">
        <v>227</v>
      </c>
      <c r="P5" s="57"/>
      <c r="Q5" s="57" t="s">
        <v>41</v>
      </c>
      <c r="R5" s="10" t="s">
        <v>227</v>
      </c>
      <c r="S5" s="57"/>
      <c r="T5" s="57" t="s">
        <v>41</v>
      </c>
      <c r="U5" s="10" t="s">
        <v>227</v>
      </c>
      <c r="V5" s="57"/>
      <c r="W5" s="57" t="s">
        <v>41</v>
      </c>
      <c r="X5" s="10" t="s">
        <v>227</v>
      </c>
      <c r="Y5" s="57"/>
      <c r="Z5" s="57" t="s">
        <v>41</v>
      </c>
      <c r="AA5" s="10" t="s">
        <v>227</v>
      </c>
      <c r="AB5" s="57"/>
      <c r="AC5" s="57" t="s">
        <v>41</v>
      </c>
      <c r="AD5" s="10" t="s">
        <v>227</v>
      </c>
      <c r="AE5" s="57"/>
      <c r="AF5" s="57" t="s">
        <v>41</v>
      </c>
      <c r="AG5" s="10" t="s">
        <v>227</v>
      </c>
      <c r="AH5" s="57"/>
      <c r="AI5" s="57" t="s">
        <v>41</v>
      </c>
      <c r="AJ5" s="10" t="s">
        <v>227</v>
      </c>
      <c r="AK5" s="57"/>
      <c r="AL5" s="57" t="s">
        <v>41</v>
      </c>
      <c r="AM5" s="10" t="s">
        <v>227</v>
      </c>
      <c r="AN5" s="57"/>
      <c r="AO5" s="57" t="s">
        <v>41</v>
      </c>
      <c r="AP5" s="10" t="s">
        <v>227</v>
      </c>
      <c r="AQ5" s="57"/>
      <c r="AR5" s="57" t="s">
        <v>41</v>
      </c>
      <c r="AS5" s="10" t="s">
        <v>15</v>
      </c>
      <c r="AT5" s="57"/>
      <c r="AU5" s="57" t="s">
        <v>41</v>
      </c>
      <c r="AV5" s="10"/>
      <c r="AW5" s="57"/>
      <c r="AX5" s="57" t="s">
        <v>41</v>
      </c>
      <c r="AY5" s="10"/>
      <c r="AZ5" s="57"/>
      <c r="BA5" s="57" t="s">
        <v>41</v>
      </c>
      <c r="BB5" s="10"/>
      <c r="BC5" s="57"/>
      <c r="BD5" s="57" t="s">
        <v>41</v>
      </c>
      <c r="BE5" s="10"/>
      <c r="BF5" s="57"/>
      <c r="BG5" s="57" t="s">
        <v>41</v>
      </c>
      <c r="BH5" s="10"/>
      <c r="BI5" s="57"/>
      <c r="BJ5" s="57" t="s">
        <v>41</v>
      </c>
      <c r="BK5" s="10"/>
      <c r="BL5" s="57"/>
      <c r="BM5" s="57" t="s">
        <v>41</v>
      </c>
      <c r="BN5" s="10"/>
      <c r="BO5" s="57"/>
      <c r="BP5" s="57" t="s">
        <v>41</v>
      </c>
      <c r="BQ5" s="10"/>
      <c r="BR5" s="57"/>
      <c r="BS5" s="57" t="s">
        <v>41</v>
      </c>
      <c r="BT5" s="10"/>
      <c r="BU5" s="57"/>
      <c r="BV5" s="57" t="s">
        <v>41</v>
      </c>
      <c r="BW5" s="10"/>
      <c r="BX5" s="57"/>
      <c r="BY5" s="57" t="s">
        <v>41</v>
      </c>
      <c r="BZ5" s="10"/>
      <c r="CA5" s="57"/>
      <c r="CB5" s="57" t="s">
        <v>41</v>
      </c>
      <c r="CC5" s="10"/>
      <c r="CD5" s="57"/>
      <c r="CE5" s="57" t="s">
        <v>41</v>
      </c>
      <c r="CF5" s="10"/>
      <c r="CG5" s="57"/>
      <c r="CH5" s="57" t="s">
        <v>41</v>
      </c>
      <c r="CI5" s="10"/>
      <c r="CJ5" s="57"/>
      <c r="CK5" s="57" t="s">
        <v>41</v>
      </c>
      <c r="CL5" s="10"/>
      <c r="CM5" s="57"/>
      <c r="CN5" s="57" t="s">
        <v>41</v>
      </c>
      <c r="CO5" s="10"/>
      <c r="CP5" s="57"/>
      <c r="CQ5" s="57" t="s">
        <v>41</v>
      </c>
      <c r="CR5" s="10"/>
      <c r="CS5" s="57"/>
      <c r="CT5" s="57" t="s">
        <v>41</v>
      </c>
      <c r="CU5" s="10"/>
      <c r="CV5" s="57"/>
      <c r="CW5" s="57" t="s">
        <v>41</v>
      </c>
      <c r="CX5" s="10"/>
      <c r="CY5" s="57"/>
      <c r="CZ5" s="57" t="s">
        <v>41</v>
      </c>
      <c r="DA5" s="10"/>
      <c r="DB5" s="57"/>
      <c r="DC5" s="57" t="s">
        <v>41</v>
      </c>
      <c r="DD5" s="10"/>
      <c r="DE5" s="57"/>
      <c r="DF5" s="57" t="s">
        <v>41</v>
      </c>
      <c r="DG5" s="10"/>
      <c r="DH5" s="57"/>
      <c r="DI5" s="57" t="s">
        <v>41</v>
      </c>
      <c r="DJ5" s="10"/>
      <c r="DK5" s="57"/>
      <c r="DL5" s="57" t="s">
        <v>41</v>
      </c>
      <c r="DM5" s="10"/>
      <c r="DN5" s="57"/>
      <c r="DO5" s="57" t="s">
        <v>41</v>
      </c>
      <c r="DP5" s="10"/>
      <c r="DQ5" s="57"/>
      <c r="DR5" s="57" t="s">
        <v>41</v>
      </c>
      <c r="DS5" s="50" t="s">
        <v>0</v>
      </c>
      <c r="DT5" s="50" t="s">
        <v>45</v>
      </c>
      <c r="DU5" s="50" t="s">
        <v>41</v>
      </c>
      <c r="DV5" s="57" t="s">
        <v>41</v>
      </c>
      <c r="DW5" s="57"/>
      <c r="DX5" s="57" t="s">
        <v>168</v>
      </c>
      <c r="DY5" s="57" t="s">
        <v>167</v>
      </c>
      <c r="DZ5" s="57" t="s">
        <v>164</v>
      </c>
      <c r="EA5" s="57" t="s">
        <v>164</v>
      </c>
      <c r="EB5" s="57"/>
      <c r="EC5" s="57" t="s">
        <v>164</v>
      </c>
      <c r="ED5" s="57" t="s">
        <v>164</v>
      </c>
      <c r="EE5" s="57"/>
      <c r="EF5" s="57"/>
      <c r="EG5" s="57"/>
      <c r="EH5" s="57"/>
      <c r="EI5" s="57"/>
      <c r="EJ5" s="57"/>
      <c r="EK5" s="57"/>
      <c r="EL5" s="62"/>
      <c r="EM5" s="62"/>
      <c r="EN5" s="62"/>
      <c r="EO5" s="62"/>
      <c r="EP5" s="62"/>
      <c r="EQ5" s="62"/>
      <c r="ER5" s="62"/>
      <c r="ES5" s="62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4"/>
      <c r="FQ5" s="64"/>
      <c r="FR5" s="64"/>
      <c r="FS5" s="64"/>
      <c r="FT5" s="64"/>
      <c r="FU5" s="64"/>
      <c r="FV5" s="64"/>
    </row>
    <row r="6" spans="1:178" s="79" customFormat="1" x14ac:dyDescent="0.25">
      <c r="A6" s="67">
        <f>+BaseloadMarkets!A6</f>
        <v>36678</v>
      </c>
      <c r="B6" s="67" t="str">
        <f>+BaseloadMarkets!B6</f>
        <v>Thu</v>
      </c>
      <c r="C6" s="12">
        <v>5000</v>
      </c>
      <c r="D6" s="68">
        <v>5000</v>
      </c>
      <c r="E6" s="71">
        <f t="shared" ref="E6:E35" si="0">D6-C6</f>
        <v>0</v>
      </c>
      <c r="F6" s="12">
        <v>5000</v>
      </c>
      <c r="G6" s="68">
        <v>3147</v>
      </c>
      <c r="H6" s="71">
        <f t="shared" ref="H6:H35" si="1">G6-F6</f>
        <v>-1853</v>
      </c>
      <c r="I6" s="12">
        <v>5000</v>
      </c>
      <c r="J6" s="68">
        <v>3148</v>
      </c>
      <c r="K6" s="71">
        <f t="shared" ref="K6:K35" si="2">J6-I6</f>
        <v>-1852</v>
      </c>
      <c r="L6" s="12">
        <v>10000</v>
      </c>
      <c r="M6" s="68">
        <v>10000</v>
      </c>
      <c r="N6" s="71">
        <f t="shared" ref="N6:N35" si="3">M6-L6</f>
        <v>0</v>
      </c>
      <c r="O6" s="12">
        <v>5000</v>
      </c>
      <c r="P6" s="68">
        <v>5000</v>
      </c>
      <c r="Q6" s="71">
        <f t="shared" ref="Q6:Q35" si="4">P6-O6</f>
        <v>0</v>
      </c>
      <c r="R6" s="12">
        <v>5000</v>
      </c>
      <c r="S6" s="68">
        <v>5000</v>
      </c>
      <c r="T6" s="71">
        <f t="shared" ref="T6:T35" si="5">S6-R6</f>
        <v>0</v>
      </c>
      <c r="U6" s="12">
        <v>10000</v>
      </c>
      <c r="V6" s="68">
        <v>6312</v>
      </c>
      <c r="W6" s="71">
        <f t="shared" ref="W6:W35" si="6">V6-U6</f>
        <v>-3688</v>
      </c>
      <c r="X6" s="12">
        <f>5000+5000+5000+5000</f>
        <v>20000</v>
      </c>
      <c r="Y6" s="12">
        <f>5000+5000+5000+5000</f>
        <v>20000</v>
      </c>
      <c r="Z6" s="71">
        <f t="shared" ref="Z6:Z35" si="7">Y6-X6</f>
        <v>0</v>
      </c>
      <c r="AA6" s="12">
        <v>5000</v>
      </c>
      <c r="AB6" s="68">
        <v>3157</v>
      </c>
      <c r="AC6" s="71">
        <f t="shared" ref="AC6:AC35" si="8">AB6-AA6</f>
        <v>-1843</v>
      </c>
      <c r="AD6" s="12">
        <f>5000+5000+5000</f>
        <v>15000</v>
      </c>
      <c r="AE6" s="12">
        <f>3157+3157+3157</f>
        <v>9471</v>
      </c>
      <c r="AF6" s="71">
        <f t="shared" ref="AF6:AF35" si="9">AE6-AD6</f>
        <v>-5529</v>
      </c>
      <c r="AG6" s="12">
        <v>5000</v>
      </c>
      <c r="AH6" s="68">
        <v>5000</v>
      </c>
      <c r="AI6" s="71">
        <f t="shared" ref="AI6:AI35" si="10">AH6-AG6</f>
        <v>0</v>
      </c>
      <c r="AJ6" s="12">
        <f>5000+5000</f>
        <v>10000</v>
      </c>
      <c r="AK6" s="12">
        <f>5000+5000</f>
        <v>10000</v>
      </c>
      <c r="AL6" s="71">
        <f t="shared" ref="AL6:AL35" si="11">AK6-AJ6</f>
        <v>0</v>
      </c>
      <c r="AM6" s="12">
        <v>10000</v>
      </c>
      <c r="AN6" s="68">
        <v>10000</v>
      </c>
      <c r="AO6" s="71">
        <f t="shared" ref="AO6:AO35" si="12">AN6-AM6</f>
        <v>0</v>
      </c>
      <c r="AP6" s="12">
        <f>10000+5000</f>
        <v>15000</v>
      </c>
      <c r="AQ6" s="12">
        <f>10000+5000</f>
        <v>15000</v>
      </c>
      <c r="AR6" s="71">
        <f t="shared" ref="AR6:AR35" si="13">AQ6-AP6</f>
        <v>0</v>
      </c>
      <c r="AS6" s="12">
        <v>10000</v>
      </c>
      <c r="AT6" s="68">
        <v>10000</v>
      </c>
      <c r="AU6" s="71">
        <f t="shared" ref="AU6:AU35" si="14">AT6-AS6</f>
        <v>0</v>
      </c>
      <c r="AV6" s="12">
        <f>410000-125000</f>
        <v>285000</v>
      </c>
      <c r="AW6" s="68">
        <v>271672</v>
      </c>
      <c r="AX6" s="71">
        <f t="shared" ref="AX6:AX35" si="15">AW6-AV6</f>
        <v>-13328</v>
      </c>
      <c r="AY6" s="12"/>
      <c r="AZ6" s="68"/>
      <c r="BA6" s="71">
        <f t="shared" ref="BA6:BA35" si="16">AZ6-AY6</f>
        <v>0</v>
      </c>
      <c r="BB6" s="12"/>
      <c r="BC6" s="68"/>
      <c r="BD6" s="71">
        <f t="shared" ref="BD6:BD35" si="17">BC6-BB6</f>
        <v>0</v>
      </c>
      <c r="BE6" s="12"/>
      <c r="BF6" s="68"/>
      <c r="BG6" s="71">
        <f t="shared" ref="BG6:BG35" si="18">BF6-BE6</f>
        <v>0</v>
      </c>
      <c r="BH6" s="12"/>
      <c r="BI6" s="68"/>
      <c r="BJ6" s="71">
        <f t="shared" ref="BJ6:BJ35" si="19">BI6-BH6</f>
        <v>0</v>
      </c>
      <c r="BK6" s="12"/>
      <c r="BL6" s="68"/>
      <c r="BM6" s="71">
        <f t="shared" ref="BM6:BM35" si="20">BL6-BK6</f>
        <v>0</v>
      </c>
      <c r="BN6" s="12"/>
      <c r="BO6" s="68"/>
      <c r="BP6" s="71">
        <f t="shared" ref="BP6:BP35" si="21">BO6-BN6</f>
        <v>0</v>
      </c>
      <c r="BQ6" s="12"/>
      <c r="BR6" s="68"/>
      <c r="BS6" s="71">
        <f t="shared" ref="BS6:BS35" si="22">BR6-BQ6</f>
        <v>0</v>
      </c>
      <c r="BT6" s="12"/>
      <c r="BU6" s="68"/>
      <c r="BV6" s="71">
        <f t="shared" ref="BV6:BV35" si="23">BU6-BT6</f>
        <v>0</v>
      </c>
      <c r="BW6" s="12"/>
      <c r="BX6" s="68"/>
      <c r="BY6" s="71">
        <f t="shared" ref="BY6:BY35" si="24">BX6-BW6</f>
        <v>0</v>
      </c>
      <c r="BZ6" s="12"/>
      <c r="CA6" s="68"/>
      <c r="CB6" s="71">
        <f t="shared" ref="CB6:CB35" si="25">CA6-BZ6</f>
        <v>0</v>
      </c>
      <c r="CC6" s="12"/>
      <c r="CD6" s="68"/>
      <c r="CE6" s="71">
        <f t="shared" ref="CE6:CE35" si="26">CD6-CC6</f>
        <v>0</v>
      </c>
      <c r="CF6" s="12"/>
      <c r="CG6" s="68"/>
      <c r="CH6" s="71">
        <f t="shared" ref="CH6:CH35" si="27">CG6-CF6</f>
        <v>0</v>
      </c>
      <c r="CI6" s="12"/>
      <c r="CJ6" s="68"/>
      <c r="CK6" s="71">
        <f t="shared" ref="CK6:CK35" si="28">CJ6-CI6</f>
        <v>0</v>
      </c>
      <c r="CL6" s="12"/>
      <c r="CM6" s="68"/>
      <c r="CN6" s="71">
        <f t="shared" ref="CN6:CN35" si="29">CM6-CL6</f>
        <v>0</v>
      </c>
      <c r="CO6" s="12"/>
      <c r="CP6" s="68"/>
      <c r="CQ6" s="71">
        <f t="shared" ref="CQ6:CQ35" si="30">CP6-CO6</f>
        <v>0</v>
      </c>
      <c r="CR6" s="12"/>
      <c r="CS6" s="68"/>
      <c r="CT6" s="71">
        <f t="shared" ref="CT6:CT35" si="31">CS6-CR6</f>
        <v>0</v>
      </c>
      <c r="CU6" s="12"/>
      <c r="CV6" s="68"/>
      <c r="CW6" s="71">
        <f t="shared" ref="CW6:CW35" si="32">CV6-CU6</f>
        <v>0</v>
      </c>
      <c r="CX6" s="12"/>
      <c r="CY6" s="68"/>
      <c r="CZ6" s="71">
        <f t="shared" ref="CZ6:CZ35" si="33">CY6-CX6</f>
        <v>0</v>
      </c>
      <c r="DA6" s="12"/>
      <c r="DB6" s="68"/>
      <c r="DC6" s="71">
        <f t="shared" ref="DC6:DC35" si="34">DB6-DA6</f>
        <v>0</v>
      </c>
      <c r="DD6" s="12"/>
      <c r="DE6" s="68"/>
      <c r="DF6" s="71">
        <f t="shared" ref="DF6:DF35" si="35">DE6-DD6</f>
        <v>0</v>
      </c>
      <c r="DG6" s="12"/>
      <c r="DH6" s="68"/>
      <c r="DI6" s="71">
        <f t="shared" ref="DI6:DI35" si="36">DH6-DG6</f>
        <v>0</v>
      </c>
      <c r="DJ6" s="12"/>
      <c r="DK6" s="68"/>
      <c r="DL6" s="71">
        <f t="shared" ref="DL6:DL35" si="37">DK6-DJ6</f>
        <v>0</v>
      </c>
      <c r="DM6" s="12"/>
      <c r="DN6" s="68"/>
      <c r="DO6" s="71">
        <f t="shared" ref="DO6:DO35" si="38">DN6-DM6</f>
        <v>0</v>
      </c>
      <c r="DP6" s="12"/>
      <c r="DQ6" s="68"/>
      <c r="DR6" s="71">
        <f t="shared" ref="DR6:DR35" si="39">DQ6-DP6</f>
        <v>0</v>
      </c>
      <c r="DS6" s="71">
        <f t="shared" ref="DS6:DS35" si="40">+C6+F6+I6+L6+O6+R6+U6+X6+AA6+AD6+AG6+AJ6+AM6+AP6+AS6+AV6+AY6+BB6+BE6+BH6+BK6+BN6+BQ6+BT6+BW6+BZ6+CC6+CF6+CI6+CL6+CO6+CR6+CU6+CX6+DA6+DD6+DG6+DJ6+DM6+DP6</f>
        <v>420000</v>
      </c>
      <c r="DT6" s="71">
        <f t="shared" ref="DT6:DT35" si="41">+D6+G6+J6+M6+P6+S6+V6+Y6+AB6+AE6+AH6+AK6+AN6+AQ6+AT6+AW6+AZ6+BC6+BF6+BI6+BL6+BO6+BR6+BU6+BX6+CA6+CD6+CG6+CJ6+CM6+CP6+CS6+CV6+CY6+DB6+DE6+DH6+DK6+DN6+DQ6</f>
        <v>391907</v>
      </c>
      <c r="DU6" s="71">
        <f t="shared" ref="DU6:DU35" si="42">DT6-DS6</f>
        <v>-28093</v>
      </c>
      <c r="DV6" s="68">
        <f>+DU6</f>
        <v>-28093</v>
      </c>
      <c r="DW6" s="68"/>
      <c r="DX6" s="71">
        <f>+DS6-AV6</f>
        <v>135000</v>
      </c>
      <c r="DY6" s="71">
        <f>+DT6-AW6</f>
        <v>120235</v>
      </c>
      <c r="DZ6" s="68">
        <f>+DY6-DX6</f>
        <v>-14765</v>
      </c>
      <c r="EA6" s="68">
        <f>+DZ6</f>
        <v>-14765</v>
      </c>
      <c r="EB6" s="68"/>
      <c r="EC6" s="68">
        <f>+AX6</f>
        <v>-13328</v>
      </c>
      <c r="ED6" s="68">
        <f>+EC6</f>
        <v>-13328</v>
      </c>
      <c r="EE6" s="68"/>
      <c r="EF6" s="68"/>
      <c r="EG6" s="68"/>
      <c r="EH6" s="68"/>
      <c r="EI6" s="68"/>
      <c r="EJ6" s="68"/>
      <c r="EK6" s="68"/>
      <c r="EL6" s="76"/>
      <c r="EM6" s="76"/>
      <c r="EN6" s="76"/>
      <c r="EO6" s="76"/>
      <c r="EP6" s="76"/>
      <c r="EQ6" s="76"/>
      <c r="ER6" s="76"/>
      <c r="ES6" s="76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8"/>
      <c r="FQ6" s="78"/>
      <c r="FR6" s="78"/>
      <c r="FS6" s="78"/>
      <c r="FT6" s="78"/>
      <c r="FU6" s="78"/>
      <c r="FV6" s="78"/>
    </row>
    <row r="7" spans="1:178" s="79" customFormat="1" x14ac:dyDescent="0.25">
      <c r="A7" s="67">
        <f>+BaseloadMarkets!A7</f>
        <v>36679</v>
      </c>
      <c r="B7" s="67" t="str">
        <f>+BaseloadMarkets!B7</f>
        <v>Fri</v>
      </c>
      <c r="C7" s="12">
        <v>5000</v>
      </c>
      <c r="D7" s="68">
        <v>5000</v>
      </c>
      <c r="E7" s="71">
        <f t="shared" si="0"/>
        <v>0</v>
      </c>
      <c r="F7" s="12">
        <v>5000</v>
      </c>
      <c r="G7" s="68">
        <v>5000</v>
      </c>
      <c r="H7" s="71">
        <f t="shared" si="1"/>
        <v>0</v>
      </c>
      <c r="I7" s="12">
        <v>5000</v>
      </c>
      <c r="J7" s="68">
        <v>5000</v>
      </c>
      <c r="K7" s="71">
        <f t="shared" si="2"/>
        <v>0</v>
      </c>
      <c r="L7" s="12">
        <v>10000</v>
      </c>
      <c r="M7" s="68">
        <v>10000</v>
      </c>
      <c r="N7" s="71">
        <f t="shared" si="3"/>
        <v>0</v>
      </c>
      <c r="O7" s="12">
        <v>5000</v>
      </c>
      <c r="P7" s="68">
        <v>5000</v>
      </c>
      <c r="Q7" s="71">
        <f t="shared" si="4"/>
        <v>0</v>
      </c>
      <c r="R7" s="12">
        <v>5000</v>
      </c>
      <c r="S7" s="68">
        <v>5000</v>
      </c>
      <c r="T7" s="71">
        <f t="shared" si="5"/>
        <v>0</v>
      </c>
      <c r="U7" s="12">
        <v>10000</v>
      </c>
      <c r="V7" s="68">
        <v>10000</v>
      </c>
      <c r="W7" s="71">
        <f t="shared" si="6"/>
        <v>0</v>
      </c>
      <c r="X7" s="12">
        <f t="shared" ref="X7:Y35" si="43">5000+5000+5000+5000</f>
        <v>20000</v>
      </c>
      <c r="Y7" s="12">
        <f t="shared" si="43"/>
        <v>20000</v>
      </c>
      <c r="Z7" s="71">
        <f t="shared" si="7"/>
        <v>0</v>
      </c>
      <c r="AA7" s="12">
        <v>5000</v>
      </c>
      <c r="AB7" s="68">
        <v>5000</v>
      </c>
      <c r="AC7" s="71">
        <f t="shared" si="8"/>
        <v>0</v>
      </c>
      <c r="AD7" s="12">
        <f t="shared" ref="AD7:AE35" si="44">5000+5000+5000</f>
        <v>15000</v>
      </c>
      <c r="AE7" s="12">
        <f>5000+2941+3233</f>
        <v>11174</v>
      </c>
      <c r="AF7" s="71">
        <f t="shared" si="9"/>
        <v>-3826</v>
      </c>
      <c r="AG7" s="12">
        <v>5000</v>
      </c>
      <c r="AH7" s="68">
        <v>2942</v>
      </c>
      <c r="AI7" s="71">
        <f t="shared" si="10"/>
        <v>-2058</v>
      </c>
      <c r="AJ7" s="12">
        <f t="shared" ref="AJ7:AK35" si="45">5000+5000</f>
        <v>10000</v>
      </c>
      <c r="AK7" s="12">
        <f t="shared" si="45"/>
        <v>10000</v>
      </c>
      <c r="AL7" s="71">
        <f t="shared" si="11"/>
        <v>0</v>
      </c>
      <c r="AM7" s="12">
        <v>10000</v>
      </c>
      <c r="AN7" s="68">
        <v>10000</v>
      </c>
      <c r="AO7" s="71">
        <f t="shared" si="12"/>
        <v>0</v>
      </c>
      <c r="AP7" s="12">
        <f t="shared" ref="AP7:AQ35" si="46">10000+5000</f>
        <v>15000</v>
      </c>
      <c r="AQ7" s="12">
        <f t="shared" si="46"/>
        <v>15000</v>
      </c>
      <c r="AR7" s="71">
        <f t="shared" si="13"/>
        <v>0</v>
      </c>
      <c r="AS7" s="12"/>
      <c r="AT7" s="68"/>
      <c r="AU7" s="71">
        <f t="shared" si="14"/>
        <v>0</v>
      </c>
      <c r="AV7" s="12">
        <f>170000+90000</f>
        <v>260000</v>
      </c>
      <c r="AW7" s="68">
        <v>260000</v>
      </c>
      <c r="AX7" s="71">
        <f t="shared" si="15"/>
        <v>0</v>
      </c>
      <c r="AY7" s="12"/>
      <c r="AZ7" s="68"/>
      <c r="BA7" s="71">
        <f t="shared" si="16"/>
        <v>0</v>
      </c>
      <c r="BB7" s="12"/>
      <c r="BC7" s="68"/>
      <c r="BD7" s="71">
        <f t="shared" si="17"/>
        <v>0</v>
      </c>
      <c r="BE7" s="12"/>
      <c r="BF7" s="68"/>
      <c r="BG7" s="71">
        <f t="shared" si="18"/>
        <v>0</v>
      </c>
      <c r="BH7" s="12"/>
      <c r="BI7" s="68"/>
      <c r="BJ7" s="71">
        <f t="shared" si="19"/>
        <v>0</v>
      </c>
      <c r="BK7" s="12"/>
      <c r="BL7" s="68"/>
      <c r="BM7" s="71">
        <f t="shared" si="20"/>
        <v>0</v>
      </c>
      <c r="BN7" s="12"/>
      <c r="BO7" s="68"/>
      <c r="BP7" s="71">
        <f t="shared" si="21"/>
        <v>0</v>
      </c>
      <c r="BQ7" s="12"/>
      <c r="BR7" s="68"/>
      <c r="BS7" s="71">
        <f t="shared" si="22"/>
        <v>0</v>
      </c>
      <c r="BT7" s="12"/>
      <c r="BU7" s="68"/>
      <c r="BV7" s="71">
        <f t="shared" si="23"/>
        <v>0</v>
      </c>
      <c r="BW7" s="12"/>
      <c r="BX7" s="68"/>
      <c r="BY7" s="71">
        <f t="shared" si="24"/>
        <v>0</v>
      </c>
      <c r="BZ7" s="12"/>
      <c r="CA7" s="68"/>
      <c r="CB7" s="71">
        <f t="shared" si="25"/>
        <v>0</v>
      </c>
      <c r="CC7" s="12"/>
      <c r="CD7" s="68"/>
      <c r="CE7" s="71">
        <f t="shared" si="26"/>
        <v>0</v>
      </c>
      <c r="CF7" s="12"/>
      <c r="CG7" s="68"/>
      <c r="CH7" s="71">
        <f t="shared" si="27"/>
        <v>0</v>
      </c>
      <c r="CI7" s="12"/>
      <c r="CJ7" s="68"/>
      <c r="CK7" s="71">
        <f t="shared" si="28"/>
        <v>0</v>
      </c>
      <c r="CL7" s="12"/>
      <c r="CM7" s="68"/>
      <c r="CN7" s="71">
        <f t="shared" si="29"/>
        <v>0</v>
      </c>
      <c r="CO7" s="12"/>
      <c r="CP7" s="68"/>
      <c r="CQ7" s="71">
        <f t="shared" si="30"/>
        <v>0</v>
      </c>
      <c r="CR7" s="12"/>
      <c r="CS7" s="68"/>
      <c r="CT7" s="71">
        <f t="shared" si="31"/>
        <v>0</v>
      </c>
      <c r="CU7" s="12"/>
      <c r="CV7" s="68"/>
      <c r="CW7" s="71">
        <f t="shared" si="32"/>
        <v>0</v>
      </c>
      <c r="CX7" s="12"/>
      <c r="CY7" s="68"/>
      <c r="CZ7" s="71">
        <f t="shared" si="33"/>
        <v>0</v>
      </c>
      <c r="DA7" s="12"/>
      <c r="DB7" s="68"/>
      <c r="DC7" s="71">
        <f t="shared" si="34"/>
        <v>0</v>
      </c>
      <c r="DD7" s="12"/>
      <c r="DE7" s="68"/>
      <c r="DF7" s="71">
        <f t="shared" si="35"/>
        <v>0</v>
      </c>
      <c r="DG7" s="12"/>
      <c r="DH7" s="68"/>
      <c r="DI7" s="71">
        <f t="shared" si="36"/>
        <v>0</v>
      </c>
      <c r="DJ7" s="12"/>
      <c r="DK7" s="68"/>
      <c r="DL7" s="71">
        <f t="shared" si="37"/>
        <v>0</v>
      </c>
      <c r="DM7" s="12"/>
      <c r="DN7" s="68"/>
      <c r="DO7" s="71">
        <f t="shared" si="38"/>
        <v>0</v>
      </c>
      <c r="DP7" s="12"/>
      <c r="DQ7" s="68"/>
      <c r="DR7" s="71">
        <f t="shared" si="39"/>
        <v>0</v>
      </c>
      <c r="DS7" s="71">
        <f t="shared" si="40"/>
        <v>385000</v>
      </c>
      <c r="DT7" s="71">
        <f t="shared" si="41"/>
        <v>379116</v>
      </c>
      <c r="DU7" s="71">
        <f t="shared" si="42"/>
        <v>-5884</v>
      </c>
      <c r="DV7" s="68">
        <f t="shared" ref="DV7:DV35" si="47">+DV6+DU7</f>
        <v>-33977</v>
      </c>
      <c r="DW7" s="68"/>
      <c r="DX7" s="71">
        <f t="shared" ref="DX7:DX35" si="48">+DS7-AV7</f>
        <v>125000</v>
      </c>
      <c r="DY7" s="71">
        <f t="shared" ref="DY7:DY35" si="49">+DT7-AW7</f>
        <v>119116</v>
      </c>
      <c r="DZ7" s="68">
        <f t="shared" ref="DZ7:DZ35" si="50">+DY7-DX7</f>
        <v>-5884</v>
      </c>
      <c r="EA7" s="68">
        <f>+EA6+DZ7</f>
        <v>-20649</v>
      </c>
      <c r="EB7" s="68"/>
      <c r="EC7" s="68">
        <f t="shared" ref="EC7:EC35" si="51">+AX7</f>
        <v>0</v>
      </c>
      <c r="ED7" s="68">
        <f>+EC7</f>
        <v>0</v>
      </c>
      <c r="EE7" s="68"/>
      <c r="EF7" s="68"/>
      <c r="EG7" s="68"/>
      <c r="EH7" s="68"/>
      <c r="EI7" s="68"/>
      <c r="EJ7" s="68"/>
      <c r="EK7" s="68"/>
      <c r="EL7" s="76"/>
      <c r="EM7" s="76"/>
      <c r="EN7" s="76"/>
      <c r="EO7" s="76"/>
      <c r="EP7" s="76"/>
      <c r="EQ7" s="76"/>
      <c r="ER7" s="76"/>
      <c r="ES7" s="76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8"/>
      <c r="FQ7" s="78"/>
      <c r="FR7" s="78"/>
      <c r="FS7" s="78"/>
      <c r="FT7" s="78"/>
      <c r="FU7" s="78"/>
      <c r="FV7" s="78"/>
    </row>
    <row r="8" spans="1:178" x14ac:dyDescent="0.25">
      <c r="A8" s="67">
        <f>+BaseloadMarkets!A8</f>
        <v>36680</v>
      </c>
      <c r="B8" s="67" t="str">
        <f>+BaseloadMarkets!B8</f>
        <v>Sat</v>
      </c>
      <c r="C8" s="12">
        <v>5000</v>
      </c>
      <c r="D8" s="68">
        <v>5000</v>
      </c>
      <c r="E8" s="71">
        <f t="shared" si="0"/>
        <v>0</v>
      </c>
      <c r="F8" s="12">
        <v>5000</v>
      </c>
      <c r="G8" s="68">
        <v>5000</v>
      </c>
      <c r="H8" s="71">
        <f t="shared" si="1"/>
        <v>0</v>
      </c>
      <c r="I8" s="12">
        <v>5000</v>
      </c>
      <c r="J8" s="68">
        <v>5000</v>
      </c>
      <c r="K8" s="71">
        <f t="shared" si="2"/>
        <v>0</v>
      </c>
      <c r="L8" s="12">
        <v>10000</v>
      </c>
      <c r="M8" s="68">
        <v>10000</v>
      </c>
      <c r="N8" s="71">
        <f t="shared" si="3"/>
        <v>0</v>
      </c>
      <c r="O8" s="12">
        <v>5000</v>
      </c>
      <c r="P8" s="68">
        <v>5000</v>
      </c>
      <c r="Q8" s="71">
        <f t="shared" si="4"/>
        <v>0</v>
      </c>
      <c r="R8" s="12">
        <v>5000</v>
      </c>
      <c r="S8" s="68">
        <v>5000</v>
      </c>
      <c r="T8" s="71">
        <f t="shared" si="5"/>
        <v>0</v>
      </c>
      <c r="U8" s="12">
        <v>10000</v>
      </c>
      <c r="V8" s="68">
        <v>10000</v>
      </c>
      <c r="W8" s="71">
        <f t="shared" si="6"/>
        <v>0</v>
      </c>
      <c r="X8" s="12">
        <f t="shared" si="43"/>
        <v>20000</v>
      </c>
      <c r="Y8" s="12">
        <f t="shared" si="43"/>
        <v>20000</v>
      </c>
      <c r="Z8" s="71">
        <f t="shared" si="7"/>
        <v>0</v>
      </c>
      <c r="AA8" s="12">
        <v>5000</v>
      </c>
      <c r="AB8" s="68">
        <v>5000</v>
      </c>
      <c r="AC8" s="71">
        <f t="shared" si="8"/>
        <v>0</v>
      </c>
      <c r="AD8" s="12">
        <f t="shared" si="44"/>
        <v>15000</v>
      </c>
      <c r="AE8" s="12">
        <f t="shared" si="44"/>
        <v>15000</v>
      </c>
      <c r="AF8" s="71">
        <f t="shared" si="9"/>
        <v>0</v>
      </c>
      <c r="AG8" s="12">
        <v>5000</v>
      </c>
      <c r="AH8" s="68">
        <v>5000</v>
      </c>
      <c r="AI8" s="71">
        <f t="shared" si="10"/>
        <v>0</v>
      </c>
      <c r="AJ8" s="12">
        <f t="shared" si="45"/>
        <v>10000</v>
      </c>
      <c r="AK8" s="12">
        <f t="shared" si="45"/>
        <v>10000</v>
      </c>
      <c r="AL8" s="71">
        <f t="shared" si="11"/>
        <v>0</v>
      </c>
      <c r="AM8" s="12">
        <v>10000</v>
      </c>
      <c r="AN8" s="68">
        <v>10000</v>
      </c>
      <c r="AO8" s="71">
        <f t="shared" si="12"/>
        <v>0</v>
      </c>
      <c r="AP8" s="12">
        <f t="shared" si="46"/>
        <v>15000</v>
      </c>
      <c r="AQ8" s="12">
        <f t="shared" si="46"/>
        <v>15000</v>
      </c>
      <c r="AR8" s="71">
        <f t="shared" si="13"/>
        <v>0</v>
      </c>
      <c r="AS8" s="12"/>
      <c r="AT8" s="68"/>
      <c r="AU8" s="71">
        <f t="shared" si="14"/>
        <v>0</v>
      </c>
      <c r="AV8" s="12">
        <v>45000</v>
      </c>
      <c r="AW8" s="68">
        <v>45000</v>
      </c>
      <c r="AX8" s="71">
        <f t="shared" si="15"/>
        <v>0</v>
      </c>
      <c r="AY8" s="12"/>
      <c r="AZ8" s="68"/>
      <c r="BA8" s="71">
        <f t="shared" si="16"/>
        <v>0</v>
      </c>
      <c r="BB8" s="12"/>
      <c r="BC8" s="68"/>
      <c r="BD8" s="71">
        <f t="shared" si="17"/>
        <v>0</v>
      </c>
      <c r="BE8" s="12"/>
      <c r="BF8" s="68"/>
      <c r="BG8" s="71">
        <f t="shared" si="18"/>
        <v>0</v>
      </c>
      <c r="BH8" s="12"/>
      <c r="BI8" s="68"/>
      <c r="BJ8" s="71">
        <f t="shared" si="19"/>
        <v>0</v>
      </c>
      <c r="BK8" s="12"/>
      <c r="BL8" s="68"/>
      <c r="BM8" s="71">
        <f t="shared" si="20"/>
        <v>0</v>
      </c>
      <c r="BN8" s="12"/>
      <c r="BO8" s="68"/>
      <c r="BP8" s="71">
        <f t="shared" si="21"/>
        <v>0</v>
      </c>
      <c r="BQ8" s="12"/>
      <c r="BR8" s="68"/>
      <c r="BS8" s="71">
        <f t="shared" si="22"/>
        <v>0</v>
      </c>
      <c r="BT8" s="12"/>
      <c r="BU8" s="68"/>
      <c r="BV8" s="71">
        <f t="shared" si="23"/>
        <v>0</v>
      </c>
      <c r="BW8" s="12"/>
      <c r="BX8" s="68"/>
      <c r="BY8" s="71">
        <f t="shared" si="24"/>
        <v>0</v>
      </c>
      <c r="BZ8" s="12"/>
      <c r="CA8" s="68"/>
      <c r="CB8" s="71">
        <f t="shared" si="25"/>
        <v>0</v>
      </c>
      <c r="CC8" s="12"/>
      <c r="CD8" s="68"/>
      <c r="CE8" s="71">
        <f t="shared" si="26"/>
        <v>0</v>
      </c>
      <c r="CF8" s="12"/>
      <c r="CG8" s="68"/>
      <c r="CH8" s="71">
        <f t="shared" si="27"/>
        <v>0</v>
      </c>
      <c r="CI8" s="12"/>
      <c r="CJ8" s="68"/>
      <c r="CK8" s="71">
        <f t="shared" si="28"/>
        <v>0</v>
      </c>
      <c r="CL8" s="12"/>
      <c r="CM8" s="68"/>
      <c r="CN8" s="71">
        <f t="shared" si="29"/>
        <v>0</v>
      </c>
      <c r="CO8" s="12"/>
      <c r="CP8" s="68"/>
      <c r="CQ8" s="71">
        <f t="shared" si="30"/>
        <v>0</v>
      </c>
      <c r="CR8" s="12"/>
      <c r="CS8" s="68"/>
      <c r="CT8" s="71">
        <f t="shared" si="31"/>
        <v>0</v>
      </c>
      <c r="CU8" s="12"/>
      <c r="CV8" s="68"/>
      <c r="CW8" s="71">
        <f t="shared" si="32"/>
        <v>0</v>
      </c>
      <c r="CX8" s="12"/>
      <c r="CY8" s="68"/>
      <c r="CZ8" s="71">
        <f t="shared" si="33"/>
        <v>0</v>
      </c>
      <c r="DA8" s="12"/>
      <c r="DB8" s="68"/>
      <c r="DC8" s="71">
        <f t="shared" si="34"/>
        <v>0</v>
      </c>
      <c r="DD8" s="12"/>
      <c r="DE8" s="68"/>
      <c r="DF8" s="71">
        <f t="shared" si="35"/>
        <v>0</v>
      </c>
      <c r="DG8" s="12"/>
      <c r="DH8" s="68"/>
      <c r="DI8" s="71">
        <f t="shared" si="36"/>
        <v>0</v>
      </c>
      <c r="DJ8" s="12"/>
      <c r="DK8" s="68"/>
      <c r="DL8" s="71">
        <f t="shared" si="37"/>
        <v>0</v>
      </c>
      <c r="DM8" s="12"/>
      <c r="DN8" s="68"/>
      <c r="DO8" s="71">
        <f t="shared" si="38"/>
        <v>0</v>
      </c>
      <c r="DP8" s="12"/>
      <c r="DQ8" s="68"/>
      <c r="DR8" s="71">
        <f t="shared" si="39"/>
        <v>0</v>
      </c>
      <c r="DS8" s="71">
        <f t="shared" si="40"/>
        <v>170000</v>
      </c>
      <c r="DT8" s="71">
        <f t="shared" si="41"/>
        <v>170000</v>
      </c>
      <c r="DU8" s="71">
        <f t="shared" si="42"/>
        <v>0</v>
      </c>
      <c r="DV8" s="68">
        <f t="shared" si="47"/>
        <v>-33977</v>
      </c>
      <c r="DW8" s="73"/>
      <c r="DX8" s="71">
        <f t="shared" si="48"/>
        <v>125000</v>
      </c>
      <c r="DY8" s="71">
        <f t="shared" si="49"/>
        <v>125000</v>
      </c>
      <c r="DZ8" s="68">
        <f t="shared" si="50"/>
        <v>0</v>
      </c>
      <c r="EA8" s="68">
        <f t="shared" ref="EA8:EA35" si="52">+EA7+DZ8</f>
        <v>-20649</v>
      </c>
      <c r="EB8" s="73"/>
      <c r="EC8" s="68">
        <f t="shared" si="51"/>
        <v>0</v>
      </c>
      <c r="ED8" s="68">
        <f t="shared" ref="ED8:ED35" si="53">+EC8</f>
        <v>0</v>
      </c>
      <c r="EE8" s="73"/>
      <c r="EF8" s="73"/>
      <c r="EG8" s="73"/>
      <c r="EH8" s="73"/>
      <c r="EI8" s="73"/>
      <c r="EJ8" s="73"/>
      <c r="EK8" s="73"/>
    </row>
    <row r="9" spans="1:178" x14ac:dyDescent="0.25">
      <c r="A9" s="67">
        <f>+BaseloadMarkets!A9</f>
        <v>36681</v>
      </c>
      <c r="B9" s="67" t="str">
        <f>+BaseloadMarkets!B9</f>
        <v>Sun</v>
      </c>
      <c r="C9" s="12">
        <v>5000</v>
      </c>
      <c r="D9" s="68">
        <v>5000</v>
      </c>
      <c r="E9" s="71">
        <f t="shared" si="0"/>
        <v>0</v>
      </c>
      <c r="F9" s="12">
        <v>5000</v>
      </c>
      <c r="G9" s="68">
        <v>5000</v>
      </c>
      <c r="H9" s="71">
        <f t="shared" si="1"/>
        <v>0</v>
      </c>
      <c r="I9" s="12">
        <v>5000</v>
      </c>
      <c r="J9" s="68">
        <v>5000</v>
      </c>
      <c r="K9" s="71">
        <f t="shared" si="2"/>
        <v>0</v>
      </c>
      <c r="L9" s="12">
        <v>10000</v>
      </c>
      <c r="M9" s="68">
        <v>10000</v>
      </c>
      <c r="N9" s="71">
        <f t="shared" si="3"/>
        <v>0</v>
      </c>
      <c r="O9" s="12">
        <v>5000</v>
      </c>
      <c r="P9" s="68">
        <v>5000</v>
      </c>
      <c r="Q9" s="71">
        <f t="shared" si="4"/>
        <v>0</v>
      </c>
      <c r="R9" s="12">
        <v>5000</v>
      </c>
      <c r="S9" s="68">
        <v>5000</v>
      </c>
      <c r="T9" s="71">
        <f t="shared" si="5"/>
        <v>0</v>
      </c>
      <c r="U9" s="12">
        <v>10000</v>
      </c>
      <c r="V9" s="68">
        <v>10000</v>
      </c>
      <c r="W9" s="71">
        <f t="shared" si="6"/>
        <v>0</v>
      </c>
      <c r="X9" s="12">
        <f t="shared" si="43"/>
        <v>20000</v>
      </c>
      <c r="Y9" s="12">
        <f t="shared" si="43"/>
        <v>20000</v>
      </c>
      <c r="Z9" s="71">
        <f t="shared" si="7"/>
        <v>0</v>
      </c>
      <c r="AA9" s="12">
        <v>5000</v>
      </c>
      <c r="AB9" s="68">
        <v>5000</v>
      </c>
      <c r="AC9" s="71">
        <f t="shared" si="8"/>
        <v>0</v>
      </c>
      <c r="AD9" s="12">
        <f t="shared" si="44"/>
        <v>15000</v>
      </c>
      <c r="AE9" s="12">
        <f t="shared" si="44"/>
        <v>15000</v>
      </c>
      <c r="AF9" s="71">
        <f t="shared" si="9"/>
        <v>0</v>
      </c>
      <c r="AG9" s="12">
        <v>5000</v>
      </c>
      <c r="AH9" s="68">
        <v>5000</v>
      </c>
      <c r="AI9" s="71">
        <f t="shared" si="10"/>
        <v>0</v>
      </c>
      <c r="AJ9" s="12">
        <f t="shared" si="45"/>
        <v>10000</v>
      </c>
      <c r="AK9" s="12">
        <f t="shared" si="45"/>
        <v>10000</v>
      </c>
      <c r="AL9" s="71">
        <f t="shared" si="11"/>
        <v>0</v>
      </c>
      <c r="AM9" s="12">
        <v>10000</v>
      </c>
      <c r="AN9" s="68">
        <v>10000</v>
      </c>
      <c r="AO9" s="71">
        <f t="shared" si="12"/>
        <v>0</v>
      </c>
      <c r="AP9" s="12">
        <f t="shared" si="46"/>
        <v>15000</v>
      </c>
      <c r="AQ9" s="12">
        <f t="shared" si="46"/>
        <v>15000</v>
      </c>
      <c r="AR9" s="71">
        <f t="shared" si="13"/>
        <v>0</v>
      </c>
      <c r="AS9" s="12"/>
      <c r="AT9" s="68"/>
      <c r="AU9" s="71">
        <f t="shared" si="14"/>
        <v>0</v>
      </c>
      <c r="AV9" s="12">
        <v>45000</v>
      </c>
      <c r="AW9" s="68">
        <v>45000</v>
      </c>
      <c r="AX9" s="71">
        <f t="shared" si="15"/>
        <v>0</v>
      </c>
      <c r="AY9" s="12"/>
      <c r="AZ9" s="68"/>
      <c r="BA9" s="71">
        <f t="shared" si="16"/>
        <v>0</v>
      </c>
      <c r="BB9" s="12"/>
      <c r="BC9" s="68"/>
      <c r="BD9" s="71">
        <f t="shared" si="17"/>
        <v>0</v>
      </c>
      <c r="BE9" s="12"/>
      <c r="BF9" s="68"/>
      <c r="BG9" s="71">
        <f t="shared" si="18"/>
        <v>0</v>
      </c>
      <c r="BH9" s="12"/>
      <c r="BI9" s="68"/>
      <c r="BJ9" s="71">
        <f t="shared" si="19"/>
        <v>0</v>
      </c>
      <c r="BK9" s="12"/>
      <c r="BL9" s="68"/>
      <c r="BM9" s="71">
        <f t="shared" si="20"/>
        <v>0</v>
      </c>
      <c r="BN9" s="12"/>
      <c r="BO9" s="68"/>
      <c r="BP9" s="71">
        <f t="shared" si="21"/>
        <v>0</v>
      </c>
      <c r="BQ9" s="12"/>
      <c r="BR9" s="68"/>
      <c r="BS9" s="71">
        <f t="shared" si="22"/>
        <v>0</v>
      </c>
      <c r="BT9" s="12"/>
      <c r="BU9" s="68"/>
      <c r="BV9" s="71">
        <f t="shared" si="23"/>
        <v>0</v>
      </c>
      <c r="BW9" s="12"/>
      <c r="BX9" s="68"/>
      <c r="BY9" s="71">
        <f t="shared" si="24"/>
        <v>0</v>
      </c>
      <c r="BZ9" s="12"/>
      <c r="CA9" s="68"/>
      <c r="CB9" s="71">
        <f t="shared" si="25"/>
        <v>0</v>
      </c>
      <c r="CC9" s="12"/>
      <c r="CD9" s="68"/>
      <c r="CE9" s="71">
        <f t="shared" si="26"/>
        <v>0</v>
      </c>
      <c r="CF9" s="12"/>
      <c r="CG9" s="68"/>
      <c r="CH9" s="71">
        <f t="shared" si="27"/>
        <v>0</v>
      </c>
      <c r="CI9" s="12"/>
      <c r="CJ9" s="68"/>
      <c r="CK9" s="71">
        <f t="shared" si="28"/>
        <v>0</v>
      </c>
      <c r="CL9" s="12"/>
      <c r="CM9" s="68"/>
      <c r="CN9" s="71">
        <f t="shared" si="29"/>
        <v>0</v>
      </c>
      <c r="CO9" s="12"/>
      <c r="CP9" s="68"/>
      <c r="CQ9" s="71">
        <f t="shared" si="30"/>
        <v>0</v>
      </c>
      <c r="CR9" s="12"/>
      <c r="CS9" s="68"/>
      <c r="CT9" s="71">
        <f t="shared" si="31"/>
        <v>0</v>
      </c>
      <c r="CU9" s="12"/>
      <c r="CV9" s="68"/>
      <c r="CW9" s="71">
        <f t="shared" si="32"/>
        <v>0</v>
      </c>
      <c r="CX9" s="12"/>
      <c r="CY9" s="68"/>
      <c r="CZ9" s="71">
        <f t="shared" si="33"/>
        <v>0</v>
      </c>
      <c r="DA9" s="12"/>
      <c r="DB9" s="68"/>
      <c r="DC9" s="71">
        <f t="shared" si="34"/>
        <v>0</v>
      </c>
      <c r="DD9" s="12"/>
      <c r="DE9" s="68"/>
      <c r="DF9" s="71">
        <f t="shared" si="35"/>
        <v>0</v>
      </c>
      <c r="DG9" s="12"/>
      <c r="DH9" s="68"/>
      <c r="DI9" s="71">
        <f t="shared" si="36"/>
        <v>0</v>
      </c>
      <c r="DJ9" s="12"/>
      <c r="DK9" s="68"/>
      <c r="DL9" s="71">
        <f t="shared" si="37"/>
        <v>0</v>
      </c>
      <c r="DM9" s="12"/>
      <c r="DN9" s="68"/>
      <c r="DO9" s="71">
        <f t="shared" si="38"/>
        <v>0</v>
      </c>
      <c r="DP9" s="12"/>
      <c r="DQ9" s="68"/>
      <c r="DR9" s="71">
        <f t="shared" si="39"/>
        <v>0</v>
      </c>
      <c r="DS9" s="71">
        <f t="shared" si="40"/>
        <v>170000</v>
      </c>
      <c r="DT9" s="71">
        <f t="shared" si="41"/>
        <v>170000</v>
      </c>
      <c r="DU9" s="71">
        <f t="shared" si="42"/>
        <v>0</v>
      </c>
      <c r="DV9" s="68">
        <f t="shared" si="47"/>
        <v>-33977</v>
      </c>
      <c r="DW9" s="73"/>
      <c r="DX9" s="71">
        <f t="shared" si="48"/>
        <v>125000</v>
      </c>
      <c r="DY9" s="71">
        <f t="shared" si="49"/>
        <v>125000</v>
      </c>
      <c r="DZ9" s="68">
        <f t="shared" si="50"/>
        <v>0</v>
      </c>
      <c r="EA9" s="68">
        <f t="shared" si="52"/>
        <v>-20649</v>
      </c>
      <c r="EB9" s="73"/>
      <c r="EC9" s="68">
        <f t="shared" si="51"/>
        <v>0</v>
      </c>
      <c r="ED9" s="68">
        <f t="shared" si="53"/>
        <v>0</v>
      </c>
      <c r="EE9" s="73"/>
      <c r="EF9" s="73"/>
      <c r="EG9" s="73"/>
      <c r="EH9" s="73"/>
      <c r="EI9" s="73"/>
      <c r="EJ9" s="73"/>
      <c r="EK9" s="73"/>
    </row>
    <row r="10" spans="1:178" x14ac:dyDescent="0.25">
      <c r="A10" s="67">
        <f>+BaseloadMarkets!A10</f>
        <v>36682</v>
      </c>
      <c r="B10" s="67" t="str">
        <f>+BaseloadMarkets!B10</f>
        <v>Mon</v>
      </c>
      <c r="C10" s="12">
        <v>5000</v>
      </c>
      <c r="D10" s="68">
        <v>5000</v>
      </c>
      <c r="E10" s="71">
        <f t="shared" si="0"/>
        <v>0</v>
      </c>
      <c r="F10" s="12">
        <v>5000</v>
      </c>
      <c r="G10" s="68">
        <v>5000</v>
      </c>
      <c r="H10" s="71">
        <f t="shared" si="1"/>
        <v>0</v>
      </c>
      <c r="I10" s="12">
        <v>5000</v>
      </c>
      <c r="J10" s="68">
        <v>5000</v>
      </c>
      <c r="K10" s="71">
        <f t="shared" si="2"/>
        <v>0</v>
      </c>
      <c r="L10" s="12">
        <v>10000</v>
      </c>
      <c r="M10" s="68">
        <v>10000</v>
      </c>
      <c r="N10" s="71">
        <f t="shared" si="3"/>
        <v>0</v>
      </c>
      <c r="O10" s="12">
        <v>5000</v>
      </c>
      <c r="P10" s="68">
        <v>5000</v>
      </c>
      <c r="Q10" s="71">
        <f t="shared" si="4"/>
        <v>0</v>
      </c>
      <c r="R10" s="12">
        <v>5000</v>
      </c>
      <c r="S10" s="68">
        <v>5000</v>
      </c>
      <c r="T10" s="71">
        <f t="shared" si="5"/>
        <v>0</v>
      </c>
      <c r="U10" s="12">
        <v>10000</v>
      </c>
      <c r="V10" s="68">
        <v>10000</v>
      </c>
      <c r="W10" s="71">
        <f t="shared" si="6"/>
        <v>0</v>
      </c>
      <c r="X10" s="12">
        <f t="shared" si="43"/>
        <v>20000</v>
      </c>
      <c r="Y10" s="12">
        <f t="shared" si="43"/>
        <v>20000</v>
      </c>
      <c r="Z10" s="71">
        <f t="shared" si="7"/>
        <v>0</v>
      </c>
      <c r="AA10" s="12">
        <v>5000</v>
      </c>
      <c r="AB10" s="68">
        <v>5000</v>
      </c>
      <c r="AC10" s="71">
        <f t="shared" si="8"/>
        <v>0</v>
      </c>
      <c r="AD10" s="12">
        <f t="shared" si="44"/>
        <v>15000</v>
      </c>
      <c r="AE10" s="12">
        <f t="shared" si="44"/>
        <v>15000</v>
      </c>
      <c r="AF10" s="71">
        <f t="shared" si="9"/>
        <v>0</v>
      </c>
      <c r="AG10" s="12">
        <v>5000</v>
      </c>
      <c r="AH10" s="68">
        <v>5000</v>
      </c>
      <c r="AI10" s="71">
        <f t="shared" si="10"/>
        <v>0</v>
      </c>
      <c r="AJ10" s="12">
        <f t="shared" si="45"/>
        <v>10000</v>
      </c>
      <c r="AK10" s="12">
        <f t="shared" si="45"/>
        <v>10000</v>
      </c>
      <c r="AL10" s="71">
        <f t="shared" si="11"/>
        <v>0</v>
      </c>
      <c r="AM10" s="12">
        <v>10000</v>
      </c>
      <c r="AN10" s="68">
        <v>10000</v>
      </c>
      <c r="AO10" s="71">
        <f t="shared" si="12"/>
        <v>0</v>
      </c>
      <c r="AP10" s="12">
        <f t="shared" si="46"/>
        <v>15000</v>
      </c>
      <c r="AQ10" s="12">
        <f t="shared" si="46"/>
        <v>15000</v>
      </c>
      <c r="AR10" s="71">
        <f t="shared" si="13"/>
        <v>0</v>
      </c>
      <c r="AS10" s="12"/>
      <c r="AT10" s="68"/>
      <c r="AU10" s="71">
        <f t="shared" si="14"/>
        <v>0</v>
      </c>
      <c r="AV10" s="12">
        <v>45000</v>
      </c>
      <c r="AW10" s="68">
        <v>45000</v>
      </c>
      <c r="AX10" s="71">
        <f t="shared" si="15"/>
        <v>0</v>
      </c>
      <c r="AY10" s="12"/>
      <c r="AZ10" s="68"/>
      <c r="BA10" s="71">
        <f t="shared" si="16"/>
        <v>0</v>
      </c>
      <c r="BB10" s="12"/>
      <c r="BC10" s="68"/>
      <c r="BD10" s="71">
        <f t="shared" si="17"/>
        <v>0</v>
      </c>
      <c r="BE10" s="12"/>
      <c r="BF10" s="68"/>
      <c r="BG10" s="71">
        <f t="shared" si="18"/>
        <v>0</v>
      </c>
      <c r="BH10" s="12"/>
      <c r="BI10" s="68"/>
      <c r="BJ10" s="71">
        <f t="shared" si="19"/>
        <v>0</v>
      </c>
      <c r="BK10" s="12"/>
      <c r="BL10" s="68"/>
      <c r="BM10" s="71">
        <f t="shared" si="20"/>
        <v>0</v>
      </c>
      <c r="BN10" s="12"/>
      <c r="BO10" s="68"/>
      <c r="BP10" s="71">
        <f t="shared" si="21"/>
        <v>0</v>
      </c>
      <c r="BQ10" s="12"/>
      <c r="BR10" s="68"/>
      <c r="BS10" s="71">
        <f t="shared" si="22"/>
        <v>0</v>
      </c>
      <c r="BT10" s="12"/>
      <c r="BU10" s="68"/>
      <c r="BV10" s="71">
        <f t="shared" si="23"/>
        <v>0</v>
      </c>
      <c r="BW10" s="12"/>
      <c r="BX10" s="68"/>
      <c r="BY10" s="71">
        <f t="shared" si="24"/>
        <v>0</v>
      </c>
      <c r="BZ10" s="12"/>
      <c r="CA10" s="68"/>
      <c r="CB10" s="71">
        <f t="shared" si="25"/>
        <v>0</v>
      </c>
      <c r="CC10" s="12"/>
      <c r="CD10" s="68"/>
      <c r="CE10" s="71">
        <f t="shared" si="26"/>
        <v>0</v>
      </c>
      <c r="CF10" s="12"/>
      <c r="CG10" s="68"/>
      <c r="CH10" s="71">
        <f t="shared" si="27"/>
        <v>0</v>
      </c>
      <c r="CI10" s="12"/>
      <c r="CJ10" s="68"/>
      <c r="CK10" s="71">
        <f t="shared" si="28"/>
        <v>0</v>
      </c>
      <c r="CL10" s="12"/>
      <c r="CM10" s="68"/>
      <c r="CN10" s="71">
        <f t="shared" si="29"/>
        <v>0</v>
      </c>
      <c r="CO10" s="12"/>
      <c r="CP10" s="68"/>
      <c r="CQ10" s="71">
        <f t="shared" si="30"/>
        <v>0</v>
      </c>
      <c r="CR10" s="12"/>
      <c r="CS10" s="68"/>
      <c r="CT10" s="71">
        <f t="shared" si="31"/>
        <v>0</v>
      </c>
      <c r="CU10" s="12"/>
      <c r="CV10" s="68"/>
      <c r="CW10" s="71">
        <f t="shared" si="32"/>
        <v>0</v>
      </c>
      <c r="CX10" s="12"/>
      <c r="CY10" s="68"/>
      <c r="CZ10" s="71">
        <f t="shared" si="33"/>
        <v>0</v>
      </c>
      <c r="DA10" s="12"/>
      <c r="DB10" s="68"/>
      <c r="DC10" s="71">
        <f t="shared" si="34"/>
        <v>0</v>
      </c>
      <c r="DD10" s="12"/>
      <c r="DE10" s="68"/>
      <c r="DF10" s="71">
        <f t="shared" si="35"/>
        <v>0</v>
      </c>
      <c r="DG10" s="12"/>
      <c r="DH10" s="68"/>
      <c r="DI10" s="71">
        <f t="shared" si="36"/>
        <v>0</v>
      </c>
      <c r="DJ10" s="12"/>
      <c r="DK10" s="68"/>
      <c r="DL10" s="71">
        <f t="shared" si="37"/>
        <v>0</v>
      </c>
      <c r="DM10" s="12"/>
      <c r="DN10" s="68"/>
      <c r="DO10" s="71">
        <f t="shared" si="38"/>
        <v>0</v>
      </c>
      <c r="DP10" s="12"/>
      <c r="DQ10" s="68"/>
      <c r="DR10" s="71">
        <f t="shared" si="39"/>
        <v>0</v>
      </c>
      <c r="DS10" s="71">
        <f t="shared" si="40"/>
        <v>170000</v>
      </c>
      <c r="DT10" s="71">
        <f t="shared" si="41"/>
        <v>170000</v>
      </c>
      <c r="DU10" s="71">
        <f t="shared" si="42"/>
        <v>0</v>
      </c>
      <c r="DV10" s="68">
        <f t="shared" si="47"/>
        <v>-33977</v>
      </c>
      <c r="DW10" s="73"/>
      <c r="DX10" s="71">
        <f t="shared" si="48"/>
        <v>125000</v>
      </c>
      <c r="DY10" s="71">
        <f t="shared" si="49"/>
        <v>125000</v>
      </c>
      <c r="DZ10" s="68">
        <f t="shared" si="50"/>
        <v>0</v>
      </c>
      <c r="EA10" s="68">
        <f t="shared" si="52"/>
        <v>-20649</v>
      </c>
      <c r="EB10" s="73"/>
      <c r="EC10" s="68">
        <f t="shared" si="51"/>
        <v>0</v>
      </c>
      <c r="ED10" s="68">
        <f t="shared" si="53"/>
        <v>0</v>
      </c>
      <c r="EE10" s="73"/>
      <c r="EF10" s="73"/>
      <c r="EG10" s="73"/>
      <c r="EH10" s="73"/>
      <c r="EI10" s="73"/>
      <c r="EJ10" s="73"/>
      <c r="EK10" s="73"/>
    </row>
    <row r="11" spans="1:178" x14ac:dyDescent="0.25">
      <c r="A11" s="67">
        <f>+BaseloadMarkets!A11</f>
        <v>36683</v>
      </c>
      <c r="B11" s="67" t="str">
        <f>+BaseloadMarkets!B11</f>
        <v>Tues</v>
      </c>
      <c r="C11" s="12">
        <v>5000</v>
      </c>
      <c r="D11" s="68">
        <v>5000</v>
      </c>
      <c r="E11" s="71">
        <f t="shared" si="0"/>
        <v>0</v>
      </c>
      <c r="F11" s="12">
        <v>5000</v>
      </c>
      <c r="G11" s="68">
        <v>5000</v>
      </c>
      <c r="H11" s="71">
        <f t="shared" si="1"/>
        <v>0</v>
      </c>
      <c r="I11" s="12">
        <v>5000</v>
      </c>
      <c r="J11" s="68">
        <v>5000</v>
      </c>
      <c r="K11" s="71">
        <f t="shared" si="2"/>
        <v>0</v>
      </c>
      <c r="L11" s="12">
        <v>10000</v>
      </c>
      <c r="M11" s="68">
        <v>10000</v>
      </c>
      <c r="N11" s="71">
        <f t="shared" si="3"/>
        <v>0</v>
      </c>
      <c r="O11" s="12">
        <v>5000</v>
      </c>
      <c r="P11" s="68">
        <v>5000</v>
      </c>
      <c r="Q11" s="71">
        <f t="shared" si="4"/>
        <v>0</v>
      </c>
      <c r="R11" s="12">
        <v>5000</v>
      </c>
      <c r="S11" s="68">
        <v>5000</v>
      </c>
      <c r="T11" s="71">
        <f t="shared" si="5"/>
        <v>0</v>
      </c>
      <c r="U11" s="12">
        <v>10000</v>
      </c>
      <c r="V11" s="68">
        <v>10000</v>
      </c>
      <c r="W11" s="71">
        <f t="shared" si="6"/>
        <v>0</v>
      </c>
      <c r="X11" s="12">
        <f t="shared" si="43"/>
        <v>20000</v>
      </c>
      <c r="Y11" s="12">
        <f t="shared" si="43"/>
        <v>20000</v>
      </c>
      <c r="Z11" s="71">
        <f t="shared" si="7"/>
        <v>0</v>
      </c>
      <c r="AA11" s="12">
        <v>5000</v>
      </c>
      <c r="AB11" s="68">
        <v>5000</v>
      </c>
      <c r="AC11" s="71">
        <f t="shared" si="8"/>
        <v>0</v>
      </c>
      <c r="AD11" s="12">
        <f t="shared" si="44"/>
        <v>15000</v>
      </c>
      <c r="AE11" s="12">
        <f t="shared" si="44"/>
        <v>15000</v>
      </c>
      <c r="AF11" s="71">
        <f t="shared" si="9"/>
        <v>0</v>
      </c>
      <c r="AG11" s="12">
        <v>5000</v>
      </c>
      <c r="AH11" s="68">
        <v>5000</v>
      </c>
      <c r="AI11" s="71">
        <f t="shared" si="10"/>
        <v>0</v>
      </c>
      <c r="AJ11" s="12">
        <f t="shared" si="45"/>
        <v>10000</v>
      </c>
      <c r="AK11" s="12">
        <f t="shared" si="45"/>
        <v>10000</v>
      </c>
      <c r="AL11" s="71">
        <f t="shared" si="11"/>
        <v>0</v>
      </c>
      <c r="AM11" s="12">
        <v>10000</v>
      </c>
      <c r="AN11" s="68">
        <v>10000</v>
      </c>
      <c r="AO11" s="71">
        <f t="shared" si="12"/>
        <v>0</v>
      </c>
      <c r="AP11" s="12">
        <f t="shared" si="46"/>
        <v>15000</v>
      </c>
      <c r="AQ11" s="12">
        <f t="shared" si="46"/>
        <v>15000</v>
      </c>
      <c r="AR11" s="71">
        <f t="shared" si="13"/>
        <v>0</v>
      </c>
      <c r="AS11" s="12"/>
      <c r="AT11" s="68"/>
      <c r="AU11" s="71">
        <f t="shared" si="14"/>
        <v>0</v>
      </c>
      <c r="AV11" s="12">
        <v>400000</v>
      </c>
      <c r="AW11" s="68">
        <v>385000</v>
      </c>
      <c r="AX11" s="71">
        <f t="shared" si="15"/>
        <v>-15000</v>
      </c>
      <c r="AY11" s="12"/>
      <c r="AZ11" s="68"/>
      <c r="BA11" s="71">
        <f t="shared" si="16"/>
        <v>0</v>
      </c>
      <c r="BB11" s="12"/>
      <c r="BC11" s="68"/>
      <c r="BD11" s="71">
        <f t="shared" si="17"/>
        <v>0</v>
      </c>
      <c r="BE11" s="12"/>
      <c r="BF11" s="68"/>
      <c r="BG11" s="71">
        <f t="shared" si="18"/>
        <v>0</v>
      </c>
      <c r="BH11" s="12"/>
      <c r="BI11" s="68"/>
      <c r="BJ11" s="71">
        <f t="shared" si="19"/>
        <v>0</v>
      </c>
      <c r="BK11" s="12"/>
      <c r="BL11" s="68"/>
      <c r="BM11" s="71">
        <f t="shared" si="20"/>
        <v>0</v>
      </c>
      <c r="BN11" s="12"/>
      <c r="BO11" s="68"/>
      <c r="BP11" s="71">
        <f t="shared" si="21"/>
        <v>0</v>
      </c>
      <c r="BQ11" s="12"/>
      <c r="BR11" s="68"/>
      <c r="BS11" s="71">
        <f t="shared" si="22"/>
        <v>0</v>
      </c>
      <c r="BT11" s="12"/>
      <c r="BU11" s="68"/>
      <c r="BV11" s="71">
        <f t="shared" si="23"/>
        <v>0</v>
      </c>
      <c r="BW11" s="12"/>
      <c r="BX11" s="68"/>
      <c r="BY11" s="71">
        <f t="shared" si="24"/>
        <v>0</v>
      </c>
      <c r="BZ11" s="12"/>
      <c r="CA11" s="68"/>
      <c r="CB11" s="71">
        <f t="shared" si="25"/>
        <v>0</v>
      </c>
      <c r="CC11" s="12"/>
      <c r="CD11" s="68"/>
      <c r="CE11" s="71">
        <f t="shared" si="26"/>
        <v>0</v>
      </c>
      <c r="CF11" s="12"/>
      <c r="CG11" s="68"/>
      <c r="CH11" s="71">
        <f t="shared" si="27"/>
        <v>0</v>
      </c>
      <c r="CI11" s="12"/>
      <c r="CJ11" s="68"/>
      <c r="CK11" s="71">
        <f t="shared" si="28"/>
        <v>0</v>
      </c>
      <c r="CL11" s="12"/>
      <c r="CM11" s="68"/>
      <c r="CN11" s="71">
        <f t="shared" si="29"/>
        <v>0</v>
      </c>
      <c r="CO11" s="12"/>
      <c r="CP11" s="68"/>
      <c r="CQ11" s="71">
        <f t="shared" si="30"/>
        <v>0</v>
      </c>
      <c r="CR11" s="12"/>
      <c r="CS11" s="68"/>
      <c r="CT11" s="71">
        <f t="shared" si="31"/>
        <v>0</v>
      </c>
      <c r="CU11" s="12"/>
      <c r="CV11" s="68"/>
      <c r="CW11" s="71">
        <f t="shared" si="32"/>
        <v>0</v>
      </c>
      <c r="CX11" s="12"/>
      <c r="CY11" s="68"/>
      <c r="CZ11" s="71">
        <f t="shared" si="33"/>
        <v>0</v>
      </c>
      <c r="DA11" s="12"/>
      <c r="DB11" s="68"/>
      <c r="DC11" s="71">
        <f t="shared" si="34"/>
        <v>0</v>
      </c>
      <c r="DD11" s="12"/>
      <c r="DE11" s="68"/>
      <c r="DF11" s="71">
        <f t="shared" si="35"/>
        <v>0</v>
      </c>
      <c r="DG11" s="12"/>
      <c r="DH11" s="68"/>
      <c r="DI11" s="71">
        <f t="shared" si="36"/>
        <v>0</v>
      </c>
      <c r="DJ11" s="12"/>
      <c r="DK11" s="68"/>
      <c r="DL11" s="71">
        <f t="shared" si="37"/>
        <v>0</v>
      </c>
      <c r="DM11" s="12"/>
      <c r="DN11" s="68"/>
      <c r="DO11" s="71">
        <f t="shared" si="38"/>
        <v>0</v>
      </c>
      <c r="DP11" s="12"/>
      <c r="DQ11" s="68"/>
      <c r="DR11" s="71">
        <f t="shared" si="39"/>
        <v>0</v>
      </c>
      <c r="DS11" s="71">
        <f t="shared" si="40"/>
        <v>525000</v>
      </c>
      <c r="DT11" s="71">
        <f t="shared" si="41"/>
        <v>510000</v>
      </c>
      <c r="DU11" s="71">
        <f t="shared" si="42"/>
        <v>-15000</v>
      </c>
      <c r="DV11" s="68">
        <f t="shared" si="47"/>
        <v>-48977</v>
      </c>
      <c r="DW11" s="73"/>
      <c r="DX11" s="71">
        <f t="shared" si="48"/>
        <v>125000</v>
      </c>
      <c r="DY11" s="71">
        <f t="shared" si="49"/>
        <v>125000</v>
      </c>
      <c r="DZ11" s="68">
        <f t="shared" si="50"/>
        <v>0</v>
      </c>
      <c r="EA11" s="68">
        <f t="shared" si="52"/>
        <v>-20649</v>
      </c>
      <c r="EB11" s="73"/>
      <c r="EC11" s="68">
        <f t="shared" si="51"/>
        <v>-15000</v>
      </c>
      <c r="ED11" s="68">
        <f t="shared" si="53"/>
        <v>-15000</v>
      </c>
      <c r="EE11" s="73"/>
      <c r="EF11" s="73"/>
      <c r="EG11" s="73"/>
      <c r="EH11" s="73"/>
      <c r="EI11" s="73"/>
      <c r="EJ11" s="73"/>
      <c r="EK11" s="73"/>
    </row>
    <row r="12" spans="1:178" x14ac:dyDescent="0.25">
      <c r="A12" s="67">
        <f>+BaseloadMarkets!A12</f>
        <v>36684</v>
      </c>
      <c r="B12" s="67" t="str">
        <f>+BaseloadMarkets!B12</f>
        <v>Wed</v>
      </c>
      <c r="C12" s="12">
        <v>5000</v>
      </c>
      <c r="D12" s="68">
        <v>5000</v>
      </c>
      <c r="E12" s="71">
        <f t="shared" si="0"/>
        <v>0</v>
      </c>
      <c r="F12" s="12">
        <v>5000</v>
      </c>
      <c r="G12" s="68">
        <v>3299</v>
      </c>
      <c r="H12" s="71">
        <f t="shared" si="1"/>
        <v>-1701</v>
      </c>
      <c r="I12" s="12">
        <v>5000</v>
      </c>
      <c r="J12" s="68">
        <v>3299</v>
      </c>
      <c r="K12" s="71">
        <f t="shared" si="2"/>
        <v>-1701</v>
      </c>
      <c r="L12" s="12">
        <v>10000</v>
      </c>
      <c r="M12" s="68">
        <v>6676</v>
      </c>
      <c r="N12" s="71">
        <f t="shared" si="3"/>
        <v>-3324</v>
      </c>
      <c r="O12" s="12">
        <v>5000</v>
      </c>
      <c r="P12" s="68">
        <v>5000</v>
      </c>
      <c r="Q12" s="71">
        <f t="shared" si="4"/>
        <v>0</v>
      </c>
      <c r="R12" s="12">
        <v>5000</v>
      </c>
      <c r="S12" s="68">
        <v>5000</v>
      </c>
      <c r="T12" s="71">
        <f t="shared" si="5"/>
        <v>0</v>
      </c>
      <c r="U12" s="12">
        <v>10000</v>
      </c>
      <c r="V12" s="68">
        <v>10000</v>
      </c>
      <c r="W12" s="71">
        <f t="shared" si="6"/>
        <v>0</v>
      </c>
      <c r="X12" s="12">
        <f t="shared" si="43"/>
        <v>20000</v>
      </c>
      <c r="Y12" s="12">
        <f t="shared" si="43"/>
        <v>20000</v>
      </c>
      <c r="Z12" s="71">
        <f t="shared" si="7"/>
        <v>0</v>
      </c>
      <c r="AA12" s="12">
        <v>5000</v>
      </c>
      <c r="AB12" s="68">
        <v>5000</v>
      </c>
      <c r="AC12" s="71">
        <f t="shared" si="8"/>
        <v>0</v>
      </c>
      <c r="AD12" s="12">
        <f t="shared" si="44"/>
        <v>15000</v>
      </c>
      <c r="AE12" s="12">
        <f t="shared" si="44"/>
        <v>15000</v>
      </c>
      <c r="AF12" s="71">
        <f t="shared" si="9"/>
        <v>0</v>
      </c>
      <c r="AG12" s="12">
        <v>5000</v>
      </c>
      <c r="AH12" s="68">
        <v>5000</v>
      </c>
      <c r="AI12" s="71">
        <f t="shared" si="10"/>
        <v>0</v>
      </c>
      <c r="AJ12" s="12">
        <f t="shared" si="45"/>
        <v>10000</v>
      </c>
      <c r="AK12" s="12">
        <v>5894</v>
      </c>
      <c r="AL12" s="71">
        <f t="shared" si="11"/>
        <v>-4106</v>
      </c>
      <c r="AM12" s="12">
        <v>10000</v>
      </c>
      <c r="AN12" s="68">
        <v>5926</v>
      </c>
      <c r="AO12" s="71">
        <f t="shared" si="12"/>
        <v>-4074</v>
      </c>
      <c r="AP12" s="12">
        <f t="shared" si="46"/>
        <v>15000</v>
      </c>
      <c r="AQ12" s="12">
        <v>8889</v>
      </c>
      <c r="AR12" s="71">
        <f t="shared" si="13"/>
        <v>-6111</v>
      </c>
      <c r="AS12" s="12"/>
      <c r="AT12" s="68"/>
      <c r="AU12" s="71">
        <f t="shared" si="14"/>
        <v>0</v>
      </c>
      <c r="AV12" s="12">
        <v>195000</v>
      </c>
      <c r="AW12" s="68">
        <f>195000-24000+15195-10000+5894-35000+28830</f>
        <v>175919</v>
      </c>
      <c r="AX12" s="71">
        <f t="shared" si="15"/>
        <v>-19081</v>
      </c>
      <c r="AY12" s="12"/>
      <c r="AZ12" s="68"/>
      <c r="BA12" s="71">
        <f t="shared" si="16"/>
        <v>0</v>
      </c>
      <c r="BB12" s="12"/>
      <c r="BC12" s="68"/>
      <c r="BD12" s="71">
        <f t="shared" si="17"/>
        <v>0</v>
      </c>
      <c r="BE12" s="12"/>
      <c r="BF12" s="68"/>
      <c r="BG12" s="71">
        <f t="shared" si="18"/>
        <v>0</v>
      </c>
      <c r="BH12" s="12"/>
      <c r="BI12" s="68"/>
      <c r="BJ12" s="71">
        <f t="shared" si="19"/>
        <v>0</v>
      </c>
      <c r="BK12" s="12"/>
      <c r="BL12" s="68"/>
      <c r="BM12" s="71">
        <f t="shared" si="20"/>
        <v>0</v>
      </c>
      <c r="BN12" s="12"/>
      <c r="BO12" s="68"/>
      <c r="BP12" s="71">
        <f t="shared" si="21"/>
        <v>0</v>
      </c>
      <c r="BQ12" s="12"/>
      <c r="BR12" s="68"/>
      <c r="BS12" s="71">
        <f t="shared" si="22"/>
        <v>0</v>
      </c>
      <c r="BT12" s="12"/>
      <c r="BU12" s="68"/>
      <c r="BV12" s="71">
        <f t="shared" si="23"/>
        <v>0</v>
      </c>
      <c r="BW12" s="12"/>
      <c r="BX12" s="68"/>
      <c r="BY12" s="71">
        <f t="shared" si="24"/>
        <v>0</v>
      </c>
      <c r="BZ12" s="12"/>
      <c r="CA12" s="68"/>
      <c r="CB12" s="71">
        <f t="shared" si="25"/>
        <v>0</v>
      </c>
      <c r="CC12" s="12"/>
      <c r="CD12" s="68"/>
      <c r="CE12" s="71">
        <f t="shared" si="26"/>
        <v>0</v>
      </c>
      <c r="CF12" s="12"/>
      <c r="CG12" s="68"/>
      <c r="CH12" s="71">
        <f t="shared" si="27"/>
        <v>0</v>
      </c>
      <c r="CI12" s="12"/>
      <c r="CJ12" s="68"/>
      <c r="CK12" s="71">
        <f t="shared" si="28"/>
        <v>0</v>
      </c>
      <c r="CL12" s="12"/>
      <c r="CM12" s="68"/>
      <c r="CN12" s="71">
        <f t="shared" si="29"/>
        <v>0</v>
      </c>
      <c r="CO12" s="12"/>
      <c r="CP12" s="68"/>
      <c r="CQ12" s="71">
        <f t="shared" si="30"/>
        <v>0</v>
      </c>
      <c r="CR12" s="12"/>
      <c r="CS12" s="68"/>
      <c r="CT12" s="71">
        <f t="shared" si="31"/>
        <v>0</v>
      </c>
      <c r="CU12" s="12"/>
      <c r="CV12" s="68"/>
      <c r="CW12" s="71">
        <f t="shared" si="32"/>
        <v>0</v>
      </c>
      <c r="CX12" s="12"/>
      <c r="CY12" s="68"/>
      <c r="CZ12" s="71">
        <f t="shared" si="33"/>
        <v>0</v>
      </c>
      <c r="DA12" s="12"/>
      <c r="DB12" s="68"/>
      <c r="DC12" s="71">
        <f t="shared" si="34"/>
        <v>0</v>
      </c>
      <c r="DD12" s="12"/>
      <c r="DE12" s="68"/>
      <c r="DF12" s="71">
        <f t="shared" si="35"/>
        <v>0</v>
      </c>
      <c r="DG12" s="12"/>
      <c r="DH12" s="68"/>
      <c r="DI12" s="71">
        <f t="shared" si="36"/>
        <v>0</v>
      </c>
      <c r="DJ12" s="12"/>
      <c r="DK12" s="68"/>
      <c r="DL12" s="71">
        <f t="shared" si="37"/>
        <v>0</v>
      </c>
      <c r="DM12" s="12"/>
      <c r="DN12" s="68"/>
      <c r="DO12" s="71">
        <f t="shared" si="38"/>
        <v>0</v>
      </c>
      <c r="DP12" s="12"/>
      <c r="DQ12" s="68"/>
      <c r="DR12" s="71">
        <f t="shared" si="39"/>
        <v>0</v>
      </c>
      <c r="DS12" s="71">
        <f t="shared" si="40"/>
        <v>320000</v>
      </c>
      <c r="DT12" s="71">
        <f t="shared" si="41"/>
        <v>279902</v>
      </c>
      <c r="DU12" s="71">
        <f t="shared" si="42"/>
        <v>-40098</v>
      </c>
      <c r="DV12" s="68">
        <f t="shared" si="47"/>
        <v>-89075</v>
      </c>
      <c r="DW12" s="73"/>
      <c r="DX12" s="71">
        <f t="shared" si="48"/>
        <v>125000</v>
      </c>
      <c r="DY12" s="71">
        <f t="shared" si="49"/>
        <v>103983</v>
      </c>
      <c r="DZ12" s="68">
        <f t="shared" si="50"/>
        <v>-21017</v>
      </c>
      <c r="EA12" s="68">
        <f t="shared" si="52"/>
        <v>-41666</v>
      </c>
      <c r="EB12" s="73"/>
      <c r="EC12" s="68">
        <f t="shared" si="51"/>
        <v>-19081</v>
      </c>
      <c r="ED12" s="68">
        <f t="shared" si="53"/>
        <v>-19081</v>
      </c>
      <c r="EE12" s="73"/>
      <c r="EF12" s="73"/>
      <c r="EG12" s="73"/>
      <c r="EH12" s="73"/>
      <c r="EI12" s="73"/>
      <c r="EJ12" s="73"/>
      <c r="EK12" s="73"/>
    </row>
    <row r="13" spans="1:178" x14ac:dyDescent="0.25">
      <c r="A13" s="67">
        <f>+BaseloadMarkets!A13</f>
        <v>36685</v>
      </c>
      <c r="B13" s="67" t="str">
        <f>+BaseloadMarkets!B13</f>
        <v>Thu</v>
      </c>
      <c r="C13" s="12">
        <v>5000</v>
      </c>
      <c r="D13" s="68">
        <v>5000</v>
      </c>
      <c r="E13" s="71">
        <f t="shared" si="0"/>
        <v>0</v>
      </c>
      <c r="F13" s="12">
        <v>5000</v>
      </c>
      <c r="G13" s="68">
        <v>2787</v>
      </c>
      <c r="H13" s="71">
        <f t="shared" si="1"/>
        <v>-2213</v>
      </c>
      <c r="I13" s="12">
        <v>5000</v>
      </c>
      <c r="J13" s="68">
        <v>2787</v>
      </c>
      <c r="K13" s="71">
        <f t="shared" si="2"/>
        <v>-2213</v>
      </c>
      <c r="L13" s="12">
        <v>10000</v>
      </c>
      <c r="M13" s="68">
        <v>10000</v>
      </c>
      <c r="N13" s="71">
        <f t="shared" si="3"/>
        <v>0</v>
      </c>
      <c r="O13" s="12">
        <v>5000</v>
      </c>
      <c r="P13" s="68">
        <v>5000</v>
      </c>
      <c r="Q13" s="71">
        <f t="shared" si="4"/>
        <v>0</v>
      </c>
      <c r="R13" s="12">
        <v>5000</v>
      </c>
      <c r="S13" s="68">
        <v>5000</v>
      </c>
      <c r="T13" s="71">
        <f t="shared" si="5"/>
        <v>0</v>
      </c>
      <c r="U13" s="12">
        <v>10000</v>
      </c>
      <c r="V13" s="68">
        <v>10000</v>
      </c>
      <c r="W13" s="71">
        <f t="shared" si="6"/>
        <v>0</v>
      </c>
      <c r="X13" s="12">
        <f t="shared" si="43"/>
        <v>20000</v>
      </c>
      <c r="Y13" s="12">
        <f t="shared" si="43"/>
        <v>20000</v>
      </c>
      <c r="Z13" s="71">
        <f t="shared" si="7"/>
        <v>0</v>
      </c>
      <c r="AA13" s="12">
        <v>5000</v>
      </c>
      <c r="AB13" s="68">
        <v>5000</v>
      </c>
      <c r="AC13" s="71">
        <f t="shared" si="8"/>
        <v>0</v>
      </c>
      <c r="AD13" s="12">
        <f t="shared" si="44"/>
        <v>15000</v>
      </c>
      <c r="AE13" s="12">
        <f t="shared" si="44"/>
        <v>15000</v>
      </c>
      <c r="AF13" s="71">
        <f t="shared" si="9"/>
        <v>0</v>
      </c>
      <c r="AG13" s="12">
        <v>5000</v>
      </c>
      <c r="AH13" s="68">
        <v>5000</v>
      </c>
      <c r="AI13" s="71">
        <f t="shared" si="10"/>
        <v>0</v>
      </c>
      <c r="AJ13" s="12">
        <f t="shared" si="45"/>
        <v>10000</v>
      </c>
      <c r="AK13" s="12">
        <f t="shared" si="45"/>
        <v>10000</v>
      </c>
      <c r="AL13" s="71">
        <f t="shared" si="11"/>
        <v>0</v>
      </c>
      <c r="AM13" s="12">
        <v>10000</v>
      </c>
      <c r="AN13" s="68">
        <v>5689</v>
      </c>
      <c r="AO13" s="71">
        <f t="shared" si="12"/>
        <v>-4311</v>
      </c>
      <c r="AP13" s="12">
        <f t="shared" si="46"/>
        <v>15000</v>
      </c>
      <c r="AQ13" s="12">
        <f>5689+2846</f>
        <v>8535</v>
      </c>
      <c r="AR13" s="71">
        <f t="shared" si="13"/>
        <v>-6465</v>
      </c>
      <c r="AS13" s="12"/>
      <c r="AT13" s="68"/>
      <c r="AU13" s="71">
        <f t="shared" si="14"/>
        <v>0</v>
      </c>
      <c r="AV13" s="12">
        <v>220000</v>
      </c>
      <c r="AW13" s="68">
        <f>220000-20000+10264-40000+22146-10000+5546</f>
        <v>187956</v>
      </c>
      <c r="AX13" s="71">
        <f t="shared" si="15"/>
        <v>-32044</v>
      </c>
      <c r="AY13" s="12"/>
      <c r="AZ13" s="68"/>
      <c r="BA13" s="71">
        <f t="shared" si="16"/>
        <v>0</v>
      </c>
      <c r="BB13" s="12"/>
      <c r="BC13" s="68"/>
      <c r="BD13" s="71">
        <f t="shared" si="17"/>
        <v>0</v>
      </c>
      <c r="BE13" s="12"/>
      <c r="BF13" s="68"/>
      <c r="BG13" s="71">
        <f t="shared" si="18"/>
        <v>0</v>
      </c>
      <c r="BH13" s="12"/>
      <c r="BI13" s="68"/>
      <c r="BJ13" s="71">
        <f t="shared" si="19"/>
        <v>0</v>
      </c>
      <c r="BK13" s="12"/>
      <c r="BL13" s="68"/>
      <c r="BM13" s="71">
        <f t="shared" si="20"/>
        <v>0</v>
      </c>
      <c r="BN13" s="12"/>
      <c r="BO13" s="68"/>
      <c r="BP13" s="71">
        <f t="shared" si="21"/>
        <v>0</v>
      </c>
      <c r="BQ13" s="12"/>
      <c r="BR13" s="68"/>
      <c r="BS13" s="71">
        <f t="shared" si="22"/>
        <v>0</v>
      </c>
      <c r="BT13" s="12"/>
      <c r="BU13" s="68"/>
      <c r="BV13" s="71">
        <f t="shared" si="23"/>
        <v>0</v>
      </c>
      <c r="BW13" s="12"/>
      <c r="BX13" s="68"/>
      <c r="BY13" s="71">
        <f t="shared" si="24"/>
        <v>0</v>
      </c>
      <c r="BZ13" s="12"/>
      <c r="CA13" s="68"/>
      <c r="CB13" s="71">
        <f t="shared" si="25"/>
        <v>0</v>
      </c>
      <c r="CC13" s="12"/>
      <c r="CD13" s="68"/>
      <c r="CE13" s="71">
        <f t="shared" si="26"/>
        <v>0</v>
      </c>
      <c r="CF13" s="12"/>
      <c r="CG13" s="68"/>
      <c r="CH13" s="71">
        <f t="shared" si="27"/>
        <v>0</v>
      </c>
      <c r="CI13" s="12"/>
      <c r="CJ13" s="68"/>
      <c r="CK13" s="71">
        <f t="shared" si="28"/>
        <v>0</v>
      </c>
      <c r="CL13" s="12"/>
      <c r="CM13" s="68"/>
      <c r="CN13" s="71">
        <f t="shared" si="29"/>
        <v>0</v>
      </c>
      <c r="CO13" s="12"/>
      <c r="CP13" s="68"/>
      <c r="CQ13" s="71">
        <f t="shared" si="30"/>
        <v>0</v>
      </c>
      <c r="CR13" s="12"/>
      <c r="CS13" s="68"/>
      <c r="CT13" s="71">
        <f t="shared" si="31"/>
        <v>0</v>
      </c>
      <c r="CU13" s="12"/>
      <c r="CV13" s="68"/>
      <c r="CW13" s="71">
        <f t="shared" si="32"/>
        <v>0</v>
      </c>
      <c r="CX13" s="12"/>
      <c r="CY13" s="68"/>
      <c r="CZ13" s="71">
        <f t="shared" si="33"/>
        <v>0</v>
      </c>
      <c r="DA13" s="12"/>
      <c r="DB13" s="68"/>
      <c r="DC13" s="71">
        <f t="shared" si="34"/>
        <v>0</v>
      </c>
      <c r="DD13" s="12"/>
      <c r="DE13" s="68"/>
      <c r="DF13" s="71">
        <f t="shared" si="35"/>
        <v>0</v>
      </c>
      <c r="DG13" s="12"/>
      <c r="DH13" s="68"/>
      <c r="DI13" s="71">
        <f t="shared" si="36"/>
        <v>0</v>
      </c>
      <c r="DJ13" s="12"/>
      <c r="DK13" s="68"/>
      <c r="DL13" s="71">
        <f t="shared" si="37"/>
        <v>0</v>
      </c>
      <c r="DM13" s="12"/>
      <c r="DN13" s="68"/>
      <c r="DO13" s="71">
        <f t="shared" si="38"/>
        <v>0</v>
      </c>
      <c r="DP13" s="12"/>
      <c r="DQ13" s="68"/>
      <c r="DR13" s="71">
        <f t="shared" si="39"/>
        <v>0</v>
      </c>
      <c r="DS13" s="71">
        <f t="shared" si="40"/>
        <v>345000</v>
      </c>
      <c r="DT13" s="71">
        <f t="shared" si="41"/>
        <v>297754</v>
      </c>
      <c r="DU13" s="71">
        <f t="shared" si="42"/>
        <v>-47246</v>
      </c>
      <c r="DV13" s="68">
        <f t="shared" si="47"/>
        <v>-136321</v>
      </c>
      <c r="DW13" s="73"/>
      <c r="DX13" s="71">
        <f t="shared" si="48"/>
        <v>125000</v>
      </c>
      <c r="DY13" s="71">
        <f t="shared" si="49"/>
        <v>109798</v>
      </c>
      <c r="DZ13" s="68">
        <f t="shared" si="50"/>
        <v>-15202</v>
      </c>
      <c r="EA13" s="68">
        <f t="shared" si="52"/>
        <v>-56868</v>
      </c>
      <c r="EB13" s="73"/>
      <c r="EC13" s="68">
        <f t="shared" si="51"/>
        <v>-32044</v>
      </c>
      <c r="ED13" s="68">
        <f t="shared" si="53"/>
        <v>-32044</v>
      </c>
      <c r="EE13" s="73"/>
      <c r="EF13" s="73"/>
      <c r="EG13" s="73"/>
      <c r="EH13" s="73"/>
      <c r="EI13" s="73"/>
      <c r="EJ13" s="73"/>
      <c r="EK13" s="73"/>
    </row>
    <row r="14" spans="1:178" x14ac:dyDescent="0.25">
      <c r="A14" s="67">
        <f>+BaseloadMarkets!A14</f>
        <v>36686</v>
      </c>
      <c r="B14" s="67" t="str">
        <f>+BaseloadMarkets!B14</f>
        <v>Fri</v>
      </c>
      <c r="C14" s="12">
        <v>5000</v>
      </c>
      <c r="D14" s="68">
        <v>5000</v>
      </c>
      <c r="E14" s="71">
        <f t="shared" si="0"/>
        <v>0</v>
      </c>
      <c r="F14" s="12">
        <v>5000</v>
      </c>
      <c r="G14" s="68">
        <v>3102</v>
      </c>
      <c r="H14" s="71">
        <f t="shared" si="1"/>
        <v>-1898</v>
      </c>
      <c r="I14" s="12">
        <v>5000</v>
      </c>
      <c r="J14" s="68">
        <v>3102</v>
      </c>
      <c r="K14" s="71">
        <f t="shared" si="2"/>
        <v>-1898</v>
      </c>
      <c r="L14" s="12">
        <v>10000</v>
      </c>
      <c r="M14" s="68">
        <v>10000</v>
      </c>
      <c r="N14" s="71">
        <f t="shared" si="3"/>
        <v>0</v>
      </c>
      <c r="O14" s="12">
        <v>5000</v>
      </c>
      <c r="P14" s="68">
        <v>5000</v>
      </c>
      <c r="Q14" s="71">
        <f t="shared" si="4"/>
        <v>0</v>
      </c>
      <c r="R14" s="12">
        <v>5000</v>
      </c>
      <c r="S14" s="68">
        <v>5000</v>
      </c>
      <c r="T14" s="71">
        <f t="shared" si="5"/>
        <v>0</v>
      </c>
      <c r="U14" s="12">
        <v>10000</v>
      </c>
      <c r="V14" s="68">
        <v>10000</v>
      </c>
      <c r="W14" s="71">
        <f t="shared" si="6"/>
        <v>0</v>
      </c>
      <c r="X14" s="12">
        <f t="shared" si="43"/>
        <v>20000</v>
      </c>
      <c r="Y14" s="12">
        <f>5000+5000+5000+5000-5000</f>
        <v>15000</v>
      </c>
      <c r="Z14" s="71">
        <f t="shared" si="7"/>
        <v>-5000</v>
      </c>
      <c r="AA14" s="12">
        <v>5000</v>
      </c>
      <c r="AB14" s="68">
        <v>5000</v>
      </c>
      <c r="AC14" s="71">
        <f t="shared" si="8"/>
        <v>0</v>
      </c>
      <c r="AD14" s="12">
        <f t="shared" si="44"/>
        <v>15000</v>
      </c>
      <c r="AE14" s="12">
        <f t="shared" si="44"/>
        <v>15000</v>
      </c>
      <c r="AF14" s="71">
        <f t="shared" si="9"/>
        <v>0</v>
      </c>
      <c r="AG14" s="12">
        <v>5000</v>
      </c>
      <c r="AH14" s="68">
        <v>5000</v>
      </c>
      <c r="AI14" s="71">
        <f t="shared" si="10"/>
        <v>0</v>
      </c>
      <c r="AJ14" s="12">
        <f t="shared" si="45"/>
        <v>10000</v>
      </c>
      <c r="AK14" s="12">
        <f t="shared" si="45"/>
        <v>10000</v>
      </c>
      <c r="AL14" s="71">
        <f t="shared" si="11"/>
        <v>0</v>
      </c>
      <c r="AM14" s="12">
        <v>10000</v>
      </c>
      <c r="AN14" s="68">
        <v>13</v>
      </c>
      <c r="AO14" s="71">
        <f t="shared" si="12"/>
        <v>-9987</v>
      </c>
      <c r="AP14" s="12">
        <f t="shared" si="46"/>
        <v>15000</v>
      </c>
      <c r="AQ14" s="12">
        <f t="shared" si="46"/>
        <v>15000</v>
      </c>
      <c r="AR14" s="71">
        <f t="shared" si="13"/>
        <v>0</v>
      </c>
      <c r="AS14" s="12"/>
      <c r="AT14" s="68"/>
      <c r="AU14" s="71">
        <f t="shared" si="14"/>
        <v>0</v>
      </c>
      <c r="AV14" s="12">
        <v>315000</v>
      </c>
      <c r="AW14" s="68">
        <v>300966</v>
      </c>
      <c r="AX14" s="71">
        <f t="shared" si="15"/>
        <v>-14034</v>
      </c>
      <c r="AY14" s="12"/>
      <c r="AZ14" s="68"/>
      <c r="BA14" s="71">
        <f t="shared" si="16"/>
        <v>0</v>
      </c>
      <c r="BB14" s="12"/>
      <c r="BC14" s="68"/>
      <c r="BD14" s="71">
        <f t="shared" si="17"/>
        <v>0</v>
      </c>
      <c r="BE14" s="12"/>
      <c r="BF14" s="68"/>
      <c r="BG14" s="71">
        <f t="shared" si="18"/>
        <v>0</v>
      </c>
      <c r="BH14" s="12"/>
      <c r="BI14" s="68"/>
      <c r="BJ14" s="71">
        <f t="shared" si="19"/>
        <v>0</v>
      </c>
      <c r="BK14" s="12"/>
      <c r="BL14" s="68"/>
      <c r="BM14" s="71">
        <f t="shared" si="20"/>
        <v>0</v>
      </c>
      <c r="BN14" s="12"/>
      <c r="BO14" s="68"/>
      <c r="BP14" s="71">
        <f t="shared" si="21"/>
        <v>0</v>
      </c>
      <c r="BQ14" s="12"/>
      <c r="BR14" s="68"/>
      <c r="BS14" s="71">
        <f t="shared" si="22"/>
        <v>0</v>
      </c>
      <c r="BT14" s="12"/>
      <c r="BU14" s="68"/>
      <c r="BV14" s="71">
        <f t="shared" si="23"/>
        <v>0</v>
      </c>
      <c r="BW14" s="12"/>
      <c r="BX14" s="68"/>
      <c r="BY14" s="71">
        <f t="shared" si="24"/>
        <v>0</v>
      </c>
      <c r="BZ14" s="12"/>
      <c r="CA14" s="68"/>
      <c r="CB14" s="71">
        <f t="shared" si="25"/>
        <v>0</v>
      </c>
      <c r="CC14" s="12"/>
      <c r="CD14" s="68"/>
      <c r="CE14" s="71">
        <f t="shared" si="26"/>
        <v>0</v>
      </c>
      <c r="CF14" s="12"/>
      <c r="CG14" s="68"/>
      <c r="CH14" s="71">
        <f t="shared" si="27"/>
        <v>0</v>
      </c>
      <c r="CI14" s="12"/>
      <c r="CJ14" s="68"/>
      <c r="CK14" s="71">
        <f t="shared" si="28"/>
        <v>0</v>
      </c>
      <c r="CL14" s="12"/>
      <c r="CM14" s="68"/>
      <c r="CN14" s="71">
        <f t="shared" si="29"/>
        <v>0</v>
      </c>
      <c r="CO14" s="12"/>
      <c r="CP14" s="68"/>
      <c r="CQ14" s="71">
        <f t="shared" si="30"/>
        <v>0</v>
      </c>
      <c r="CR14" s="12"/>
      <c r="CS14" s="68"/>
      <c r="CT14" s="71">
        <f t="shared" si="31"/>
        <v>0</v>
      </c>
      <c r="CU14" s="12"/>
      <c r="CV14" s="68"/>
      <c r="CW14" s="71">
        <f t="shared" si="32"/>
        <v>0</v>
      </c>
      <c r="CX14" s="12"/>
      <c r="CY14" s="68"/>
      <c r="CZ14" s="71">
        <f t="shared" si="33"/>
        <v>0</v>
      </c>
      <c r="DA14" s="12"/>
      <c r="DB14" s="68"/>
      <c r="DC14" s="71">
        <f t="shared" si="34"/>
        <v>0</v>
      </c>
      <c r="DD14" s="12"/>
      <c r="DE14" s="68"/>
      <c r="DF14" s="71">
        <f t="shared" si="35"/>
        <v>0</v>
      </c>
      <c r="DG14" s="12"/>
      <c r="DH14" s="68"/>
      <c r="DI14" s="71">
        <f t="shared" si="36"/>
        <v>0</v>
      </c>
      <c r="DJ14" s="12"/>
      <c r="DK14" s="68"/>
      <c r="DL14" s="71">
        <f t="shared" si="37"/>
        <v>0</v>
      </c>
      <c r="DM14" s="12"/>
      <c r="DN14" s="68"/>
      <c r="DO14" s="71">
        <f t="shared" si="38"/>
        <v>0</v>
      </c>
      <c r="DP14" s="12"/>
      <c r="DQ14" s="68"/>
      <c r="DR14" s="71">
        <f t="shared" si="39"/>
        <v>0</v>
      </c>
      <c r="DS14" s="71">
        <f t="shared" si="40"/>
        <v>440000</v>
      </c>
      <c r="DT14" s="71">
        <f t="shared" si="41"/>
        <v>407183</v>
      </c>
      <c r="DU14" s="71">
        <f t="shared" si="42"/>
        <v>-32817</v>
      </c>
      <c r="DV14" s="68">
        <f t="shared" si="47"/>
        <v>-169138</v>
      </c>
      <c r="DW14" s="73"/>
      <c r="DX14" s="71">
        <f t="shared" si="48"/>
        <v>125000</v>
      </c>
      <c r="DY14" s="71">
        <f t="shared" si="49"/>
        <v>106217</v>
      </c>
      <c r="DZ14" s="68">
        <f t="shared" si="50"/>
        <v>-18783</v>
      </c>
      <c r="EA14" s="68">
        <f t="shared" si="52"/>
        <v>-75651</v>
      </c>
      <c r="EB14" s="73"/>
      <c r="EC14" s="68">
        <f t="shared" si="51"/>
        <v>-14034</v>
      </c>
      <c r="ED14" s="68">
        <f t="shared" si="53"/>
        <v>-14034</v>
      </c>
      <c r="EE14" s="73"/>
      <c r="EF14" s="73"/>
      <c r="EG14" s="73"/>
      <c r="EH14" s="73"/>
      <c r="EI14" s="73"/>
      <c r="EJ14" s="73"/>
      <c r="EK14" s="73"/>
    </row>
    <row r="15" spans="1:178" x14ac:dyDescent="0.25">
      <c r="A15" s="67">
        <f>+BaseloadMarkets!A15</f>
        <v>36687</v>
      </c>
      <c r="B15" s="67" t="str">
        <f>+BaseloadMarkets!B15</f>
        <v>Sat</v>
      </c>
      <c r="C15" s="12">
        <v>5000</v>
      </c>
      <c r="D15" s="68">
        <v>5000</v>
      </c>
      <c r="E15" s="71">
        <f t="shared" si="0"/>
        <v>0</v>
      </c>
      <c r="F15" s="12">
        <v>5000</v>
      </c>
      <c r="G15" s="68">
        <v>2570</v>
      </c>
      <c r="H15" s="71">
        <f t="shared" si="1"/>
        <v>-2430</v>
      </c>
      <c r="I15" s="12">
        <v>5000</v>
      </c>
      <c r="J15" s="68">
        <v>2570</v>
      </c>
      <c r="K15" s="71">
        <f t="shared" si="2"/>
        <v>-2430</v>
      </c>
      <c r="L15" s="12">
        <v>10000</v>
      </c>
      <c r="M15" s="68">
        <v>4986</v>
      </c>
      <c r="N15" s="71">
        <f t="shared" si="3"/>
        <v>-5014</v>
      </c>
      <c r="O15" s="12">
        <v>5000</v>
      </c>
      <c r="P15" s="68">
        <v>5000</v>
      </c>
      <c r="Q15" s="71">
        <f t="shared" si="4"/>
        <v>0</v>
      </c>
      <c r="R15" s="12">
        <v>5000</v>
      </c>
      <c r="S15" s="68">
        <v>5000</v>
      </c>
      <c r="T15" s="71">
        <f t="shared" si="5"/>
        <v>0</v>
      </c>
      <c r="U15" s="12">
        <v>10000</v>
      </c>
      <c r="V15" s="68">
        <v>10000</v>
      </c>
      <c r="W15" s="71">
        <f t="shared" si="6"/>
        <v>0</v>
      </c>
      <c r="X15" s="12">
        <f t="shared" si="43"/>
        <v>20000</v>
      </c>
      <c r="Y15" s="12">
        <f t="shared" si="43"/>
        <v>20000</v>
      </c>
      <c r="Z15" s="71">
        <f t="shared" si="7"/>
        <v>0</v>
      </c>
      <c r="AA15" s="12">
        <v>5000</v>
      </c>
      <c r="AB15" s="68">
        <f>5000-3000+1603</f>
        <v>3603</v>
      </c>
      <c r="AC15" s="71">
        <f t="shared" si="8"/>
        <v>-1397</v>
      </c>
      <c r="AD15" s="12">
        <f t="shared" si="44"/>
        <v>15000</v>
      </c>
      <c r="AE15" s="12">
        <f t="shared" si="44"/>
        <v>15000</v>
      </c>
      <c r="AF15" s="71">
        <f t="shared" si="9"/>
        <v>0</v>
      </c>
      <c r="AG15" s="12">
        <v>5000</v>
      </c>
      <c r="AH15" s="68">
        <v>5000</v>
      </c>
      <c r="AI15" s="71">
        <f t="shared" si="10"/>
        <v>0</v>
      </c>
      <c r="AJ15" s="12">
        <f t="shared" si="45"/>
        <v>10000</v>
      </c>
      <c r="AK15" s="12">
        <v>4929</v>
      </c>
      <c r="AL15" s="71">
        <f t="shared" si="11"/>
        <v>-5071</v>
      </c>
      <c r="AM15" s="12">
        <v>10000</v>
      </c>
      <c r="AN15" s="68">
        <v>5847</v>
      </c>
      <c r="AO15" s="71">
        <f t="shared" si="12"/>
        <v>-4153</v>
      </c>
      <c r="AP15" s="12">
        <v>15000</v>
      </c>
      <c r="AQ15" s="12">
        <v>8770</v>
      </c>
      <c r="AR15" s="71">
        <f t="shared" si="13"/>
        <v>-6230</v>
      </c>
      <c r="AS15" s="12"/>
      <c r="AT15" s="68"/>
      <c r="AU15" s="71">
        <f t="shared" si="14"/>
        <v>0</v>
      </c>
      <c r="AV15" s="12">
        <v>145000</v>
      </c>
      <c r="AW15" s="68">
        <f>145000-5000-20000+15993-19000+6920</f>
        <v>123913</v>
      </c>
      <c r="AX15" s="71">
        <f t="shared" si="15"/>
        <v>-21087</v>
      </c>
      <c r="AY15" s="12"/>
      <c r="AZ15" s="68"/>
      <c r="BA15" s="71">
        <f t="shared" si="16"/>
        <v>0</v>
      </c>
      <c r="BB15" s="12"/>
      <c r="BC15" s="68"/>
      <c r="BD15" s="71">
        <f t="shared" si="17"/>
        <v>0</v>
      </c>
      <c r="BE15" s="12"/>
      <c r="BF15" s="68"/>
      <c r="BG15" s="71">
        <f t="shared" si="18"/>
        <v>0</v>
      </c>
      <c r="BH15" s="12"/>
      <c r="BI15" s="68"/>
      <c r="BJ15" s="71">
        <f t="shared" si="19"/>
        <v>0</v>
      </c>
      <c r="BK15" s="12"/>
      <c r="BL15" s="68"/>
      <c r="BM15" s="71">
        <f t="shared" si="20"/>
        <v>0</v>
      </c>
      <c r="BN15" s="12"/>
      <c r="BO15" s="68"/>
      <c r="BP15" s="71">
        <f t="shared" si="21"/>
        <v>0</v>
      </c>
      <c r="BQ15" s="12"/>
      <c r="BR15" s="68"/>
      <c r="BS15" s="71">
        <f t="shared" si="22"/>
        <v>0</v>
      </c>
      <c r="BT15" s="12"/>
      <c r="BU15" s="68"/>
      <c r="BV15" s="71">
        <f t="shared" si="23"/>
        <v>0</v>
      </c>
      <c r="BW15" s="12"/>
      <c r="BX15" s="68"/>
      <c r="BY15" s="71">
        <f t="shared" si="24"/>
        <v>0</v>
      </c>
      <c r="BZ15" s="12"/>
      <c r="CA15" s="68"/>
      <c r="CB15" s="71">
        <f t="shared" si="25"/>
        <v>0</v>
      </c>
      <c r="CC15" s="12"/>
      <c r="CD15" s="68"/>
      <c r="CE15" s="71">
        <f t="shared" si="26"/>
        <v>0</v>
      </c>
      <c r="CF15" s="12"/>
      <c r="CG15" s="68"/>
      <c r="CH15" s="71">
        <f t="shared" si="27"/>
        <v>0</v>
      </c>
      <c r="CI15" s="12"/>
      <c r="CJ15" s="68"/>
      <c r="CK15" s="71">
        <f t="shared" si="28"/>
        <v>0</v>
      </c>
      <c r="CL15" s="12"/>
      <c r="CM15" s="68"/>
      <c r="CN15" s="71">
        <f t="shared" si="29"/>
        <v>0</v>
      </c>
      <c r="CO15" s="12"/>
      <c r="CP15" s="68"/>
      <c r="CQ15" s="71">
        <f t="shared" si="30"/>
        <v>0</v>
      </c>
      <c r="CR15" s="12"/>
      <c r="CS15" s="68"/>
      <c r="CT15" s="71">
        <f t="shared" si="31"/>
        <v>0</v>
      </c>
      <c r="CU15" s="12"/>
      <c r="CV15" s="68"/>
      <c r="CW15" s="71">
        <f t="shared" si="32"/>
        <v>0</v>
      </c>
      <c r="CX15" s="12"/>
      <c r="CY15" s="68"/>
      <c r="CZ15" s="71">
        <f t="shared" si="33"/>
        <v>0</v>
      </c>
      <c r="DA15" s="12"/>
      <c r="DB15" s="68"/>
      <c r="DC15" s="71">
        <f t="shared" si="34"/>
        <v>0</v>
      </c>
      <c r="DD15" s="12"/>
      <c r="DE15" s="68"/>
      <c r="DF15" s="71">
        <f t="shared" si="35"/>
        <v>0</v>
      </c>
      <c r="DG15" s="12"/>
      <c r="DH15" s="68"/>
      <c r="DI15" s="71">
        <f t="shared" si="36"/>
        <v>0</v>
      </c>
      <c r="DJ15" s="12"/>
      <c r="DK15" s="68"/>
      <c r="DL15" s="71">
        <f t="shared" si="37"/>
        <v>0</v>
      </c>
      <c r="DM15" s="12"/>
      <c r="DN15" s="68"/>
      <c r="DO15" s="71">
        <f t="shared" si="38"/>
        <v>0</v>
      </c>
      <c r="DP15" s="12"/>
      <c r="DQ15" s="68"/>
      <c r="DR15" s="71">
        <f t="shared" si="39"/>
        <v>0</v>
      </c>
      <c r="DS15" s="71">
        <f t="shared" si="40"/>
        <v>270000</v>
      </c>
      <c r="DT15" s="71">
        <f t="shared" si="41"/>
        <v>222188</v>
      </c>
      <c r="DU15" s="71">
        <f t="shared" si="42"/>
        <v>-47812</v>
      </c>
      <c r="DV15" s="68">
        <f t="shared" si="47"/>
        <v>-216950</v>
      </c>
      <c r="DW15" s="73"/>
      <c r="DX15" s="71">
        <f t="shared" si="48"/>
        <v>125000</v>
      </c>
      <c r="DY15" s="71">
        <f t="shared" si="49"/>
        <v>98275</v>
      </c>
      <c r="DZ15" s="68">
        <f t="shared" si="50"/>
        <v>-26725</v>
      </c>
      <c r="EA15" s="68">
        <f t="shared" si="52"/>
        <v>-102376</v>
      </c>
      <c r="EB15" s="73"/>
      <c r="EC15" s="68">
        <f t="shared" si="51"/>
        <v>-21087</v>
      </c>
      <c r="ED15" s="68">
        <f t="shared" si="53"/>
        <v>-21087</v>
      </c>
      <c r="EE15" s="73"/>
      <c r="EF15" s="73"/>
      <c r="EG15" s="73"/>
      <c r="EH15" s="73"/>
      <c r="EI15" s="73"/>
      <c r="EJ15" s="73"/>
      <c r="EK15" s="73"/>
    </row>
    <row r="16" spans="1:178" x14ac:dyDescent="0.25">
      <c r="A16" s="67">
        <f>+BaseloadMarkets!A16</f>
        <v>36688</v>
      </c>
      <c r="B16" s="67" t="str">
        <f>+BaseloadMarkets!B16</f>
        <v>Sun</v>
      </c>
      <c r="C16" s="12">
        <v>5000</v>
      </c>
      <c r="D16" s="68">
        <v>5000</v>
      </c>
      <c r="E16" s="71">
        <f t="shared" si="0"/>
        <v>0</v>
      </c>
      <c r="F16" s="12">
        <v>5000</v>
      </c>
      <c r="G16" s="68">
        <v>2651</v>
      </c>
      <c r="H16" s="71">
        <f t="shared" si="1"/>
        <v>-2349</v>
      </c>
      <c r="I16" s="12">
        <v>5000</v>
      </c>
      <c r="J16" s="68">
        <v>2651</v>
      </c>
      <c r="K16" s="71">
        <f t="shared" si="2"/>
        <v>-2349</v>
      </c>
      <c r="L16" s="12">
        <v>10000</v>
      </c>
      <c r="M16" s="68">
        <v>3317</v>
      </c>
      <c r="N16" s="71">
        <f t="shared" si="3"/>
        <v>-6683</v>
      </c>
      <c r="O16" s="12">
        <v>5000</v>
      </c>
      <c r="P16" s="68">
        <v>5000</v>
      </c>
      <c r="Q16" s="71">
        <f t="shared" si="4"/>
        <v>0</v>
      </c>
      <c r="R16" s="12">
        <v>5000</v>
      </c>
      <c r="S16" s="68">
        <v>5000</v>
      </c>
      <c r="T16" s="71">
        <f t="shared" si="5"/>
        <v>0</v>
      </c>
      <c r="U16" s="12">
        <v>10000</v>
      </c>
      <c r="V16" s="68">
        <v>10000</v>
      </c>
      <c r="W16" s="71">
        <f t="shared" si="6"/>
        <v>0</v>
      </c>
      <c r="X16" s="12">
        <f t="shared" si="43"/>
        <v>20000</v>
      </c>
      <c r="Y16" s="12">
        <f t="shared" si="43"/>
        <v>20000</v>
      </c>
      <c r="Z16" s="71">
        <f t="shared" si="7"/>
        <v>0</v>
      </c>
      <c r="AA16" s="12">
        <v>5000</v>
      </c>
      <c r="AB16" s="68">
        <f>2000+1575</f>
        <v>3575</v>
      </c>
      <c r="AC16" s="71">
        <f t="shared" si="8"/>
        <v>-1425</v>
      </c>
      <c r="AD16" s="12">
        <f t="shared" si="44"/>
        <v>15000</v>
      </c>
      <c r="AE16" s="12">
        <f t="shared" si="44"/>
        <v>15000</v>
      </c>
      <c r="AF16" s="71">
        <f t="shared" si="9"/>
        <v>0</v>
      </c>
      <c r="AG16" s="12">
        <v>5000</v>
      </c>
      <c r="AH16" s="68">
        <v>5000</v>
      </c>
      <c r="AI16" s="71">
        <f t="shared" si="10"/>
        <v>0</v>
      </c>
      <c r="AJ16" s="12">
        <f t="shared" si="45"/>
        <v>10000</v>
      </c>
      <c r="AK16" s="12">
        <f>2490+2490</f>
        <v>4980</v>
      </c>
      <c r="AL16" s="71">
        <f t="shared" si="11"/>
        <v>-5020</v>
      </c>
      <c r="AM16" s="12">
        <v>10000</v>
      </c>
      <c r="AN16" s="68">
        <v>4998</v>
      </c>
      <c r="AO16" s="71">
        <f t="shared" si="12"/>
        <v>-5002</v>
      </c>
      <c r="AP16" s="12">
        <f t="shared" si="46"/>
        <v>15000</v>
      </c>
      <c r="AQ16" s="12">
        <f>4998+2498</f>
        <v>7496</v>
      </c>
      <c r="AR16" s="71">
        <f t="shared" si="13"/>
        <v>-7504</v>
      </c>
      <c r="AS16" s="12"/>
      <c r="AT16" s="68"/>
      <c r="AU16" s="71">
        <f t="shared" si="14"/>
        <v>0</v>
      </c>
      <c r="AV16" s="12">
        <v>145000</v>
      </c>
      <c r="AW16" s="68">
        <f>145000-20000+15307-5000+2051-19000+6298</f>
        <v>124656</v>
      </c>
      <c r="AX16" s="71">
        <f t="shared" si="15"/>
        <v>-20344</v>
      </c>
      <c r="AY16" s="12"/>
      <c r="AZ16" s="68"/>
      <c r="BA16" s="71">
        <f t="shared" si="16"/>
        <v>0</v>
      </c>
      <c r="BB16" s="12"/>
      <c r="BC16" s="68"/>
      <c r="BD16" s="71">
        <f t="shared" si="17"/>
        <v>0</v>
      </c>
      <c r="BE16" s="12"/>
      <c r="BF16" s="68"/>
      <c r="BG16" s="71">
        <f t="shared" si="18"/>
        <v>0</v>
      </c>
      <c r="BH16" s="12"/>
      <c r="BI16" s="68"/>
      <c r="BJ16" s="71">
        <f t="shared" si="19"/>
        <v>0</v>
      </c>
      <c r="BK16" s="12"/>
      <c r="BL16" s="68"/>
      <c r="BM16" s="71">
        <f t="shared" si="20"/>
        <v>0</v>
      </c>
      <c r="BN16" s="12"/>
      <c r="BO16" s="68"/>
      <c r="BP16" s="71">
        <f t="shared" si="21"/>
        <v>0</v>
      </c>
      <c r="BQ16" s="12"/>
      <c r="BR16" s="68"/>
      <c r="BS16" s="71">
        <f t="shared" si="22"/>
        <v>0</v>
      </c>
      <c r="BT16" s="12"/>
      <c r="BU16" s="68"/>
      <c r="BV16" s="71">
        <f t="shared" si="23"/>
        <v>0</v>
      </c>
      <c r="BW16" s="12"/>
      <c r="BX16" s="68"/>
      <c r="BY16" s="71">
        <f t="shared" si="24"/>
        <v>0</v>
      </c>
      <c r="BZ16" s="12"/>
      <c r="CA16" s="68"/>
      <c r="CB16" s="71">
        <f t="shared" si="25"/>
        <v>0</v>
      </c>
      <c r="CC16" s="12"/>
      <c r="CD16" s="68"/>
      <c r="CE16" s="71">
        <f t="shared" si="26"/>
        <v>0</v>
      </c>
      <c r="CF16" s="12"/>
      <c r="CG16" s="68"/>
      <c r="CH16" s="71">
        <f t="shared" si="27"/>
        <v>0</v>
      </c>
      <c r="CI16" s="12"/>
      <c r="CJ16" s="68"/>
      <c r="CK16" s="71">
        <f t="shared" si="28"/>
        <v>0</v>
      </c>
      <c r="CL16" s="12"/>
      <c r="CM16" s="68"/>
      <c r="CN16" s="71">
        <f t="shared" si="29"/>
        <v>0</v>
      </c>
      <c r="CO16" s="12"/>
      <c r="CP16" s="68"/>
      <c r="CQ16" s="71">
        <f t="shared" si="30"/>
        <v>0</v>
      </c>
      <c r="CR16" s="12"/>
      <c r="CS16" s="68"/>
      <c r="CT16" s="71">
        <f t="shared" si="31"/>
        <v>0</v>
      </c>
      <c r="CU16" s="12"/>
      <c r="CV16" s="68"/>
      <c r="CW16" s="71">
        <f t="shared" si="32"/>
        <v>0</v>
      </c>
      <c r="CX16" s="12"/>
      <c r="CY16" s="68"/>
      <c r="CZ16" s="71">
        <f t="shared" si="33"/>
        <v>0</v>
      </c>
      <c r="DA16" s="12"/>
      <c r="DB16" s="68"/>
      <c r="DC16" s="71">
        <f t="shared" si="34"/>
        <v>0</v>
      </c>
      <c r="DD16" s="12"/>
      <c r="DE16" s="68"/>
      <c r="DF16" s="71">
        <f t="shared" si="35"/>
        <v>0</v>
      </c>
      <c r="DG16" s="12"/>
      <c r="DH16" s="68"/>
      <c r="DI16" s="71">
        <f t="shared" si="36"/>
        <v>0</v>
      </c>
      <c r="DJ16" s="12"/>
      <c r="DK16" s="68"/>
      <c r="DL16" s="71">
        <f t="shared" si="37"/>
        <v>0</v>
      </c>
      <c r="DM16" s="12"/>
      <c r="DN16" s="68"/>
      <c r="DO16" s="71">
        <f t="shared" si="38"/>
        <v>0</v>
      </c>
      <c r="DP16" s="12"/>
      <c r="DQ16" s="68"/>
      <c r="DR16" s="71">
        <f t="shared" si="39"/>
        <v>0</v>
      </c>
      <c r="DS16" s="71">
        <f t="shared" si="40"/>
        <v>270000</v>
      </c>
      <c r="DT16" s="71">
        <f t="shared" si="41"/>
        <v>219324</v>
      </c>
      <c r="DU16" s="71">
        <f t="shared" si="42"/>
        <v>-50676</v>
      </c>
      <c r="DV16" s="68">
        <f t="shared" si="47"/>
        <v>-267626</v>
      </c>
      <c r="DW16" s="73"/>
      <c r="DX16" s="71">
        <f t="shared" si="48"/>
        <v>125000</v>
      </c>
      <c r="DY16" s="71">
        <f t="shared" si="49"/>
        <v>94668</v>
      </c>
      <c r="DZ16" s="68">
        <f t="shared" si="50"/>
        <v>-30332</v>
      </c>
      <c r="EA16" s="68">
        <f t="shared" si="52"/>
        <v>-132708</v>
      </c>
      <c r="EB16" s="73"/>
      <c r="EC16" s="68">
        <f t="shared" si="51"/>
        <v>-20344</v>
      </c>
      <c r="ED16" s="68">
        <f t="shared" si="53"/>
        <v>-20344</v>
      </c>
      <c r="EE16" s="73"/>
      <c r="EF16" s="73"/>
      <c r="EG16" s="73"/>
      <c r="EH16" s="73"/>
      <c r="EI16" s="73"/>
      <c r="EJ16" s="73"/>
      <c r="EK16" s="73"/>
    </row>
    <row r="17" spans="1:141" x14ac:dyDescent="0.25">
      <c r="A17" s="67">
        <f>+BaseloadMarkets!A17</f>
        <v>36689</v>
      </c>
      <c r="B17" s="67" t="str">
        <f>+BaseloadMarkets!B17</f>
        <v>Mon</v>
      </c>
      <c r="C17" s="12">
        <v>5000</v>
      </c>
      <c r="D17" s="68">
        <v>5000</v>
      </c>
      <c r="E17" s="71">
        <f t="shared" si="0"/>
        <v>0</v>
      </c>
      <c r="F17" s="12">
        <v>5000</v>
      </c>
      <c r="G17" s="68">
        <v>2452</v>
      </c>
      <c r="H17" s="71">
        <f t="shared" si="1"/>
        <v>-2548</v>
      </c>
      <c r="I17" s="12">
        <v>5000</v>
      </c>
      <c r="J17" s="68">
        <v>2452</v>
      </c>
      <c r="K17" s="71">
        <f t="shared" si="2"/>
        <v>-2548</v>
      </c>
      <c r="L17" s="12">
        <v>10000</v>
      </c>
      <c r="M17" s="68">
        <v>3760</v>
      </c>
      <c r="N17" s="71">
        <f t="shared" si="3"/>
        <v>-6240</v>
      </c>
      <c r="O17" s="12">
        <v>5000</v>
      </c>
      <c r="P17" s="68">
        <v>5000</v>
      </c>
      <c r="Q17" s="71">
        <f t="shared" si="4"/>
        <v>0</v>
      </c>
      <c r="R17" s="12">
        <v>5000</v>
      </c>
      <c r="S17" s="68">
        <v>5000</v>
      </c>
      <c r="T17" s="71">
        <f t="shared" si="5"/>
        <v>0</v>
      </c>
      <c r="U17" s="12">
        <v>10000</v>
      </c>
      <c r="V17" s="68">
        <v>10000</v>
      </c>
      <c r="W17" s="71">
        <f t="shared" si="6"/>
        <v>0</v>
      </c>
      <c r="X17" s="12">
        <f t="shared" si="43"/>
        <v>20000</v>
      </c>
      <c r="Y17" s="12">
        <f t="shared" si="43"/>
        <v>20000</v>
      </c>
      <c r="Z17" s="71">
        <f t="shared" si="7"/>
        <v>0</v>
      </c>
      <c r="AA17" s="12">
        <v>5000</v>
      </c>
      <c r="AB17" s="68">
        <f>2000+1488</f>
        <v>3488</v>
      </c>
      <c r="AC17" s="71">
        <f t="shared" si="8"/>
        <v>-1512</v>
      </c>
      <c r="AD17" s="12">
        <f t="shared" si="44"/>
        <v>15000</v>
      </c>
      <c r="AE17" s="12">
        <f t="shared" si="44"/>
        <v>15000</v>
      </c>
      <c r="AF17" s="71">
        <f t="shared" si="9"/>
        <v>0</v>
      </c>
      <c r="AG17" s="12">
        <v>5000</v>
      </c>
      <c r="AH17" s="68">
        <v>5000</v>
      </c>
      <c r="AI17" s="71">
        <f t="shared" si="10"/>
        <v>0</v>
      </c>
      <c r="AJ17" s="12">
        <f t="shared" si="45"/>
        <v>10000</v>
      </c>
      <c r="AK17" s="12">
        <v>5461</v>
      </c>
      <c r="AL17" s="71">
        <f t="shared" si="11"/>
        <v>-4539</v>
      </c>
      <c r="AM17" s="12">
        <v>10000</v>
      </c>
      <c r="AN17" s="68">
        <v>5722</v>
      </c>
      <c r="AO17" s="71">
        <f t="shared" si="12"/>
        <v>-4278</v>
      </c>
      <c r="AP17" s="12">
        <f t="shared" si="46"/>
        <v>15000</v>
      </c>
      <c r="AQ17" s="12">
        <v>8582</v>
      </c>
      <c r="AR17" s="71">
        <f t="shared" si="13"/>
        <v>-6418</v>
      </c>
      <c r="AS17" s="12"/>
      <c r="AT17" s="68"/>
      <c r="AU17" s="71">
        <f t="shared" si="14"/>
        <v>0</v>
      </c>
      <c r="AV17" s="12">
        <v>145000</v>
      </c>
      <c r="AW17" s="68">
        <f>8035+10000+5232+10000+6069+2729+10000+10000+10000+10000+10000+10000+9163+5000+10000</f>
        <v>126228</v>
      </c>
      <c r="AX17" s="71">
        <f t="shared" si="15"/>
        <v>-18772</v>
      </c>
      <c r="AY17" s="12"/>
      <c r="AZ17" s="68"/>
      <c r="BA17" s="71">
        <f t="shared" si="16"/>
        <v>0</v>
      </c>
      <c r="BB17" s="12"/>
      <c r="BC17" s="68"/>
      <c r="BD17" s="71">
        <f t="shared" si="17"/>
        <v>0</v>
      </c>
      <c r="BE17" s="12"/>
      <c r="BF17" s="68"/>
      <c r="BG17" s="71">
        <f t="shared" si="18"/>
        <v>0</v>
      </c>
      <c r="BH17" s="12"/>
      <c r="BI17" s="68"/>
      <c r="BJ17" s="71">
        <f t="shared" si="19"/>
        <v>0</v>
      </c>
      <c r="BK17" s="12"/>
      <c r="BL17" s="68"/>
      <c r="BM17" s="71">
        <f t="shared" si="20"/>
        <v>0</v>
      </c>
      <c r="BN17" s="12"/>
      <c r="BO17" s="68"/>
      <c r="BP17" s="71">
        <f t="shared" si="21"/>
        <v>0</v>
      </c>
      <c r="BQ17" s="12"/>
      <c r="BR17" s="68"/>
      <c r="BS17" s="71">
        <f t="shared" si="22"/>
        <v>0</v>
      </c>
      <c r="BT17" s="12"/>
      <c r="BU17" s="68"/>
      <c r="BV17" s="71">
        <f t="shared" si="23"/>
        <v>0</v>
      </c>
      <c r="BW17" s="12"/>
      <c r="BX17" s="68"/>
      <c r="BY17" s="71">
        <f t="shared" si="24"/>
        <v>0</v>
      </c>
      <c r="BZ17" s="12"/>
      <c r="CA17" s="68"/>
      <c r="CB17" s="71">
        <f t="shared" si="25"/>
        <v>0</v>
      </c>
      <c r="CC17" s="12"/>
      <c r="CD17" s="68"/>
      <c r="CE17" s="71">
        <f t="shared" si="26"/>
        <v>0</v>
      </c>
      <c r="CF17" s="12"/>
      <c r="CG17" s="68"/>
      <c r="CH17" s="71">
        <f t="shared" si="27"/>
        <v>0</v>
      </c>
      <c r="CI17" s="12"/>
      <c r="CJ17" s="68"/>
      <c r="CK17" s="71">
        <f t="shared" si="28"/>
        <v>0</v>
      </c>
      <c r="CL17" s="12"/>
      <c r="CM17" s="68"/>
      <c r="CN17" s="71">
        <f t="shared" si="29"/>
        <v>0</v>
      </c>
      <c r="CO17" s="12"/>
      <c r="CP17" s="68"/>
      <c r="CQ17" s="71">
        <f t="shared" si="30"/>
        <v>0</v>
      </c>
      <c r="CR17" s="12"/>
      <c r="CS17" s="68"/>
      <c r="CT17" s="71">
        <f t="shared" si="31"/>
        <v>0</v>
      </c>
      <c r="CU17" s="12"/>
      <c r="CV17" s="68"/>
      <c r="CW17" s="71">
        <f t="shared" si="32"/>
        <v>0</v>
      </c>
      <c r="CX17" s="12"/>
      <c r="CY17" s="68"/>
      <c r="CZ17" s="71">
        <f t="shared" si="33"/>
        <v>0</v>
      </c>
      <c r="DA17" s="12"/>
      <c r="DB17" s="68"/>
      <c r="DC17" s="71">
        <f t="shared" si="34"/>
        <v>0</v>
      </c>
      <c r="DD17" s="12"/>
      <c r="DE17" s="68"/>
      <c r="DF17" s="71">
        <f t="shared" si="35"/>
        <v>0</v>
      </c>
      <c r="DG17" s="12"/>
      <c r="DH17" s="68"/>
      <c r="DI17" s="71">
        <f t="shared" si="36"/>
        <v>0</v>
      </c>
      <c r="DJ17" s="12"/>
      <c r="DK17" s="68"/>
      <c r="DL17" s="71">
        <f t="shared" si="37"/>
        <v>0</v>
      </c>
      <c r="DM17" s="12"/>
      <c r="DN17" s="68"/>
      <c r="DO17" s="71">
        <f t="shared" si="38"/>
        <v>0</v>
      </c>
      <c r="DP17" s="12"/>
      <c r="DQ17" s="68"/>
      <c r="DR17" s="71">
        <f t="shared" si="39"/>
        <v>0</v>
      </c>
      <c r="DS17" s="71">
        <f t="shared" si="40"/>
        <v>270000</v>
      </c>
      <c r="DT17" s="71">
        <f t="shared" si="41"/>
        <v>223145</v>
      </c>
      <c r="DU17" s="71">
        <f t="shared" si="42"/>
        <v>-46855</v>
      </c>
      <c r="DV17" s="68">
        <f t="shared" si="47"/>
        <v>-314481</v>
      </c>
      <c r="DW17" s="73"/>
      <c r="DX17" s="71">
        <f t="shared" si="48"/>
        <v>125000</v>
      </c>
      <c r="DY17" s="71">
        <f t="shared" si="49"/>
        <v>96917</v>
      </c>
      <c r="DZ17" s="68">
        <f t="shared" si="50"/>
        <v>-28083</v>
      </c>
      <c r="EA17" s="68">
        <f t="shared" si="52"/>
        <v>-160791</v>
      </c>
      <c r="EB17" s="73"/>
      <c r="EC17" s="68">
        <f t="shared" si="51"/>
        <v>-18772</v>
      </c>
      <c r="ED17" s="68">
        <f t="shared" si="53"/>
        <v>-18772</v>
      </c>
      <c r="EE17" s="73"/>
      <c r="EF17" s="73"/>
      <c r="EG17" s="73"/>
      <c r="EH17" s="73"/>
      <c r="EI17" s="73"/>
      <c r="EJ17" s="73"/>
      <c r="EK17" s="73"/>
    </row>
    <row r="18" spans="1:141" x14ac:dyDescent="0.25">
      <c r="A18" s="67">
        <f>+BaseloadMarkets!A18</f>
        <v>36690</v>
      </c>
      <c r="B18" s="67" t="str">
        <f>+BaseloadMarkets!B18</f>
        <v>Tues</v>
      </c>
      <c r="C18" s="12">
        <v>5000</v>
      </c>
      <c r="D18" s="68">
        <v>5000</v>
      </c>
      <c r="E18" s="71">
        <f t="shared" si="0"/>
        <v>0</v>
      </c>
      <c r="F18" s="12">
        <v>5000</v>
      </c>
      <c r="G18" s="68">
        <v>5000</v>
      </c>
      <c r="H18" s="71">
        <f t="shared" si="1"/>
        <v>0</v>
      </c>
      <c r="I18" s="12">
        <v>5000</v>
      </c>
      <c r="J18" s="68">
        <v>5000</v>
      </c>
      <c r="K18" s="71">
        <f t="shared" si="2"/>
        <v>0</v>
      </c>
      <c r="L18" s="12">
        <v>10000</v>
      </c>
      <c r="M18" s="68">
        <v>10000</v>
      </c>
      <c r="N18" s="71">
        <f t="shared" si="3"/>
        <v>0</v>
      </c>
      <c r="O18" s="12">
        <v>5000</v>
      </c>
      <c r="P18" s="68">
        <v>5000</v>
      </c>
      <c r="Q18" s="71">
        <f t="shared" si="4"/>
        <v>0</v>
      </c>
      <c r="R18" s="12">
        <v>5000</v>
      </c>
      <c r="S18" s="68">
        <v>5000</v>
      </c>
      <c r="T18" s="71">
        <f t="shared" si="5"/>
        <v>0</v>
      </c>
      <c r="U18" s="12">
        <v>10000</v>
      </c>
      <c r="V18" s="68">
        <v>10000</v>
      </c>
      <c r="W18" s="71">
        <f t="shared" si="6"/>
        <v>0</v>
      </c>
      <c r="X18" s="12">
        <f t="shared" si="43"/>
        <v>20000</v>
      </c>
      <c r="Y18" s="12">
        <f t="shared" si="43"/>
        <v>20000</v>
      </c>
      <c r="Z18" s="71">
        <f t="shared" si="7"/>
        <v>0</v>
      </c>
      <c r="AA18" s="12">
        <v>5000</v>
      </c>
      <c r="AB18" s="68">
        <v>5000</v>
      </c>
      <c r="AC18" s="71">
        <f t="shared" si="8"/>
        <v>0</v>
      </c>
      <c r="AD18" s="12">
        <f t="shared" si="44"/>
        <v>15000</v>
      </c>
      <c r="AE18" s="12">
        <f t="shared" si="44"/>
        <v>15000</v>
      </c>
      <c r="AF18" s="71">
        <f t="shared" si="9"/>
        <v>0</v>
      </c>
      <c r="AG18" s="12">
        <v>5000</v>
      </c>
      <c r="AH18" s="68">
        <v>5000</v>
      </c>
      <c r="AI18" s="71">
        <f t="shared" si="10"/>
        <v>0</v>
      </c>
      <c r="AJ18" s="12">
        <f t="shared" si="45"/>
        <v>10000</v>
      </c>
      <c r="AK18" s="12">
        <f t="shared" si="45"/>
        <v>10000</v>
      </c>
      <c r="AL18" s="71">
        <f t="shared" si="11"/>
        <v>0</v>
      </c>
      <c r="AM18" s="12">
        <v>10000</v>
      </c>
      <c r="AN18" s="68">
        <v>10000</v>
      </c>
      <c r="AO18" s="71">
        <f t="shared" si="12"/>
        <v>0</v>
      </c>
      <c r="AP18" s="12">
        <f t="shared" si="46"/>
        <v>15000</v>
      </c>
      <c r="AQ18" s="12">
        <f t="shared" si="46"/>
        <v>15000</v>
      </c>
      <c r="AR18" s="71">
        <f t="shared" si="13"/>
        <v>0</v>
      </c>
      <c r="AS18" s="12"/>
      <c r="AT18" s="68"/>
      <c r="AU18" s="71">
        <f t="shared" si="14"/>
        <v>0</v>
      </c>
      <c r="AV18" s="12">
        <v>460000</v>
      </c>
      <c r="AW18" s="68">
        <v>460000</v>
      </c>
      <c r="AX18" s="71">
        <f t="shared" si="15"/>
        <v>0</v>
      </c>
      <c r="AY18" s="12"/>
      <c r="AZ18" s="68"/>
      <c r="BA18" s="71">
        <f t="shared" si="16"/>
        <v>0</v>
      </c>
      <c r="BB18" s="12"/>
      <c r="BC18" s="68"/>
      <c r="BD18" s="71">
        <f t="shared" si="17"/>
        <v>0</v>
      </c>
      <c r="BE18" s="12"/>
      <c r="BF18" s="68"/>
      <c r="BG18" s="71">
        <f t="shared" si="18"/>
        <v>0</v>
      </c>
      <c r="BH18" s="12"/>
      <c r="BI18" s="68"/>
      <c r="BJ18" s="71">
        <f t="shared" si="19"/>
        <v>0</v>
      </c>
      <c r="BK18" s="12"/>
      <c r="BL18" s="68"/>
      <c r="BM18" s="71">
        <f t="shared" si="20"/>
        <v>0</v>
      </c>
      <c r="BN18" s="12"/>
      <c r="BO18" s="68"/>
      <c r="BP18" s="71">
        <f t="shared" si="21"/>
        <v>0</v>
      </c>
      <c r="BQ18" s="12"/>
      <c r="BR18" s="68"/>
      <c r="BS18" s="71">
        <f t="shared" si="22"/>
        <v>0</v>
      </c>
      <c r="BT18" s="12"/>
      <c r="BU18" s="68"/>
      <c r="BV18" s="71">
        <f t="shared" si="23"/>
        <v>0</v>
      </c>
      <c r="BW18" s="12"/>
      <c r="BX18" s="68"/>
      <c r="BY18" s="71">
        <f t="shared" si="24"/>
        <v>0</v>
      </c>
      <c r="BZ18" s="12"/>
      <c r="CA18" s="68"/>
      <c r="CB18" s="71">
        <f t="shared" si="25"/>
        <v>0</v>
      </c>
      <c r="CC18" s="12"/>
      <c r="CD18" s="68"/>
      <c r="CE18" s="71">
        <f t="shared" si="26"/>
        <v>0</v>
      </c>
      <c r="CF18" s="12"/>
      <c r="CG18" s="68"/>
      <c r="CH18" s="71">
        <f t="shared" si="27"/>
        <v>0</v>
      </c>
      <c r="CI18" s="12"/>
      <c r="CJ18" s="68"/>
      <c r="CK18" s="71">
        <f t="shared" si="28"/>
        <v>0</v>
      </c>
      <c r="CL18" s="12"/>
      <c r="CM18" s="68"/>
      <c r="CN18" s="71">
        <f t="shared" si="29"/>
        <v>0</v>
      </c>
      <c r="CO18" s="12"/>
      <c r="CP18" s="68"/>
      <c r="CQ18" s="71">
        <f t="shared" si="30"/>
        <v>0</v>
      </c>
      <c r="CR18" s="12"/>
      <c r="CS18" s="68"/>
      <c r="CT18" s="71">
        <f t="shared" si="31"/>
        <v>0</v>
      </c>
      <c r="CU18" s="12"/>
      <c r="CV18" s="68"/>
      <c r="CW18" s="71">
        <f t="shared" si="32"/>
        <v>0</v>
      </c>
      <c r="CX18" s="12"/>
      <c r="CY18" s="68"/>
      <c r="CZ18" s="71">
        <f t="shared" si="33"/>
        <v>0</v>
      </c>
      <c r="DA18" s="12"/>
      <c r="DB18" s="68"/>
      <c r="DC18" s="71">
        <f t="shared" si="34"/>
        <v>0</v>
      </c>
      <c r="DD18" s="12"/>
      <c r="DE18" s="68"/>
      <c r="DF18" s="71">
        <f t="shared" si="35"/>
        <v>0</v>
      </c>
      <c r="DG18" s="12"/>
      <c r="DH18" s="68"/>
      <c r="DI18" s="71">
        <f t="shared" si="36"/>
        <v>0</v>
      </c>
      <c r="DJ18" s="12"/>
      <c r="DK18" s="68"/>
      <c r="DL18" s="71">
        <f t="shared" si="37"/>
        <v>0</v>
      </c>
      <c r="DM18" s="12"/>
      <c r="DN18" s="68"/>
      <c r="DO18" s="71">
        <f t="shared" si="38"/>
        <v>0</v>
      </c>
      <c r="DP18" s="12"/>
      <c r="DQ18" s="68"/>
      <c r="DR18" s="71">
        <f t="shared" si="39"/>
        <v>0</v>
      </c>
      <c r="DS18" s="71">
        <f t="shared" si="40"/>
        <v>585000</v>
      </c>
      <c r="DT18" s="71">
        <f t="shared" si="41"/>
        <v>585000</v>
      </c>
      <c r="DU18" s="71">
        <f t="shared" si="42"/>
        <v>0</v>
      </c>
      <c r="DV18" s="68">
        <f t="shared" si="47"/>
        <v>-314481</v>
      </c>
      <c r="DW18" s="73"/>
      <c r="DX18" s="71">
        <f t="shared" si="48"/>
        <v>125000</v>
      </c>
      <c r="DY18" s="71">
        <f t="shared" si="49"/>
        <v>125000</v>
      </c>
      <c r="DZ18" s="68">
        <f t="shared" si="50"/>
        <v>0</v>
      </c>
      <c r="EA18" s="68">
        <f t="shared" si="52"/>
        <v>-160791</v>
      </c>
      <c r="EB18" s="73"/>
      <c r="EC18" s="68">
        <f t="shared" si="51"/>
        <v>0</v>
      </c>
      <c r="ED18" s="68">
        <f t="shared" si="53"/>
        <v>0</v>
      </c>
      <c r="EE18" s="73"/>
      <c r="EF18" s="73"/>
      <c r="EG18" s="73"/>
      <c r="EH18" s="73"/>
      <c r="EI18" s="73"/>
      <c r="EJ18" s="73"/>
      <c r="EK18" s="73"/>
    </row>
    <row r="19" spans="1:141" x14ac:dyDescent="0.25">
      <c r="A19" s="67">
        <f>+BaseloadMarkets!A19</f>
        <v>36691</v>
      </c>
      <c r="B19" s="67" t="str">
        <f>+BaseloadMarkets!B19</f>
        <v>Wed</v>
      </c>
      <c r="C19" s="12">
        <v>5000</v>
      </c>
      <c r="D19" s="68">
        <v>5000</v>
      </c>
      <c r="E19" s="71">
        <f t="shared" si="0"/>
        <v>0</v>
      </c>
      <c r="F19" s="12">
        <v>5000</v>
      </c>
      <c r="G19" s="68">
        <v>5000</v>
      </c>
      <c r="H19" s="71">
        <f t="shared" si="1"/>
        <v>0</v>
      </c>
      <c r="I19" s="12">
        <v>5000</v>
      </c>
      <c r="J19" s="68">
        <v>5000</v>
      </c>
      <c r="K19" s="71">
        <f t="shared" si="2"/>
        <v>0</v>
      </c>
      <c r="L19" s="12">
        <v>10000</v>
      </c>
      <c r="M19" s="68">
        <v>5523</v>
      </c>
      <c r="N19" s="71">
        <f t="shared" si="3"/>
        <v>-4477</v>
      </c>
      <c r="O19" s="12">
        <v>5000</v>
      </c>
      <c r="P19" s="68">
        <v>5000</v>
      </c>
      <c r="Q19" s="71">
        <f t="shared" si="4"/>
        <v>0</v>
      </c>
      <c r="R19" s="12">
        <v>5000</v>
      </c>
      <c r="S19" s="68">
        <v>5000</v>
      </c>
      <c r="T19" s="71">
        <f t="shared" si="5"/>
        <v>0</v>
      </c>
      <c r="U19" s="12">
        <v>10000</v>
      </c>
      <c r="V19" s="68">
        <v>10000</v>
      </c>
      <c r="W19" s="71">
        <f t="shared" si="6"/>
        <v>0</v>
      </c>
      <c r="X19" s="12">
        <f t="shared" si="43"/>
        <v>20000</v>
      </c>
      <c r="Y19" s="12">
        <f t="shared" si="43"/>
        <v>20000</v>
      </c>
      <c r="Z19" s="71">
        <f t="shared" si="7"/>
        <v>0</v>
      </c>
      <c r="AA19" s="12">
        <v>5000</v>
      </c>
      <c r="AB19" s="68">
        <v>5000</v>
      </c>
      <c r="AC19" s="71">
        <f t="shared" si="8"/>
        <v>0</v>
      </c>
      <c r="AD19" s="12">
        <f t="shared" si="44"/>
        <v>15000</v>
      </c>
      <c r="AE19" s="12">
        <f t="shared" si="44"/>
        <v>15000</v>
      </c>
      <c r="AF19" s="71">
        <f t="shared" si="9"/>
        <v>0</v>
      </c>
      <c r="AG19" s="12">
        <v>5000</v>
      </c>
      <c r="AH19" s="68">
        <v>5000</v>
      </c>
      <c r="AI19" s="71">
        <f t="shared" si="10"/>
        <v>0</v>
      </c>
      <c r="AJ19" s="12">
        <f t="shared" si="45"/>
        <v>10000</v>
      </c>
      <c r="AK19" s="12">
        <f t="shared" si="45"/>
        <v>10000</v>
      </c>
      <c r="AL19" s="71">
        <f t="shared" si="11"/>
        <v>0</v>
      </c>
      <c r="AM19" s="12">
        <v>10000</v>
      </c>
      <c r="AN19" s="68">
        <v>10000</v>
      </c>
      <c r="AO19" s="71">
        <f t="shared" si="12"/>
        <v>0</v>
      </c>
      <c r="AP19" s="12">
        <f t="shared" si="46"/>
        <v>15000</v>
      </c>
      <c r="AQ19" s="12">
        <f t="shared" si="46"/>
        <v>15000</v>
      </c>
      <c r="AR19" s="71">
        <f t="shared" si="13"/>
        <v>0</v>
      </c>
      <c r="AS19" s="12"/>
      <c r="AT19" s="68"/>
      <c r="AU19" s="71">
        <f t="shared" si="14"/>
        <v>0</v>
      </c>
      <c r="AV19" s="12">
        <v>320000</v>
      </c>
      <c r="AW19" s="68">
        <f>320000-9000+1779+2225-15000+7456</f>
        <v>307460</v>
      </c>
      <c r="AX19" s="71">
        <f t="shared" si="15"/>
        <v>-12540</v>
      </c>
      <c r="AY19" s="12"/>
      <c r="AZ19" s="68"/>
      <c r="BA19" s="71">
        <f t="shared" si="16"/>
        <v>0</v>
      </c>
      <c r="BB19" s="12"/>
      <c r="BC19" s="68"/>
      <c r="BD19" s="71">
        <f t="shared" si="17"/>
        <v>0</v>
      </c>
      <c r="BE19" s="12"/>
      <c r="BF19" s="68"/>
      <c r="BG19" s="71">
        <f t="shared" si="18"/>
        <v>0</v>
      </c>
      <c r="BH19" s="12"/>
      <c r="BI19" s="68"/>
      <c r="BJ19" s="71">
        <f t="shared" si="19"/>
        <v>0</v>
      </c>
      <c r="BK19" s="12"/>
      <c r="BL19" s="68"/>
      <c r="BM19" s="71">
        <f t="shared" si="20"/>
        <v>0</v>
      </c>
      <c r="BN19" s="12"/>
      <c r="BO19" s="68"/>
      <c r="BP19" s="71">
        <f t="shared" si="21"/>
        <v>0</v>
      </c>
      <c r="BQ19" s="12"/>
      <c r="BR19" s="68"/>
      <c r="BS19" s="71">
        <f t="shared" si="22"/>
        <v>0</v>
      </c>
      <c r="BT19" s="12"/>
      <c r="BU19" s="68"/>
      <c r="BV19" s="71">
        <f t="shared" si="23"/>
        <v>0</v>
      </c>
      <c r="BW19" s="12"/>
      <c r="BX19" s="68"/>
      <c r="BY19" s="71">
        <f t="shared" si="24"/>
        <v>0</v>
      </c>
      <c r="BZ19" s="12"/>
      <c r="CA19" s="68"/>
      <c r="CB19" s="71">
        <f t="shared" si="25"/>
        <v>0</v>
      </c>
      <c r="CC19" s="12"/>
      <c r="CD19" s="68"/>
      <c r="CE19" s="71">
        <f t="shared" si="26"/>
        <v>0</v>
      </c>
      <c r="CF19" s="12"/>
      <c r="CG19" s="68"/>
      <c r="CH19" s="71">
        <f t="shared" si="27"/>
        <v>0</v>
      </c>
      <c r="CI19" s="12"/>
      <c r="CJ19" s="68"/>
      <c r="CK19" s="71">
        <f t="shared" si="28"/>
        <v>0</v>
      </c>
      <c r="CL19" s="12"/>
      <c r="CM19" s="68"/>
      <c r="CN19" s="71">
        <f t="shared" si="29"/>
        <v>0</v>
      </c>
      <c r="CO19" s="12"/>
      <c r="CP19" s="68"/>
      <c r="CQ19" s="71">
        <f t="shared" si="30"/>
        <v>0</v>
      </c>
      <c r="CR19" s="12"/>
      <c r="CS19" s="68"/>
      <c r="CT19" s="71">
        <f t="shared" si="31"/>
        <v>0</v>
      </c>
      <c r="CU19" s="12"/>
      <c r="CV19" s="68"/>
      <c r="CW19" s="71">
        <f t="shared" si="32"/>
        <v>0</v>
      </c>
      <c r="CX19" s="12"/>
      <c r="CY19" s="68"/>
      <c r="CZ19" s="71">
        <f t="shared" si="33"/>
        <v>0</v>
      </c>
      <c r="DA19" s="12"/>
      <c r="DB19" s="68"/>
      <c r="DC19" s="71">
        <f t="shared" si="34"/>
        <v>0</v>
      </c>
      <c r="DD19" s="12"/>
      <c r="DE19" s="68"/>
      <c r="DF19" s="71">
        <f t="shared" si="35"/>
        <v>0</v>
      </c>
      <c r="DG19" s="12"/>
      <c r="DH19" s="68"/>
      <c r="DI19" s="71">
        <f t="shared" si="36"/>
        <v>0</v>
      </c>
      <c r="DJ19" s="12"/>
      <c r="DK19" s="68"/>
      <c r="DL19" s="71">
        <f t="shared" si="37"/>
        <v>0</v>
      </c>
      <c r="DM19" s="12"/>
      <c r="DN19" s="68"/>
      <c r="DO19" s="71">
        <f t="shared" si="38"/>
        <v>0</v>
      </c>
      <c r="DP19" s="12"/>
      <c r="DQ19" s="68"/>
      <c r="DR19" s="71">
        <f t="shared" si="39"/>
        <v>0</v>
      </c>
      <c r="DS19" s="71">
        <f t="shared" si="40"/>
        <v>445000</v>
      </c>
      <c r="DT19" s="71">
        <f t="shared" si="41"/>
        <v>427983</v>
      </c>
      <c r="DU19" s="71">
        <f t="shared" si="42"/>
        <v>-17017</v>
      </c>
      <c r="DV19" s="68">
        <f t="shared" si="47"/>
        <v>-331498</v>
      </c>
      <c r="DW19" s="73"/>
      <c r="DX19" s="71">
        <f t="shared" si="48"/>
        <v>125000</v>
      </c>
      <c r="DY19" s="71">
        <f t="shared" si="49"/>
        <v>120523</v>
      </c>
      <c r="DZ19" s="68">
        <f t="shared" si="50"/>
        <v>-4477</v>
      </c>
      <c r="EA19" s="68">
        <f t="shared" si="52"/>
        <v>-165268</v>
      </c>
      <c r="EB19" s="73"/>
      <c r="EC19" s="68">
        <f t="shared" si="51"/>
        <v>-12540</v>
      </c>
      <c r="ED19" s="68">
        <f t="shared" si="53"/>
        <v>-12540</v>
      </c>
      <c r="EE19" s="73"/>
      <c r="EF19" s="73"/>
      <c r="EG19" s="73"/>
      <c r="EH19" s="73"/>
      <c r="EI19" s="73"/>
      <c r="EJ19" s="73"/>
      <c r="EK19" s="73"/>
    </row>
    <row r="20" spans="1:141" x14ac:dyDescent="0.25">
      <c r="A20" s="67">
        <f>+BaseloadMarkets!A20</f>
        <v>36692</v>
      </c>
      <c r="B20" s="67" t="str">
        <f>+BaseloadMarkets!B20</f>
        <v>Thu</v>
      </c>
      <c r="C20" s="12">
        <v>5000</v>
      </c>
      <c r="D20" s="68">
        <v>5000</v>
      </c>
      <c r="E20" s="71">
        <f t="shared" si="0"/>
        <v>0</v>
      </c>
      <c r="F20" s="12">
        <v>5000</v>
      </c>
      <c r="G20" s="68">
        <v>5000</v>
      </c>
      <c r="H20" s="71">
        <f t="shared" si="1"/>
        <v>0</v>
      </c>
      <c r="I20" s="12">
        <v>5000</v>
      </c>
      <c r="J20" s="68">
        <v>5000</v>
      </c>
      <c r="K20" s="71">
        <f t="shared" si="2"/>
        <v>0</v>
      </c>
      <c r="L20" s="12">
        <v>10000</v>
      </c>
      <c r="M20" s="68">
        <v>5808</v>
      </c>
      <c r="N20" s="71">
        <f t="shared" si="3"/>
        <v>-4192</v>
      </c>
      <c r="O20" s="12">
        <v>5000</v>
      </c>
      <c r="P20" s="68">
        <v>5000</v>
      </c>
      <c r="Q20" s="71">
        <f t="shared" si="4"/>
        <v>0</v>
      </c>
      <c r="R20" s="12">
        <v>5000</v>
      </c>
      <c r="S20" s="68">
        <v>5000</v>
      </c>
      <c r="T20" s="71">
        <f t="shared" si="5"/>
        <v>0</v>
      </c>
      <c r="U20" s="12">
        <v>10000</v>
      </c>
      <c r="V20" s="68">
        <v>10000</v>
      </c>
      <c r="W20" s="71">
        <f t="shared" si="6"/>
        <v>0</v>
      </c>
      <c r="X20" s="12">
        <f t="shared" si="43"/>
        <v>20000</v>
      </c>
      <c r="Y20" s="12">
        <f t="shared" si="43"/>
        <v>20000</v>
      </c>
      <c r="Z20" s="71">
        <f t="shared" si="7"/>
        <v>0</v>
      </c>
      <c r="AA20" s="12">
        <v>5000</v>
      </c>
      <c r="AB20" s="68">
        <v>5000</v>
      </c>
      <c r="AC20" s="71">
        <f t="shared" si="8"/>
        <v>0</v>
      </c>
      <c r="AD20" s="12">
        <f t="shared" si="44"/>
        <v>15000</v>
      </c>
      <c r="AE20" s="12">
        <f t="shared" si="44"/>
        <v>15000</v>
      </c>
      <c r="AF20" s="71">
        <f t="shared" si="9"/>
        <v>0</v>
      </c>
      <c r="AG20" s="12">
        <v>5000</v>
      </c>
      <c r="AH20" s="68">
        <v>5000</v>
      </c>
      <c r="AI20" s="71">
        <f t="shared" si="10"/>
        <v>0</v>
      </c>
      <c r="AJ20" s="12">
        <f t="shared" si="45"/>
        <v>10000</v>
      </c>
      <c r="AK20" s="12">
        <f t="shared" si="45"/>
        <v>10000</v>
      </c>
      <c r="AL20" s="71">
        <f t="shared" si="11"/>
        <v>0</v>
      </c>
      <c r="AM20" s="12">
        <v>10000</v>
      </c>
      <c r="AN20" s="68">
        <v>10000</v>
      </c>
      <c r="AO20" s="71">
        <f t="shared" si="12"/>
        <v>0</v>
      </c>
      <c r="AP20" s="12">
        <f t="shared" si="46"/>
        <v>15000</v>
      </c>
      <c r="AQ20" s="12">
        <f t="shared" si="46"/>
        <v>15000</v>
      </c>
      <c r="AR20" s="71">
        <f t="shared" si="13"/>
        <v>0</v>
      </c>
      <c r="AS20" s="12"/>
      <c r="AT20" s="68"/>
      <c r="AU20" s="71">
        <f t="shared" si="14"/>
        <v>0</v>
      </c>
      <c r="AV20" s="12">
        <v>215000</v>
      </c>
      <c r="AW20" s="68">
        <f>215000-20000+6198+6197-9000+1417+1772-15000+5000+4941-10000+5808</f>
        <v>192333</v>
      </c>
      <c r="AX20" s="71">
        <f t="shared" si="15"/>
        <v>-22667</v>
      </c>
      <c r="AY20" s="12"/>
      <c r="AZ20" s="68"/>
      <c r="BA20" s="71">
        <f t="shared" si="16"/>
        <v>0</v>
      </c>
      <c r="BB20" s="12"/>
      <c r="BC20" s="68"/>
      <c r="BD20" s="71">
        <f t="shared" si="17"/>
        <v>0</v>
      </c>
      <c r="BE20" s="12"/>
      <c r="BF20" s="68"/>
      <c r="BG20" s="71">
        <f t="shared" si="18"/>
        <v>0</v>
      </c>
      <c r="BH20" s="12"/>
      <c r="BI20" s="68"/>
      <c r="BJ20" s="71">
        <f t="shared" si="19"/>
        <v>0</v>
      </c>
      <c r="BK20" s="12"/>
      <c r="BL20" s="68"/>
      <c r="BM20" s="71">
        <f t="shared" si="20"/>
        <v>0</v>
      </c>
      <c r="BN20" s="12"/>
      <c r="BO20" s="68"/>
      <c r="BP20" s="71">
        <f t="shared" si="21"/>
        <v>0</v>
      </c>
      <c r="BQ20" s="12"/>
      <c r="BR20" s="68"/>
      <c r="BS20" s="71">
        <f t="shared" si="22"/>
        <v>0</v>
      </c>
      <c r="BT20" s="12"/>
      <c r="BU20" s="68"/>
      <c r="BV20" s="71">
        <f t="shared" si="23"/>
        <v>0</v>
      </c>
      <c r="BW20" s="12"/>
      <c r="BX20" s="68"/>
      <c r="BY20" s="71">
        <f t="shared" si="24"/>
        <v>0</v>
      </c>
      <c r="BZ20" s="12"/>
      <c r="CA20" s="68"/>
      <c r="CB20" s="71">
        <f t="shared" si="25"/>
        <v>0</v>
      </c>
      <c r="CC20" s="12"/>
      <c r="CD20" s="68"/>
      <c r="CE20" s="71">
        <f t="shared" si="26"/>
        <v>0</v>
      </c>
      <c r="CF20" s="12"/>
      <c r="CG20" s="68"/>
      <c r="CH20" s="71">
        <f t="shared" si="27"/>
        <v>0</v>
      </c>
      <c r="CI20" s="12"/>
      <c r="CJ20" s="68"/>
      <c r="CK20" s="71">
        <f t="shared" si="28"/>
        <v>0</v>
      </c>
      <c r="CL20" s="12"/>
      <c r="CM20" s="68"/>
      <c r="CN20" s="71">
        <f t="shared" si="29"/>
        <v>0</v>
      </c>
      <c r="CO20" s="12"/>
      <c r="CP20" s="68"/>
      <c r="CQ20" s="71">
        <f t="shared" si="30"/>
        <v>0</v>
      </c>
      <c r="CR20" s="12"/>
      <c r="CS20" s="68"/>
      <c r="CT20" s="71">
        <f t="shared" si="31"/>
        <v>0</v>
      </c>
      <c r="CU20" s="12"/>
      <c r="CV20" s="68"/>
      <c r="CW20" s="71">
        <f t="shared" si="32"/>
        <v>0</v>
      </c>
      <c r="CX20" s="12"/>
      <c r="CY20" s="68"/>
      <c r="CZ20" s="71">
        <f t="shared" si="33"/>
        <v>0</v>
      </c>
      <c r="DA20" s="12"/>
      <c r="DB20" s="68"/>
      <c r="DC20" s="71">
        <f t="shared" si="34"/>
        <v>0</v>
      </c>
      <c r="DD20" s="12"/>
      <c r="DE20" s="68"/>
      <c r="DF20" s="71">
        <f t="shared" si="35"/>
        <v>0</v>
      </c>
      <c r="DG20" s="12"/>
      <c r="DH20" s="68"/>
      <c r="DI20" s="71">
        <f t="shared" si="36"/>
        <v>0</v>
      </c>
      <c r="DJ20" s="12"/>
      <c r="DK20" s="68"/>
      <c r="DL20" s="71">
        <f t="shared" si="37"/>
        <v>0</v>
      </c>
      <c r="DM20" s="12"/>
      <c r="DN20" s="68"/>
      <c r="DO20" s="71">
        <f t="shared" si="38"/>
        <v>0</v>
      </c>
      <c r="DP20" s="12"/>
      <c r="DQ20" s="68"/>
      <c r="DR20" s="71">
        <f t="shared" si="39"/>
        <v>0</v>
      </c>
      <c r="DS20" s="71">
        <f t="shared" si="40"/>
        <v>340000</v>
      </c>
      <c r="DT20" s="71">
        <f t="shared" si="41"/>
        <v>313141</v>
      </c>
      <c r="DU20" s="71">
        <f t="shared" si="42"/>
        <v>-26859</v>
      </c>
      <c r="DV20" s="68">
        <f t="shared" si="47"/>
        <v>-358357</v>
      </c>
      <c r="DW20" s="73"/>
      <c r="DX20" s="71">
        <f t="shared" si="48"/>
        <v>125000</v>
      </c>
      <c r="DY20" s="71">
        <f t="shared" si="49"/>
        <v>120808</v>
      </c>
      <c r="DZ20" s="68">
        <f t="shared" si="50"/>
        <v>-4192</v>
      </c>
      <c r="EA20" s="68">
        <f t="shared" si="52"/>
        <v>-169460</v>
      </c>
      <c r="EB20" s="73"/>
      <c r="EC20" s="68">
        <f t="shared" si="51"/>
        <v>-22667</v>
      </c>
      <c r="ED20" s="68">
        <f t="shared" si="53"/>
        <v>-22667</v>
      </c>
      <c r="EE20" s="73"/>
      <c r="EF20" s="73"/>
      <c r="EG20" s="73"/>
      <c r="EH20" s="73"/>
      <c r="EI20" s="73"/>
      <c r="EJ20" s="73"/>
      <c r="EK20" s="73"/>
    </row>
    <row r="21" spans="1:141" x14ac:dyDescent="0.25">
      <c r="A21" s="67">
        <f>+BaseloadMarkets!A21</f>
        <v>36693</v>
      </c>
      <c r="B21" s="67" t="str">
        <f>+BaseloadMarkets!B21</f>
        <v>Fri</v>
      </c>
      <c r="C21" s="12">
        <v>5000</v>
      </c>
      <c r="D21" s="68">
        <v>5000</v>
      </c>
      <c r="E21" s="71">
        <f t="shared" si="0"/>
        <v>0</v>
      </c>
      <c r="F21" s="12">
        <v>5000</v>
      </c>
      <c r="G21" s="68">
        <v>5000</v>
      </c>
      <c r="H21" s="71">
        <f t="shared" si="1"/>
        <v>0</v>
      </c>
      <c r="I21" s="12">
        <v>5000</v>
      </c>
      <c r="J21" s="68">
        <v>5000</v>
      </c>
      <c r="K21" s="71">
        <f t="shared" si="2"/>
        <v>0</v>
      </c>
      <c r="L21" s="12">
        <v>10000</v>
      </c>
      <c r="M21" s="68">
        <v>10000</v>
      </c>
      <c r="N21" s="71">
        <f t="shared" si="3"/>
        <v>0</v>
      </c>
      <c r="O21" s="12">
        <v>5000</v>
      </c>
      <c r="P21" s="68">
        <v>5000</v>
      </c>
      <c r="Q21" s="71">
        <f t="shared" si="4"/>
        <v>0</v>
      </c>
      <c r="R21" s="12">
        <v>5000</v>
      </c>
      <c r="S21" s="68">
        <v>5000</v>
      </c>
      <c r="T21" s="71">
        <f t="shared" si="5"/>
        <v>0</v>
      </c>
      <c r="U21" s="12">
        <v>10000</v>
      </c>
      <c r="V21" s="68">
        <v>10000</v>
      </c>
      <c r="W21" s="71">
        <f t="shared" si="6"/>
        <v>0</v>
      </c>
      <c r="X21" s="12">
        <f t="shared" si="43"/>
        <v>20000</v>
      </c>
      <c r="Y21" s="12">
        <f t="shared" si="43"/>
        <v>20000</v>
      </c>
      <c r="Z21" s="71">
        <f t="shared" si="7"/>
        <v>0</v>
      </c>
      <c r="AA21" s="12">
        <v>5000</v>
      </c>
      <c r="AB21" s="68">
        <v>5000</v>
      </c>
      <c r="AC21" s="71">
        <f t="shared" si="8"/>
        <v>0</v>
      </c>
      <c r="AD21" s="12">
        <f t="shared" si="44"/>
        <v>15000</v>
      </c>
      <c r="AE21" s="12">
        <f t="shared" si="44"/>
        <v>15000</v>
      </c>
      <c r="AF21" s="71">
        <f t="shared" si="9"/>
        <v>0</v>
      </c>
      <c r="AG21" s="12">
        <v>5000</v>
      </c>
      <c r="AH21" s="68">
        <v>5000</v>
      </c>
      <c r="AI21" s="71">
        <f t="shared" si="10"/>
        <v>0</v>
      </c>
      <c r="AJ21" s="12">
        <f t="shared" si="45"/>
        <v>10000</v>
      </c>
      <c r="AK21" s="12">
        <f t="shared" si="45"/>
        <v>10000</v>
      </c>
      <c r="AL21" s="71">
        <f t="shared" si="11"/>
        <v>0</v>
      </c>
      <c r="AM21" s="12">
        <v>10000</v>
      </c>
      <c r="AN21" s="68">
        <v>10000</v>
      </c>
      <c r="AO21" s="71">
        <f t="shared" si="12"/>
        <v>0</v>
      </c>
      <c r="AP21" s="12">
        <f t="shared" si="46"/>
        <v>15000</v>
      </c>
      <c r="AQ21" s="12">
        <f t="shared" si="46"/>
        <v>15000</v>
      </c>
      <c r="AR21" s="71">
        <f t="shared" si="13"/>
        <v>0</v>
      </c>
      <c r="AS21" s="12"/>
      <c r="AT21" s="68"/>
      <c r="AU21" s="71">
        <f t="shared" si="14"/>
        <v>0</v>
      </c>
      <c r="AV21" s="12">
        <v>130000</v>
      </c>
      <c r="AW21" s="68">
        <v>130000</v>
      </c>
      <c r="AX21" s="71">
        <f t="shared" si="15"/>
        <v>0</v>
      </c>
      <c r="AY21" s="12"/>
      <c r="AZ21" s="68"/>
      <c r="BA21" s="71">
        <f t="shared" si="16"/>
        <v>0</v>
      </c>
      <c r="BB21" s="12"/>
      <c r="BC21" s="68"/>
      <c r="BD21" s="71">
        <f t="shared" si="17"/>
        <v>0</v>
      </c>
      <c r="BE21" s="12"/>
      <c r="BF21" s="68"/>
      <c r="BG21" s="71">
        <f t="shared" si="18"/>
        <v>0</v>
      </c>
      <c r="BH21" s="12"/>
      <c r="BI21" s="68"/>
      <c r="BJ21" s="71">
        <f t="shared" si="19"/>
        <v>0</v>
      </c>
      <c r="BK21" s="12"/>
      <c r="BL21" s="68"/>
      <c r="BM21" s="71">
        <f t="shared" si="20"/>
        <v>0</v>
      </c>
      <c r="BN21" s="12"/>
      <c r="BO21" s="68"/>
      <c r="BP21" s="71">
        <f t="shared" si="21"/>
        <v>0</v>
      </c>
      <c r="BQ21" s="12"/>
      <c r="BR21" s="68"/>
      <c r="BS21" s="71">
        <f t="shared" si="22"/>
        <v>0</v>
      </c>
      <c r="BT21" s="12"/>
      <c r="BU21" s="68"/>
      <c r="BV21" s="71">
        <f t="shared" si="23"/>
        <v>0</v>
      </c>
      <c r="BW21" s="12"/>
      <c r="BX21" s="68"/>
      <c r="BY21" s="71">
        <f t="shared" si="24"/>
        <v>0</v>
      </c>
      <c r="BZ21" s="12"/>
      <c r="CA21" s="68"/>
      <c r="CB21" s="71">
        <f t="shared" si="25"/>
        <v>0</v>
      </c>
      <c r="CC21" s="12"/>
      <c r="CD21" s="68"/>
      <c r="CE21" s="71">
        <f t="shared" si="26"/>
        <v>0</v>
      </c>
      <c r="CF21" s="12"/>
      <c r="CG21" s="68"/>
      <c r="CH21" s="71">
        <f t="shared" si="27"/>
        <v>0</v>
      </c>
      <c r="CI21" s="12"/>
      <c r="CJ21" s="68"/>
      <c r="CK21" s="71">
        <f t="shared" si="28"/>
        <v>0</v>
      </c>
      <c r="CL21" s="12"/>
      <c r="CM21" s="68"/>
      <c r="CN21" s="71">
        <f t="shared" si="29"/>
        <v>0</v>
      </c>
      <c r="CO21" s="12"/>
      <c r="CP21" s="68"/>
      <c r="CQ21" s="71">
        <f t="shared" si="30"/>
        <v>0</v>
      </c>
      <c r="CR21" s="12"/>
      <c r="CS21" s="68"/>
      <c r="CT21" s="71">
        <f t="shared" si="31"/>
        <v>0</v>
      </c>
      <c r="CU21" s="12"/>
      <c r="CV21" s="68"/>
      <c r="CW21" s="71">
        <f t="shared" si="32"/>
        <v>0</v>
      </c>
      <c r="CX21" s="12"/>
      <c r="CY21" s="68"/>
      <c r="CZ21" s="71">
        <f t="shared" si="33"/>
        <v>0</v>
      </c>
      <c r="DA21" s="12"/>
      <c r="DB21" s="68"/>
      <c r="DC21" s="71">
        <f t="shared" si="34"/>
        <v>0</v>
      </c>
      <c r="DD21" s="12"/>
      <c r="DE21" s="68"/>
      <c r="DF21" s="71">
        <f t="shared" si="35"/>
        <v>0</v>
      </c>
      <c r="DG21" s="12"/>
      <c r="DH21" s="68"/>
      <c r="DI21" s="71">
        <f t="shared" si="36"/>
        <v>0</v>
      </c>
      <c r="DJ21" s="12"/>
      <c r="DK21" s="68"/>
      <c r="DL21" s="71">
        <f t="shared" si="37"/>
        <v>0</v>
      </c>
      <c r="DM21" s="12"/>
      <c r="DN21" s="68"/>
      <c r="DO21" s="71">
        <f t="shared" si="38"/>
        <v>0</v>
      </c>
      <c r="DP21" s="12"/>
      <c r="DQ21" s="68"/>
      <c r="DR21" s="71">
        <f t="shared" si="39"/>
        <v>0</v>
      </c>
      <c r="DS21" s="71">
        <f t="shared" si="40"/>
        <v>255000</v>
      </c>
      <c r="DT21" s="71">
        <f t="shared" si="41"/>
        <v>255000</v>
      </c>
      <c r="DU21" s="71">
        <f t="shared" si="42"/>
        <v>0</v>
      </c>
      <c r="DV21" s="68">
        <f t="shared" si="47"/>
        <v>-358357</v>
      </c>
      <c r="DW21" s="73"/>
      <c r="DX21" s="71">
        <f t="shared" si="48"/>
        <v>125000</v>
      </c>
      <c r="DY21" s="71">
        <f t="shared" si="49"/>
        <v>125000</v>
      </c>
      <c r="DZ21" s="68">
        <f t="shared" si="50"/>
        <v>0</v>
      </c>
      <c r="EA21" s="68">
        <f t="shared" si="52"/>
        <v>-169460</v>
      </c>
      <c r="EB21" s="73"/>
      <c r="EC21" s="68">
        <f t="shared" si="51"/>
        <v>0</v>
      </c>
      <c r="ED21" s="68">
        <f t="shared" si="53"/>
        <v>0</v>
      </c>
      <c r="EE21" s="73"/>
      <c r="EF21" s="73"/>
      <c r="EG21" s="73"/>
      <c r="EH21" s="73"/>
      <c r="EI21" s="73"/>
      <c r="EJ21" s="73"/>
      <c r="EK21" s="73"/>
    </row>
    <row r="22" spans="1:141" x14ac:dyDescent="0.25">
      <c r="A22" s="67">
        <f>+BaseloadMarkets!A22</f>
        <v>36694</v>
      </c>
      <c r="B22" s="67" t="str">
        <f>+BaseloadMarkets!B22</f>
        <v>Sat</v>
      </c>
      <c r="C22" s="12">
        <v>5000</v>
      </c>
      <c r="D22" s="68">
        <v>5000</v>
      </c>
      <c r="E22" s="71">
        <f t="shared" si="0"/>
        <v>0</v>
      </c>
      <c r="F22" s="12">
        <v>5000</v>
      </c>
      <c r="G22" s="68">
        <v>5000</v>
      </c>
      <c r="H22" s="71">
        <f t="shared" si="1"/>
        <v>0</v>
      </c>
      <c r="I22" s="12">
        <v>5000</v>
      </c>
      <c r="J22" s="68">
        <v>5000</v>
      </c>
      <c r="K22" s="71">
        <f t="shared" si="2"/>
        <v>0</v>
      </c>
      <c r="L22" s="12">
        <v>10000</v>
      </c>
      <c r="M22" s="68">
        <v>7405</v>
      </c>
      <c r="N22" s="71">
        <f t="shared" si="3"/>
        <v>-2595</v>
      </c>
      <c r="O22" s="12">
        <v>5000</v>
      </c>
      <c r="P22" s="68">
        <v>5000</v>
      </c>
      <c r="Q22" s="71">
        <f t="shared" si="4"/>
        <v>0</v>
      </c>
      <c r="R22" s="12">
        <v>5000</v>
      </c>
      <c r="S22" s="68">
        <v>5000</v>
      </c>
      <c r="T22" s="71">
        <f t="shared" si="5"/>
        <v>0</v>
      </c>
      <c r="U22" s="12">
        <v>10000</v>
      </c>
      <c r="V22" s="68">
        <v>10000</v>
      </c>
      <c r="W22" s="71">
        <f t="shared" si="6"/>
        <v>0</v>
      </c>
      <c r="X22" s="12">
        <f t="shared" si="43"/>
        <v>20000</v>
      </c>
      <c r="Y22" s="12">
        <f t="shared" si="43"/>
        <v>20000</v>
      </c>
      <c r="Z22" s="71">
        <f t="shared" si="7"/>
        <v>0</v>
      </c>
      <c r="AA22" s="12">
        <v>5000</v>
      </c>
      <c r="AB22" s="68">
        <v>5000</v>
      </c>
      <c r="AC22" s="71">
        <f t="shared" si="8"/>
        <v>0</v>
      </c>
      <c r="AD22" s="12">
        <f t="shared" si="44"/>
        <v>15000</v>
      </c>
      <c r="AE22" s="12">
        <f t="shared" si="44"/>
        <v>15000</v>
      </c>
      <c r="AF22" s="71">
        <f t="shared" si="9"/>
        <v>0</v>
      </c>
      <c r="AG22" s="12">
        <v>5000</v>
      </c>
      <c r="AH22" s="68">
        <v>5000</v>
      </c>
      <c r="AI22" s="71">
        <f t="shared" si="10"/>
        <v>0</v>
      </c>
      <c r="AJ22" s="12">
        <f t="shared" si="45"/>
        <v>10000</v>
      </c>
      <c r="AK22" s="12">
        <f t="shared" si="45"/>
        <v>10000</v>
      </c>
      <c r="AL22" s="71">
        <f t="shared" si="11"/>
        <v>0</v>
      </c>
      <c r="AM22" s="12">
        <v>10000</v>
      </c>
      <c r="AN22" s="68">
        <v>10000</v>
      </c>
      <c r="AO22" s="71">
        <f t="shared" si="12"/>
        <v>0</v>
      </c>
      <c r="AP22" s="12">
        <f t="shared" si="46"/>
        <v>15000</v>
      </c>
      <c r="AQ22" s="12">
        <f t="shared" si="46"/>
        <v>15000</v>
      </c>
      <c r="AR22" s="71">
        <f t="shared" si="13"/>
        <v>0</v>
      </c>
      <c r="AS22" s="12"/>
      <c r="AT22" s="68"/>
      <c r="AU22" s="71">
        <f t="shared" si="14"/>
        <v>0</v>
      </c>
      <c r="AV22" s="12">
        <v>100000</v>
      </c>
      <c r="AW22" s="68">
        <v>83638</v>
      </c>
      <c r="AX22" s="71">
        <f t="shared" si="15"/>
        <v>-16362</v>
      </c>
      <c r="AY22" s="12"/>
      <c r="AZ22" s="68"/>
      <c r="BA22" s="71">
        <f t="shared" si="16"/>
        <v>0</v>
      </c>
      <c r="BB22" s="12"/>
      <c r="BC22" s="68"/>
      <c r="BD22" s="71">
        <f t="shared" si="17"/>
        <v>0</v>
      </c>
      <c r="BE22" s="12"/>
      <c r="BF22" s="68"/>
      <c r="BG22" s="71">
        <f t="shared" si="18"/>
        <v>0</v>
      </c>
      <c r="BH22" s="12"/>
      <c r="BI22" s="68"/>
      <c r="BJ22" s="71">
        <f t="shared" si="19"/>
        <v>0</v>
      </c>
      <c r="BK22" s="12"/>
      <c r="BL22" s="68"/>
      <c r="BM22" s="71">
        <f t="shared" si="20"/>
        <v>0</v>
      </c>
      <c r="BN22" s="12"/>
      <c r="BO22" s="68"/>
      <c r="BP22" s="71">
        <f t="shared" si="21"/>
        <v>0</v>
      </c>
      <c r="BQ22" s="12"/>
      <c r="BR22" s="68"/>
      <c r="BS22" s="71">
        <f t="shared" si="22"/>
        <v>0</v>
      </c>
      <c r="BT22" s="12"/>
      <c r="BU22" s="68"/>
      <c r="BV22" s="71">
        <f t="shared" si="23"/>
        <v>0</v>
      </c>
      <c r="BW22" s="12"/>
      <c r="BX22" s="68"/>
      <c r="BY22" s="71">
        <f t="shared" si="24"/>
        <v>0</v>
      </c>
      <c r="BZ22" s="12"/>
      <c r="CA22" s="68"/>
      <c r="CB22" s="71">
        <f t="shared" si="25"/>
        <v>0</v>
      </c>
      <c r="CC22" s="12"/>
      <c r="CD22" s="68"/>
      <c r="CE22" s="71">
        <f t="shared" si="26"/>
        <v>0</v>
      </c>
      <c r="CF22" s="12"/>
      <c r="CG22" s="68"/>
      <c r="CH22" s="71">
        <f t="shared" si="27"/>
        <v>0</v>
      </c>
      <c r="CI22" s="12"/>
      <c r="CJ22" s="68"/>
      <c r="CK22" s="71">
        <f t="shared" si="28"/>
        <v>0</v>
      </c>
      <c r="CL22" s="12"/>
      <c r="CM22" s="68"/>
      <c r="CN22" s="71">
        <f t="shared" si="29"/>
        <v>0</v>
      </c>
      <c r="CO22" s="12"/>
      <c r="CP22" s="68"/>
      <c r="CQ22" s="71">
        <f t="shared" si="30"/>
        <v>0</v>
      </c>
      <c r="CR22" s="12"/>
      <c r="CS22" s="68"/>
      <c r="CT22" s="71">
        <f t="shared" si="31"/>
        <v>0</v>
      </c>
      <c r="CU22" s="12"/>
      <c r="CV22" s="68"/>
      <c r="CW22" s="71">
        <f t="shared" si="32"/>
        <v>0</v>
      </c>
      <c r="CX22" s="12"/>
      <c r="CY22" s="68"/>
      <c r="CZ22" s="71">
        <f t="shared" si="33"/>
        <v>0</v>
      </c>
      <c r="DA22" s="12"/>
      <c r="DB22" s="68"/>
      <c r="DC22" s="71">
        <f t="shared" si="34"/>
        <v>0</v>
      </c>
      <c r="DD22" s="12"/>
      <c r="DE22" s="68"/>
      <c r="DF22" s="71">
        <f t="shared" si="35"/>
        <v>0</v>
      </c>
      <c r="DG22" s="12"/>
      <c r="DH22" s="68"/>
      <c r="DI22" s="71">
        <f t="shared" si="36"/>
        <v>0</v>
      </c>
      <c r="DJ22" s="12"/>
      <c r="DK22" s="68"/>
      <c r="DL22" s="71">
        <f t="shared" si="37"/>
        <v>0</v>
      </c>
      <c r="DM22" s="12"/>
      <c r="DN22" s="68"/>
      <c r="DO22" s="71">
        <f t="shared" si="38"/>
        <v>0</v>
      </c>
      <c r="DP22" s="12"/>
      <c r="DQ22" s="68"/>
      <c r="DR22" s="71">
        <f t="shared" si="39"/>
        <v>0</v>
      </c>
      <c r="DS22" s="71">
        <f t="shared" si="40"/>
        <v>225000</v>
      </c>
      <c r="DT22" s="71">
        <f t="shared" si="41"/>
        <v>206043</v>
      </c>
      <c r="DU22" s="71">
        <f t="shared" si="42"/>
        <v>-18957</v>
      </c>
      <c r="DV22" s="68">
        <f t="shared" si="47"/>
        <v>-377314</v>
      </c>
      <c r="DW22" s="73"/>
      <c r="DX22" s="71">
        <f t="shared" si="48"/>
        <v>125000</v>
      </c>
      <c r="DY22" s="71">
        <f t="shared" si="49"/>
        <v>122405</v>
      </c>
      <c r="DZ22" s="68">
        <f t="shared" si="50"/>
        <v>-2595</v>
      </c>
      <c r="EA22" s="68">
        <f t="shared" si="52"/>
        <v>-172055</v>
      </c>
      <c r="EB22" s="73"/>
      <c r="EC22" s="68">
        <f t="shared" si="51"/>
        <v>-16362</v>
      </c>
      <c r="ED22" s="68">
        <f t="shared" si="53"/>
        <v>-16362</v>
      </c>
      <c r="EE22" s="73"/>
      <c r="EF22" s="73"/>
      <c r="EG22" s="73"/>
      <c r="EH22" s="73"/>
      <c r="EI22" s="73"/>
      <c r="EJ22" s="73"/>
      <c r="EK22" s="73"/>
    </row>
    <row r="23" spans="1:141" x14ac:dyDescent="0.25">
      <c r="A23" s="67">
        <f>+BaseloadMarkets!A23</f>
        <v>36695</v>
      </c>
      <c r="B23" s="67" t="str">
        <f>+BaseloadMarkets!B23</f>
        <v>Sun</v>
      </c>
      <c r="C23" s="12">
        <v>5000</v>
      </c>
      <c r="D23" s="68">
        <v>5000</v>
      </c>
      <c r="E23" s="71">
        <f t="shared" si="0"/>
        <v>0</v>
      </c>
      <c r="F23" s="12">
        <v>5000</v>
      </c>
      <c r="G23" s="68">
        <v>5000</v>
      </c>
      <c r="H23" s="71">
        <f t="shared" si="1"/>
        <v>0</v>
      </c>
      <c r="I23" s="12">
        <v>5000</v>
      </c>
      <c r="J23" s="68">
        <v>5000</v>
      </c>
      <c r="K23" s="71">
        <f t="shared" si="2"/>
        <v>0</v>
      </c>
      <c r="L23" s="12">
        <v>10000</v>
      </c>
      <c r="M23" s="68">
        <v>6928</v>
      </c>
      <c r="N23" s="71">
        <f t="shared" si="3"/>
        <v>-3072</v>
      </c>
      <c r="O23" s="12">
        <v>5000</v>
      </c>
      <c r="P23" s="68">
        <v>5000</v>
      </c>
      <c r="Q23" s="71">
        <f t="shared" si="4"/>
        <v>0</v>
      </c>
      <c r="R23" s="12">
        <v>5000</v>
      </c>
      <c r="S23" s="68">
        <v>5000</v>
      </c>
      <c r="T23" s="71">
        <f t="shared" si="5"/>
        <v>0</v>
      </c>
      <c r="U23" s="12">
        <v>10000</v>
      </c>
      <c r="V23" s="68">
        <v>10000</v>
      </c>
      <c r="W23" s="71">
        <f t="shared" si="6"/>
        <v>0</v>
      </c>
      <c r="X23" s="12">
        <f t="shared" si="43"/>
        <v>20000</v>
      </c>
      <c r="Y23" s="12">
        <f t="shared" si="43"/>
        <v>20000</v>
      </c>
      <c r="Z23" s="71">
        <f t="shared" si="7"/>
        <v>0</v>
      </c>
      <c r="AA23" s="12">
        <v>5000</v>
      </c>
      <c r="AB23" s="68">
        <v>5000</v>
      </c>
      <c r="AC23" s="71">
        <f t="shared" si="8"/>
        <v>0</v>
      </c>
      <c r="AD23" s="12">
        <f t="shared" si="44"/>
        <v>15000</v>
      </c>
      <c r="AE23" s="12">
        <f t="shared" si="44"/>
        <v>15000</v>
      </c>
      <c r="AF23" s="71">
        <f t="shared" si="9"/>
        <v>0</v>
      </c>
      <c r="AG23" s="12">
        <v>5000</v>
      </c>
      <c r="AH23" s="68">
        <v>5000</v>
      </c>
      <c r="AI23" s="71">
        <f t="shared" si="10"/>
        <v>0</v>
      </c>
      <c r="AJ23" s="12">
        <f t="shared" si="45"/>
        <v>10000</v>
      </c>
      <c r="AK23" s="12">
        <f t="shared" si="45"/>
        <v>10000</v>
      </c>
      <c r="AL23" s="71">
        <f t="shared" si="11"/>
        <v>0</v>
      </c>
      <c r="AM23" s="12">
        <v>10000</v>
      </c>
      <c r="AN23" s="68">
        <v>10000</v>
      </c>
      <c r="AO23" s="71">
        <f t="shared" si="12"/>
        <v>0</v>
      </c>
      <c r="AP23" s="12">
        <f t="shared" si="46"/>
        <v>15000</v>
      </c>
      <c r="AQ23" s="12">
        <f t="shared" si="46"/>
        <v>15000</v>
      </c>
      <c r="AR23" s="71">
        <f t="shared" si="13"/>
        <v>0</v>
      </c>
      <c r="AS23" s="12"/>
      <c r="AT23" s="68"/>
      <c r="AU23" s="71">
        <f t="shared" si="14"/>
        <v>0</v>
      </c>
      <c r="AV23" s="12">
        <v>100000</v>
      </c>
      <c r="AW23" s="68">
        <v>84108</v>
      </c>
      <c r="AX23" s="71">
        <f t="shared" si="15"/>
        <v>-15892</v>
      </c>
      <c r="AY23" s="12"/>
      <c r="AZ23" s="68"/>
      <c r="BA23" s="71">
        <f t="shared" si="16"/>
        <v>0</v>
      </c>
      <c r="BB23" s="12"/>
      <c r="BC23" s="68"/>
      <c r="BD23" s="71">
        <f t="shared" si="17"/>
        <v>0</v>
      </c>
      <c r="BE23" s="12"/>
      <c r="BF23" s="68"/>
      <c r="BG23" s="71">
        <f t="shared" si="18"/>
        <v>0</v>
      </c>
      <c r="BH23" s="12"/>
      <c r="BI23" s="68"/>
      <c r="BJ23" s="71">
        <f t="shared" si="19"/>
        <v>0</v>
      </c>
      <c r="BK23" s="12"/>
      <c r="BL23" s="68"/>
      <c r="BM23" s="71">
        <f t="shared" si="20"/>
        <v>0</v>
      </c>
      <c r="BN23" s="12"/>
      <c r="BO23" s="68"/>
      <c r="BP23" s="71">
        <f t="shared" si="21"/>
        <v>0</v>
      </c>
      <c r="BQ23" s="12"/>
      <c r="BR23" s="68"/>
      <c r="BS23" s="71">
        <f t="shared" si="22"/>
        <v>0</v>
      </c>
      <c r="BT23" s="12"/>
      <c r="BU23" s="68"/>
      <c r="BV23" s="71">
        <f t="shared" si="23"/>
        <v>0</v>
      </c>
      <c r="BW23" s="12"/>
      <c r="BX23" s="68"/>
      <c r="BY23" s="71">
        <f t="shared" si="24"/>
        <v>0</v>
      </c>
      <c r="BZ23" s="12"/>
      <c r="CA23" s="68"/>
      <c r="CB23" s="71">
        <f t="shared" si="25"/>
        <v>0</v>
      </c>
      <c r="CC23" s="12"/>
      <c r="CD23" s="68"/>
      <c r="CE23" s="71">
        <f t="shared" si="26"/>
        <v>0</v>
      </c>
      <c r="CF23" s="12"/>
      <c r="CG23" s="68"/>
      <c r="CH23" s="71">
        <f t="shared" si="27"/>
        <v>0</v>
      </c>
      <c r="CI23" s="12"/>
      <c r="CJ23" s="68"/>
      <c r="CK23" s="71">
        <f t="shared" si="28"/>
        <v>0</v>
      </c>
      <c r="CL23" s="12"/>
      <c r="CM23" s="68"/>
      <c r="CN23" s="71">
        <f t="shared" si="29"/>
        <v>0</v>
      </c>
      <c r="CO23" s="12"/>
      <c r="CP23" s="68"/>
      <c r="CQ23" s="71">
        <f t="shared" si="30"/>
        <v>0</v>
      </c>
      <c r="CR23" s="12"/>
      <c r="CS23" s="68"/>
      <c r="CT23" s="71">
        <f t="shared" si="31"/>
        <v>0</v>
      </c>
      <c r="CU23" s="12"/>
      <c r="CV23" s="68"/>
      <c r="CW23" s="71">
        <f t="shared" si="32"/>
        <v>0</v>
      </c>
      <c r="CX23" s="12"/>
      <c r="CY23" s="68"/>
      <c r="CZ23" s="71">
        <f t="shared" si="33"/>
        <v>0</v>
      </c>
      <c r="DA23" s="12"/>
      <c r="DB23" s="68"/>
      <c r="DC23" s="71">
        <f t="shared" si="34"/>
        <v>0</v>
      </c>
      <c r="DD23" s="12"/>
      <c r="DE23" s="68"/>
      <c r="DF23" s="71">
        <f t="shared" si="35"/>
        <v>0</v>
      </c>
      <c r="DG23" s="12"/>
      <c r="DH23" s="68"/>
      <c r="DI23" s="71">
        <f t="shared" si="36"/>
        <v>0</v>
      </c>
      <c r="DJ23" s="12"/>
      <c r="DK23" s="68"/>
      <c r="DL23" s="71">
        <f t="shared" si="37"/>
        <v>0</v>
      </c>
      <c r="DM23" s="12"/>
      <c r="DN23" s="68"/>
      <c r="DO23" s="71">
        <f t="shared" si="38"/>
        <v>0</v>
      </c>
      <c r="DP23" s="12"/>
      <c r="DQ23" s="68"/>
      <c r="DR23" s="71">
        <f t="shared" si="39"/>
        <v>0</v>
      </c>
      <c r="DS23" s="71">
        <f t="shared" si="40"/>
        <v>225000</v>
      </c>
      <c r="DT23" s="71">
        <f t="shared" si="41"/>
        <v>206036</v>
      </c>
      <c r="DU23" s="71">
        <f t="shared" si="42"/>
        <v>-18964</v>
      </c>
      <c r="DV23" s="68">
        <f t="shared" si="47"/>
        <v>-396278</v>
      </c>
      <c r="DW23" s="73"/>
      <c r="DX23" s="71">
        <f t="shared" si="48"/>
        <v>125000</v>
      </c>
      <c r="DY23" s="71">
        <f t="shared" si="49"/>
        <v>121928</v>
      </c>
      <c r="DZ23" s="68">
        <f t="shared" si="50"/>
        <v>-3072</v>
      </c>
      <c r="EA23" s="68">
        <f t="shared" si="52"/>
        <v>-175127</v>
      </c>
      <c r="EB23" s="73"/>
      <c r="EC23" s="68">
        <f t="shared" si="51"/>
        <v>-15892</v>
      </c>
      <c r="ED23" s="68">
        <f t="shared" si="53"/>
        <v>-15892</v>
      </c>
      <c r="EE23" s="73"/>
      <c r="EF23" s="73"/>
      <c r="EG23" s="73"/>
      <c r="EH23" s="73"/>
      <c r="EI23" s="73"/>
      <c r="EJ23" s="73"/>
      <c r="EK23" s="73"/>
    </row>
    <row r="24" spans="1:141" x14ac:dyDescent="0.25">
      <c r="A24" s="67">
        <f>+BaseloadMarkets!A24</f>
        <v>36696</v>
      </c>
      <c r="B24" s="67" t="str">
        <f>+BaseloadMarkets!B24</f>
        <v>Mon</v>
      </c>
      <c r="C24" s="12">
        <v>5000</v>
      </c>
      <c r="D24" s="68">
        <v>5000</v>
      </c>
      <c r="E24" s="71">
        <f t="shared" si="0"/>
        <v>0</v>
      </c>
      <c r="F24" s="12">
        <v>5000</v>
      </c>
      <c r="G24" s="68">
        <v>5000</v>
      </c>
      <c r="H24" s="71">
        <f t="shared" si="1"/>
        <v>0</v>
      </c>
      <c r="I24" s="12">
        <v>5000</v>
      </c>
      <c r="J24" s="68">
        <v>5000</v>
      </c>
      <c r="K24" s="71">
        <f t="shared" si="2"/>
        <v>0</v>
      </c>
      <c r="L24" s="12">
        <v>10000</v>
      </c>
      <c r="M24" s="68">
        <v>6354</v>
      </c>
      <c r="N24" s="71">
        <f t="shared" si="3"/>
        <v>-3646</v>
      </c>
      <c r="O24" s="12">
        <v>5000</v>
      </c>
      <c r="P24" s="68">
        <v>5000</v>
      </c>
      <c r="Q24" s="71">
        <f t="shared" si="4"/>
        <v>0</v>
      </c>
      <c r="R24" s="12">
        <v>5000</v>
      </c>
      <c r="S24" s="68">
        <v>5000</v>
      </c>
      <c r="T24" s="71">
        <f t="shared" si="5"/>
        <v>0</v>
      </c>
      <c r="U24" s="12">
        <v>10000</v>
      </c>
      <c r="V24" s="68">
        <v>10000</v>
      </c>
      <c r="W24" s="71">
        <f t="shared" si="6"/>
        <v>0</v>
      </c>
      <c r="X24" s="12">
        <f t="shared" si="43"/>
        <v>20000</v>
      </c>
      <c r="Y24" s="12">
        <f t="shared" si="43"/>
        <v>20000</v>
      </c>
      <c r="Z24" s="71">
        <f t="shared" si="7"/>
        <v>0</v>
      </c>
      <c r="AA24" s="12">
        <v>5000</v>
      </c>
      <c r="AB24" s="68">
        <v>5000</v>
      </c>
      <c r="AC24" s="71">
        <f t="shared" si="8"/>
        <v>0</v>
      </c>
      <c r="AD24" s="12">
        <f t="shared" si="44"/>
        <v>15000</v>
      </c>
      <c r="AE24" s="12">
        <f t="shared" si="44"/>
        <v>15000</v>
      </c>
      <c r="AF24" s="71">
        <f t="shared" si="9"/>
        <v>0</v>
      </c>
      <c r="AG24" s="12">
        <v>5000</v>
      </c>
      <c r="AH24" s="68">
        <v>5000</v>
      </c>
      <c r="AI24" s="71">
        <f t="shared" si="10"/>
        <v>0</v>
      </c>
      <c r="AJ24" s="12">
        <f t="shared" si="45"/>
        <v>10000</v>
      </c>
      <c r="AK24" s="12">
        <f t="shared" si="45"/>
        <v>10000</v>
      </c>
      <c r="AL24" s="71">
        <f t="shared" si="11"/>
        <v>0</v>
      </c>
      <c r="AM24" s="12">
        <v>10000</v>
      </c>
      <c r="AN24" s="68">
        <v>10000</v>
      </c>
      <c r="AO24" s="71">
        <f t="shared" si="12"/>
        <v>0</v>
      </c>
      <c r="AP24" s="12">
        <f t="shared" si="46"/>
        <v>15000</v>
      </c>
      <c r="AQ24" s="12">
        <f t="shared" si="46"/>
        <v>15000</v>
      </c>
      <c r="AR24" s="71">
        <f t="shared" si="13"/>
        <v>0</v>
      </c>
      <c r="AS24" s="12"/>
      <c r="AT24" s="68"/>
      <c r="AU24" s="71">
        <f t="shared" si="14"/>
        <v>0</v>
      </c>
      <c r="AV24" s="12">
        <v>100000</v>
      </c>
      <c r="AW24" s="68">
        <f>100000-19000+6282-10000+9996-15000+10025</f>
        <v>82303</v>
      </c>
      <c r="AX24" s="71">
        <f t="shared" si="15"/>
        <v>-17697</v>
      </c>
      <c r="AY24" s="12"/>
      <c r="AZ24" s="68"/>
      <c r="BA24" s="71">
        <f t="shared" si="16"/>
        <v>0</v>
      </c>
      <c r="BB24" s="12"/>
      <c r="BC24" s="68"/>
      <c r="BD24" s="71">
        <f t="shared" si="17"/>
        <v>0</v>
      </c>
      <c r="BE24" s="12"/>
      <c r="BF24" s="68"/>
      <c r="BG24" s="71">
        <f t="shared" si="18"/>
        <v>0</v>
      </c>
      <c r="BH24" s="12"/>
      <c r="BI24" s="68"/>
      <c r="BJ24" s="71">
        <f t="shared" si="19"/>
        <v>0</v>
      </c>
      <c r="BK24" s="12"/>
      <c r="BL24" s="68"/>
      <c r="BM24" s="71">
        <f t="shared" si="20"/>
        <v>0</v>
      </c>
      <c r="BN24" s="12"/>
      <c r="BO24" s="68"/>
      <c r="BP24" s="71">
        <f t="shared" si="21"/>
        <v>0</v>
      </c>
      <c r="BQ24" s="12"/>
      <c r="BR24" s="68"/>
      <c r="BS24" s="71">
        <f t="shared" si="22"/>
        <v>0</v>
      </c>
      <c r="BT24" s="12"/>
      <c r="BU24" s="68"/>
      <c r="BV24" s="71">
        <f t="shared" si="23"/>
        <v>0</v>
      </c>
      <c r="BW24" s="12"/>
      <c r="BX24" s="68"/>
      <c r="BY24" s="71">
        <f t="shared" si="24"/>
        <v>0</v>
      </c>
      <c r="BZ24" s="12"/>
      <c r="CA24" s="68"/>
      <c r="CB24" s="71">
        <f t="shared" si="25"/>
        <v>0</v>
      </c>
      <c r="CC24" s="12"/>
      <c r="CD24" s="68"/>
      <c r="CE24" s="71">
        <f t="shared" si="26"/>
        <v>0</v>
      </c>
      <c r="CF24" s="12"/>
      <c r="CG24" s="68"/>
      <c r="CH24" s="71">
        <f t="shared" si="27"/>
        <v>0</v>
      </c>
      <c r="CI24" s="12"/>
      <c r="CJ24" s="68"/>
      <c r="CK24" s="71">
        <f t="shared" si="28"/>
        <v>0</v>
      </c>
      <c r="CL24" s="12"/>
      <c r="CM24" s="68"/>
      <c r="CN24" s="71">
        <f t="shared" si="29"/>
        <v>0</v>
      </c>
      <c r="CO24" s="12"/>
      <c r="CP24" s="68"/>
      <c r="CQ24" s="71">
        <f t="shared" si="30"/>
        <v>0</v>
      </c>
      <c r="CR24" s="12"/>
      <c r="CS24" s="68"/>
      <c r="CT24" s="71">
        <f t="shared" si="31"/>
        <v>0</v>
      </c>
      <c r="CU24" s="12"/>
      <c r="CV24" s="68"/>
      <c r="CW24" s="71">
        <f t="shared" si="32"/>
        <v>0</v>
      </c>
      <c r="CX24" s="12"/>
      <c r="CY24" s="68"/>
      <c r="CZ24" s="71">
        <f t="shared" si="33"/>
        <v>0</v>
      </c>
      <c r="DA24" s="12"/>
      <c r="DB24" s="68"/>
      <c r="DC24" s="71">
        <f t="shared" si="34"/>
        <v>0</v>
      </c>
      <c r="DD24" s="12"/>
      <c r="DE24" s="68"/>
      <c r="DF24" s="71">
        <f t="shared" si="35"/>
        <v>0</v>
      </c>
      <c r="DG24" s="12"/>
      <c r="DH24" s="68"/>
      <c r="DI24" s="71">
        <f t="shared" si="36"/>
        <v>0</v>
      </c>
      <c r="DJ24" s="12"/>
      <c r="DK24" s="68"/>
      <c r="DL24" s="71">
        <f t="shared" si="37"/>
        <v>0</v>
      </c>
      <c r="DM24" s="12"/>
      <c r="DN24" s="68"/>
      <c r="DO24" s="71">
        <f t="shared" si="38"/>
        <v>0</v>
      </c>
      <c r="DP24" s="12"/>
      <c r="DQ24" s="68"/>
      <c r="DR24" s="71">
        <f t="shared" si="39"/>
        <v>0</v>
      </c>
      <c r="DS24" s="71">
        <f t="shared" si="40"/>
        <v>225000</v>
      </c>
      <c r="DT24" s="71">
        <f t="shared" si="41"/>
        <v>203657</v>
      </c>
      <c r="DU24" s="71">
        <f t="shared" si="42"/>
        <v>-21343</v>
      </c>
      <c r="DV24" s="68">
        <f t="shared" si="47"/>
        <v>-417621</v>
      </c>
      <c r="DW24" s="73"/>
      <c r="DX24" s="71">
        <f t="shared" si="48"/>
        <v>125000</v>
      </c>
      <c r="DY24" s="71">
        <f t="shared" si="49"/>
        <v>121354</v>
      </c>
      <c r="DZ24" s="68">
        <f t="shared" si="50"/>
        <v>-3646</v>
      </c>
      <c r="EA24" s="68">
        <f t="shared" si="52"/>
        <v>-178773</v>
      </c>
      <c r="EB24" s="73"/>
      <c r="EC24" s="68">
        <f t="shared" si="51"/>
        <v>-17697</v>
      </c>
      <c r="ED24" s="68">
        <f t="shared" si="53"/>
        <v>-17697</v>
      </c>
      <c r="EE24" s="73"/>
      <c r="EF24" s="73"/>
      <c r="EG24" s="73"/>
      <c r="EH24" s="73"/>
      <c r="EI24" s="73"/>
      <c r="EJ24" s="73"/>
      <c r="EK24" s="73"/>
    </row>
    <row r="25" spans="1:141" x14ac:dyDescent="0.25">
      <c r="A25" s="67">
        <f>+BaseloadMarkets!A25</f>
        <v>36697</v>
      </c>
      <c r="B25" s="67" t="str">
        <f>+BaseloadMarkets!B25</f>
        <v>Tues</v>
      </c>
      <c r="C25" s="12">
        <v>5000</v>
      </c>
      <c r="D25" s="68">
        <v>5000</v>
      </c>
      <c r="E25" s="71">
        <f t="shared" si="0"/>
        <v>0</v>
      </c>
      <c r="F25" s="12">
        <v>5000</v>
      </c>
      <c r="G25" s="68">
        <v>5000</v>
      </c>
      <c r="H25" s="71">
        <f t="shared" si="1"/>
        <v>0</v>
      </c>
      <c r="I25" s="12">
        <v>5000</v>
      </c>
      <c r="J25" s="68">
        <v>5000</v>
      </c>
      <c r="K25" s="71">
        <f t="shared" si="2"/>
        <v>0</v>
      </c>
      <c r="L25" s="12">
        <v>10000</v>
      </c>
      <c r="M25" s="68">
        <v>10000</v>
      </c>
      <c r="N25" s="71">
        <f t="shared" si="3"/>
        <v>0</v>
      </c>
      <c r="O25" s="12">
        <v>5000</v>
      </c>
      <c r="P25" s="68">
        <v>5000</v>
      </c>
      <c r="Q25" s="71">
        <f t="shared" si="4"/>
        <v>0</v>
      </c>
      <c r="R25" s="12">
        <v>5000</v>
      </c>
      <c r="S25" s="68">
        <v>5000</v>
      </c>
      <c r="T25" s="71">
        <f t="shared" si="5"/>
        <v>0</v>
      </c>
      <c r="U25" s="12">
        <v>10000</v>
      </c>
      <c r="V25" s="68">
        <v>10000</v>
      </c>
      <c r="W25" s="71">
        <f t="shared" si="6"/>
        <v>0</v>
      </c>
      <c r="X25" s="12">
        <f t="shared" si="43"/>
        <v>20000</v>
      </c>
      <c r="Y25" s="12">
        <f t="shared" si="43"/>
        <v>20000</v>
      </c>
      <c r="Z25" s="71">
        <f t="shared" si="7"/>
        <v>0</v>
      </c>
      <c r="AA25" s="12">
        <v>5000</v>
      </c>
      <c r="AB25" s="68">
        <v>5000</v>
      </c>
      <c r="AC25" s="71">
        <f t="shared" si="8"/>
        <v>0</v>
      </c>
      <c r="AD25" s="12">
        <f t="shared" si="44"/>
        <v>15000</v>
      </c>
      <c r="AE25" s="12">
        <f t="shared" si="44"/>
        <v>15000</v>
      </c>
      <c r="AF25" s="71">
        <f t="shared" si="9"/>
        <v>0</v>
      </c>
      <c r="AG25" s="12">
        <v>5000</v>
      </c>
      <c r="AH25" s="68">
        <v>5000</v>
      </c>
      <c r="AI25" s="71">
        <f t="shared" si="10"/>
        <v>0</v>
      </c>
      <c r="AJ25" s="12">
        <f t="shared" si="45"/>
        <v>10000</v>
      </c>
      <c r="AK25" s="12">
        <f t="shared" si="45"/>
        <v>10000</v>
      </c>
      <c r="AL25" s="71">
        <f t="shared" si="11"/>
        <v>0</v>
      </c>
      <c r="AM25" s="12">
        <v>10000</v>
      </c>
      <c r="AN25" s="68">
        <v>10000</v>
      </c>
      <c r="AO25" s="71">
        <f t="shared" si="12"/>
        <v>0</v>
      </c>
      <c r="AP25" s="12">
        <f t="shared" si="46"/>
        <v>15000</v>
      </c>
      <c r="AQ25" s="12">
        <f t="shared" si="46"/>
        <v>15000</v>
      </c>
      <c r="AR25" s="71">
        <f t="shared" si="13"/>
        <v>0</v>
      </c>
      <c r="AS25" s="12"/>
      <c r="AT25" s="68"/>
      <c r="AU25" s="71">
        <f t="shared" si="14"/>
        <v>0</v>
      </c>
      <c r="AV25" s="12">
        <v>155000</v>
      </c>
      <c r="AW25" s="68">
        <v>155000</v>
      </c>
      <c r="AX25" s="71">
        <f t="shared" si="15"/>
        <v>0</v>
      </c>
      <c r="AY25" s="12"/>
      <c r="AZ25" s="68"/>
      <c r="BA25" s="71">
        <f t="shared" si="16"/>
        <v>0</v>
      </c>
      <c r="BB25" s="12"/>
      <c r="BC25" s="68"/>
      <c r="BD25" s="71">
        <f t="shared" si="17"/>
        <v>0</v>
      </c>
      <c r="BE25" s="12"/>
      <c r="BF25" s="68"/>
      <c r="BG25" s="71">
        <f t="shared" si="18"/>
        <v>0</v>
      </c>
      <c r="BH25" s="12"/>
      <c r="BI25" s="68"/>
      <c r="BJ25" s="71">
        <f t="shared" si="19"/>
        <v>0</v>
      </c>
      <c r="BK25" s="12"/>
      <c r="BL25" s="68"/>
      <c r="BM25" s="71">
        <f t="shared" si="20"/>
        <v>0</v>
      </c>
      <c r="BN25" s="12"/>
      <c r="BO25" s="68"/>
      <c r="BP25" s="71">
        <f t="shared" si="21"/>
        <v>0</v>
      </c>
      <c r="BQ25" s="12"/>
      <c r="BR25" s="68"/>
      <c r="BS25" s="71">
        <f t="shared" si="22"/>
        <v>0</v>
      </c>
      <c r="BT25" s="12"/>
      <c r="BU25" s="68"/>
      <c r="BV25" s="71">
        <f t="shared" si="23"/>
        <v>0</v>
      </c>
      <c r="BW25" s="12"/>
      <c r="BX25" s="68"/>
      <c r="BY25" s="71">
        <f t="shared" si="24"/>
        <v>0</v>
      </c>
      <c r="BZ25" s="12"/>
      <c r="CA25" s="68"/>
      <c r="CB25" s="71">
        <f t="shared" si="25"/>
        <v>0</v>
      </c>
      <c r="CC25" s="12"/>
      <c r="CD25" s="68"/>
      <c r="CE25" s="71">
        <f t="shared" si="26"/>
        <v>0</v>
      </c>
      <c r="CF25" s="12"/>
      <c r="CG25" s="68"/>
      <c r="CH25" s="71">
        <f t="shared" si="27"/>
        <v>0</v>
      </c>
      <c r="CI25" s="12"/>
      <c r="CJ25" s="68"/>
      <c r="CK25" s="71">
        <f t="shared" si="28"/>
        <v>0</v>
      </c>
      <c r="CL25" s="12"/>
      <c r="CM25" s="68"/>
      <c r="CN25" s="71">
        <f t="shared" si="29"/>
        <v>0</v>
      </c>
      <c r="CO25" s="12"/>
      <c r="CP25" s="68"/>
      <c r="CQ25" s="71">
        <f t="shared" si="30"/>
        <v>0</v>
      </c>
      <c r="CR25" s="12"/>
      <c r="CS25" s="68"/>
      <c r="CT25" s="71">
        <f t="shared" si="31"/>
        <v>0</v>
      </c>
      <c r="CU25" s="12"/>
      <c r="CV25" s="68"/>
      <c r="CW25" s="71">
        <f t="shared" si="32"/>
        <v>0</v>
      </c>
      <c r="CX25" s="12"/>
      <c r="CY25" s="68"/>
      <c r="CZ25" s="71">
        <f t="shared" si="33"/>
        <v>0</v>
      </c>
      <c r="DA25" s="12"/>
      <c r="DB25" s="68"/>
      <c r="DC25" s="71">
        <f t="shared" si="34"/>
        <v>0</v>
      </c>
      <c r="DD25" s="12"/>
      <c r="DE25" s="68"/>
      <c r="DF25" s="71">
        <f t="shared" si="35"/>
        <v>0</v>
      </c>
      <c r="DG25" s="12"/>
      <c r="DH25" s="68"/>
      <c r="DI25" s="71">
        <f t="shared" si="36"/>
        <v>0</v>
      </c>
      <c r="DJ25" s="12"/>
      <c r="DK25" s="68"/>
      <c r="DL25" s="71">
        <f t="shared" si="37"/>
        <v>0</v>
      </c>
      <c r="DM25" s="12"/>
      <c r="DN25" s="68"/>
      <c r="DO25" s="71">
        <f t="shared" si="38"/>
        <v>0</v>
      </c>
      <c r="DP25" s="12"/>
      <c r="DQ25" s="68"/>
      <c r="DR25" s="71">
        <f t="shared" si="39"/>
        <v>0</v>
      </c>
      <c r="DS25" s="71">
        <f t="shared" si="40"/>
        <v>280000</v>
      </c>
      <c r="DT25" s="71">
        <f t="shared" si="41"/>
        <v>280000</v>
      </c>
      <c r="DU25" s="71">
        <f t="shared" si="42"/>
        <v>0</v>
      </c>
      <c r="DV25" s="68">
        <f t="shared" si="47"/>
        <v>-417621</v>
      </c>
      <c r="DW25" s="73"/>
      <c r="DX25" s="71">
        <f t="shared" si="48"/>
        <v>125000</v>
      </c>
      <c r="DY25" s="71">
        <f t="shared" si="49"/>
        <v>125000</v>
      </c>
      <c r="DZ25" s="68">
        <f t="shared" si="50"/>
        <v>0</v>
      </c>
      <c r="EA25" s="68">
        <f t="shared" si="52"/>
        <v>-178773</v>
      </c>
      <c r="EB25" s="73"/>
      <c r="EC25" s="68">
        <f t="shared" si="51"/>
        <v>0</v>
      </c>
      <c r="ED25" s="68">
        <f t="shared" si="53"/>
        <v>0</v>
      </c>
      <c r="EE25" s="73"/>
      <c r="EF25" s="73"/>
      <c r="EG25" s="73"/>
      <c r="EH25" s="73"/>
      <c r="EI25" s="73"/>
      <c r="EJ25" s="73"/>
      <c r="EK25" s="73"/>
    </row>
    <row r="26" spans="1:141" x14ac:dyDescent="0.25">
      <c r="A26" s="67">
        <f>+BaseloadMarkets!A26</f>
        <v>36698</v>
      </c>
      <c r="B26" s="67" t="str">
        <f>+BaseloadMarkets!B26</f>
        <v>Wed</v>
      </c>
      <c r="C26" s="12">
        <v>5000</v>
      </c>
      <c r="D26" s="68">
        <v>5000</v>
      </c>
      <c r="E26" s="71">
        <f t="shared" si="0"/>
        <v>0</v>
      </c>
      <c r="F26" s="12">
        <v>5000</v>
      </c>
      <c r="G26" s="68">
        <v>5000</v>
      </c>
      <c r="H26" s="71">
        <f t="shared" si="1"/>
        <v>0</v>
      </c>
      <c r="I26" s="12">
        <v>5000</v>
      </c>
      <c r="J26" s="68">
        <v>5000</v>
      </c>
      <c r="K26" s="71">
        <f t="shared" si="2"/>
        <v>0</v>
      </c>
      <c r="L26" s="12">
        <v>10000</v>
      </c>
      <c r="M26" s="68">
        <v>10000</v>
      </c>
      <c r="N26" s="71">
        <f t="shared" si="3"/>
        <v>0</v>
      </c>
      <c r="O26" s="12">
        <v>5000</v>
      </c>
      <c r="P26" s="68">
        <v>5000</v>
      </c>
      <c r="Q26" s="71">
        <f t="shared" si="4"/>
        <v>0</v>
      </c>
      <c r="R26" s="12">
        <v>5000</v>
      </c>
      <c r="S26" s="68">
        <v>5000</v>
      </c>
      <c r="T26" s="71">
        <f t="shared" si="5"/>
        <v>0</v>
      </c>
      <c r="U26" s="12">
        <v>10000</v>
      </c>
      <c r="V26" s="68">
        <v>10000</v>
      </c>
      <c r="W26" s="71">
        <f t="shared" si="6"/>
        <v>0</v>
      </c>
      <c r="X26" s="12">
        <f t="shared" si="43"/>
        <v>20000</v>
      </c>
      <c r="Y26" s="12">
        <f t="shared" si="43"/>
        <v>20000</v>
      </c>
      <c r="Z26" s="71">
        <f t="shared" si="7"/>
        <v>0</v>
      </c>
      <c r="AA26" s="12">
        <v>5000</v>
      </c>
      <c r="AB26" s="68">
        <v>5000</v>
      </c>
      <c r="AC26" s="71">
        <f t="shared" si="8"/>
        <v>0</v>
      </c>
      <c r="AD26" s="12">
        <f t="shared" si="44"/>
        <v>15000</v>
      </c>
      <c r="AE26" s="12">
        <f t="shared" si="44"/>
        <v>15000</v>
      </c>
      <c r="AF26" s="71">
        <f t="shared" si="9"/>
        <v>0</v>
      </c>
      <c r="AG26" s="12">
        <v>5000</v>
      </c>
      <c r="AH26" s="68">
        <v>5000</v>
      </c>
      <c r="AI26" s="71">
        <f t="shared" si="10"/>
        <v>0</v>
      </c>
      <c r="AJ26" s="12">
        <f t="shared" si="45"/>
        <v>10000</v>
      </c>
      <c r="AK26" s="12">
        <f t="shared" si="45"/>
        <v>10000</v>
      </c>
      <c r="AL26" s="71">
        <f t="shared" si="11"/>
        <v>0</v>
      </c>
      <c r="AM26" s="12">
        <v>10000</v>
      </c>
      <c r="AN26" s="68">
        <v>10000</v>
      </c>
      <c r="AO26" s="71">
        <f t="shared" si="12"/>
        <v>0</v>
      </c>
      <c r="AP26" s="12">
        <f t="shared" si="46"/>
        <v>15000</v>
      </c>
      <c r="AQ26" s="12">
        <f t="shared" si="46"/>
        <v>15000</v>
      </c>
      <c r="AR26" s="71">
        <f t="shared" si="13"/>
        <v>0</v>
      </c>
      <c r="AS26" s="12"/>
      <c r="AT26" s="68"/>
      <c r="AU26" s="71">
        <f t="shared" si="14"/>
        <v>0</v>
      </c>
      <c r="AV26" s="12">
        <v>125000</v>
      </c>
      <c r="AW26" s="68">
        <v>125000</v>
      </c>
      <c r="AX26" s="71">
        <f t="shared" si="15"/>
        <v>0</v>
      </c>
      <c r="AY26" s="12"/>
      <c r="AZ26" s="68"/>
      <c r="BA26" s="71">
        <f t="shared" si="16"/>
        <v>0</v>
      </c>
      <c r="BB26" s="12"/>
      <c r="BC26" s="68"/>
      <c r="BD26" s="71">
        <f t="shared" si="17"/>
        <v>0</v>
      </c>
      <c r="BE26" s="12"/>
      <c r="BF26" s="68"/>
      <c r="BG26" s="71">
        <f t="shared" si="18"/>
        <v>0</v>
      </c>
      <c r="BH26" s="12"/>
      <c r="BI26" s="68"/>
      <c r="BJ26" s="71">
        <f t="shared" si="19"/>
        <v>0</v>
      </c>
      <c r="BK26" s="12"/>
      <c r="BL26" s="68"/>
      <c r="BM26" s="71">
        <f t="shared" si="20"/>
        <v>0</v>
      </c>
      <c r="BN26" s="12"/>
      <c r="BO26" s="68"/>
      <c r="BP26" s="71">
        <f t="shared" si="21"/>
        <v>0</v>
      </c>
      <c r="BQ26" s="12"/>
      <c r="BR26" s="68"/>
      <c r="BS26" s="71">
        <f t="shared" si="22"/>
        <v>0</v>
      </c>
      <c r="BT26" s="12"/>
      <c r="BU26" s="68"/>
      <c r="BV26" s="71">
        <f t="shared" si="23"/>
        <v>0</v>
      </c>
      <c r="BW26" s="12"/>
      <c r="BX26" s="68"/>
      <c r="BY26" s="71">
        <f t="shared" si="24"/>
        <v>0</v>
      </c>
      <c r="BZ26" s="12"/>
      <c r="CA26" s="68"/>
      <c r="CB26" s="71">
        <f t="shared" si="25"/>
        <v>0</v>
      </c>
      <c r="CC26" s="12"/>
      <c r="CD26" s="68"/>
      <c r="CE26" s="71">
        <f t="shared" si="26"/>
        <v>0</v>
      </c>
      <c r="CF26" s="12"/>
      <c r="CG26" s="68"/>
      <c r="CH26" s="71">
        <f t="shared" si="27"/>
        <v>0</v>
      </c>
      <c r="CI26" s="12"/>
      <c r="CJ26" s="68"/>
      <c r="CK26" s="71">
        <f t="shared" si="28"/>
        <v>0</v>
      </c>
      <c r="CL26" s="12"/>
      <c r="CM26" s="68"/>
      <c r="CN26" s="71">
        <f t="shared" si="29"/>
        <v>0</v>
      </c>
      <c r="CO26" s="12"/>
      <c r="CP26" s="68"/>
      <c r="CQ26" s="71">
        <f t="shared" si="30"/>
        <v>0</v>
      </c>
      <c r="CR26" s="12"/>
      <c r="CS26" s="68"/>
      <c r="CT26" s="71">
        <f t="shared" si="31"/>
        <v>0</v>
      </c>
      <c r="CU26" s="12"/>
      <c r="CV26" s="68"/>
      <c r="CW26" s="71">
        <f t="shared" si="32"/>
        <v>0</v>
      </c>
      <c r="CX26" s="12"/>
      <c r="CY26" s="68"/>
      <c r="CZ26" s="71">
        <f t="shared" si="33"/>
        <v>0</v>
      </c>
      <c r="DA26" s="12"/>
      <c r="DB26" s="68"/>
      <c r="DC26" s="71">
        <f t="shared" si="34"/>
        <v>0</v>
      </c>
      <c r="DD26" s="12"/>
      <c r="DE26" s="68"/>
      <c r="DF26" s="71">
        <f t="shared" si="35"/>
        <v>0</v>
      </c>
      <c r="DG26" s="12"/>
      <c r="DH26" s="68"/>
      <c r="DI26" s="71">
        <f t="shared" si="36"/>
        <v>0</v>
      </c>
      <c r="DJ26" s="12"/>
      <c r="DK26" s="68"/>
      <c r="DL26" s="71">
        <f t="shared" si="37"/>
        <v>0</v>
      </c>
      <c r="DM26" s="12"/>
      <c r="DN26" s="68"/>
      <c r="DO26" s="71">
        <f t="shared" si="38"/>
        <v>0</v>
      </c>
      <c r="DP26" s="12"/>
      <c r="DQ26" s="68"/>
      <c r="DR26" s="71">
        <f t="shared" si="39"/>
        <v>0</v>
      </c>
      <c r="DS26" s="71">
        <f t="shared" si="40"/>
        <v>250000</v>
      </c>
      <c r="DT26" s="71">
        <f t="shared" si="41"/>
        <v>250000</v>
      </c>
      <c r="DU26" s="71">
        <f t="shared" si="42"/>
        <v>0</v>
      </c>
      <c r="DV26" s="68">
        <f t="shared" si="47"/>
        <v>-417621</v>
      </c>
      <c r="DW26" s="73"/>
      <c r="DX26" s="71">
        <f t="shared" si="48"/>
        <v>125000</v>
      </c>
      <c r="DY26" s="71">
        <f t="shared" si="49"/>
        <v>125000</v>
      </c>
      <c r="DZ26" s="68">
        <f t="shared" si="50"/>
        <v>0</v>
      </c>
      <c r="EA26" s="68">
        <f t="shared" si="52"/>
        <v>-178773</v>
      </c>
      <c r="EB26" s="73"/>
      <c r="EC26" s="68">
        <f t="shared" si="51"/>
        <v>0</v>
      </c>
      <c r="ED26" s="68">
        <f t="shared" si="53"/>
        <v>0</v>
      </c>
      <c r="EE26" s="73"/>
      <c r="EF26" s="73"/>
      <c r="EG26" s="73"/>
      <c r="EH26" s="73"/>
      <c r="EI26" s="73"/>
      <c r="EJ26" s="73"/>
      <c r="EK26" s="73"/>
    </row>
    <row r="27" spans="1:141" x14ac:dyDescent="0.25">
      <c r="A27" s="67">
        <f>+BaseloadMarkets!A27</f>
        <v>36699</v>
      </c>
      <c r="B27" s="67" t="str">
        <f>+BaseloadMarkets!B27</f>
        <v>Thu</v>
      </c>
      <c r="C27" s="12">
        <v>5000</v>
      </c>
      <c r="D27" s="68">
        <v>5000</v>
      </c>
      <c r="E27" s="71">
        <f t="shared" si="0"/>
        <v>0</v>
      </c>
      <c r="F27" s="12">
        <v>5000</v>
      </c>
      <c r="G27" s="68">
        <v>5000</v>
      </c>
      <c r="H27" s="71">
        <f t="shared" si="1"/>
        <v>0</v>
      </c>
      <c r="I27" s="12">
        <v>5000</v>
      </c>
      <c r="J27" s="68">
        <v>5000</v>
      </c>
      <c r="K27" s="71">
        <f t="shared" si="2"/>
        <v>0</v>
      </c>
      <c r="L27" s="12">
        <v>10000</v>
      </c>
      <c r="M27" s="68">
        <v>10000</v>
      </c>
      <c r="N27" s="71">
        <f t="shared" si="3"/>
        <v>0</v>
      </c>
      <c r="O27" s="12">
        <v>5000</v>
      </c>
      <c r="P27" s="68">
        <v>5000</v>
      </c>
      <c r="Q27" s="71">
        <f t="shared" si="4"/>
        <v>0</v>
      </c>
      <c r="R27" s="12">
        <v>5000</v>
      </c>
      <c r="S27" s="68">
        <v>5000</v>
      </c>
      <c r="T27" s="71">
        <f t="shared" si="5"/>
        <v>0</v>
      </c>
      <c r="U27" s="12">
        <v>10000</v>
      </c>
      <c r="V27" s="68">
        <v>10000</v>
      </c>
      <c r="W27" s="71">
        <f t="shared" si="6"/>
        <v>0</v>
      </c>
      <c r="X27" s="12">
        <f t="shared" si="43"/>
        <v>20000</v>
      </c>
      <c r="Y27" s="12">
        <f t="shared" si="43"/>
        <v>20000</v>
      </c>
      <c r="Z27" s="71">
        <f t="shared" si="7"/>
        <v>0</v>
      </c>
      <c r="AA27" s="12">
        <v>5000</v>
      </c>
      <c r="AB27" s="68">
        <v>5000</v>
      </c>
      <c r="AC27" s="71">
        <f t="shared" si="8"/>
        <v>0</v>
      </c>
      <c r="AD27" s="12">
        <f t="shared" si="44"/>
        <v>15000</v>
      </c>
      <c r="AE27" s="12">
        <f t="shared" si="44"/>
        <v>15000</v>
      </c>
      <c r="AF27" s="71">
        <f t="shared" si="9"/>
        <v>0</v>
      </c>
      <c r="AG27" s="12">
        <v>5000</v>
      </c>
      <c r="AH27" s="68">
        <v>5000</v>
      </c>
      <c r="AI27" s="71">
        <f t="shared" si="10"/>
        <v>0</v>
      </c>
      <c r="AJ27" s="12">
        <f t="shared" si="45"/>
        <v>10000</v>
      </c>
      <c r="AK27" s="12">
        <f t="shared" si="45"/>
        <v>10000</v>
      </c>
      <c r="AL27" s="71">
        <f t="shared" si="11"/>
        <v>0</v>
      </c>
      <c r="AM27" s="12">
        <v>10000</v>
      </c>
      <c r="AN27" s="68">
        <v>10000</v>
      </c>
      <c r="AO27" s="71">
        <f t="shared" si="12"/>
        <v>0</v>
      </c>
      <c r="AP27" s="12">
        <f t="shared" si="46"/>
        <v>15000</v>
      </c>
      <c r="AQ27" s="12">
        <f t="shared" si="46"/>
        <v>15000</v>
      </c>
      <c r="AR27" s="71">
        <f t="shared" si="13"/>
        <v>0</v>
      </c>
      <c r="AS27" s="12"/>
      <c r="AT27" s="68"/>
      <c r="AU27" s="71">
        <f t="shared" si="14"/>
        <v>0</v>
      </c>
      <c r="AV27" s="12">
        <v>135000</v>
      </c>
      <c r="AW27" s="68">
        <f>135000-4000+1446</f>
        <v>132446</v>
      </c>
      <c r="AX27" s="71">
        <f t="shared" si="15"/>
        <v>-2554</v>
      </c>
      <c r="AY27" s="12"/>
      <c r="AZ27" s="68"/>
      <c r="BA27" s="71">
        <f t="shared" si="16"/>
        <v>0</v>
      </c>
      <c r="BB27" s="12"/>
      <c r="BC27" s="68"/>
      <c r="BD27" s="71">
        <f t="shared" si="17"/>
        <v>0</v>
      </c>
      <c r="BE27" s="12"/>
      <c r="BF27" s="68"/>
      <c r="BG27" s="71">
        <f t="shared" si="18"/>
        <v>0</v>
      </c>
      <c r="BH27" s="12"/>
      <c r="BI27" s="68"/>
      <c r="BJ27" s="71">
        <f t="shared" si="19"/>
        <v>0</v>
      </c>
      <c r="BK27" s="12"/>
      <c r="BL27" s="68"/>
      <c r="BM27" s="71">
        <f t="shared" si="20"/>
        <v>0</v>
      </c>
      <c r="BN27" s="12"/>
      <c r="BO27" s="68"/>
      <c r="BP27" s="71">
        <f t="shared" si="21"/>
        <v>0</v>
      </c>
      <c r="BQ27" s="12"/>
      <c r="BR27" s="68"/>
      <c r="BS27" s="71">
        <f t="shared" si="22"/>
        <v>0</v>
      </c>
      <c r="BT27" s="12"/>
      <c r="BU27" s="68"/>
      <c r="BV27" s="71">
        <f t="shared" si="23"/>
        <v>0</v>
      </c>
      <c r="BW27" s="12"/>
      <c r="BX27" s="68"/>
      <c r="BY27" s="71">
        <f t="shared" si="24"/>
        <v>0</v>
      </c>
      <c r="BZ27" s="12"/>
      <c r="CA27" s="68"/>
      <c r="CB27" s="71">
        <f t="shared" si="25"/>
        <v>0</v>
      </c>
      <c r="CC27" s="12"/>
      <c r="CD27" s="68"/>
      <c r="CE27" s="71">
        <f t="shared" si="26"/>
        <v>0</v>
      </c>
      <c r="CF27" s="12"/>
      <c r="CG27" s="68"/>
      <c r="CH27" s="71">
        <f t="shared" si="27"/>
        <v>0</v>
      </c>
      <c r="CI27" s="12"/>
      <c r="CJ27" s="68"/>
      <c r="CK27" s="71">
        <f t="shared" si="28"/>
        <v>0</v>
      </c>
      <c r="CL27" s="12"/>
      <c r="CM27" s="68"/>
      <c r="CN27" s="71">
        <f t="shared" si="29"/>
        <v>0</v>
      </c>
      <c r="CO27" s="12"/>
      <c r="CP27" s="68"/>
      <c r="CQ27" s="71">
        <f t="shared" si="30"/>
        <v>0</v>
      </c>
      <c r="CR27" s="12"/>
      <c r="CS27" s="68"/>
      <c r="CT27" s="71">
        <f t="shared" si="31"/>
        <v>0</v>
      </c>
      <c r="CU27" s="12"/>
      <c r="CV27" s="68"/>
      <c r="CW27" s="71">
        <f t="shared" si="32"/>
        <v>0</v>
      </c>
      <c r="CX27" s="12"/>
      <c r="CY27" s="68"/>
      <c r="CZ27" s="71">
        <f t="shared" si="33"/>
        <v>0</v>
      </c>
      <c r="DA27" s="12"/>
      <c r="DB27" s="68"/>
      <c r="DC27" s="71">
        <f t="shared" si="34"/>
        <v>0</v>
      </c>
      <c r="DD27" s="12"/>
      <c r="DE27" s="68"/>
      <c r="DF27" s="71">
        <f t="shared" si="35"/>
        <v>0</v>
      </c>
      <c r="DG27" s="12"/>
      <c r="DH27" s="68"/>
      <c r="DI27" s="71">
        <f t="shared" si="36"/>
        <v>0</v>
      </c>
      <c r="DJ27" s="12"/>
      <c r="DK27" s="68"/>
      <c r="DL27" s="71">
        <f t="shared" si="37"/>
        <v>0</v>
      </c>
      <c r="DM27" s="12"/>
      <c r="DN27" s="68"/>
      <c r="DO27" s="71">
        <f t="shared" si="38"/>
        <v>0</v>
      </c>
      <c r="DP27" s="12"/>
      <c r="DQ27" s="68"/>
      <c r="DR27" s="71">
        <f t="shared" si="39"/>
        <v>0</v>
      </c>
      <c r="DS27" s="71">
        <f t="shared" si="40"/>
        <v>260000</v>
      </c>
      <c r="DT27" s="71">
        <f t="shared" si="41"/>
        <v>257446</v>
      </c>
      <c r="DU27" s="71">
        <f t="shared" si="42"/>
        <v>-2554</v>
      </c>
      <c r="DV27" s="68">
        <f t="shared" si="47"/>
        <v>-420175</v>
      </c>
      <c r="DW27" s="73"/>
      <c r="DX27" s="71">
        <f t="shared" si="48"/>
        <v>125000</v>
      </c>
      <c r="DY27" s="71">
        <f t="shared" si="49"/>
        <v>125000</v>
      </c>
      <c r="DZ27" s="68">
        <f t="shared" si="50"/>
        <v>0</v>
      </c>
      <c r="EA27" s="68">
        <f t="shared" si="52"/>
        <v>-178773</v>
      </c>
      <c r="EB27" s="73"/>
      <c r="EC27" s="68">
        <f t="shared" si="51"/>
        <v>-2554</v>
      </c>
      <c r="ED27" s="68">
        <f t="shared" si="53"/>
        <v>-2554</v>
      </c>
      <c r="EE27" s="73"/>
      <c r="EF27" s="73"/>
      <c r="EG27" s="73"/>
      <c r="EH27" s="73"/>
      <c r="EI27" s="73"/>
      <c r="EJ27" s="73"/>
      <c r="EK27" s="73"/>
    </row>
    <row r="28" spans="1:141" x14ac:dyDescent="0.25">
      <c r="A28" s="67">
        <f>+BaseloadMarkets!A28</f>
        <v>36700</v>
      </c>
      <c r="B28" s="67" t="str">
        <f>+BaseloadMarkets!B28</f>
        <v>Fri</v>
      </c>
      <c r="C28" s="12">
        <v>5000</v>
      </c>
      <c r="D28" s="68">
        <v>5000</v>
      </c>
      <c r="E28" s="71">
        <f t="shared" si="0"/>
        <v>0</v>
      </c>
      <c r="F28" s="12">
        <v>5000</v>
      </c>
      <c r="G28" s="68">
        <v>5000</v>
      </c>
      <c r="H28" s="71">
        <f t="shared" si="1"/>
        <v>0</v>
      </c>
      <c r="I28" s="12">
        <v>5000</v>
      </c>
      <c r="J28" s="68">
        <v>5000</v>
      </c>
      <c r="K28" s="71">
        <f t="shared" si="2"/>
        <v>0</v>
      </c>
      <c r="L28" s="12">
        <v>10000</v>
      </c>
      <c r="M28" s="68">
        <v>10000</v>
      </c>
      <c r="N28" s="71">
        <f t="shared" si="3"/>
        <v>0</v>
      </c>
      <c r="O28" s="12">
        <v>5000</v>
      </c>
      <c r="P28" s="68">
        <v>5000</v>
      </c>
      <c r="Q28" s="71">
        <f t="shared" si="4"/>
        <v>0</v>
      </c>
      <c r="R28" s="12">
        <v>5000</v>
      </c>
      <c r="S28" s="68">
        <v>5000</v>
      </c>
      <c r="T28" s="71">
        <f t="shared" si="5"/>
        <v>0</v>
      </c>
      <c r="U28" s="12">
        <v>10000</v>
      </c>
      <c r="V28" s="68">
        <v>10000</v>
      </c>
      <c r="W28" s="71">
        <f t="shared" si="6"/>
        <v>0</v>
      </c>
      <c r="X28" s="12">
        <f t="shared" si="43"/>
        <v>20000</v>
      </c>
      <c r="Y28" s="12">
        <f t="shared" si="43"/>
        <v>20000</v>
      </c>
      <c r="Z28" s="71">
        <f t="shared" si="7"/>
        <v>0</v>
      </c>
      <c r="AA28" s="12">
        <v>5000</v>
      </c>
      <c r="AB28" s="68">
        <v>5000</v>
      </c>
      <c r="AC28" s="71">
        <f t="shared" si="8"/>
        <v>0</v>
      </c>
      <c r="AD28" s="12">
        <f t="shared" si="44"/>
        <v>15000</v>
      </c>
      <c r="AE28" s="12">
        <f t="shared" si="44"/>
        <v>15000</v>
      </c>
      <c r="AF28" s="71">
        <f t="shared" si="9"/>
        <v>0</v>
      </c>
      <c r="AG28" s="12">
        <v>5000</v>
      </c>
      <c r="AH28" s="68">
        <v>5000</v>
      </c>
      <c r="AI28" s="71">
        <f t="shared" si="10"/>
        <v>0</v>
      </c>
      <c r="AJ28" s="12">
        <f t="shared" si="45"/>
        <v>10000</v>
      </c>
      <c r="AK28" s="12">
        <f t="shared" si="45"/>
        <v>10000</v>
      </c>
      <c r="AL28" s="71">
        <f t="shared" si="11"/>
        <v>0</v>
      </c>
      <c r="AM28" s="12">
        <v>10000</v>
      </c>
      <c r="AN28" s="68">
        <v>10000</v>
      </c>
      <c r="AO28" s="71">
        <f t="shared" si="12"/>
        <v>0</v>
      </c>
      <c r="AP28" s="12">
        <f t="shared" si="46"/>
        <v>15000</v>
      </c>
      <c r="AQ28" s="12">
        <f t="shared" si="46"/>
        <v>15000</v>
      </c>
      <c r="AR28" s="71">
        <f t="shared" si="13"/>
        <v>0</v>
      </c>
      <c r="AS28" s="12"/>
      <c r="AT28" s="68"/>
      <c r="AU28" s="71">
        <f t="shared" si="14"/>
        <v>0</v>
      </c>
      <c r="AV28" s="12">
        <v>505000</v>
      </c>
      <c r="AW28" s="68">
        <f>505000-19000+2061+1698+1698+4438-10000+8989</f>
        <v>494884</v>
      </c>
      <c r="AX28" s="71">
        <f t="shared" si="15"/>
        <v>-10116</v>
      </c>
      <c r="AY28" s="12"/>
      <c r="AZ28" s="68"/>
      <c r="BA28" s="71">
        <f t="shared" si="16"/>
        <v>0</v>
      </c>
      <c r="BB28" s="12"/>
      <c r="BC28" s="68"/>
      <c r="BD28" s="71">
        <f t="shared" si="17"/>
        <v>0</v>
      </c>
      <c r="BE28" s="12"/>
      <c r="BF28" s="68"/>
      <c r="BG28" s="71">
        <f t="shared" si="18"/>
        <v>0</v>
      </c>
      <c r="BH28" s="12"/>
      <c r="BI28" s="68"/>
      <c r="BJ28" s="71">
        <f t="shared" si="19"/>
        <v>0</v>
      </c>
      <c r="BK28" s="12"/>
      <c r="BL28" s="68"/>
      <c r="BM28" s="71">
        <f t="shared" si="20"/>
        <v>0</v>
      </c>
      <c r="BN28" s="12"/>
      <c r="BO28" s="68"/>
      <c r="BP28" s="71">
        <f t="shared" si="21"/>
        <v>0</v>
      </c>
      <c r="BQ28" s="12"/>
      <c r="BR28" s="68"/>
      <c r="BS28" s="71">
        <f t="shared" si="22"/>
        <v>0</v>
      </c>
      <c r="BT28" s="12"/>
      <c r="BU28" s="68"/>
      <c r="BV28" s="71">
        <f t="shared" si="23"/>
        <v>0</v>
      </c>
      <c r="BW28" s="12"/>
      <c r="BX28" s="68"/>
      <c r="BY28" s="71">
        <f t="shared" si="24"/>
        <v>0</v>
      </c>
      <c r="BZ28" s="12"/>
      <c r="CA28" s="68"/>
      <c r="CB28" s="71">
        <f t="shared" si="25"/>
        <v>0</v>
      </c>
      <c r="CC28" s="12"/>
      <c r="CD28" s="68"/>
      <c r="CE28" s="71">
        <f t="shared" si="26"/>
        <v>0</v>
      </c>
      <c r="CF28" s="12"/>
      <c r="CG28" s="68"/>
      <c r="CH28" s="71">
        <f t="shared" si="27"/>
        <v>0</v>
      </c>
      <c r="CI28" s="12"/>
      <c r="CJ28" s="68"/>
      <c r="CK28" s="71">
        <f t="shared" si="28"/>
        <v>0</v>
      </c>
      <c r="CL28" s="12"/>
      <c r="CM28" s="68"/>
      <c r="CN28" s="71">
        <f t="shared" si="29"/>
        <v>0</v>
      </c>
      <c r="CO28" s="12"/>
      <c r="CP28" s="68"/>
      <c r="CQ28" s="71">
        <f t="shared" si="30"/>
        <v>0</v>
      </c>
      <c r="CR28" s="12"/>
      <c r="CS28" s="68"/>
      <c r="CT28" s="71">
        <f t="shared" si="31"/>
        <v>0</v>
      </c>
      <c r="CU28" s="12"/>
      <c r="CV28" s="68"/>
      <c r="CW28" s="71">
        <f t="shared" si="32"/>
        <v>0</v>
      </c>
      <c r="CX28" s="12"/>
      <c r="CY28" s="68"/>
      <c r="CZ28" s="71">
        <f t="shared" si="33"/>
        <v>0</v>
      </c>
      <c r="DA28" s="12"/>
      <c r="DB28" s="68"/>
      <c r="DC28" s="71">
        <f t="shared" si="34"/>
        <v>0</v>
      </c>
      <c r="DD28" s="12"/>
      <c r="DE28" s="68"/>
      <c r="DF28" s="71">
        <f t="shared" si="35"/>
        <v>0</v>
      </c>
      <c r="DG28" s="12"/>
      <c r="DH28" s="68"/>
      <c r="DI28" s="71">
        <f t="shared" si="36"/>
        <v>0</v>
      </c>
      <c r="DJ28" s="12"/>
      <c r="DK28" s="68"/>
      <c r="DL28" s="71">
        <f t="shared" si="37"/>
        <v>0</v>
      </c>
      <c r="DM28" s="12"/>
      <c r="DN28" s="68"/>
      <c r="DO28" s="71">
        <f t="shared" si="38"/>
        <v>0</v>
      </c>
      <c r="DP28" s="12"/>
      <c r="DQ28" s="68"/>
      <c r="DR28" s="71">
        <f t="shared" si="39"/>
        <v>0</v>
      </c>
      <c r="DS28" s="71">
        <f t="shared" si="40"/>
        <v>630000</v>
      </c>
      <c r="DT28" s="71">
        <f t="shared" si="41"/>
        <v>619884</v>
      </c>
      <c r="DU28" s="71">
        <f t="shared" si="42"/>
        <v>-10116</v>
      </c>
      <c r="DV28" s="68">
        <f t="shared" si="47"/>
        <v>-430291</v>
      </c>
      <c r="DW28" s="73"/>
      <c r="DX28" s="71">
        <f t="shared" si="48"/>
        <v>125000</v>
      </c>
      <c r="DY28" s="71">
        <f t="shared" si="49"/>
        <v>125000</v>
      </c>
      <c r="DZ28" s="68">
        <f t="shared" si="50"/>
        <v>0</v>
      </c>
      <c r="EA28" s="68">
        <f t="shared" si="52"/>
        <v>-178773</v>
      </c>
      <c r="EB28" s="73"/>
      <c r="EC28" s="68">
        <f t="shared" si="51"/>
        <v>-10116</v>
      </c>
      <c r="ED28" s="68">
        <f t="shared" si="53"/>
        <v>-10116</v>
      </c>
      <c r="EE28" s="73"/>
      <c r="EF28" s="73"/>
      <c r="EG28" s="73"/>
      <c r="EH28" s="73"/>
      <c r="EI28" s="73"/>
      <c r="EJ28" s="73"/>
      <c r="EK28" s="73"/>
    </row>
    <row r="29" spans="1:141" x14ac:dyDescent="0.25">
      <c r="A29" s="67">
        <f>+BaseloadMarkets!A29</f>
        <v>36701</v>
      </c>
      <c r="B29" s="67" t="str">
        <f>+BaseloadMarkets!B29</f>
        <v>Sat</v>
      </c>
      <c r="C29" s="12">
        <v>5000</v>
      </c>
      <c r="D29" s="68">
        <v>5000</v>
      </c>
      <c r="E29" s="71">
        <f t="shared" si="0"/>
        <v>0</v>
      </c>
      <c r="F29" s="12">
        <v>5000</v>
      </c>
      <c r="G29" s="68">
        <v>5000</v>
      </c>
      <c r="H29" s="71">
        <f t="shared" si="1"/>
        <v>0</v>
      </c>
      <c r="I29" s="12">
        <v>5000</v>
      </c>
      <c r="J29" s="68">
        <v>5000</v>
      </c>
      <c r="K29" s="71">
        <f t="shared" si="2"/>
        <v>0</v>
      </c>
      <c r="L29" s="12">
        <v>10000</v>
      </c>
      <c r="M29" s="68">
        <v>10000</v>
      </c>
      <c r="N29" s="71">
        <f t="shared" si="3"/>
        <v>0</v>
      </c>
      <c r="O29" s="12">
        <v>5000</v>
      </c>
      <c r="P29" s="68">
        <v>5000</v>
      </c>
      <c r="Q29" s="71">
        <f t="shared" si="4"/>
        <v>0</v>
      </c>
      <c r="R29" s="12">
        <v>5000</v>
      </c>
      <c r="S29" s="68">
        <v>5000</v>
      </c>
      <c r="T29" s="71">
        <f t="shared" si="5"/>
        <v>0</v>
      </c>
      <c r="U29" s="12">
        <v>10000</v>
      </c>
      <c r="V29" s="68">
        <v>10000</v>
      </c>
      <c r="W29" s="71">
        <f t="shared" si="6"/>
        <v>0</v>
      </c>
      <c r="X29" s="12">
        <f t="shared" si="43"/>
        <v>20000</v>
      </c>
      <c r="Y29" s="12">
        <f t="shared" si="43"/>
        <v>20000</v>
      </c>
      <c r="Z29" s="71">
        <f t="shared" si="7"/>
        <v>0</v>
      </c>
      <c r="AA29" s="12">
        <v>5000</v>
      </c>
      <c r="AB29" s="68">
        <v>5000</v>
      </c>
      <c r="AC29" s="71">
        <f t="shared" si="8"/>
        <v>0</v>
      </c>
      <c r="AD29" s="12">
        <f t="shared" si="44"/>
        <v>15000</v>
      </c>
      <c r="AE29" s="12">
        <f t="shared" si="44"/>
        <v>15000</v>
      </c>
      <c r="AF29" s="71">
        <f t="shared" si="9"/>
        <v>0</v>
      </c>
      <c r="AG29" s="12">
        <v>5000</v>
      </c>
      <c r="AH29" s="68">
        <v>5000</v>
      </c>
      <c r="AI29" s="71">
        <f t="shared" si="10"/>
        <v>0</v>
      </c>
      <c r="AJ29" s="12">
        <f t="shared" si="45"/>
        <v>10000</v>
      </c>
      <c r="AK29" s="12">
        <f t="shared" si="45"/>
        <v>10000</v>
      </c>
      <c r="AL29" s="71">
        <f t="shared" si="11"/>
        <v>0</v>
      </c>
      <c r="AM29" s="12">
        <v>10000</v>
      </c>
      <c r="AN29" s="68">
        <v>10000</v>
      </c>
      <c r="AO29" s="71">
        <f t="shared" si="12"/>
        <v>0</v>
      </c>
      <c r="AP29" s="12">
        <f t="shared" si="46"/>
        <v>15000</v>
      </c>
      <c r="AQ29" s="12">
        <f t="shared" si="46"/>
        <v>15000</v>
      </c>
      <c r="AR29" s="71">
        <f t="shared" si="13"/>
        <v>0</v>
      </c>
      <c r="AS29" s="12"/>
      <c r="AT29" s="68"/>
      <c r="AU29" s="71">
        <f t="shared" si="14"/>
        <v>0</v>
      </c>
      <c r="AV29" s="12">
        <v>175000</v>
      </c>
      <c r="AW29" s="68">
        <f>175000-25000-19000+21996+2362+2828+3010</f>
        <v>161196</v>
      </c>
      <c r="AX29" s="71">
        <f t="shared" si="15"/>
        <v>-13804</v>
      </c>
      <c r="AY29" s="12"/>
      <c r="AZ29" s="68"/>
      <c r="BA29" s="71">
        <f t="shared" si="16"/>
        <v>0</v>
      </c>
      <c r="BB29" s="12"/>
      <c r="BC29" s="68"/>
      <c r="BD29" s="71">
        <f t="shared" si="17"/>
        <v>0</v>
      </c>
      <c r="BE29" s="12"/>
      <c r="BF29" s="68"/>
      <c r="BG29" s="71">
        <f t="shared" si="18"/>
        <v>0</v>
      </c>
      <c r="BH29" s="12"/>
      <c r="BI29" s="68"/>
      <c r="BJ29" s="71">
        <f t="shared" si="19"/>
        <v>0</v>
      </c>
      <c r="BK29" s="12"/>
      <c r="BL29" s="68"/>
      <c r="BM29" s="71">
        <f t="shared" si="20"/>
        <v>0</v>
      </c>
      <c r="BN29" s="12"/>
      <c r="BO29" s="68"/>
      <c r="BP29" s="71">
        <f t="shared" si="21"/>
        <v>0</v>
      </c>
      <c r="BQ29" s="12"/>
      <c r="BR29" s="68"/>
      <c r="BS29" s="71">
        <f t="shared" si="22"/>
        <v>0</v>
      </c>
      <c r="BT29" s="12"/>
      <c r="BU29" s="68"/>
      <c r="BV29" s="71">
        <f t="shared" si="23"/>
        <v>0</v>
      </c>
      <c r="BW29" s="12"/>
      <c r="BX29" s="68"/>
      <c r="BY29" s="71">
        <f t="shared" si="24"/>
        <v>0</v>
      </c>
      <c r="BZ29" s="12"/>
      <c r="CA29" s="68"/>
      <c r="CB29" s="71">
        <f t="shared" si="25"/>
        <v>0</v>
      </c>
      <c r="CC29" s="12"/>
      <c r="CD29" s="68"/>
      <c r="CE29" s="71">
        <f t="shared" si="26"/>
        <v>0</v>
      </c>
      <c r="CF29" s="12"/>
      <c r="CG29" s="68"/>
      <c r="CH29" s="71">
        <f t="shared" si="27"/>
        <v>0</v>
      </c>
      <c r="CI29" s="12"/>
      <c r="CJ29" s="68"/>
      <c r="CK29" s="71">
        <f t="shared" si="28"/>
        <v>0</v>
      </c>
      <c r="CL29" s="12"/>
      <c r="CM29" s="68"/>
      <c r="CN29" s="71">
        <f t="shared" si="29"/>
        <v>0</v>
      </c>
      <c r="CO29" s="12"/>
      <c r="CP29" s="68"/>
      <c r="CQ29" s="71">
        <f t="shared" si="30"/>
        <v>0</v>
      </c>
      <c r="CR29" s="12"/>
      <c r="CS29" s="68"/>
      <c r="CT29" s="71">
        <f t="shared" si="31"/>
        <v>0</v>
      </c>
      <c r="CU29" s="12"/>
      <c r="CV29" s="68"/>
      <c r="CW29" s="71">
        <f t="shared" si="32"/>
        <v>0</v>
      </c>
      <c r="CX29" s="12"/>
      <c r="CY29" s="68"/>
      <c r="CZ29" s="71">
        <f t="shared" si="33"/>
        <v>0</v>
      </c>
      <c r="DA29" s="12"/>
      <c r="DB29" s="68"/>
      <c r="DC29" s="71">
        <f t="shared" si="34"/>
        <v>0</v>
      </c>
      <c r="DD29" s="12"/>
      <c r="DE29" s="68"/>
      <c r="DF29" s="71">
        <f t="shared" si="35"/>
        <v>0</v>
      </c>
      <c r="DG29" s="12"/>
      <c r="DH29" s="68"/>
      <c r="DI29" s="71">
        <f t="shared" si="36"/>
        <v>0</v>
      </c>
      <c r="DJ29" s="12"/>
      <c r="DK29" s="68"/>
      <c r="DL29" s="71">
        <f t="shared" si="37"/>
        <v>0</v>
      </c>
      <c r="DM29" s="12"/>
      <c r="DN29" s="68"/>
      <c r="DO29" s="71">
        <f t="shared" si="38"/>
        <v>0</v>
      </c>
      <c r="DP29" s="12"/>
      <c r="DQ29" s="68"/>
      <c r="DR29" s="71">
        <f t="shared" si="39"/>
        <v>0</v>
      </c>
      <c r="DS29" s="71">
        <f t="shared" si="40"/>
        <v>300000</v>
      </c>
      <c r="DT29" s="71">
        <f t="shared" si="41"/>
        <v>286196</v>
      </c>
      <c r="DU29" s="71">
        <f t="shared" si="42"/>
        <v>-13804</v>
      </c>
      <c r="DV29" s="68">
        <f t="shared" si="47"/>
        <v>-444095</v>
      </c>
      <c r="DW29" s="73"/>
      <c r="DX29" s="71">
        <f t="shared" si="48"/>
        <v>125000</v>
      </c>
      <c r="DY29" s="71">
        <f t="shared" si="49"/>
        <v>125000</v>
      </c>
      <c r="DZ29" s="68">
        <f t="shared" si="50"/>
        <v>0</v>
      </c>
      <c r="EA29" s="68">
        <f t="shared" si="52"/>
        <v>-178773</v>
      </c>
      <c r="EB29" s="73"/>
      <c r="EC29" s="68">
        <f t="shared" si="51"/>
        <v>-13804</v>
      </c>
      <c r="ED29" s="68">
        <f t="shared" si="53"/>
        <v>-13804</v>
      </c>
      <c r="EE29" s="73"/>
      <c r="EF29" s="73"/>
      <c r="EG29" s="73"/>
      <c r="EH29" s="73"/>
      <c r="EI29" s="73"/>
      <c r="EJ29" s="73"/>
      <c r="EK29" s="73"/>
    </row>
    <row r="30" spans="1:141" x14ac:dyDescent="0.25">
      <c r="A30" s="67">
        <f>+BaseloadMarkets!A30</f>
        <v>36702</v>
      </c>
      <c r="B30" s="67" t="str">
        <f>+BaseloadMarkets!B30</f>
        <v>Sun</v>
      </c>
      <c r="C30" s="12">
        <v>5000</v>
      </c>
      <c r="D30" s="68">
        <v>5000</v>
      </c>
      <c r="E30" s="71">
        <f t="shared" si="0"/>
        <v>0</v>
      </c>
      <c r="F30" s="12">
        <v>5000</v>
      </c>
      <c r="G30" s="68">
        <v>5000</v>
      </c>
      <c r="H30" s="71">
        <f t="shared" si="1"/>
        <v>0</v>
      </c>
      <c r="I30" s="12">
        <v>5000</v>
      </c>
      <c r="J30" s="68">
        <v>5000</v>
      </c>
      <c r="K30" s="71">
        <f t="shared" si="2"/>
        <v>0</v>
      </c>
      <c r="L30" s="12">
        <v>10000</v>
      </c>
      <c r="M30" s="68">
        <v>10000</v>
      </c>
      <c r="N30" s="71">
        <f t="shared" si="3"/>
        <v>0</v>
      </c>
      <c r="O30" s="12">
        <v>5000</v>
      </c>
      <c r="P30" s="68">
        <v>5000</v>
      </c>
      <c r="Q30" s="71">
        <f t="shared" si="4"/>
        <v>0</v>
      </c>
      <c r="R30" s="12">
        <v>5000</v>
      </c>
      <c r="S30" s="68">
        <v>5000</v>
      </c>
      <c r="T30" s="71">
        <f t="shared" si="5"/>
        <v>0</v>
      </c>
      <c r="U30" s="12">
        <v>10000</v>
      </c>
      <c r="V30" s="68">
        <v>10000</v>
      </c>
      <c r="W30" s="71">
        <f t="shared" si="6"/>
        <v>0</v>
      </c>
      <c r="X30" s="12">
        <f t="shared" si="43"/>
        <v>20000</v>
      </c>
      <c r="Y30" s="12">
        <f t="shared" si="43"/>
        <v>20000</v>
      </c>
      <c r="Z30" s="71">
        <f t="shared" si="7"/>
        <v>0</v>
      </c>
      <c r="AA30" s="12">
        <v>5000</v>
      </c>
      <c r="AB30" s="68">
        <v>5000</v>
      </c>
      <c r="AC30" s="71">
        <f t="shared" si="8"/>
        <v>0</v>
      </c>
      <c r="AD30" s="12">
        <f t="shared" si="44"/>
        <v>15000</v>
      </c>
      <c r="AE30" s="12">
        <f t="shared" si="44"/>
        <v>15000</v>
      </c>
      <c r="AF30" s="71">
        <f t="shared" si="9"/>
        <v>0</v>
      </c>
      <c r="AG30" s="12">
        <v>5000</v>
      </c>
      <c r="AH30" s="68">
        <v>5000</v>
      </c>
      <c r="AI30" s="71">
        <f t="shared" si="10"/>
        <v>0</v>
      </c>
      <c r="AJ30" s="12">
        <f t="shared" si="45"/>
        <v>10000</v>
      </c>
      <c r="AK30" s="12">
        <f t="shared" si="45"/>
        <v>10000</v>
      </c>
      <c r="AL30" s="71">
        <f t="shared" si="11"/>
        <v>0</v>
      </c>
      <c r="AM30" s="12">
        <v>10000</v>
      </c>
      <c r="AN30" s="68">
        <v>10000</v>
      </c>
      <c r="AO30" s="71">
        <f t="shared" si="12"/>
        <v>0</v>
      </c>
      <c r="AP30" s="12">
        <f t="shared" si="46"/>
        <v>15000</v>
      </c>
      <c r="AQ30" s="12">
        <f t="shared" si="46"/>
        <v>15000</v>
      </c>
      <c r="AR30" s="71">
        <f t="shared" si="13"/>
        <v>0</v>
      </c>
      <c r="AS30" s="12"/>
      <c r="AT30" s="68"/>
      <c r="AU30" s="71">
        <f t="shared" si="14"/>
        <v>0</v>
      </c>
      <c r="AV30" s="12">
        <v>175000</v>
      </c>
      <c r="AW30" s="68">
        <f>175000-25000-19000+21700+2262+3129+3129+2926</f>
        <v>164146</v>
      </c>
      <c r="AX30" s="71">
        <f t="shared" si="15"/>
        <v>-10854</v>
      </c>
      <c r="AY30" s="12"/>
      <c r="AZ30" s="68"/>
      <c r="BA30" s="71">
        <f t="shared" si="16"/>
        <v>0</v>
      </c>
      <c r="BB30" s="12"/>
      <c r="BC30" s="68"/>
      <c r="BD30" s="71">
        <f t="shared" si="17"/>
        <v>0</v>
      </c>
      <c r="BE30" s="12"/>
      <c r="BF30" s="68"/>
      <c r="BG30" s="71">
        <f t="shared" si="18"/>
        <v>0</v>
      </c>
      <c r="BH30" s="12"/>
      <c r="BI30" s="68"/>
      <c r="BJ30" s="71">
        <f t="shared" si="19"/>
        <v>0</v>
      </c>
      <c r="BK30" s="12"/>
      <c r="BL30" s="68"/>
      <c r="BM30" s="71">
        <f t="shared" si="20"/>
        <v>0</v>
      </c>
      <c r="BN30" s="12"/>
      <c r="BO30" s="68"/>
      <c r="BP30" s="71">
        <f t="shared" si="21"/>
        <v>0</v>
      </c>
      <c r="BQ30" s="12"/>
      <c r="BR30" s="68"/>
      <c r="BS30" s="71">
        <f t="shared" si="22"/>
        <v>0</v>
      </c>
      <c r="BT30" s="12"/>
      <c r="BU30" s="68"/>
      <c r="BV30" s="71">
        <f t="shared" si="23"/>
        <v>0</v>
      </c>
      <c r="BW30" s="12"/>
      <c r="BX30" s="68"/>
      <c r="BY30" s="71">
        <f t="shared" si="24"/>
        <v>0</v>
      </c>
      <c r="BZ30" s="12"/>
      <c r="CA30" s="68"/>
      <c r="CB30" s="71">
        <f t="shared" si="25"/>
        <v>0</v>
      </c>
      <c r="CC30" s="12"/>
      <c r="CD30" s="68"/>
      <c r="CE30" s="71">
        <f t="shared" si="26"/>
        <v>0</v>
      </c>
      <c r="CF30" s="12"/>
      <c r="CG30" s="68"/>
      <c r="CH30" s="71">
        <f t="shared" si="27"/>
        <v>0</v>
      </c>
      <c r="CI30" s="12"/>
      <c r="CJ30" s="68"/>
      <c r="CK30" s="71">
        <f t="shared" si="28"/>
        <v>0</v>
      </c>
      <c r="CL30" s="12"/>
      <c r="CM30" s="68"/>
      <c r="CN30" s="71">
        <f t="shared" si="29"/>
        <v>0</v>
      </c>
      <c r="CO30" s="12"/>
      <c r="CP30" s="68"/>
      <c r="CQ30" s="71">
        <f t="shared" si="30"/>
        <v>0</v>
      </c>
      <c r="CR30" s="12"/>
      <c r="CS30" s="68"/>
      <c r="CT30" s="71">
        <f t="shared" si="31"/>
        <v>0</v>
      </c>
      <c r="CU30" s="12"/>
      <c r="CV30" s="68"/>
      <c r="CW30" s="71">
        <f t="shared" si="32"/>
        <v>0</v>
      </c>
      <c r="CX30" s="12"/>
      <c r="CY30" s="68"/>
      <c r="CZ30" s="71">
        <f t="shared" si="33"/>
        <v>0</v>
      </c>
      <c r="DA30" s="12"/>
      <c r="DB30" s="68"/>
      <c r="DC30" s="71">
        <f t="shared" si="34"/>
        <v>0</v>
      </c>
      <c r="DD30" s="12"/>
      <c r="DE30" s="68"/>
      <c r="DF30" s="71">
        <f t="shared" si="35"/>
        <v>0</v>
      </c>
      <c r="DG30" s="12"/>
      <c r="DH30" s="68"/>
      <c r="DI30" s="71">
        <f t="shared" si="36"/>
        <v>0</v>
      </c>
      <c r="DJ30" s="12"/>
      <c r="DK30" s="68"/>
      <c r="DL30" s="71">
        <f t="shared" si="37"/>
        <v>0</v>
      </c>
      <c r="DM30" s="12"/>
      <c r="DN30" s="68"/>
      <c r="DO30" s="71">
        <f t="shared" si="38"/>
        <v>0</v>
      </c>
      <c r="DP30" s="12"/>
      <c r="DQ30" s="68"/>
      <c r="DR30" s="71">
        <f t="shared" si="39"/>
        <v>0</v>
      </c>
      <c r="DS30" s="71">
        <f t="shared" si="40"/>
        <v>300000</v>
      </c>
      <c r="DT30" s="71">
        <f t="shared" si="41"/>
        <v>289146</v>
      </c>
      <c r="DU30" s="71">
        <f t="shared" si="42"/>
        <v>-10854</v>
      </c>
      <c r="DV30" s="68">
        <f t="shared" si="47"/>
        <v>-454949</v>
      </c>
      <c r="DW30" s="73"/>
      <c r="DX30" s="71">
        <f t="shared" si="48"/>
        <v>125000</v>
      </c>
      <c r="DY30" s="71">
        <f t="shared" si="49"/>
        <v>125000</v>
      </c>
      <c r="DZ30" s="68">
        <f t="shared" si="50"/>
        <v>0</v>
      </c>
      <c r="EA30" s="68">
        <f t="shared" si="52"/>
        <v>-178773</v>
      </c>
      <c r="EB30" s="73"/>
      <c r="EC30" s="68">
        <f t="shared" si="51"/>
        <v>-10854</v>
      </c>
      <c r="ED30" s="68">
        <f t="shared" si="53"/>
        <v>-10854</v>
      </c>
      <c r="EE30" s="73"/>
      <c r="EF30" s="73"/>
      <c r="EG30" s="73"/>
      <c r="EH30" s="73"/>
      <c r="EI30" s="73"/>
      <c r="EJ30" s="73"/>
      <c r="EK30" s="73"/>
    </row>
    <row r="31" spans="1:141" x14ac:dyDescent="0.25">
      <c r="A31" s="67">
        <f>+BaseloadMarkets!A31</f>
        <v>36703</v>
      </c>
      <c r="B31" s="67" t="str">
        <f>+BaseloadMarkets!B31</f>
        <v>Mon</v>
      </c>
      <c r="C31" s="12">
        <v>5000</v>
      </c>
      <c r="D31" s="68">
        <v>5000</v>
      </c>
      <c r="E31" s="71">
        <f t="shared" si="0"/>
        <v>0</v>
      </c>
      <c r="F31" s="12">
        <v>5000</v>
      </c>
      <c r="G31" s="68">
        <v>5000</v>
      </c>
      <c r="H31" s="71">
        <f t="shared" si="1"/>
        <v>0</v>
      </c>
      <c r="I31" s="12">
        <v>5000</v>
      </c>
      <c r="J31" s="68">
        <v>5000</v>
      </c>
      <c r="K31" s="71">
        <f t="shared" si="2"/>
        <v>0</v>
      </c>
      <c r="L31" s="12">
        <v>10000</v>
      </c>
      <c r="M31" s="68">
        <v>10000</v>
      </c>
      <c r="N31" s="71">
        <f t="shared" si="3"/>
        <v>0</v>
      </c>
      <c r="O31" s="12">
        <v>5000</v>
      </c>
      <c r="P31" s="68">
        <v>5000</v>
      </c>
      <c r="Q31" s="71">
        <f t="shared" si="4"/>
        <v>0</v>
      </c>
      <c r="R31" s="12">
        <v>5000</v>
      </c>
      <c r="S31" s="68">
        <v>5000</v>
      </c>
      <c r="T31" s="71">
        <f t="shared" si="5"/>
        <v>0</v>
      </c>
      <c r="U31" s="12">
        <v>10000</v>
      </c>
      <c r="V31" s="68">
        <v>10000</v>
      </c>
      <c r="W31" s="71">
        <f t="shared" si="6"/>
        <v>0</v>
      </c>
      <c r="X31" s="12">
        <f t="shared" si="43"/>
        <v>20000</v>
      </c>
      <c r="Y31" s="12">
        <f t="shared" si="43"/>
        <v>20000</v>
      </c>
      <c r="Z31" s="71">
        <f t="shared" si="7"/>
        <v>0</v>
      </c>
      <c r="AA31" s="12">
        <v>5000</v>
      </c>
      <c r="AB31" s="68">
        <v>5000</v>
      </c>
      <c r="AC31" s="71">
        <f t="shared" si="8"/>
        <v>0</v>
      </c>
      <c r="AD31" s="12">
        <f t="shared" si="44"/>
        <v>15000</v>
      </c>
      <c r="AE31" s="12">
        <f t="shared" si="44"/>
        <v>15000</v>
      </c>
      <c r="AF31" s="71">
        <f t="shared" si="9"/>
        <v>0</v>
      </c>
      <c r="AG31" s="12">
        <v>5000</v>
      </c>
      <c r="AH31" s="68">
        <v>5000</v>
      </c>
      <c r="AI31" s="71">
        <f t="shared" si="10"/>
        <v>0</v>
      </c>
      <c r="AJ31" s="12">
        <f t="shared" si="45"/>
        <v>10000</v>
      </c>
      <c r="AK31" s="12">
        <f t="shared" si="45"/>
        <v>10000</v>
      </c>
      <c r="AL31" s="71">
        <f t="shared" si="11"/>
        <v>0</v>
      </c>
      <c r="AM31" s="12">
        <v>10000</v>
      </c>
      <c r="AN31" s="68">
        <v>10000</v>
      </c>
      <c r="AO31" s="71">
        <f t="shared" si="12"/>
        <v>0</v>
      </c>
      <c r="AP31" s="12">
        <f t="shared" si="46"/>
        <v>15000</v>
      </c>
      <c r="AQ31" s="12">
        <f t="shared" si="46"/>
        <v>15000</v>
      </c>
      <c r="AR31" s="71">
        <f t="shared" si="13"/>
        <v>0</v>
      </c>
      <c r="AS31" s="12"/>
      <c r="AT31" s="68"/>
      <c r="AU31" s="71">
        <f t="shared" si="14"/>
        <v>0</v>
      </c>
      <c r="AV31" s="12">
        <v>175000</v>
      </c>
      <c r="AW31" s="68">
        <f>175000-25000-5000-19000+19815+4640+2261+3057+3057+3848</f>
        <v>162678</v>
      </c>
      <c r="AX31" s="71">
        <f t="shared" si="15"/>
        <v>-12322</v>
      </c>
      <c r="AY31" s="12"/>
      <c r="AZ31" s="68"/>
      <c r="BA31" s="71">
        <f t="shared" si="16"/>
        <v>0</v>
      </c>
      <c r="BB31" s="12"/>
      <c r="BC31" s="68"/>
      <c r="BD31" s="71">
        <f t="shared" si="17"/>
        <v>0</v>
      </c>
      <c r="BE31" s="12"/>
      <c r="BF31" s="68"/>
      <c r="BG31" s="71">
        <f t="shared" si="18"/>
        <v>0</v>
      </c>
      <c r="BH31" s="12"/>
      <c r="BI31" s="68"/>
      <c r="BJ31" s="71">
        <f t="shared" si="19"/>
        <v>0</v>
      </c>
      <c r="BK31" s="12"/>
      <c r="BL31" s="68"/>
      <c r="BM31" s="71">
        <f t="shared" si="20"/>
        <v>0</v>
      </c>
      <c r="BN31" s="12"/>
      <c r="BO31" s="68"/>
      <c r="BP31" s="71">
        <f t="shared" si="21"/>
        <v>0</v>
      </c>
      <c r="BQ31" s="12"/>
      <c r="BR31" s="68"/>
      <c r="BS31" s="71">
        <f t="shared" si="22"/>
        <v>0</v>
      </c>
      <c r="BT31" s="12"/>
      <c r="BU31" s="68"/>
      <c r="BV31" s="71">
        <f t="shared" si="23"/>
        <v>0</v>
      </c>
      <c r="BW31" s="12"/>
      <c r="BX31" s="68"/>
      <c r="BY31" s="71">
        <f t="shared" si="24"/>
        <v>0</v>
      </c>
      <c r="BZ31" s="12"/>
      <c r="CA31" s="68"/>
      <c r="CB31" s="71">
        <f t="shared" si="25"/>
        <v>0</v>
      </c>
      <c r="CC31" s="12"/>
      <c r="CD31" s="68"/>
      <c r="CE31" s="71">
        <f t="shared" si="26"/>
        <v>0</v>
      </c>
      <c r="CF31" s="12"/>
      <c r="CG31" s="68"/>
      <c r="CH31" s="71">
        <f t="shared" si="27"/>
        <v>0</v>
      </c>
      <c r="CI31" s="12"/>
      <c r="CJ31" s="68"/>
      <c r="CK31" s="71">
        <f t="shared" si="28"/>
        <v>0</v>
      </c>
      <c r="CL31" s="12"/>
      <c r="CM31" s="68"/>
      <c r="CN31" s="71">
        <f t="shared" si="29"/>
        <v>0</v>
      </c>
      <c r="CO31" s="12"/>
      <c r="CP31" s="68"/>
      <c r="CQ31" s="71">
        <f t="shared" si="30"/>
        <v>0</v>
      </c>
      <c r="CR31" s="12"/>
      <c r="CS31" s="68"/>
      <c r="CT31" s="71">
        <f t="shared" si="31"/>
        <v>0</v>
      </c>
      <c r="CU31" s="12"/>
      <c r="CV31" s="68"/>
      <c r="CW31" s="71">
        <f t="shared" si="32"/>
        <v>0</v>
      </c>
      <c r="CX31" s="12"/>
      <c r="CY31" s="68"/>
      <c r="CZ31" s="71">
        <f t="shared" si="33"/>
        <v>0</v>
      </c>
      <c r="DA31" s="12"/>
      <c r="DB31" s="68"/>
      <c r="DC31" s="71">
        <f t="shared" si="34"/>
        <v>0</v>
      </c>
      <c r="DD31" s="12"/>
      <c r="DE31" s="68"/>
      <c r="DF31" s="71">
        <f t="shared" si="35"/>
        <v>0</v>
      </c>
      <c r="DG31" s="12"/>
      <c r="DH31" s="68"/>
      <c r="DI31" s="71">
        <f t="shared" si="36"/>
        <v>0</v>
      </c>
      <c r="DJ31" s="12"/>
      <c r="DK31" s="68"/>
      <c r="DL31" s="71">
        <f t="shared" si="37"/>
        <v>0</v>
      </c>
      <c r="DM31" s="12"/>
      <c r="DN31" s="68"/>
      <c r="DO31" s="71">
        <f t="shared" si="38"/>
        <v>0</v>
      </c>
      <c r="DP31" s="12"/>
      <c r="DQ31" s="68"/>
      <c r="DR31" s="71">
        <f t="shared" si="39"/>
        <v>0</v>
      </c>
      <c r="DS31" s="71">
        <f t="shared" si="40"/>
        <v>300000</v>
      </c>
      <c r="DT31" s="71">
        <f t="shared" si="41"/>
        <v>287678</v>
      </c>
      <c r="DU31" s="71">
        <f t="shared" si="42"/>
        <v>-12322</v>
      </c>
      <c r="DV31" s="68">
        <f t="shared" si="47"/>
        <v>-467271</v>
      </c>
      <c r="DW31" s="73"/>
      <c r="DX31" s="71">
        <f t="shared" si="48"/>
        <v>125000</v>
      </c>
      <c r="DY31" s="71">
        <f t="shared" si="49"/>
        <v>125000</v>
      </c>
      <c r="DZ31" s="68">
        <f t="shared" si="50"/>
        <v>0</v>
      </c>
      <c r="EA31" s="68">
        <f t="shared" si="52"/>
        <v>-178773</v>
      </c>
      <c r="EB31" s="73"/>
      <c r="EC31" s="68">
        <f t="shared" si="51"/>
        <v>-12322</v>
      </c>
      <c r="ED31" s="68">
        <f t="shared" si="53"/>
        <v>-12322</v>
      </c>
      <c r="EE31" s="73"/>
      <c r="EF31" s="73"/>
      <c r="EG31" s="73"/>
      <c r="EH31" s="73"/>
      <c r="EI31" s="73"/>
      <c r="EJ31" s="73"/>
      <c r="EK31" s="73"/>
    </row>
    <row r="32" spans="1:141" x14ac:dyDescent="0.25">
      <c r="A32" s="67">
        <f>+BaseloadMarkets!A32</f>
        <v>36704</v>
      </c>
      <c r="B32" s="67" t="str">
        <f>+BaseloadMarkets!B32</f>
        <v>Tues</v>
      </c>
      <c r="C32" s="12">
        <v>5000</v>
      </c>
      <c r="D32" s="68">
        <v>5000</v>
      </c>
      <c r="E32" s="71">
        <f t="shared" si="0"/>
        <v>0</v>
      </c>
      <c r="F32" s="12">
        <v>5000</v>
      </c>
      <c r="G32" s="68">
        <v>5000</v>
      </c>
      <c r="H32" s="71">
        <f t="shared" si="1"/>
        <v>0</v>
      </c>
      <c r="I32" s="12">
        <v>5000</v>
      </c>
      <c r="J32" s="68">
        <v>5000</v>
      </c>
      <c r="K32" s="71">
        <f t="shared" si="2"/>
        <v>0</v>
      </c>
      <c r="L32" s="12">
        <v>10000</v>
      </c>
      <c r="M32" s="68">
        <v>10000</v>
      </c>
      <c r="N32" s="71">
        <f t="shared" si="3"/>
        <v>0</v>
      </c>
      <c r="O32" s="12">
        <v>5000</v>
      </c>
      <c r="P32" s="68">
        <v>5000</v>
      </c>
      <c r="Q32" s="71">
        <f t="shared" si="4"/>
        <v>0</v>
      </c>
      <c r="R32" s="12">
        <v>5000</v>
      </c>
      <c r="S32" s="68">
        <v>5000</v>
      </c>
      <c r="T32" s="71">
        <f t="shared" si="5"/>
        <v>0</v>
      </c>
      <c r="U32" s="12">
        <v>10000</v>
      </c>
      <c r="V32" s="68">
        <v>10000</v>
      </c>
      <c r="W32" s="71">
        <f t="shared" si="6"/>
        <v>0</v>
      </c>
      <c r="X32" s="12">
        <f t="shared" si="43"/>
        <v>20000</v>
      </c>
      <c r="Y32" s="12">
        <f t="shared" si="43"/>
        <v>20000</v>
      </c>
      <c r="Z32" s="71">
        <f t="shared" si="7"/>
        <v>0</v>
      </c>
      <c r="AA32" s="12">
        <v>5000</v>
      </c>
      <c r="AB32" s="68">
        <v>5000</v>
      </c>
      <c r="AC32" s="71">
        <f t="shared" si="8"/>
        <v>0</v>
      </c>
      <c r="AD32" s="12">
        <f t="shared" si="44"/>
        <v>15000</v>
      </c>
      <c r="AE32" s="12">
        <f t="shared" si="44"/>
        <v>15000</v>
      </c>
      <c r="AF32" s="71">
        <f t="shared" si="9"/>
        <v>0</v>
      </c>
      <c r="AG32" s="12">
        <v>5000</v>
      </c>
      <c r="AH32" s="68">
        <v>5000</v>
      </c>
      <c r="AI32" s="71">
        <f t="shared" si="10"/>
        <v>0</v>
      </c>
      <c r="AJ32" s="12">
        <f t="shared" si="45"/>
        <v>10000</v>
      </c>
      <c r="AK32" s="12">
        <f t="shared" si="45"/>
        <v>10000</v>
      </c>
      <c r="AL32" s="71">
        <f t="shared" si="11"/>
        <v>0</v>
      </c>
      <c r="AM32" s="12">
        <v>10000</v>
      </c>
      <c r="AN32" s="68">
        <v>10000</v>
      </c>
      <c r="AO32" s="71">
        <f t="shared" si="12"/>
        <v>0</v>
      </c>
      <c r="AP32" s="12">
        <f t="shared" si="46"/>
        <v>15000</v>
      </c>
      <c r="AQ32" s="12">
        <f t="shared" si="46"/>
        <v>15000</v>
      </c>
      <c r="AR32" s="71">
        <f t="shared" si="13"/>
        <v>0</v>
      </c>
      <c r="AS32" s="12"/>
      <c r="AT32" s="68"/>
      <c r="AU32" s="71">
        <f t="shared" si="14"/>
        <v>0</v>
      </c>
      <c r="AV32" s="12">
        <v>475000</v>
      </c>
      <c r="AW32" s="68">
        <f>475000-19000+2678+1564+1357+4015-5000+4015</f>
        <v>464629</v>
      </c>
      <c r="AX32" s="71">
        <f t="shared" si="15"/>
        <v>-10371</v>
      </c>
      <c r="AY32" s="12"/>
      <c r="AZ32" s="68"/>
      <c r="BA32" s="71">
        <f t="shared" si="16"/>
        <v>0</v>
      </c>
      <c r="BB32" s="12"/>
      <c r="BC32" s="68"/>
      <c r="BD32" s="71">
        <f t="shared" si="17"/>
        <v>0</v>
      </c>
      <c r="BE32" s="12"/>
      <c r="BF32" s="68"/>
      <c r="BG32" s="71">
        <f t="shared" si="18"/>
        <v>0</v>
      </c>
      <c r="BH32" s="12"/>
      <c r="BI32" s="68"/>
      <c r="BJ32" s="71">
        <f t="shared" si="19"/>
        <v>0</v>
      </c>
      <c r="BK32" s="12"/>
      <c r="BL32" s="68"/>
      <c r="BM32" s="71">
        <f t="shared" si="20"/>
        <v>0</v>
      </c>
      <c r="BN32" s="12"/>
      <c r="BO32" s="68"/>
      <c r="BP32" s="71">
        <f t="shared" si="21"/>
        <v>0</v>
      </c>
      <c r="BQ32" s="12"/>
      <c r="BR32" s="68"/>
      <c r="BS32" s="71">
        <f t="shared" si="22"/>
        <v>0</v>
      </c>
      <c r="BT32" s="12"/>
      <c r="BU32" s="68"/>
      <c r="BV32" s="71">
        <f t="shared" si="23"/>
        <v>0</v>
      </c>
      <c r="BW32" s="12"/>
      <c r="BX32" s="68"/>
      <c r="BY32" s="71">
        <f t="shared" si="24"/>
        <v>0</v>
      </c>
      <c r="BZ32" s="12"/>
      <c r="CA32" s="68"/>
      <c r="CB32" s="71">
        <f t="shared" si="25"/>
        <v>0</v>
      </c>
      <c r="CC32" s="12"/>
      <c r="CD32" s="68"/>
      <c r="CE32" s="71">
        <f t="shared" si="26"/>
        <v>0</v>
      </c>
      <c r="CF32" s="12"/>
      <c r="CG32" s="68"/>
      <c r="CH32" s="71">
        <f t="shared" si="27"/>
        <v>0</v>
      </c>
      <c r="CI32" s="12"/>
      <c r="CJ32" s="68"/>
      <c r="CK32" s="71">
        <f t="shared" si="28"/>
        <v>0</v>
      </c>
      <c r="CL32" s="12"/>
      <c r="CM32" s="68"/>
      <c r="CN32" s="71">
        <f t="shared" si="29"/>
        <v>0</v>
      </c>
      <c r="CO32" s="12"/>
      <c r="CP32" s="68"/>
      <c r="CQ32" s="71">
        <f t="shared" si="30"/>
        <v>0</v>
      </c>
      <c r="CR32" s="12"/>
      <c r="CS32" s="68"/>
      <c r="CT32" s="71">
        <f t="shared" si="31"/>
        <v>0</v>
      </c>
      <c r="CU32" s="12"/>
      <c r="CV32" s="68"/>
      <c r="CW32" s="71">
        <f t="shared" si="32"/>
        <v>0</v>
      </c>
      <c r="CX32" s="12"/>
      <c r="CY32" s="68"/>
      <c r="CZ32" s="71">
        <f t="shared" si="33"/>
        <v>0</v>
      </c>
      <c r="DA32" s="12"/>
      <c r="DB32" s="68"/>
      <c r="DC32" s="71">
        <f t="shared" si="34"/>
        <v>0</v>
      </c>
      <c r="DD32" s="12"/>
      <c r="DE32" s="68"/>
      <c r="DF32" s="71">
        <f t="shared" si="35"/>
        <v>0</v>
      </c>
      <c r="DG32" s="12"/>
      <c r="DH32" s="68"/>
      <c r="DI32" s="71">
        <f t="shared" si="36"/>
        <v>0</v>
      </c>
      <c r="DJ32" s="12"/>
      <c r="DK32" s="68"/>
      <c r="DL32" s="71">
        <f t="shared" si="37"/>
        <v>0</v>
      </c>
      <c r="DM32" s="12"/>
      <c r="DN32" s="68"/>
      <c r="DO32" s="71">
        <f t="shared" si="38"/>
        <v>0</v>
      </c>
      <c r="DP32" s="12"/>
      <c r="DQ32" s="68"/>
      <c r="DR32" s="71">
        <f t="shared" si="39"/>
        <v>0</v>
      </c>
      <c r="DS32" s="71">
        <f t="shared" si="40"/>
        <v>600000</v>
      </c>
      <c r="DT32" s="71">
        <f t="shared" si="41"/>
        <v>589629</v>
      </c>
      <c r="DU32" s="71">
        <f t="shared" si="42"/>
        <v>-10371</v>
      </c>
      <c r="DV32" s="68">
        <f t="shared" si="47"/>
        <v>-477642</v>
      </c>
      <c r="DW32" s="73"/>
      <c r="DX32" s="71">
        <f t="shared" si="48"/>
        <v>125000</v>
      </c>
      <c r="DY32" s="71">
        <f t="shared" si="49"/>
        <v>125000</v>
      </c>
      <c r="DZ32" s="68">
        <f t="shared" si="50"/>
        <v>0</v>
      </c>
      <c r="EA32" s="68">
        <f t="shared" si="52"/>
        <v>-178773</v>
      </c>
      <c r="EB32" s="73"/>
      <c r="EC32" s="68">
        <f t="shared" si="51"/>
        <v>-10371</v>
      </c>
      <c r="ED32" s="68">
        <f t="shared" si="53"/>
        <v>-10371</v>
      </c>
      <c r="EE32" s="73"/>
      <c r="EF32" s="73"/>
      <c r="EG32" s="73"/>
      <c r="EH32" s="73"/>
      <c r="EI32" s="73"/>
      <c r="EJ32" s="73"/>
      <c r="EK32" s="73"/>
    </row>
    <row r="33" spans="1:224" x14ac:dyDescent="0.25">
      <c r="A33" s="67">
        <f>+BaseloadMarkets!A33</f>
        <v>36705</v>
      </c>
      <c r="B33" s="67" t="str">
        <f>+BaseloadMarkets!B33</f>
        <v>Wed</v>
      </c>
      <c r="C33" s="12">
        <v>5000</v>
      </c>
      <c r="D33" s="68">
        <v>5000</v>
      </c>
      <c r="E33" s="71">
        <f t="shared" si="0"/>
        <v>0</v>
      </c>
      <c r="F33" s="12">
        <v>5000</v>
      </c>
      <c r="G33" s="68">
        <v>5000</v>
      </c>
      <c r="H33" s="71">
        <f t="shared" si="1"/>
        <v>0</v>
      </c>
      <c r="I33" s="12">
        <v>5000</v>
      </c>
      <c r="J33" s="68">
        <v>5000</v>
      </c>
      <c r="K33" s="71">
        <f t="shared" si="2"/>
        <v>0</v>
      </c>
      <c r="L33" s="12">
        <v>10000</v>
      </c>
      <c r="M33" s="68">
        <v>5049</v>
      </c>
      <c r="N33" s="71">
        <f t="shared" si="3"/>
        <v>-4951</v>
      </c>
      <c r="O33" s="12">
        <v>5000</v>
      </c>
      <c r="P33" s="68">
        <v>5000</v>
      </c>
      <c r="Q33" s="71">
        <f t="shared" si="4"/>
        <v>0</v>
      </c>
      <c r="R33" s="12">
        <v>5000</v>
      </c>
      <c r="S33" s="68">
        <v>5000</v>
      </c>
      <c r="T33" s="71">
        <f t="shared" si="5"/>
        <v>0</v>
      </c>
      <c r="U33" s="12">
        <v>10000</v>
      </c>
      <c r="V33" s="68">
        <v>10000</v>
      </c>
      <c r="W33" s="71">
        <f t="shared" si="6"/>
        <v>0</v>
      </c>
      <c r="X33" s="12">
        <f t="shared" si="43"/>
        <v>20000</v>
      </c>
      <c r="Y33" s="12">
        <f t="shared" si="43"/>
        <v>20000</v>
      </c>
      <c r="Z33" s="71">
        <f t="shared" si="7"/>
        <v>0</v>
      </c>
      <c r="AA33" s="12">
        <v>5000</v>
      </c>
      <c r="AB33" s="68">
        <v>5000</v>
      </c>
      <c r="AC33" s="71">
        <f t="shared" si="8"/>
        <v>0</v>
      </c>
      <c r="AD33" s="12">
        <f t="shared" si="44"/>
        <v>15000</v>
      </c>
      <c r="AE33" s="12">
        <f t="shared" si="44"/>
        <v>15000</v>
      </c>
      <c r="AF33" s="71">
        <f t="shared" si="9"/>
        <v>0</v>
      </c>
      <c r="AG33" s="12">
        <v>5000</v>
      </c>
      <c r="AH33" s="68">
        <v>5000</v>
      </c>
      <c r="AI33" s="71">
        <f t="shared" si="10"/>
        <v>0</v>
      </c>
      <c r="AJ33" s="12">
        <f t="shared" si="45"/>
        <v>10000</v>
      </c>
      <c r="AK33" s="12">
        <f t="shared" si="45"/>
        <v>10000</v>
      </c>
      <c r="AL33" s="71">
        <f t="shared" si="11"/>
        <v>0</v>
      </c>
      <c r="AM33" s="12">
        <v>10000</v>
      </c>
      <c r="AN33" s="68">
        <v>10000</v>
      </c>
      <c r="AO33" s="71">
        <f t="shared" si="12"/>
        <v>0</v>
      </c>
      <c r="AP33" s="12">
        <f t="shared" si="46"/>
        <v>15000</v>
      </c>
      <c r="AQ33" s="12">
        <f t="shared" si="46"/>
        <v>15000</v>
      </c>
      <c r="AR33" s="71">
        <f t="shared" si="13"/>
        <v>0</v>
      </c>
      <c r="AS33" s="12"/>
      <c r="AT33" s="68"/>
      <c r="AU33" s="71">
        <f t="shared" si="14"/>
        <v>0</v>
      </c>
      <c r="AV33" s="12">
        <v>450000</v>
      </c>
      <c r="AW33" s="68">
        <f>450000-19000+2465+2163+2036+2708-5000+2522-20000+6696+5409-5000+2708</f>
        <v>427707</v>
      </c>
      <c r="AX33" s="71">
        <f t="shared" si="15"/>
        <v>-22293</v>
      </c>
      <c r="AY33" s="12"/>
      <c r="AZ33" s="68"/>
      <c r="BA33" s="71">
        <f t="shared" si="16"/>
        <v>0</v>
      </c>
      <c r="BB33" s="12"/>
      <c r="BC33" s="68"/>
      <c r="BD33" s="71">
        <f t="shared" si="17"/>
        <v>0</v>
      </c>
      <c r="BE33" s="12"/>
      <c r="BF33" s="68"/>
      <c r="BG33" s="71">
        <f t="shared" si="18"/>
        <v>0</v>
      </c>
      <c r="BH33" s="12"/>
      <c r="BI33" s="68"/>
      <c r="BJ33" s="71">
        <f t="shared" si="19"/>
        <v>0</v>
      </c>
      <c r="BK33" s="12"/>
      <c r="BL33" s="68"/>
      <c r="BM33" s="71">
        <f t="shared" si="20"/>
        <v>0</v>
      </c>
      <c r="BN33" s="12"/>
      <c r="BO33" s="68"/>
      <c r="BP33" s="71">
        <f t="shared" si="21"/>
        <v>0</v>
      </c>
      <c r="BQ33" s="12"/>
      <c r="BR33" s="68"/>
      <c r="BS33" s="71">
        <f t="shared" si="22"/>
        <v>0</v>
      </c>
      <c r="BT33" s="12"/>
      <c r="BU33" s="68"/>
      <c r="BV33" s="71">
        <f t="shared" si="23"/>
        <v>0</v>
      </c>
      <c r="BW33" s="12"/>
      <c r="BX33" s="68"/>
      <c r="BY33" s="71">
        <f t="shared" si="24"/>
        <v>0</v>
      </c>
      <c r="BZ33" s="12"/>
      <c r="CA33" s="68"/>
      <c r="CB33" s="71">
        <f t="shared" si="25"/>
        <v>0</v>
      </c>
      <c r="CC33" s="12"/>
      <c r="CD33" s="68"/>
      <c r="CE33" s="71">
        <f t="shared" si="26"/>
        <v>0</v>
      </c>
      <c r="CF33" s="12"/>
      <c r="CG33" s="68"/>
      <c r="CH33" s="71">
        <f t="shared" si="27"/>
        <v>0</v>
      </c>
      <c r="CI33" s="12"/>
      <c r="CJ33" s="68"/>
      <c r="CK33" s="71">
        <f t="shared" si="28"/>
        <v>0</v>
      </c>
      <c r="CL33" s="12"/>
      <c r="CM33" s="68"/>
      <c r="CN33" s="71">
        <f t="shared" si="29"/>
        <v>0</v>
      </c>
      <c r="CO33" s="12"/>
      <c r="CP33" s="68"/>
      <c r="CQ33" s="71">
        <f t="shared" si="30"/>
        <v>0</v>
      </c>
      <c r="CR33" s="12"/>
      <c r="CS33" s="68"/>
      <c r="CT33" s="71">
        <f t="shared" si="31"/>
        <v>0</v>
      </c>
      <c r="CU33" s="12"/>
      <c r="CV33" s="68"/>
      <c r="CW33" s="71">
        <f t="shared" si="32"/>
        <v>0</v>
      </c>
      <c r="CX33" s="12"/>
      <c r="CY33" s="68"/>
      <c r="CZ33" s="71">
        <f t="shared" si="33"/>
        <v>0</v>
      </c>
      <c r="DA33" s="12"/>
      <c r="DB33" s="68"/>
      <c r="DC33" s="71">
        <f t="shared" si="34"/>
        <v>0</v>
      </c>
      <c r="DD33" s="12"/>
      <c r="DE33" s="68"/>
      <c r="DF33" s="71">
        <f t="shared" si="35"/>
        <v>0</v>
      </c>
      <c r="DG33" s="12"/>
      <c r="DH33" s="68"/>
      <c r="DI33" s="71">
        <f t="shared" si="36"/>
        <v>0</v>
      </c>
      <c r="DJ33" s="12"/>
      <c r="DK33" s="68"/>
      <c r="DL33" s="71">
        <f t="shared" si="37"/>
        <v>0</v>
      </c>
      <c r="DM33" s="12"/>
      <c r="DN33" s="68"/>
      <c r="DO33" s="71">
        <f t="shared" si="38"/>
        <v>0</v>
      </c>
      <c r="DP33" s="12"/>
      <c r="DQ33" s="68"/>
      <c r="DR33" s="71">
        <f t="shared" si="39"/>
        <v>0</v>
      </c>
      <c r="DS33" s="71">
        <f t="shared" si="40"/>
        <v>575000</v>
      </c>
      <c r="DT33" s="71">
        <f t="shared" si="41"/>
        <v>547756</v>
      </c>
      <c r="DU33" s="71">
        <f t="shared" si="42"/>
        <v>-27244</v>
      </c>
      <c r="DV33" s="68">
        <f t="shared" si="47"/>
        <v>-504886</v>
      </c>
      <c r="DW33" s="73"/>
      <c r="DX33" s="71">
        <f t="shared" si="48"/>
        <v>125000</v>
      </c>
      <c r="DY33" s="71">
        <f t="shared" si="49"/>
        <v>120049</v>
      </c>
      <c r="DZ33" s="68">
        <f t="shared" si="50"/>
        <v>-4951</v>
      </c>
      <c r="EA33" s="68">
        <f t="shared" si="52"/>
        <v>-183724</v>
      </c>
      <c r="EB33" s="73"/>
      <c r="EC33" s="68">
        <f t="shared" si="51"/>
        <v>-22293</v>
      </c>
      <c r="ED33" s="68">
        <f t="shared" si="53"/>
        <v>-22293</v>
      </c>
      <c r="EE33" s="73"/>
      <c r="EF33" s="73"/>
      <c r="EG33" s="73"/>
      <c r="EH33" s="73"/>
      <c r="EI33" s="73"/>
      <c r="EJ33" s="73"/>
      <c r="EK33" s="73"/>
    </row>
    <row r="34" spans="1:224" x14ac:dyDescent="0.25">
      <c r="A34" s="67">
        <f>+BaseloadMarkets!A34</f>
        <v>36706</v>
      </c>
      <c r="B34" s="67" t="str">
        <f>+BaseloadMarkets!B34</f>
        <v>Thu</v>
      </c>
      <c r="C34" s="12">
        <v>5000</v>
      </c>
      <c r="D34" s="68">
        <v>5000</v>
      </c>
      <c r="E34" s="71">
        <f t="shared" si="0"/>
        <v>0</v>
      </c>
      <c r="F34" s="12">
        <v>5000</v>
      </c>
      <c r="G34" s="68">
        <v>5000</v>
      </c>
      <c r="H34" s="71">
        <f t="shared" si="1"/>
        <v>0</v>
      </c>
      <c r="I34" s="12">
        <v>5000</v>
      </c>
      <c r="J34" s="68">
        <v>5000</v>
      </c>
      <c r="K34" s="71">
        <f t="shared" si="2"/>
        <v>0</v>
      </c>
      <c r="L34" s="12">
        <v>10000</v>
      </c>
      <c r="M34" s="68">
        <v>10000</v>
      </c>
      <c r="N34" s="71">
        <f t="shared" si="3"/>
        <v>0</v>
      </c>
      <c r="O34" s="12">
        <v>5000</v>
      </c>
      <c r="P34" s="68">
        <v>5000</v>
      </c>
      <c r="Q34" s="71">
        <f t="shared" si="4"/>
        <v>0</v>
      </c>
      <c r="R34" s="12">
        <v>5000</v>
      </c>
      <c r="S34" s="68">
        <v>5000</v>
      </c>
      <c r="T34" s="71">
        <f t="shared" si="5"/>
        <v>0</v>
      </c>
      <c r="U34" s="12">
        <v>10000</v>
      </c>
      <c r="V34" s="68">
        <v>10000</v>
      </c>
      <c r="W34" s="71">
        <f t="shared" si="6"/>
        <v>0</v>
      </c>
      <c r="X34" s="12">
        <f t="shared" si="43"/>
        <v>20000</v>
      </c>
      <c r="Y34" s="12">
        <f t="shared" si="43"/>
        <v>20000</v>
      </c>
      <c r="Z34" s="71">
        <f t="shared" si="7"/>
        <v>0</v>
      </c>
      <c r="AA34" s="12">
        <v>5000</v>
      </c>
      <c r="AB34" s="68">
        <v>5000</v>
      </c>
      <c r="AC34" s="71">
        <f t="shared" si="8"/>
        <v>0</v>
      </c>
      <c r="AD34" s="12">
        <f t="shared" si="44"/>
        <v>15000</v>
      </c>
      <c r="AE34" s="12">
        <f t="shared" si="44"/>
        <v>15000</v>
      </c>
      <c r="AF34" s="71">
        <f t="shared" si="9"/>
        <v>0</v>
      </c>
      <c r="AG34" s="12">
        <v>5000</v>
      </c>
      <c r="AH34" s="68">
        <v>5000</v>
      </c>
      <c r="AI34" s="71">
        <f t="shared" si="10"/>
        <v>0</v>
      </c>
      <c r="AJ34" s="12">
        <f t="shared" si="45"/>
        <v>10000</v>
      </c>
      <c r="AK34" s="12">
        <f t="shared" si="45"/>
        <v>10000</v>
      </c>
      <c r="AL34" s="71">
        <f t="shared" si="11"/>
        <v>0</v>
      </c>
      <c r="AM34" s="12">
        <v>10000</v>
      </c>
      <c r="AN34" s="68">
        <v>10000</v>
      </c>
      <c r="AO34" s="71">
        <f t="shared" si="12"/>
        <v>0</v>
      </c>
      <c r="AP34" s="12">
        <f t="shared" si="46"/>
        <v>15000</v>
      </c>
      <c r="AQ34" s="12">
        <v>15000</v>
      </c>
      <c r="AR34" s="71">
        <f t="shared" si="13"/>
        <v>0</v>
      </c>
      <c r="AS34" s="12"/>
      <c r="AT34" s="68"/>
      <c r="AU34" s="71">
        <f t="shared" si="14"/>
        <v>0</v>
      </c>
      <c r="AV34" s="12">
        <v>530000</v>
      </c>
      <c r="AW34" s="68">
        <f>530000-19000+0+1744+1755+2227-5000+2870</f>
        <v>514596</v>
      </c>
      <c r="AX34" s="71">
        <f t="shared" si="15"/>
        <v>-15404</v>
      </c>
      <c r="AY34" s="12"/>
      <c r="AZ34" s="68"/>
      <c r="BA34" s="71">
        <f t="shared" si="16"/>
        <v>0</v>
      </c>
      <c r="BB34" s="12"/>
      <c r="BC34" s="68"/>
      <c r="BD34" s="71">
        <f t="shared" si="17"/>
        <v>0</v>
      </c>
      <c r="BE34" s="12"/>
      <c r="BF34" s="68"/>
      <c r="BG34" s="71">
        <f t="shared" si="18"/>
        <v>0</v>
      </c>
      <c r="BH34" s="12"/>
      <c r="BI34" s="68"/>
      <c r="BJ34" s="71">
        <f t="shared" si="19"/>
        <v>0</v>
      </c>
      <c r="BK34" s="12"/>
      <c r="BL34" s="68"/>
      <c r="BM34" s="71">
        <f t="shared" si="20"/>
        <v>0</v>
      </c>
      <c r="BN34" s="12"/>
      <c r="BO34" s="68"/>
      <c r="BP34" s="71">
        <f t="shared" si="21"/>
        <v>0</v>
      </c>
      <c r="BQ34" s="12"/>
      <c r="BR34" s="68"/>
      <c r="BS34" s="71">
        <f t="shared" si="22"/>
        <v>0</v>
      </c>
      <c r="BT34" s="12"/>
      <c r="BU34" s="68"/>
      <c r="BV34" s="71">
        <f t="shared" si="23"/>
        <v>0</v>
      </c>
      <c r="BW34" s="12"/>
      <c r="BX34" s="68"/>
      <c r="BY34" s="71">
        <f t="shared" si="24"/>
        <v>0</v>
      </c>
      <c r="BZ34" s="12"/>
      <c r="CA34" s="68"/>
      <c r="CB34" s="71">
        <f t="shared" si="25"/>
        <v>0</v>
      </c>
      <c r="CC34" s="12"/>
      <c r="CD34" s="68"/>
      <c r="CE34" s="71">
        <f t="shared" si="26"/>
        <v>0</v>
      </c>
      <c r="CF34" s="12"/>
      <c r="CG34" s="68"/>
      <c r="CH34" s="71">
        <f t="shared" si="27"/>
        <v>0</v>
      </c>
      <c r="CI34" s="12"/>
      <c r="CJ34" s="68"/>
      <c r="CK34" s="71">
        <f t="shared" si="28"/>
        <v>0</v>
      </c>
      <c r="CL34" s="12"/>
      <c r="CM34" s="68"/>
      <c r="CN34" s="71">
        <f t="shared" si="29"/>
        <v>0</v>
      </c>
      <c r="CO34" s="12"/>
      <c r="CP34" s="68"/>
      <c r="CQ34" s="71">
        <f t="shared" si="30"/>
        <v>0</v>
      </c>
      <c r="CR34" s="12"/>
      <c r="CS34" s="68"/>
      <c r="CT34" s="71">
        <f t="shared" si="31"/>
        <v>0</v>
      </c>
      <c r="CU34" s="12"/>
      <c r="CV34" s="68"/>
      <c r="CW34" s="71">
        <f t="shared" si="32"/>
        <v>0</v>
      </c>
      <c r="CX34" s="12"/>
      <c r="CY34" s="68"/>
      <c r="CZ34" s="71">
        <f t="shared" si="33"/>
        <v>0</v>
      </c>
      <c r="DA34" s="12"/>
      <c r="DB34" s="68"/>
      <c r="DC34" s="71">
        <f t="shared" si="34"/>
        <v>0</v>
      </c>
      <c r="DD34" s="12"/>
      <c r="DE34" s="68"/>
      <c r="DF34" s="71">
        <f t="shared" si="35"/>
        <v>0</v>
      </c>
      <c r="DG34" s="12"/>
      <c r="DH34" s="68"/>
      <c r="DI34" s="71">
        <f t="shared" si="36"/>
        <v>0</v>
      </c>
      <c r="DJ34" s="12"/>
      <c r="DK34" s="68"/>
      <c r="DL34" s="71">
        <f t="shared" si="37"/>
        <v>0</v>
      </c>
      <c r="DM34" s="12"/>
      <c r="DN34" s="68"/>
      <c r="DO34" s="71">
        <f t="shared" si="38"/>
        <v>0</v>
      </c>
      <c r="DP34" s="12"/>
      <c r="DQ34" s="68"/>
      <c r="DR34" s="71">
        <f t="shared" si="39"/>
        <v>0</v>
      </c>
      <c r="DS34" s="71">
        <f t="shared" si="40"/>
        <v>655000</v>
      </c>
      <c r="DT34" s="71">
        <f t="shared" si="41"/>
        <v>639596</v>
      </c>
      <c r="DU34" s="71">
        <f t="shared" si="42"/>
        <v>-15404</v>
      </c>
      <c r="DV34" s="68">
        <f t="shared" si="47"/>
        <v>-520290</v>
      </c>
      <c r="DW34" s="73"/>
      <c r="DX34" s="71">
        <f t="shared" si="48"/>
        <v>125000</v>
      </c>
      <c r="DY34" s="71">
        <f t="shared" si="49"/>
        <v>125000</v>
      </c>
      <c r="DZ34" s="68">
        <f t="shared" si="50"/>
        <v>0</v>
      </c>
      <c r="EA34" s="68">
        <f t="shared" si="52"/>
        <v>-183724</v>
      </c>
      <c r="EB34" s="73"/>
      <c r="EC34" s="68">
        <f t="shared" si="51"/>
        <v>-15404</v>
      </c>
      <c r="ED34" s="68">
        <f t="shared" si="53"/>
        <v>-15404</v>
      </c>
      <c r="EE34" s="73"/>
      <c r="EF34" s="73"/>
      <c r="EG34" s="73"/>
      <c r="EH34" s="73"/>
      <c r="EI34" s="73"/>
      <c r="EJ34" s="73"/>
      <c r="EK34" s="73"/>
    </row>
    <row r="35" spans="1:224" x14ac:dyDescent="0.25">
      <c r="A35" s="67">
        <f>+BaseloadMarkets!A35</f>
        <v>36707</v>
      </c>
      <c r="B35" s="67" t="str">
        <f>+BaseloadMarkets!B35</f>
        <v>Fri</v>
      </c>
      <c r="C35" s="12">
        <v>5000</v>
      </c>
      <c r="D35" s="68">
        <v>5000</v>
      </c>
      <c r="E35" s="71">
        <f t="shared" si="0"/>
        <v>0</v>
      </c>
      <c r="F35" s="12">
        <v>5000</v>
      </c>
      <c r="G35" s="68">
        <v>5000</v>
      </c>
      <c r="H35" s="71">
        <f t="shared" si="1"/>
        <v>0</v>
      </c>
      <c r="I35" s="12">
        <v>5000</v>
      </c>
      <c r="J35" s="68">
        <v>5000</v>
      </c>
      <c r="K35" s="71">
        <f t="shared" si="2"/>
        <v>0</v>
      </c>
      <c r="L35" s="12">
        <v>10000</v>
      </c>
      <c r="M35" s="68">
        <v>6313</v>
      </c>
      <c r="N35" s="71">
        <f t="shared" si="3"/>
        <v>-3687</v>
      </c>
      <c r="O35" s="12">
        <v>5000</v>
      </c>
      <c r="P35" s="68">
        <v>5000</v>
      </c>
      <c r="Q35" s="71">
        <f t="shared" si="4"/>
        <v>0</v>
      </c>
      <c r="R35" s="12">
        <v>5000</v>
      </c>
      <c r="S35" s="68">
        <v>5000</v>
      </c>
      <c r="T35" s="71">
        <f t="shared" si="5"/>
        <v>0</v>
      </c>
      <c r="U35" s="12">
        <v>10000</v>
      </c>
      <c r="V35" s="68">
        <v>5402</v>
      </c>
      <c r="W35" s="71">
        <f t="shared" si="6"/>
        <v>-4598</v>
      </c>
      <c r="X35" s="12">
        <f t="shared" si="43"/>
        <v>20000</v>
      </c>
      <c r="Y35" s="12">
        <f>3485+3486+3486+3486</f>
        <v>13943</v>
      </c>
      <c r="Z35" s="71">
        <f t="shared" si="7"/>
        <v>-6057</v>
      </c>
      <c r="AA35" s="12">
        <v>5000</v>
      </c>
      <c r="AB35" s="68">
        <v>2702</v>
      </c>
      <c r="AC35" s="71">
        <f t="shared" si="8"/>
        <v>-2298</v>
      </c>
      <c r="AD35" s="12">
        <f t="shared" si="44"/>
        <v>15000</v>
      </c>
      <c r="AE35" s="12">
        <f>2702+2702+2702</f>
        <v>8106</v>
      </c>
      <c r="AF35" s="71">
        <f t="shared" si="9"/>
        <v>-6894</v>
      </c>
      <c r="AG35" s="12">
        <v>5000</v>
      </c>
      <c r="AH35" s="68">
        <v>2722</v>
      </c>
      <c r="AI35" s="71">
        <f t="shared" si="10"/>
        <v>-2278</v>
      </c>
      <c r="AJ35" s="12">
        <f t="shared" si="45"/>
        <v>10000</v>
      </c>
      <c r="AK35" s="12">
        <f t="shared" si="45"/>
        <v>10000</v>
      </c>
      <c r="AL35" s="71">
        <f t="shared" si="11"/>
        <v>0</v>
      </c>
      <c r="AM35" s="12">
        <v>10000</v>
      </c>
      <c r="AN35" s="68">
        <v>5931</v>
      </c>
      <c r="AO35" s="71">
        <f t="shared" si="12"/>
        <v>-4069</v>
      </c>
      <c r="AP35" s="12">
        <f t="shared" si="46"/>
        <v>15000</v>
      </c>
      <c r="AQ35" s="12">
        <f>5931+2966</f>
        <v>8897</v>
      </c>
      <c r="AR35" s="71">
        <f t="shared" si="13"/>
        <v>-6103</v>
      </c>
      <c r="AS35" s="12"/>
      <c r="AT35" s="68"/>
      <c r="AU35" s="71">
        <f t="shared" si="14"/>
        <v>0</v>
      </c>
      <c r="AV35" s="12">
        <v>200000</v>
      </c>
      <c r="AW35" s="68">
        <v>194851</v>
      </c>
      <c r="AX35" s="71">
        <f t="shared" si="15"/>
        <v>-5149</v>
      </c>
      <c r="AY35" s="12"/>
      <c r="AZ35" s="68"/>
      <c r="BA35" s="71">
        <f t="shared" si="16"/>
        <v>0</v>
      </c>
      <c r="BB35" s="12"/>
      <c r="BC35" s="68"/>
      <c r="BD35" s="71">
        <f t="shared" si="17"/>
        <v>0</v>
      </c>
      <c r="BE35" s="12"/>
      <c r="BF35" s="68"/>
      <c r="BG35" s="71">
        <f t="shared" si="18"/>
        <v>0</v>
      </c>
      <c r="BH35" s="12"/>
      <c r="BI35" s="68"/>
      <c r="BJ35" s="71">
        <f t="shared" si="19"/>
        <v>0</v>
      </c>
      <c r="BK35" s="12"/>
      <c r="BL35" s="68"/>
      <c r="BM35" s="71">
        <f t="shared" si="20"/>
        <v>0</v>
      </c>
      <c r="BN35" s="12"/>
      <c r="BO35" s="68"/>
      <c r="BP35" s="71">
        <f t="shared" si="21"/>
        <v>0</v>
      </c>
      <c r="BQ35" s="12"/>
      <c r="BR35" s="68"/>
      <c r="BS35" s="71">
        <f t="shared" si="22"/>
        <v>0</v>
      </c>
      <c r="BT35" s="12"/>
      <c r="BU35" s="68"/>
      <c r="BV35" s="71">
        <f t="shared" si="23"/>
        <v>0</v>
      </c>
      <c r="BW35" s="12"/>
      <c r="BX35" s="68"/>
      <c r="BY35" s="71">
        <f t="shared" si="24"/>
        <v>0</v>
      </c>
      <c r="BZ35" s="12"/>
      <c r="CA35" s="68"/>
      <c r="CB35" s="71">
        <f t="shared" si="25"/>
        <v>0</v>
      </c>
      <c r="CC35" s="12"/>
      <c r="CD35" s="68"/>
      <c r="CE35" s="71">
        <f t="shared" si="26"/>
        <v>0</v>
      </c>
      <c r="CF35" s="12"/>
      <c r="CG35" s="68"/>
      <c r="CH35" s="71">
        <f t="shared" si="27"/>
        <v>0</v>
      </c>
      <c r="CI35" s="12"/>
      <c r="CJ35" s="68"/>
      <c r="CK35" s="71">
        <f t="shared" si="28"/>
        <v>0</v>
      </c>
      <c r="CL35" s="12"/>
      <c r="CM35" s="68"/>
      <c r="CN35" s="71">
        <f t="shared" si="29"/>
        <v>0</v>
      </c>
      <c r="CO35" s="12"/>
      <c r="CP35" s="68"/>
      <c r="CQ35" s="71">
        <f t="shared" si="30"/>
        <v>0</v>
      </c>
      <c r="CR35" s="12"/>
      <c r="CS35" s="68"/>
      <c r="CT35" s="71">
        <f t="shared" si="31"/>
        <v>0</v>
      </c>
      <c r="CU35" s="12"/>
      <c r="CV35" s="68"/>
      <c r="CW35" s="71">
        <f t="shared" si="32"/>
        <v>0</v>
      </c>
      <c r="CX35" s="12"/>
      <c r="CY35" s="68"/>
      <c r="CZ35" s="71">
        <f t="shared" si="33"/>
        <v>0</v>
      </c>
      <c r="DA35" s="12"/>
      <c r="DB35" s="68"/>
      <c r="DC35" s="71">
        <f t="shared" si="34"/>
        <v>0</v>
      </c>
      <c r="DD35" s="12"/>
      <c r="DE35" s="68"/>
      <c r="DF35" s="71">
        <f t="shared" si="35"/>
        <v>0</v>
      </c>
      <c r="DG35" s="12"/>
      <c r="DH35" s="68"/>
      <c r="DI35" s="71">
        <f t="shared" si="36"/>
        <v>0</v>
      </c>
      <c r="DJ35" s="12"/>
      <c r="DK35" s="68"/>
      <c r="DL35" s="71">
        <f t="shared" si="37"/>
        <v>0</v>
      </c>
      <c r="DM35" s="12"/>
      <c r="DN35" s="68"/>
      <c r="DO35" s="71">
        <f t="shared" si="38"/>
        <v>0</v>
      </c>
      <c r="DP35" s="12"/>
      <c r="DQ35" s="68"/>
      <c r="DR35" s="71">
        <f t="shared" si="39"/>
        <v>0</v>
      </c>
      <c r="DS35" s="71">
        <f t="shared" si="40"/>
        <v>325000</v>
      </c>
      <c r="DT35" s="71">
        <f t="shared" si="41"/>
        <v>283867</v>
      </c>
      <c r="DU35" s="71">
        <f t="shared" si="42"/>
        <v>-41133</v>
      </c>
      <c r="DV35" s="68">
        <f t="shared" si="47"/>
        <v>-561423</v>
      </c>
      <c r="DW35" s="73"/>
      <c r="DX35" s="71">
        <f t="shared" si="48"/>
        <v>125000</v>
      </c>
      <c r="DY35" s="71">
        <f t="shared" si="49"/>
        <v>89016</v>
      </c>
      <c r="DZ35" s="68">
        <f t="shared" si="50"/>
        <v>-35984</v>
      </c>
      <c r="EA35" s="68">
        <f t="shared" si="52"/>
        <v>-219708</v>
      </c>
      <c r="EB35" s="73"/>
      <c r="EC35" s="68">
        <f t="shared" si="51"/>
        <v>-5149</v>
      </c>
      <c r="ED35" s="68">
        <f t="shared" si="53"/>
        <v>-5149</v>
      </c>
      <c r="EE35" s="73"/>
      <c r="EF35" s="73"/>
      <c r="EG35" s="73"/>
      <c r="EH35" s="73"/>
      <c r="EI35" s="73"/>
      <c r="EJ35" s="73"/>
      <c r="EK35" s="73"/>
    </row>
    <row r="36" spans="1:224" x14ac:dyDescent="0.25">
      <c r="A36" s="67"/>
      <c r="B36" s="67"/>
      <c r="C36" s="12"/>
      <c r="D36" s="68"/>
      <c r="E36" s="71"/>
      <c r="F36" s="12"/>
      <c r="G36" s="68"/>
      <c r="H36" s="71"/>
      <c r="I36" s="12"/>
      <c r="J36" s="68"/>
      <c r="K36" s="71"/>
      <c r="L36" s="12"/>
      <c r="M36" s="68"/>
      <c r="N36" s="71"/>
      <c r="O36" s="12"/>
      <c r="P36" s="68"/>
      <c r="Q36" s="71"/>
      <c r="R36" s="12"/>
      <c r="S36" s="68"/>
      <c r="T36" s="71"/>
      <c r="U36" s="12"/>
      <c r="V36" s="68"/>
      <c r="W36" s="71"/>
      <c r="X36" s="12"/>
      <c r="Y36" s="12"/>
      <c r="Z36" s="71"/>
      <c r="AA36" s="12"/>
      <c r="AB36" s="68"/>
      <c r="AC36" s="71"/>
      <c r="AD36" s="12"/>
      <c r="AE36" s="12"/>
      <c r="AF36" s="71"/>
      <c r="AG36" s="12"/>
      <c r="AH36" s="68"/>
      <c r="AI36" s="71"/>
      <c r="AJ36" s="12"/>
      <c r="AK36" s="68"/>
      <c r="AL36" s="71"/>
      <c r="AM36" s="12"/>
      <c r="AN36" s="68"/>
      <c r="AO36" s="71"/>
      <c r="AP36" s="12"/>
      <c r="AQ36" s="68"/>
      <c r="AR36" s="71"/>
      <c r="AS36" s="12"/>
      <c r="AT36" s="68"/>
      <c r="AU36" s="71"/>
      <c r="AV36" s="12"/>
      <c r="AW36" s="68"/>
      <c r="AX36" s="71"/>
      <c r="AY36" s="12"/>
      <c r="AZ36" s="68"/>
      <c r="BA36" s="71"/>
      <c r="BB36" s="12"/>
      <c r="BC36" s="68"/>
      <c r="BD36" s="71"/>
      <c r="BE36" s="12"/>
      <c r="BF36" s="68"/>
      <c r="BG36" s="71"/>
      <c r="BH36" s="12"/>
      <c r="BI36" s="68"/>
      <c r="BJ36" s="71"/>
      <c r="BK36" s="12"/>
      <c r="BL36" s="68"/>
      <c r="BM36" s="71"/>
      <c r="BN36" s="12"/>
      <c r="BO36" s="68"/>
      <c r="BP36" s="71"/>
      <c r="BQ36" s="12"/>
      <c r="BR36" s="68"/>
      <c r="BS36" s="71"/>
      <c r="BT36" s="12"/>
      <c r="BU36" s="68"/>
      <c r="BV36" s="71"/>
      <c r="BW36" s="12"/>
      <c r="BX36" s="68"/>
      <c r="BY36" s="71"/>
      <c r="BZ36" s="12"/>
      <c r="CA36" s="68"/>
      <c r="CB36" s="71"/>
      <c r="CC36" s="12"/>
      <c r="CD36" s="68"/>
      <c r="CE36" s="71"/>
      <c r="CF36" s="12"/>
      <c r="CG36" s="68"/>
      <c r="CH36" s="71"/>
      <c r="CI36" s="12"/>
      <c r="CJ36" s="68"/>
      <c r="CK36" s="71"/>
      <c r="CL36" s="12"/>
      <c r="CM36" s="68"/>
      <c r="CN36" s="71"/>
      <c r="CO36" s="12"/>
      <c r="CP36" s="68"/>
      <c r="CQ36" s="71"/>
      <c r="CR36" s="12"/>
      <c r="CS36" s="68"/>
      <c r="CT36" s="71"/>
      <c r="CU36" s="12"/>
      <c r="CV36" s="68"/>
      <c r="CW36" s="71"/>
      <c r="CX36" s="12"/>
      <c r="CY36" s="68"/>
      <c r="CZ36" s="71"/>
      <c r="DA36" s="12"/>
      <c r="DB36" s="68"/>
      <c r="DC36" s="71"/>
      <c r="DD36" s="12"/>
      <c r="DE36" s="68"/>
      <c r="DF36" s="71"/>
      <c r="DG36" s="12"/>
      <c r="DH36" s="68"/>
      <c r="DI36" s="71"/>
      <c r="DJ36" s="12"/>
      <c r="DK36" s="68"/>
      <c r="DL36" s="71"/>
      <c r="DM36" s="12"/>
      <c r="DN36" s="68"/>
      <c r="DO36" s="71"/>
      <c r="DP36" s="12"/>
      <c r="DQ36" s="68"/>
      <c r="DR36" s="71"/>
      <c r="DS36" s="71"/>
      <c r="DT36" s="71"/>
      <c r="DU36" s="71"/>
      <c r="DV36" s="68"/>
      <c r="DW36" s="73"/>
      <c r="DX36" s="73"/>
      <c r="DY36" s="80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</row>
    <row r="37" spans="1:224" s="85" customFormat="1" x14ac:dyDescent="0.25">
      <c r="A37" s="81" t="s">
        <v>17</v>
      </c>
      <c r="B37" s="28"/>
      <c r="C37" s="19">
        <f t="shared" ref="C37:AF37" si="54">SUM(C6:C36)</f>
        <v>150000</v>
      </c>
      <c r="D37" s="19">
        <f t="shared" si="54"/>
        <v>150000</v>
      </c>
      <c r="E37" s="19">
        <f t="shared" si="54"/>
        <v>0</v>
      </c>
      <c r="F37" s="19">
        <f t="shared" si="54"/>
        <v>150000</v>
      </c>
      <c r="G37" s="19">
        <f t="shared" si="54"/>
        <v>135008</v>
      </c>
      <c r="H37" s="19">
        <f t="shared" si="54"/>
        <v>-14992</v>
      </c>
      <c r="I37" s="19">
        <f t="shared" si="54"/>
        <v>150000</v>
      </c>
      <c r="J37" s="19">
        <f t="shared" si="54"/>
        <v>135009</v>
      </c>
      <c r="K37" s="84">
        <f t="shared" si="54"/>
        <v>-14991</v>
      </c>
      <c r="L37" s="19">
        <f t="shared" si="54"/>
        <v>300000</v>
      </c>
      <c r="M37" s="19">
        <f t="shared" si="54"/>
        <v>252119</v>
      </c>
      <c r="N37" s="84">
        <f t="shared" si="54"/>
        <v>-47881</v>
      </c>
      <c r="O37" s="19">
        <f t="shared" si="54"/>
        <v>150000</v>
      </c>
      <c r="P37" s="19">
        <f t="shared" si="54"/>
        <v>150000</v>
      </c>
      <c r="Q37" s="84">
        <f t="shared" si="54"/>
        <v>0</v>
      </c>
      <c r="R37" s="19">
        <f t="shared" si="54"/>
        <v>150000</v>
      </c>
      <c r="S37" s="19">
        <f t="shared" si="54"/>
        <v>150000</v>
      </c>
      <c r="T37" s="84">
        <f t="shared" si="54"/>
        <v>0</v>
      </c>
      <c r="U37" s="19">
        <f t="shared" si="54"/>
        <v>300000</v>
      </c>
      <c r="V37" s="19">
        <f t="shared" si="54"/>
        <v>291714</v>
      </c>
      <c r="W37" s="84">
        <f t="shared" si="54"/>
        <v>-8286</v>
      </c>
      <c r="X37" s="19">
        <f>SUM(X6:X36)</f>
        <v>600000</v>
      </c>
      <c r="Y37" s="19">
        <f>SUM(Y6:Y36)</f>
        <v>588943</v>
      </c>
      <c r="Z37" s="84">
        <f t="shared" si="54"/>
        <v>-11057</v>
      </c>
      <c r="AA37" s="19">
        <f>SUM(AA6:AA36)</f>
        <v>150000</v>
      </c>
      <c r="AB37" s="19">
        <f>SUM(AB6:AB36)</f>
        <v>141525</v>
      </c>
      <c r="AC37" s="84">
        <f t="shared" si="54"/>
        <v>-8475</v>
      </c>
      <c r="AD37" s="19">
        <f>SUM(AD6:AD36)</f>
        <v>450000</v>
      </c>
      <c r="AE37" s="19">
        <f>SUM(AE6:AE36)</f>
        <v>433751</v>
      </c>
      <c r="AF37" s="84">
        <f t="shared" si="54"/>
        <v>-16249</v>
      </c>
      <c r="AG37" s="19">
        <f>SUM(AG6:AG36)</f>
        <v>150000</v>
      </c>
      <c r="AH37" s="19">
        <f>SUM(AH6:AH36)</f>
        <v>145664</v>
      </c>
      <c r="AI37" s="84">
        <f t="shared" ref="AI37:BN37" si="55">SUM(AI6:AI36)</f>
        <v>-4336</v>
      </c>
      <c r="AJ37" s="19">
        <f>SUM(AJ6:AJ36)</f>
        <v>300000</v>
      </c>
      <c r="AK37" s="19">
        <f>SUM(AK6:AK36)</f>
        <v>281264</v>
      </c>
      <c r="AL37" s="84">
        <f t="shared" si="55"/>
        <v>-18736</v>
      </c>
      <c r="AM37" s="19">
        <f>SUM(AM6:AM36)</f>
        <v>300000</v>
      </c>
      <c r="AN37" s="19">
        <f>SUM(AN6:AN36)</f>
        <v>264126</v>
      </c>
      <c r="AO37" s="84">
        <f t="shared" si="55"/>
        <v>-35874</v>
      </c>
      <c r="AP37" s="19">
        <f>SUM(AP6:AP36)</f>
        <v>450000</v>
      </c>
      <c r="AQ37" s="19">
        <f>SUM(AQ6:AQ36)</f>
        <v>411169</v>
      </c>
      <c r="AR37" s="84">
        <f t="shared" si="55"/>
        <v>-38831</v>
      </c>
      <c r="AS37" s="19">
        <f>SUM(AS6:AS36)</f>
        <v>10000</v>
      </c>
      <c r="AT37" s="19">
        <f>SUM(AT6:AT36)</f>
        <v>10000</v>
      </c>
      <c r="AU37" s="84">
        <f t="shared" si="55"/>
        <v>0</v>
      </c>
      <c r="AV37" s="19">
        <f t="shared" si="55"/>
        <v>6770000</v>
      </c>
      <c r="AW37" s="19">
        <f t="shared" si="55"/>
        <v>6428285</v>
      </c>
      <c r="AX37" s="84">
        <f t="shared" si="55"/>
        <v>-341715</v>
      </c>
      <c r="AY37" s="19">
        <f t="shared" si="55"/>
        <v>0</v>
      </c>
      <c r="AZ37" s="19">
        <f t="shared" si="55"/>
        <v>0</v>
      </c>
      <c r="BA37" s="84">
        <f t="shared" si="55"/>
        <v>0</v>
      </c>
      <c r="BB37" s="19">
        <f t="shared" si="55"/>
        <v>0</v>
      </c>
      <c r="BC37" s="19">
        <f t="shared" si="55"/>
        <v>0</v>
      </c>
      <c r="BD37" s="84">
        <f t="shared" si="55"/>
        <v>0</v>
      </c>
      <c r="BE37" s="19">
        <f t="shared" si="55"/>
        <v>0</v>
      </c>
      <c r="BF37" s="19">
        <f t="shared" si="55"/>
        <v>0</v>
      </c>
      <c r="BG37" s="19">
        <f t="shared" si="55"/>
        <v>0</v>
      </c>
      <c r="BH37" s="19">
        <f t="shared" si="55"/>
        <v>0</v>
      </c>
      <c r="BI37" s="19">
        <f t="shared" si="55"/>
        <v>0</v>
      </c>
      <c r="BJ37" s="84">
        <f t="shared" si="55"/>
        <v>0</v>
      </c>
      <c r="BK37" s="19">
        <f t="shared" si="55"/>
        <v>0</v>
      </c>
      <c r="BL37" s="19">
        <f t="shared" si="55"/>
        <v>0</v>
      </c>
      <c r="BM37" s="84">
        <f t="shared" si="55"/>
        <v>0</v>
      </c>
      <c r="BN37" s="19">
        <f t="shared" si="55"/>
        <v>0</v>
      </c>
      <c r="BO37" s="19">
        <f t="shared" ref="BO37:CT37" si="56">SUM(BO6:BO36)</f>
        <v>0</v>
      </c>
      <c r="BP37" s="84">
        <f t="shared" si="56"/>
        <v>0</v>
      </c>
      <c r="BQ37" s="19">
        <f t="shared" si="56"/>
        <v>0</v>
      </c>
      <c r="BR37" s="19">
        <f t="shared" si="56"/>
        <v>0</v>
      </c>
      <c r="BS37" s="84">
        <f t="shared" si="56"/>
        <v>0</v>
      </c>
      <c r="BT37" s="19">
        <f t="shared" si="56"/>
        <v>0</v>
      </c>
      <c r="BU37" s="19">
        <f t="shared" si="56"/>
        <v>0</v>
      </c>
      <c r="BV37" s="84">
        <f t="shared" si="56"/>
        <v>0</v>
      </c>
      <c r="BW37" s="19">
        <f t="shared" si="56"/>
        <v>0</v>
      </c>
      <c r="BX37" s="19">
        <f t="shared" si="56"/>
        <v>0</v>
      </c>
      <c r="BY37" s="84">
        <f t="shared" si="56"/>
        <v>0</v>
      </c>
      <c r="BZ37" s="19">
        <f t="shared" si="56"/>
        <v>0</v>
      </c>
      <c r="CA37" s="19">
        <f t="shared" si="56"/>
        <v>0</v>
      </c>
      <c r="CB37" s="84">
        <f t="shared" si="56"/>
        <v>0</v>
      </c>
      <c r="CC37" s="19">
        <f t="shared" si="56"/>
        <v>0</v>
      </c>
      <c r="CD37" s="19">
        <f t="shared" si="56"/>
        <v>0</v>
      </c>
      <c r="CE37" s="84">
        <f t="shared" si="56"/>
        <v>0</v>
      </c>
      <c r="CF37" s="19">
        <f t="shared" si="56"/>
        <v>0</v>
      </c>
      <c r="CG37" s="19">
        <f t="shared" si="56"/>
        <v>0</v>
      </c>
      <c r="CH37" s="84">
        <f t="shared" si="56"/>
        <v>0</v>
      </c>
      <c r="CI37" s="19">
        <f t="shared" si="56"/>
        <v>0</v>
      </c>
      <c r="CJ37" s="19">
        <f t="shared" si="56"/>
        <v>0</v>
      </c>
      <c r="CK37" s="84">
        <f t="shared" si="56"/>
        <v>0</v>
      </c>
      <c r="CL37" s="19">
        <f t="shared" si="56"/>
        <v>0</v>
      </c>
      <c r="CM37" s="19">
        <f t="shared" si="56"/>
        <v>0</v>
      </c>
      <c r="CN37" s="84">
        <f t="shared" si="56"/>
        <v>0</v>
      </c>
      <c r="CO37" s="19">
        <f t="shared" si="56"/>
        <v>0</v>
      </c>
      <c r="CP37" s="19">
        <f t="shared" si="56"/>
        <v>0</v>
      </c>
      <c r="CQ37" s="84">
        <f t="shared" si="56"/>
        <v>0</v>
      </c>
      <c r="CR37" s="19">
        <f t="shared" si="56"/>
        <v>0</v>
      </c>
      <c r="CS37" s="19">
        <f t="shared" si="56"/>
        <v>0</v>
      </c>
      <c r="CT37" s="84">
        <f t="shared" si="56"/>
        <v>0</v>
      </c>
      <c r="CU37" s="19">
        <f t="shared" ref="CU37:DU37" si="57">SUM(CU6:CU36)</f>
        <v>0</v>
      </c>
      <c r="CV37" s="19">
        <f t="shared" si="57"/>
        <v>0</v>
      </c>
      <c r="CW37" s="84">
        <f t="shared" si="57"/>
        <v>0</v>
      </c>
      <c r="CX37" s="19">
        <f t="shared" si="57"/>
        <v>0</v>
      </c>
      <c r="CY37" s="19">
        <f t="shared" si="57"/>
        <v>0</v>
      </c>
      <c r="CZ37" s="84">
        <f t="shared" si="57"/>
        <v>0</v>
      </c>
      <c r="DA37" s="19">
        <f t="shared" si="57"/>
        <v>0</v>
      </c>
      <c r="DB37" s="19">
        <f t="shared" si="57"/>
        <v>0</v>
      </c>
      <c r="DC37" s="84">
        <f t="shared" si="57"/>
        <v>0</v>
      </c>
      <c r="DD37" s="19">
        <f t="shared" si="57"/>
        <v>0</v>
      </c>
      <c r="DE37" s="19">
        <f t="shared" si="57"/>
        <v>0</v>
      </c>
      <c r="DF37" s="84">
        <f t="shared" si="57"/>
        <v>0</v>
      </c>
      <c r="DG37" s="19">
        <f t="shared" si="57"/>
        <v>0</v>
      </c>
      <c r="DH37" s="19">
        <f t="shared" si="57"/>
        <v>0</v>
      </c>
      <c r="DI37" s="84">
        <f t="shared" si="57"/>
        <v>0</v>
      </c>
      <c r="DJ37" s="19">
        <f t="shared" si="57"/>
        <v>0</v>
      </c>
      <c r="DK37" s="19">
        <f t="shared" si="57"/>
        <v>0</v>
      </c>
      <c r="DL37" s="84">
        <f t="shared" si="57"/>
        <v>0</v>
      </c>
      <c r="DM37" s="19">
        <f t="shared" si="57"/>
        <v>0</v>
      </c>
      <c r="DN37" s="19">
        <f t="shared" si="57"/>
        <v>0</v>
      </c>
      <c r="DO37" s="84">
        <f t="shared" si="57"/>
        <v>0</v>
      </c>
      <c r="DP37" s="19">
        <f t="shared" si="57"/>
        <v>0</v>
      </c>
      <c r="DQ37" s="19">
        <f t="shared" si="57"/>
        <v>0</v>
      </c>
      <c r="DR37" s="84">
        <f t="shared" si="57"/>
        <v>0</v>
      </c>
      <c r="DS37" s="88">
        <f t="shared" si="57"/>
        <v>10530000</v>
      </c>
      <c r="DT37" s="84">
        <f t="shared" si="57"/>
        <v>9968577</v>
      </c>
      <c r="DU37" s="84">
        <f t="shared" si="57"/>
        <v>-561423</v>
      </c>
      <c r="DV37" s="19"/>
      <c r="DW37" s="19"/>
      <c r="DX37" s="19"/>
      <c r="DY37" s="8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90"/>
      <c r="EM37" s="90"/>
      <c r="EN37" s="90"/>
      <c r="EO37" s="90"/>
      <c r="EP37" s="90"/>
      <c r="EQ37" s="90"/>
      <c r="ER37" s="90"/>
      <c r="ES37" s="90"/>
      <c r="ET37" s="91"/>
      <c r="EU37" s="91"/>
      <c r="EV37" s="91"/>
      <c r="EW37" s="91"/>
      <c r="EX37" s="91"/>
      <c r="EY37" s="91"/>
      <c r="EZ37" s="91"/>
      <c r="FA37" s="91"/>
      <c r="FB37" s="91"/>
      <c r="FC37" s="91"/>
      <c r="FD37" s="91"/>
      <c r="FE37" s="91"/>
      <c r="FF37" s="91"/>
      <c r="FG37" s="91"/>
      <c r="FH37" s="91"/>
      <c r="FI37" s="91"/>
      <c r="FJ37" s="91"/>
      <c r="FK37" s="91"/>
      <c r="FL37" s="91"/>
      <c r="FM37" s="91"/>
      <c r="FN37" s="91"/>
      <c r="FO37" s="91"/>
      <c r="FP37" s="92"/>
      <c r="FQ37" s="92"/>
      <c r="FR37" s="92"/>
      <c r="FS37" s="92"/>
      <c r="FT37" s="92"/>
      <c r="FU37" s="92"/>
      <c r="FV37" s="92"/>
    </row>
    <row r="38" spans="1:224" s="99" customFormat="1" x14ac:dyDescent="0.25">
      <c r="A38" s="93"/>
      <c r="B38" s="28"/>
      <c r="C38" s="17"/>
      <c r="D38" s="96"/>
      <c r="E38" s="96"/>
      <c r="F38" s="17"/>
      <c r="G38" s="96"/>
      <c r="H38" s="96"/>
      <c r="I38" s="17"/>
      <c r="J38" s="96"/>
      <c r="K38" s="96"/>
      <c r="L38" s="17"/>
      <c r="M38" s="96"/>
      <c r="N38" s="96"/>
      <c r="O38" s="17"/>
      <c r="P38" s="96"/>
      <c r="Q38" s="96"/>
      <c r="R38" s="17"/>
      <c r="S38" s="96"/>
      <c r="T38" s="96"/>
      <c r="U38" s="17"/>
      <c r="V38" s="96"/>
      <c r="W38" s="96"/>
      <c r="X38" s="17"/>
      <c r="Y38" s="96"/>
      <c r="Z38" s="36"/>
      <c r="AA38" s="17"/>
      <c r="AB38" s="96"/>
      <c r="AC38" s="36"/>
      <c r="AD38" s="17"/>
      <c r="AE38" s="96"/>
      <c r="AF38" s="36"/>
      <c r="AG38" s="17"/>
      <c r="AH38" s="96"/>
      <c r="AI38" s="36"/>
      <c r="AJ38" s="17"/>
      <c r="AK38" s="96"/>
      <c r="AL38" s="36"/>
      <c r="AM38" s="17"/>
      <c r="AN38" s="96"/>
      <c r="AO38" s="36"/>
      <c r="AP38" s="17"/>
      <c r="AQ38" s="96"/>
      <c r="AR38" s="36"/>
      <c r="AS38" s="1" t="s">
        <v>272</v>
      </c>
      <c r="AT38" s="96"/>
      <c r="AU38" s="36"/>
      <c r="AV38" s="17"/>
      <c r="AW38" s="96"/>
      <c r="AX38" s="96"/>
      <c r="AY38" s="17"/>
      <c r="AZ38" s="96"/>
      <c r="BA38" s="36"/>
      <c r="BB38" s="17"/>
      <c r="BC38" s="96"/>
      <c r="BD38" s="36"/>
      <c r="BE38" s="17"/>
      <c r="BF38" s="96"/>
      <c r="BG38" s="96"/>
      <c r="BH38" s="17"/>
      <c r="BI38" s="96"/>
      <c r="BJ38" s="96"/>
      <c r="BK38" s="17"/>
      <c r="BL38" s="96"/>
      <c r="BM38" s="96"/>
      <c r="BN38" s="17"/>
      <c r="BO38" s="96"/>
      <c r="BP38" s="96"/>
      <c r="BQ38" s="17"/>
      <c r="BR38" s="96"/>
      <c r="BS38" s="96"/>
      <c r="BT38" s="17"/>
      <c r="BU38" s="96"/>
      <c r="BV38" s="96"/>
      <c r="BW38" s="17"/>
      <c r="BX38" s="96"/>
      <c r="BY38" s="96"/>
      <c r="BZ38" s="17"/>
      <c r="CA38" s="96"/>
      <c r="CB38" s="96"/>
      <c r="CC38" s="17"/>
      <c r="CD38" s="96"/>
      <c r="CE38" s="96"/>
      <c r="CF38" s="17"/>
      <c r="CG38" s="96"/>
      <c r="CH38" s="96"/>
      <c r="CI38" s="17"/>
      <c r="CJ38" s="96"/>
      <c r="CK38" s="96"/>
      <c r="CL38" s="17"/>
      <c r="CM38" s="96"/>
      <c r="CN38" s="96"/>
      <c r="CO38" s="17"/>
      <c r="CP38" s="96"/>
      <c r="CQ38" s="96"/>
      <c r="CR38" s="17"/>
      <c r="CS38" s="96"/>
      <c r="CT38" s="96"/>
      <c r="CU38" s="17"/>
      <c r="CV38" s="96"/>
      <c r="CW38" s="96"/>
      <c r="CX38" s="17"/>
      <c r="CY38" s="96"/>
      <c r="CZ38" s="96"/>
      <c r="DA38" s="17"/>
      <c r="DB38" s="96"/>
      <c r="DC38" s="96"/>
      <c r="DD38" s="17"/>
      <c r="DE38" s="96"/>
      <c r="DF38" s="36"/>
      <c r="DG38" s="17"/>
      <c r="DH38" s="96"/>
      <c r="DI38" s="96"/>
      <c r="DJ38" s="17"/>
      <c r="DK38" s="96"/>
      <c r="DL38" s="36"/>
      <c r="DM38" s="17"/>
      <c r="DN38" s="96"/>
      <c r="DO38" s="36"/>
      <c r="DP38" s="17"/>
      <c r="DQ38" s="96"/>
      <c r="DR38" s="36"/>
      <c r="DS38" s="36"/>
      <c r="DT38" s="96"/>
      <c r="DU38" s="96"/>
      <c r="DV38" s="96"/>
      <c r="DW38" s="96"/>
      <c r="DX38" s="96"/>
      <c r="DY38" s="103"/>
      <c r="DZ38" s="96"/>
      <c r="EA38" s="96"/>
      <c r="EB38" s="96"/>
      <c r="EC38" s="96"/>
      <c r="ED38" s="96"/>
      <c r="EE38" s="96"/>
      <c r="EF38" s="96"/>
      <c r="EG38" s="96"/>
      <c r="EH38" s="96"/>
      <c r="EI38" s="96"/>
      <c r="EJ38" s="96"/>
      <c r="EK38" s="96"/>
      <c r="EL38" s="104"/>
      <c r="EM38" s="104"/>
      <c r="EN38" s="104"/>
      <c r="EO38" s="104"/>
      <c r="EP38" s="104"/>
      <c r="EQ38" s="104"/>
      <c r="ER38" s="104"/>
      <c r="ES38" s="104"/>
      <c r="ET38" s="105"/>
      <c r="EU38" s="105"/>
      <c r="EV38" s="105"/>
      <c r="EW38" s="105"/>
      <c r="EX38" s="105"/>
      <c r="EY38" s="105"/>
      <c r="EZ38" s="105"/>
      <c r="FA38" s="105"/>
      <c r="FB38" s="105"/>
      <c r="FC38" s="105"/>
      <c r="FD38" s="105"/>
      <c r="FE38" s="105"/>
      <c r="FF38" s="105"/>
      <c r="FG38" s="105"/>
      <c r="FH38" s="105"/>
      <c r="FI38" s="105"/>
      <c r="FJ38" s="105"/>
      <c r="FK38" s="105"/>
      <c r="FL38" s="105"/>
      <c r="FM38" s="105"/>
      <c r="FN38" s="105"/>
      <c r="FO38" s="105"/>
      <c r="FP38" s="106"/>
      <c r="FQ38" s="106"/>
      <c r="FR38" s="106"/>
      <c r="FS38" s="106"/>
      <c r="FT38" s="106"/>
      <c r="FU38" s="106"/>
      <c r="FV38" s="106"/>
    </row>
    <row r="39" spans="1:224" s="38" customFormat="1" x14ac:dyDescent="0.25">
      <c r="A39" s="409">
        <v>1</v>
      </c>
      <c r="B39" s="76">
        <f t="shared" ref="B39:BM39" si="58">1+A39</f>
        <v>2</v>
      </c>
      <c r="C39" s="76">
        <f t="shared" si="58"/>
        <v>3</v>
      </c>
      <c r="D39" s="76">
        <f t="shared" si="58"/>
        <v>4</v>
      </c>
      <c r="E39" s="76">
        <f t="shared" si="58"/>
        <v>5</v>
      </c>
      <c r="F39" s="76">
        <f t="shared" si="58"/>
        <v>6</v>
      </c>
      <c r="G39" s="76">
        <f t="shared" si="58"/>
        <v>7</v>
      </c>
      <c r="H39" s="76">
        <f t="shared" si="58"/>
        <v>8</v>
      </c>
      <c r="I39" s="76">
        <f t="shared" si="58"/>
        <v>9</v>
      </c>
      <c r="J39" s="76">
        <f t="shared" si="58"/>
        <v>10</v>
      </c>
      <c r="K39" s="76">
        <f t="shared" si="58"/>
        <v>11</v>
      </c>
      <c r="L39" s="76">
        <f t="shared" si="58"/>
        <v>12</v>
      </c>
      <c r="M39" s="76">
        <f t="shared" si="58"/>
        <v>13</v>
      </c>
      <c r="N39" s="76">
        <f t="shared" si="58"/>
        <v>14</v>
      </c>
      <c r="O39" s="76">
        <f t="shared" si="58"/>
        <v>15</v>
      </c>
      <c r="P39" s="76">
        <f t="shared" si="58"/>
        <v>16</v>
      </c>
      <c r="Q39" s="76">
        <f t="shared" si="58"/>
        <v>17</v>
      </c>
      <c r="R39" s="76">
        <f t="shared" si="58"/>
        <v>18</v>
      </c>
      <c r="S39" s="76">
        <f t="shared" si="58"/>
        <v>19</v>
      </c>
      <c r="T39" s="76">
        <f t="shared" si="58"/>
        <v>20</v>
      </c>
      <c r="U39" s="76">
        <f t="shared" si="58"/>
        <v>21</v>
      </c>
      <c r="V39" s="76">
        <f t="shared" si="58"/>
        <v>22</v>
      </c>
      <c r="W39" s="76">
        <f t="shared" si="58"/>
        <v>23</v>
      </c>
      <c r="X39" s="76">
        <f t="shared" si="58"/>
        <v>24</v>
      </c>
      <c r="Y39" s="76">
        <f t="shared" si="58"/>
        <v>25</v>
      </c>
      <c r="Z39" s="76">
        <f t="shared" si="58"/>
        <v>26</v>
      </c>
      <c r="AA39" s="76">
        <f t="shared" si="58"/>
        <v>27</v>
      </c>
      <c r="AB39" s="76">
        <f t="shared" si="58"/>
        <v>28</v>
      </c>
      <c r="AC39" s="76">
        <f t="shared" si="58"/>
        <v>29</v>
      </c>
      <c r="AD39" s="76">
        <f t="shared" si="58"/>
        <v>30</v>
      </c>
      <c r="AE39" s="76">
        <f t="shared" si="58"/>
        <v>31</v>
      </c>
      <c r="AF39" s="76">
        <f t="shared" si="58"/>
        <v>32</v>
      </c>
      <c r="AG39" s="76">
        <f t="shared" si="58"/>
        <v>33</v>
      </c>
      <c r="AH39" s="76">
        <f t="shared" si="58"/>
        <v>34</v>
      </c>
      <c r="AI39" s="76">
        <f t="shared" si="58"/>
        <v>35</v>
      </c>
      <c r="AJ39" s="76">
        <f t="shared" si="58"/>
        <v>36</v>
      </c>
      <c r="AK39" s="76">
        <f t="shared" si="58"/>
        <v>37</v>
      </c>
      <c r="AL39" s="76">
        <f t="shared" si="58"/>
        <v>38</v>
      </c>
      <c r="AM39" s="76">
        <f t="shared" si="58"/>
        <v>39</v>
      </c>
      <c r="AN39" s="76">
        <f t="shared" si="58"/>
        <v>40</v>
      </c>
      <c r="AO39" s="76">
        <f t="shared" si="58"/>
        <v>41</v>
      </c>
      <c r="AP39" s="76">
        <f t="shared" si="58"/>
        <v>42</v>
      </c>
      <c r="AQ39" s="76">
        <f t="shared" si="58"/>
        <v>43</v>
      </c>
      <c r="AR39" s="76">
        <f t="shared" si="58"/>
        <v>44</v>
      </c>
      <c r="AS39" s="76">
        <f t="shared" si="58"/>
        <v>45</v>
      </c>
      <c r="AT39" s="76">
        <f t="shared" si="58"/>
        <v>46</v>
      </c>
      <c r="AU39" s="76">
        <f t="shared" si="58"/>
        <v>47</v>
      </c>
      <c r="AV39" s="76">
        <f t="shared" si="58"/>
        <v>48</v>
      </c>
      <c r="AW39" s="76">
        <f t="shared" si="58"/>
        <v>49</v>
      </c>
      <c r="AX39" s="76">
        <f t="shared" si="58"/>
        <v>50</v>
      </c>
      <c r="AY39" s="76">
        <f t="shared" si="58"/>
        <v>51</v>
      </c>
      <c r="AZ39" s="76">
        <f t="shared" si="58"/>
        <v>52</v>
      </c>
      <c r="BA39" s="76">
        <f t="shared" si="58"/>
        <v>53</v>
      </c>
      <c r="BB39" s="76">
        <f t="shared" si="58"/>
        <v>54</v>
      </c>
      <c r="BC39" s="76">
        <f t="shared" si="58"/>
        <v>55</v>
      </c>
      <c r="BD39" s="76">
        <f t="shared" si="58"/>
        <v>56</v>
      </c>
      <c r="BE39" s="76">
        <f t="shared" si="58"/>
        <v>57</v>
      </c>
      <c r="BF39" s="76">
        <f t="shared" si="58"/>
        <v>58</v>
      </c>
      <c r="BG39" s="76">
        <f t="shared" si="58"/>
        <v>59</v>
      </c>
      <c r="BH39" s="76">
        <f t="shared" si="58"/>
        <v>60</v>
      </c>
      <c r="BI39" s="76">
        <f t="shared" si="58"/>
        <v>61</v>
      </c>
      <c r="BJ39" s="76">
        <f t="shared" si="58"/>
        <v>62</v>
      </c>
      <c r="BK39" s="76">
        <f t="shared" si="58"/>
        <v>63</v>
      </c>
      <c r="BL39" s="76">
        <f t="shared" si="58"/>
        <v>64</v>
      </c>
      <c r="BM39" s="76">
        <f t="shared" si="58"/>
        <v>65</v>
      </c>
      <c r="BN39" s="76">
        <f t="shared" ref="BN39:DY39" si="59">1+BM39</f>
        <v>66</v>
      </c>
      <c r="BO39" s="76">
        <f t="shared" si="59"/>
        <v>67</v>
      </c>
      <c r="BP39" s="76">
        <f t="shared" si="59"/>
        <v>68</v>
      </c>
      <c r="BQ39" s="76">
        <f t="shared" si="59"/>
        <v>69</v>
      </c>
      <c r="BR39" s="76">
        <f t="shared" si="59"/>
        <v>70</v>
      </c>
      <c r="BS39" s="76">
        <f t="shared" si="59"/>
        <v>71</v>
      </c>
      <c r="BT39" s="76">
        <f t="shared" si="59"/>
        <v>72</v>
      </c>
      <c r="BU39" s="76">
        <f t="shared" si="59"/>
        <v>73</v>
      </c>
      <c r="BV39" s="76">
        <f t="shared" si="59"/>
        <v>74</v>
      </c>
      <c r="BW39" s="76">
        <f t="shared" si="59"/>
        <v>75</v>
      </c>
      <c r="BX39" s="76">
        <f t="shared" si="59"/>
        <v>76</v>
      </c>
      <c r="BY39" s="76">
        <f t="shared" si="59"/>
        <v>77</v>
      </c>
      <c r="BZ39" s="76">
        <f t="shared" si="59"/>
        <v>78</v>
      </c>
      <c r="CA39" s="76">
        <f t="shared" si="59"/>
        <v>79</v>
      </c>
      <c r="CB39" s="76">
        <f t="shared" si="59"/>
        <v>80</v>
      </c>
      <c r="CC39" s="76">
        <f t="shared" si="59"/>
        <v>81</v>
      </c>
      <c r="CD39" s="76">
        <f t="shared" si="59"/>
        <v>82</v>
      </c>
      <c r="CE39" s="76">
        <f t="shared" si="59"/>
        <v>83</v>
      </c>
      <c r="CF39" s="76">
        <f t="shared" si="59"/>
        <v>84</v>
      </c>
      <c r="CG39" s="76">
        <f t="shared" si="59"/>
        <v>85</v>
      </c>
      <c r="CH39" s="76">
        <f t="shared" si="59"/>
        <v>86</v>
      </c>
      <c r="CI39" s="76">
        <f t="shared" si="59"/>
        <v>87</v>
      </c>
      <c r="CJ39" s="76">
        <f t="shared" si="59"/>
        <v>88</v>
      </c>
      <c r="CK39" s="76">
        <f t="shared" si="59"/>
        <v>89</v>
      </c>
      <c r="CL39" s="76">
        <f t="shared" si="59"/>
        <v>90</v>
      </c>
      <c r="CM39" s="76">
        <f t="shared" si="59"/>
        <v>91</v>
      </c>
      <c r="CN39" s="76">
        <f t="shared" si="59"/>
        <v>92</v>
      </c>
      <c r="CO39" s="76">
        <f t="shared" si="59"/>
        <v>93</v>
      </c>
      <c r="CP39" s="76">
        <f t="shared" si="59"/>
        <v>94</v>
      </c>
      <c r="CQ39" s="76">
        <f t="shared" si="59"/>
        <v>95</v>
      </c>
      <c r="CR39" s="76">
        <f t="shared" si="59"/>
        <v>96</v>
      </c>
      <c r="CS39" s="76">
        <f t="shared" si="59"/>
        <v>97</v>
      </c>
      <c r="CT39" s="76">
        <f t="shared" si="59"/>
        <v>98</v>
      </c>
      <c r="CU39" s="76">
        <f t="shared" si="59"/>
        <v>99</v>
      </c>
      <c r="CV39" s="76">
        <f t="shared" si="59"/>
        <v>100</v>
      </c>
      <c r="CW39" s="76">
        <f t="shared" si="59"/>
        <v>101</v>
      </c>
      <c r="CX39" s="76">
        <f t="shared" si="59"/>
        <v>102</v>
      </c>
      <c r="CY39" s="76">
        <f t="shared" si="59"/>
        <v>103</v>
      </c>
      <c r="CZ39" s="76">
        <f t="shared" si="59"/>
        <v>104</v>
      </c>
      <c r="DA39" s="76">
        <f t="shared" si="59"/>
        <v>105</v>
      </c>
      <c r="DB39" s="76">
        <f t="shared" si="59"/>
        <v>106</v>
      </c>
      <c r="DC39" s="76">
        <f t="shared" si="59"/>
        <v>107</v>
      </c>
      <c r="DD39" s="76">
        <f t="shared" si="59"/>
        <v>108</v>
      </c>
      <c r="DE39" s="76">
        <f t="shared" si="59"/>
        <v>109</v>
      </c>
      <c r="DF39" s="76">
        <f t="shared" si="59"/>
        <v>110</v>
      </c>
      <c r="DG39" s="76">
        <f t="shared" si="59"/>
        <v>111</v>
      </c>
      <c r="DH39" s="76">
        <f t="shared" si="59"/>
        <v>112</v>
      </c>
      <c r="DI39" s="76">
        <f t="shared" si="59"/>
        <v>113</v>
      </c>
      <c r="DJ39" s="76">
        <f t="shared" si="59"/>
        <v>114</v>
      </c>
      <c r="DK39" s="76">
        <f t="shared" si="59"/>
        <v>115</v>
      </c>
      <c r="DL39" s="76">
        <f t="shared" si="59"/>
        <v>116</v>
      </c>
      <c r="DM39" s="76">
        <f t="shared" si="59"/>
        <v>117</v>
      </c>
      <c r="DN39" s="76">
        <f t="shared" si="59"/>
        <v>118</v>
      </c>
      <c r="DO39" s="76">
        <f t="shared" si="59"/>
        <v>119</v>
      </c>
      <c r="DP39" s="76">
        <f t="shared" si="59"/>
        <v>120</v>
      </c>
      <c r="DQ39" s="76">
        <f t="shared" si="59"/>
        <v>121</v>
      </c>
      <c r="DR39" s="76">
        <f t="shared" si="59"/>
        <v>122</v>
      </c>
      <c r="DS39" s="76">
        <f t="shared" si="59"/>
        <v>123</v>
      </c>
      <c r="DT39" s="76">
        <f t="shared" si="59"/>
        <v>124</v>
      </c>
      <c r="DU39" s="76">
        <f t="shared" si="59"/>
        <v>125</v>
      </c>
      <c r="DV39" s="76">
        <f t="shared" si="59"/>
        <v>126</v>
      </c>
      <c r="DW39" s="76">
        <f t="shared" si="59"/>
        <v>127</v>
      </c>
      <c r="DX39" s="76">
        <f t="shared" si="59"/>
        <v>128</v>
      </c>
      <c r="DY39" s="76">
        <f t="shared" si="59"/>
        <v>129</v>
      </c>
      <c r="DZ39" s="76">
        <f t="shared" ref="DZ39:GK39" si="60">1+DY39</f>
        <v>130</v>
      </c>
      <c r="EA39" s="76">
        <f t="shared" si="60"/>
        <v>131</v>
      </c>
      <c r="EB39" s="76">
        <f t="shared" si="60"/>
        <v>132</v>
      </c>
      <c r="EC39" s="76">
        <f t="shared" si="60"/>
        <v>133</v>
      </c>
      <c r="ED39" s="76">
        <f t="shared" si="60"/>
        <v>134</v>
      </c>
      <c r="EE39" s="76">
        <f t="shared" si="60"/>
        <v>135</v>
      </c>
      <c r="EF39" s="76">
        <f t="shared" si="60"/>
        <v>136</v>
      </c>
      <c r="EG39" s="76">
        <f t="shared" si="60"/>
        <v>137</v>
      </c>
      <c r="EH39" s="76">
        <f t="shared" si="60"/>
        <v>138</v>
      </c>
      <c r="EI39" s="76">
        <f t="shared" si="60"/>
        <v>139</v>
      </c>
      <c r="EJ39" s="76">
        <f t="shared" si="60"/>
        <v>140</v>
      </c>
      <c r="EK39" s="76">
        <f t="shared" si="60"/>
        <v>141</v>
      </c>
      <c r="EL39" s="76">
        <f t="shared" si="60"/>
        <v>142</v>
      </c>
      <c r="EM39" s="76">
        <f t="shared" si="60"/>
        <v>143</v>
      </c>
      <c r="EN39" s="76">
        <f t="shared" si="60"/>
        <v>144</v>
      </c>
      <c r="EO39" s="76">
        <f t="shared" si="60"/>
        <v>145</v>
      </c>
      <c r="EP39" s="76">
        <f t="shared" si="60"/>
        <v>146</v>
      </c>
      <c r="EQ39" s="76">
        <f t="shared" si="60"/>
        <v>147</v>
      </c>
      <c r="ER39" s="76">
        <f t="shared" si="60"/>
        <v>148</v>
      </c>
      <c r="ES39" s="76">
        <f t="shared" si="60"/>
        <v>149</v>
      </c>
      <c r="ET39" s="76">
        <f t="shared" si="60"/>
        <v>150</v>
      </c>
      <c r="EU39" s="76">
        <f t="shared" si="60"/>
        <v>151</v>
      </c>
      <c r="EV39" s="76">
        <f t="shared" si="60"/>
        <v>152</v>
      </c>
      <c r="EW39" s="76">
        <f t="shared" si="60"/>
        <v>153</v>
      </c>
      <c r="EX39" s="76">
        <f t="shared" si="60"/>
        <v>154</v>
      </c>
      <c r="EY39" s="76">
        <f t="shared" si="60"/>
        <v>155</v>
      </c>
      <c r="EZ39" s="76">
        <f t="shared" si="60"/>
        <v>156</v>
      </c>
      <c r="FA39" s="76">
        <f t="shared" si="60"/>
        <v>157</v>
      </c>
      <c r="FB39" s="76">
        <f t="shared" si="60"/>
        <v>158</v>
      </c>
      <c r="FC39" s="76">
        <f t="shared" si="60"/>
        <v>159</v>
      </c>
      <c r="FD39" s="76">
        <f t="shared" si="60"/>
        <v>160</v>
      </c>
      <c r="FE39" s="76">
        <f t="shared" si="60"/>
        <v>161</v>
      </c>
      <c r="FF39" s="76">
        <f t="shared" si="60"/>
        <v>162</v>
      </c>
      <c r="FG39" s="76">
        <f t="shared" si="60"/>
        <v>163</v>
      </c>
      <c r="FH39" s="76">
        <f t="shared" si="60"/>
        <v>164</v>
      </c>
      <c r="FI39" s="76">
        <f t="shared" si="60"/>
        <v>165</v>
      </c>
      <c r="FJ39" s="76">
        <f t="shared" si="60"/>
        <v>166</v>
      </c>
      <c r="FK39" s="76">
        <f t="shared" si="60"/>
        <v>167</v>
      </c>
      <c r="FL39" s="76">
        <f t="shared" si="60"/>
        <v>168</v>
      </c>
      <c r="FM39" s="76">
        <f t="shared" si="60"/>
        <v>169</v>
      </c>
      <c r="FN39" s="76">
        <f t="shared" si="60"/>
        <v>170</v>
      </c>
      <c r="FO39" s="76">
        <f t="shared" si="60"/>
        <v>171</v>
      </c>
      <c r="FP39" s="76">
        <f t="shared" si="60"/>
        <v>172</v>
      </c>
      <c r="FQ39" s="76">
        <f t="shared" si="60"/>
        <v>173</v>
      </c>
      <c r="FR39" s="76">
        <f t="shared" si="60"/>
        <v>174</v>
      </c>
      <c r="FS39" s="76">
        <f t="shared" si="60"/>
        <v>175</v>
      </c>
      <c r="FT39" s="76">
        <f t="shared" si="60"/>
        <v>176</v>
      </c>
      <c r="FU39" s="76">
        <f t="shared" si="60"/>
        <v>177</v>
      </c>
      <c r="FV39" s="76">
        <f t="shared" si="60"/>
        <v>178</v>
      </c>
      <c r="FW39" s="76">
        <f t="shared" si="60"/>
        <v>179</v>
      </c>
      <c r="FX39" s="76">
        <f t="shared" si="60"/>
        <v>180</v>
      </c>
      <c r="FY39" s="76">
        <f t="shared" si="60"/>
        <v>181</v>
      </c>
      <c r="FZ39" s="76">
        <f t="shared" si="60"/>
        <v>182</v>
      </c>
      <c r="GA39" s="76">
        <f t="shared" si="60"/>
        <v>183</v>
      </c>
      <c r="GB39" s="76">
        <f t="shared" si="60"/>
        <v>184</v>
      </c>
      <c r="GC39" s="76">
        <f t="shared" si="60"/>
        <v>185</v>
      </c>
      <c r="GD39" s="76">
        <f t="shared" si="60"/>
        <v>186</v>
      </c>
      <c r="GE39" s="76">
        <f t="shared" si="60"/>
        <v>187</v>
      </c>
      <c r="GF39" s="76">
        <f t="shared" si="60"/>
        <v>188</v>
      </c>
      <c r="GG39" s="76">
        <f t="shared" si="60"/>
        <v>189</v>
      </c>
      <c r="GH39" s="76">
        <f t="shared" si="60"/>
        <v>190</v>
      </c>
      <c r="GI39" s="76">
        <f t="shared" si="60"/>
        <v>191</v>
      </c>
      <c r="GJ39" s="76">
        <f t="shared" si="60"/>
        <v>192</v>
      </c>
      <c r="GK39" s="76">
        <f t="shared" si="60"/>
        <v>193</v>
      </c>
      <c r="GL39" s="76">
        <f t="shared" ref="GL39:GY39" si="61">1+GK39</f>
        <v>194</v>
      </c>
      <c r="GM39" s="76">
        <f t="shared" si="61"/>
        <v>195</v>
      </c>
      <c r="GN39" s="76">
        <f t="shared" si="61"/>
        <v>196</v>
      </c>
      <c r="GO39" s="76">
        <f t="shared" si="61"/>
        <v>197</v>
      </c>
      <c r="GP39" s="76">
        <f t="shared" si="61"/>
        <v>198</v>
      </c>
      <c r="GQ39" s="76">
        <f t="shared" si="61"/>
        <v>199</v>
      </c>
      <c r="GR39" s="76">
        <f t="shared" si="61"/>
        <v>200</v>
      </c>
      <c r="GS39" s="76">
        <f t="shared" si="61"/>
        <v>201</v>
      </c>
      <c r="GT39" s="76">
        <f t="shared" si="61"/>
        <v>202</v>
      </c>
      <c r="GU39" s="76">
        <f t="shared" si="61"/>
        <v>203</v>
      </c>
      <c r="GV39" s="76">
        <f t="shared" si="61"/>
        <v>204</v>
      </c>
      <c r="GW39" s="76">
        <f t="shared" si="61"/>
        <v>205</v>
      </c>
      <c r="GX39" s="76">
        <f t="shared" si="61"/>
        <v>206</v>
      </c>
      <c r="GY39" s="76">
        <f t="shared" si="61"/>
        <v>207</v>
      </c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</row>
    <row r="40" spans="1:224" x14ac:dyDescent="0.25">
      <c r="A40" s="28"/>
      <c r="DS40" s="36"/>
    </row>
    <row r="41" spans="1:224" x14ac:dyDescent="0.25">
      <c r="A41" s="28"/>
    </row>
    <row r="42" spans="1:224" x14ac:dyDescent="0.25">
      <c r="A42" s="28"/>
    </row>
    <row r="43" spans="1:224" x14ac:dyDescent="0.25">
      <c r="A43" s="28"/>
    </row>
    <row r="44" spans="1:224" customFormat="1" x14ac:dyDescent="0.25">
      <c r="C44" s="17"/>
      <c r="F44" s="17"/>
      <c r="I44" s="17"/>
      <c r="L44" s="17"/>
      <c r="O44" s="17"/>
      <c r="R44" s="17"/>
      <c r="U44" s="17"/>
      <c r="X44" s="17"/>
      <c r="AA44" s="17"/>
      <c r="AD44" s="17"/>
      <c r="AG44" s="17"/>
      <c r="AJ44" s="17"/>
      <c r="AM44" s="17"/>
      <c r="AP44" s="17"/>
      <c r="AS44" s="17"/>
      <c r="AV44" s="17"/>
      <c r="AY44" s="17"/>
      <c r="BB44" s="17"/>
      <c r="BE44" s="17"/>
      <c r="BH44" s="17"/>
      <c r="BK44" s="17"/>
      <c r="BN44" s="17"/>
      <c r="BQ44" s="17"/>
      <c r="BT44" s="17"/>
      <c r="BW44" s="17"/>
      <c r="BZ44" s="17"/>
      <c r="CC44" s="17"/>
      <c r="CF44" s="17"/>
      <c r="CI44" s="17"/>
      <c r="CL44" s="17"/>
      <c r="CO44" s="17"/>
      <c r="CR44" s="17"/>
      <c r="CU44" s="17"/>
      <c r="CX44" s="17"/>
      <c r="DA44" s="17"/>
      <c r="DD44" s="17"/>
      <c r="DG44" s="17"/>
      <c r="DJ44" s="17"/>
      <c r="DM44" s="17"/>
      <c r="DP44" s="17"/>
    </row>
    <row r="45" spans="1:224" x14ac:dyDescent="0.25">
      <c r="A45" s="28"/>
    </row>
    <row r="46" spans="1:224" x14ac:dyDescent="0.25">
      <c r="A46" s="28"/>
    </row>
    <row r="47" spans="1:224" x14ac:dyDescent="0.25">
      <c r="A47" s="28"/>
    </row>
    <row r="48" spans="1:224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</sheetData>
  <printOptions horizontalCentered="1" verticalCentered="1" gridLines="1" gridLinesSet="0"/>
  <pageMargins left="0" right="0" top="0" bottom="0" header="0" footer="0"/>
  <pageSetup paperSize="5" scale="85" orientation="landscape" horizontalDpi="4294967293" r:id="rId1"/>
  <headerFooter alignWithMargins="0">
    <oddHeader>&amp;A</oddHeader>
    <oddFooter>Page &amp;P</oddFooter>
  </headerFooter>
  <colBreaks count="3" manualBreakCount="3">
    <brk id="14" max="1048575" man="1"/>
    <brk id="26" max="1048575" man="1"/>
    <brk id="3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V515"/>
  <sheetViews>
    <sheetView zoomScale="90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ColWidth="15.109375" defaultRowHeight="13.2" x14ac:dyDescent="0.25"/>
  <cols>
    <col min="1" max="1" width="15.109375" style="109" customWidth="1"/>
    <col min="2" max="2" width="15.109375" style="28" customWidth="1"/>
    <col min="3" max="3" width="19.109375" style="31" customWidth="1"/>
    <col min="4" max="5" width="15.109375" style="31" customWidth="1"/>
    <col min="6" max="6" width="18.109375" style="31" customWidth="1"/>
    <col min="7" max="8" width="15.109375" style="31" customWidth="1"/>
    <col min="9" max="9" width="18.109375" style="31" customWidth="1"/>
    <col min="10" max="11" width="15.109375" style="31" customWidth="1"/>
    <col min="12" max="12" width="18.109375" style="31" customWidth="1"/>
    <col min="13" max="14" width="15.109375" style="31" customWidth="1"/>
    <col min="15" max="15" width="18.109375" style="31" customWidth="1"/>
    <col min="16" max="17" width="15.109375" style="31" customWidth="1"/>
    <col min="18" max="18" width="18.109375" style="31" customWidth="1"/>
    <col min="19" max="20" width="15.109375" style="31" customWidth="1"/>
    <col min="21" max="21" width="18.109375" style="31" customWidth="1"/>
    <col min="22" max="23" width="15.109375" style="31" customWidth="1"/>
    <col min="24" max="24" width="18.109375" style="31" customWidth="1"/>
    <col min="25" max="26" width="15.109375" style="31" customWidth="1"/>
    <col min="27" max="27" width="18.109375" style="31" customWidth="1"/>
    <col min="28" max="29" width="15.109375" style="31" customWidth="1"/>
    <col min="30" max="30" width="18.109375" style="31" customWidth="1"/>
    <col min="31" max="32" width="15.109375" style="31" customWidth="1"/>
    <col min="33" max="33" width="18.109375" style="31" customWidth="1"/>
    <col min="34" max="35" width="15.109375" style="31" customWidth="1"/>
    <col min="36" max="36" width="18.109375" style="31" customWidth="1"/>
    <col min="37" max="38" width="15.109375" style="31" customWidth="1"/>
    <col min="39" max="39" width="18.109375" style="31" customWidth="1"/>
    <col min="40" max="40" width="15.109375" style="31" customWidth="1"/>
    <col min="41" max="41" width="24.44140625" style="31" customWidth="1"/>
    <col min="42" max="42" width="18.109375" style="31" customWidth="1"/>
    <col min="43" max="44" width="15.109375" style="31" customWidth="1"/>
    <col min="45" max="45" width="18.109375" style="31" customWidth="1"/>
    <col min="46" max="47" width="15.109375" style="31" customWidth="1"/>
    <col min="48" max="48" width="18.109375" style="31" customWidth="1"/>
    <col min="49" max="122" width="15.109375" style="31" customWidth="1"/>
    <col min="123" max="123" width="15.109375" style="37" customWidth="1"/>
    <col min="124" max="126" width="15.109375" style="36" customWidth="1"/>
    <col min="127" max="128" width="15.109375" style="31" customWidth="1"/>
    <col min="129" max="129" width="15.109375" style="37" customWidth="1"/>
    <col min="130" max="141" width="15.109375" style="31" customWidth="1"/>
    <col min="142" max="149" width="15.109375" style="38" customWidth="1"/>
    <col min="150" max="171" width="15.109375" style="39" customWidth="1"/>
    <col min="172" max="178" width="15.109375" style="40" customWidth="1"/>
    <col min="179" max="16384" width="15.109375" style="17"/>
  </cols>
  <sheetData>
    <row r="1" spans="1:178" s="412" customFormat="1" x14ac:dyDescent="0.25">
      <c r="A1" s="417" t="s">
        <v>19</v>
      </c>
      <c r="B1" s="373">
        <f>+A6</f>
        <v>36678</v>
      </c>
      <c r="C1" s="414"/>
      <c r="D1" s="414"/>
      <c r="E1" s="414"/>
      <c r="F1" s="414" t="s">
        <v>230</v>
      </c>
      <c r="G1" s="414"/>
      <c r="H1" s="414"/>
      <c r="I1" s="414">
        <v>0</v>
      </c>
      <c r="J1" s="414"/>
      <c r="K1" s="414"/>
      <c r="L1" s="414">
        <v>0</v>
      </c>
      <c r="M1" s="414"/>
      <c r="N1" s="414"/>
      <c r="O1" s="414" t="s">
        <v>254</v>
      </c>
      <c r="P1" s="414"/>
      <c r="Q1" s="414"/>
      <c r="R1" s="414">
        <v>4.28</v>
      </c>
      <c r="S1" s="414"/>
      <c r="T1" s="414"/>
      <c r="U1" s="414">
        <v>4.45</v>
      </c>
      <c r="V1" s="414"/>
      <c r="W1" s="414"/>
      <c r="X1" s="414">
        <v>4.42</v>
      </c>
      <c r="Y1" s="414"/>
      <c r="Z1" s="414"/>
      <c r="AA1" s="414">
        <v>4.26</v>
      </c>
      <c r="AB1" s="414"/>
      <c r="AC1" s="414"/>
      <c r="AD1" s="414">
        <v>4.34</v>
      </c>
      <c r="AE1" s="414"/>
      <c r="AF1" s="414"/>
      <c r="AG1" s="414">
        <v>4.34</v>
      </c>
      <c r="AH1" s="414"/>
      <c r="AI1" s="414"/>
      <c r="AJ1" s="414">
        <v>4.3449999999999998</v>
      </c>
      <c r="AK1" s="414"/>
      <c r="AL1" s="414"/>
      <c r="AM1" s="414" t="s">
        <v>230</v>
      </c>
      <c r="AN1" s="414"/>
      <c r="AO1" s="414"/>
      <c r="AP1" s="414">
        <v>4.34</v>
      </c>
      <c r="AQ1" s="414"/>
      <c r="AR1" s="414"/>
      <c r="AS1" s="414" t="s">
        <v>257</v>
      </c>
      <c r="AT1" s="414"/>
      <c r="AU1" s="414"/>
      <c r="AV1" s="414" t="s">
        <v>258</v>
      </c>
      <c r="AW1" s="414"/>
      <c r="AX1" s="414"/>
      <c r="AY1" s="414">
        <v>4.78</v>
      </c>
      <c r="AZ1" s="414"/>
      <c r="BA1" s="414"/>
      <c r="BB1" s="414">
        <v>4.78</v>
      </c>
      <c r="BC1" s="414"/>
      <c r="BD1" s="414"/>
      <c r="BE1" s="414">
        <v>4.8099999999999996</v>
      </c>
      <c r="BF1" s="414"/>
      <c r="BG1" s="414"/>
      <c r="BH1" s="414"/>
      <c r="BI1" s="414"/>
      <c r="BJ1" s="414"/>
      <c r="BK1" s="414"/>
      <c r="BL1" s="414"/>
      <c r="BM1" s="414"/>
      <c r="BN1" s="414"/>
      <c r="BO1" s="414"/>
      <c r="BP1" s="414"/>
      <c r="BQ1" s="414"/>
      <c r="BR1" s="414"/>
      <c r="BS1" s="414"/>
      <c r="BT1" s="414"/>
      <c r="BU1" s="414"/>
      <c r="BV1" s="414"/>
      <c r="BW1" s="414"/>
      <c r="BX1" s="414"/>
      <c r="BY1" s="414"/>
      <c r="BZ1" s="414"/>
      <c r="CA1" s="414"/>
      <c r="CB1" s="414"/>
      <c r="CC1" s="414"/>
      <c r="CD1" s="414"/>
      <c r="CE1" s="414"/>
      <c r="CF1" s="414"/>
      <c r="CG1" s="414"/>
      <c r="CH1" s="414"/>
      <c r="CI1" s="414"/>
      <c r="CJ1" s="414"/>
      <c r="CK1" s="414"/>
      <c r="CL1" s="414"/>
      <c r="CM1" s="414"/>
      <c r="CN1" s="414"/>
      <c r="CO1" s="414"/>
      <c r="CP1" s="414"/>
      <c r="CQ1" s="414"/>
      <c r="CR1" s="414"/>
      <c r="CS1" s="414"/>
      <c r="CT1" s="414"/>
      <c r="CU1" s="414"/>
      <c r="CV1" s="414"/>
      <c r="CW1" s="414"/>
      <c r="CX1" s="414"/>
      <c r="CY1" s="414"/>
      <c r="CZ1" s="414"/>
      <c r="DA1" s="414"/>
      <c r="DB1" s="414"/>
      <c r="DC1" s="414"/>
      <c r="DD1" s="414"/>
      <c r="DE1" s="414"/>
      <c r="DF1" s="414"/>
      <c r="DG1" s="414"/>
      <c r="DH1" s="414"/>
      <c r="DI1" s="414"/>
      <c r="DJ1" s="414"/>
      <c r="DK1" s="414"/>
      <c r="DL1" s="414"/>
      <c r="DM1" s="414"/>
      <c r="DN1" s="414"/>
      <c r="DO1" s="414"/>
      <c r="DP1" s="414"/>
      <c r="DQ1" s="414"/>
      <c r="DR1" s="414"/>
      <c r="DS1" s="417"/>
      <c r="DT1" s="417"/>
      <c r="DU1" s="417"/>
      <c r="DV1" s="417"/>
      <c r="DW1" s="414"/>
      <c r="DX1" s="414"/>
      <c r="DY1" s="420"/>
      <c r="DZ1" s="414"/>
      <c r="EA1" s="414"/>
      <c r="EB1" s="414"/>
      <c r="EC1" s="414"/>
      <c r="ED1" s="414"/>
      <c r="EE1" s="414"/>
      <c r="EF1" s="414"/>
      <c r="EG1" s="414"/>
      <c r="EH1" s="414"/>
      <c r="EI1" s="414"/>
      <c r="EJ1" s="414"/>
      <c r="EK1" s="414"/>
    </row>
    <row r="2" spans="1:178" s="1" customFormat="1" ht="12.75" customHeight="1" x14ac:dyDescent="0.25">
      <c r="A2" s="5" t="s">
        <v>8</v>
      </c>
      <c r="B2" s="5"/>
      <c r="C2" s="35">
        <v>111891</v>
      </c>
      <c r="D2" s="35"/>
      <c r="E2" s="35"/>
      <c r="F2" s="35">
        <v>264492</v>
      </c>
      <c r="G2" s="35"/>
      <c r="H2" s="35"/>
      <c r="I2" s="35">
        <v>279921</v>
      </c>
      <c r="J2" s="35"/>
      <c r="K2" s="35"/>
      <c r="L2" s="35">
        <v>279921</v>
      </c>
      <c r="M2" s="35"/>
      <c r="N2" s="35"/>
      <c r="O2" s="35">
        <v>261905</v>
      </c>
      <c r="P2" s="35"/>
      <c r="Q2" s="35"/>
      <c r="R2" s="35">
        <v>280180</v>
      </c>
      <c r="S2" s="35"/>
      <c r="T2" s="35"/>
      <c r="U2" s="35">
        <v>281525</v>
      </c>
      <c r="V2" s="35"/>
      <c r="W2" s="35"/>
      <c r="X2" s="35">
        <v>279927</v>
      </c>
      <c r="Y2" s="35"/>
      <c r="Z2" s="35"/>
      <c r="AA2" s="35">
        <v>279989</v>
      </c>
      <c r="AB2" s="35"/>
      <c r="AC2" s="35"/>
      <c r="AD2" s="35" t="s">
        <v>256</v>
      </c>
      <c r="AE2" s="35"/>
      <c r="AF2" s="35"/>
      <c r="AG2" s="35">
        <v>281311</v>
      </c>
      <c r="AH2" s="35"/>
      <c r="AI2" s="35"/>
      <c r="AJ2" s="35">
        <v>281390</v>
      </c>
      <c r="AK2" s="35"/>
      <c r="AL2" s="35"/>
      <c r="AM2" s="35">
        <v>258312</v>
      </c>
      <c r="AN2" s="35"/>
      <c r="AO2" s="35"/>
      <c r="AP2" s="35">
        <v>280630</v>
      </c>
      <c r="AQ2" s="35"/>
      <c r="AR2" s="35"/>
      <c r="AS2" s="35">
        <v>281629</v>
      </c>
      <c r="AT2" s="35"/>
      <c r="AU2" s="35"/>
      <c r="AV2" s="35">
        <v>280015</v>
      </c>
      <c r="AW2" s="35"/>
      <c r="AX2" s="35"/>
      <c r="AY2" s="35">
        <v>283887</v>
      </c>
      <c r="AZ2" s="35"/>
      <c r="BA2" s="35"/>
      <c r="BB2" s="35">
        <v>283720</v>
      </c>
      <c r="BC2" s="35"/>
      <c r="BD2" s="35"/>
      <c r="BE2" s="35">
        <v>284350</v>
      </c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49"/>
      <c r="DV2" s="50"/>
      <c r="DW2" s="35"/>
      <c r="DX2" s="35"/>
      <c r="DY2" s="51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52"/>
      <c r="EM2" s="52"/>
      <c r="EN2" s="52"/>
      <c r="EO2" s="52"/>
      <c r="EP2" s="52"/>
      <c r="EQ2" s="52"/>
      <c r="ER2" s="52"/>
      <c r="ES2" s="52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4"/>
      <c r="FQ2" s="54"/>
      <c r="FR2" s="54"/>
      <c r="FS2" s="54"/>
      <c r="FT2" s="54"/>
      <c r="FU2" s="54"/>
      <c r="FV2" s="54"/>
    </row>
    <row r="3" spans="1:178" s="1" customFormat="1" ht="12.75" customHeight="1" x14ac:dyDescent="0.25">
      <c r="A3" s="5" t="s">
        <v>20</v>
      </c>
      <c r="B3" s="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49"/>
      <c r="DV3" s="50"/>
      <c r="DW3" s="35"/>
      <c r="DX3" s="35"/>
      <c r="DY3" s="51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52"/>
      <c r="EM3" s="52"/>
      <c r="EN3" s="52"/>
      <c r="EO3" s="52"/>
      <c r="EP3" s="52"/>
      <c r="EQ3" s="52"/>
      <c r="ER3" s="52"/>
      <c r="ES3" s="52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4"/>
      <c r="FQ3" s="54"/>
      <c r="FR3" s="54"/>
      <c r="FS3" s="54"/>
      <c r="FT3" s="54"/>
      <c r="FU3" s="54"/>
      <c r="FV3" s="54"/>
    </row>
    <row r="4" spans="1:178" s="1" customFormat="1" ht="12.75" customHeight="1" x14ac:dyDescent="0.25">
      <c r="A4" s="5" t="s">
        <v>28</v>
      </c>
      <c r="B4" s="5" t="s">
        <v>29</v>
      </c>
      <c r="C4" s="35" t="s">
        <v>9</v>
      </c>
      <c r="D4" s="35"/>
      <c r="E4" s="35" t="s">
        <v>31</v>
      </c>
      <c r="F4" s="35" t="s">
        <v>226</v>
      </c>
      <c r="G4" s="35"/>
      <c r="H4" s="35" t="s">
        <v>31</v>
      </c>
      <c r="I4" s="35" t="s">
        <v>240</v>
      </c>
      <c r="J4" s="35"/>
      <c r="K4" s="35" t="s">
        <v>31</v>
      </c>
      <c r="L4" s="35" t="s">
        <v>240</v>
      </c>
      <c r="M4" s="35"/>
      <c r="N4" s="35" t="s">
        <v>31</v>
      </c>
      <c r="O4" s="35" t="s">
        <v>220</v>
      </c>
      <c r="P4" s="35"/>
      <c r="Q4" s="35" t="s">
        <v>31</v>
      </c>
      <c r="R4" s="35" t="s">
        <v>178</v>
      </c>
      <c r="S4" s="35"/>
      <c r="T4" s="35" t="s">
        <v>31</v>
      </c>
      <c r="U4" s="35" t="s">
        <v>178</v>
      </c>
      <c r="V4" s="35"/>
      <c r="W4" s="35" t="s">
        <v>31</v>
      </c>
      <c r="X4" s="35" t="s">
        <v>184</v>
      </c>
      <c r="Y4" s="35"/>
      <c r="Z4" s="35" t="s">
        <v>31</v>
      </c>
      <c r="AA4" s="35" t="s">
        <v>184</v>
      </c>
      <c r="AB4" s="35"/>
      <c r="AC4" s="35" t="s">
        <v>31</v>
      </c>
      <c r="AD4" s="35" t="s">
        <v>184</v>
      </c>
      <c r="AE4" s="35"/>
      <c r="AF4" s="35" t="s">
        <v>31</v>
      </c>
      <c r="AG4" s="35" t="s">
        <v>201</v>
      </c>
      <c r="AH4" s="35"/>
      <c r="AI4" s="35" t="s">
        <v>31</v>
      </c>
      <c r="AJ4" s="35" t="s">
        <v>201</v>
      </c>
      <c r="AK4" s="35"/>
      <c r="AL4" s="35" t="s">
        <v>31</v>
      </c>
      <c r="AM4" s="35" t="s">
        <v>193</v>
      </c>
      <c r="AN4" s="35"/>
      <c r="AO4" s="35" t="s">
        <v>31</v>
      </c>
      <c r="AP4" s="35" t="s">
        <v>214</v>
      </c>
      <c r="AQ4" s="35"/>
      <c r="AR4" s="35" t="s">
        <v>31</v>
      </c>
      <c r="AS4" s="35" t="s">
        <v>212</v>
      </c>
      <c r="AT4" s="35"/>
      <c r="AU4" s="35" t="s">
        <v>31</v>
      </c>
      <c r="AV4" s="35" t="s">
        <v>208</v>
      </c>
      <c r="AW4" s="35"/>
      <c r="AX4" s="35" t="s">
        <v>31</v>
      </c>
      <c r="AY4" s="35" t="s">
        <v>266</v>
      </c>
      <c r="AZ4" s="35"/>
      <c r="BA4" s="35" t="s">
        <v>31</v>
      </c>
      <c r="BB4" s="35" t="s">
        <v>184</v>
      </c>
      <c r="BC4" s="35"/>
      <c r="BD4" s="35" t="s">
        <v>31</v>
      </c>
      <c r="BE4" s="35" t="s">
        <v>220</v>
      </c>
      <c r="BF4" s="35"/>
      <c r="BG4" s="35" t="s">
        <v>31</v>
      </c>
      <c r="BH4" s="35"/>
      <c r="BI4" s="35"/>
      <c r="BJ4" s="35" t="s">
        <v>31</v>
      </c>
      <c r="BK4" s="35"/>
      <c r="BL4" s="35"/>
      <c r="BM4" s="35" t="s">
        <v>31</v>
      </c>
      <c r="BN4" s="35"/>
      <c r="BO4" s="35"/>
      <c r="BP4" s="35" t="s">
        <v>31</v>
      </c>
      <c r="BQ4" s="35"/>
      <c r="BR4" s="35"/>
      <c r="BS4" s="35" t="s">
        <v>31</v>
      </c>
      <c r="BT4" s="35"/>
      <c r="BU4" s="35"/>
      <c r="BV4" s="35" t="s">
        <v>31</v>
      </c>
      <c r="BW4" s="35"/>
      <c r="BX4" s="35"/>
      <c r="BY4" s="35" t="s">
        <v>31</v>
      </c>
      <c r="BZ4" s="35"/>
      <c r="CA4" s="35"/>
      <c r="CB4" s="35" t="s">
        <v>31</v>
      </c>
      <c r="CC4" s="35"/>
      <c r="CD4" s="35"/>
      <c r="CE4" s="35" t="s">
        <v>31</v>
      </c>
      <c r="CF4" s="35"/>
      <c r="CG4" s="35"/>
      <c r="CH4" s="35" t="s">
        <v>31</v>
      </c>
      <c r="CI4" s="35"/>
      <c r="CJ4" s="35"/>
      <c r="CK4" s="35" t="s">
        <v>31</v>
      </c>
      <c r="CL4" s="35"/>
      <c r="CM4" s="35"/>
      <c r="CN4" s="35" t="s">
        <v>31</v>
      </c>
      <c r="CO4" s="35"/>
      <c r="CP4" s="35"/>
      <c r="CQ4" s="35" t="s">
        <v>31</v>
      </c>
      <c r="CR4" s="35"/>
      <c r="CS4" s="35"/>
      <c r="CT4" s="35" t="s">
        <v>31</v>
      </c>
      <c r="CU4" s="35"/>
      <c r="CV4" s="35"/>
      <c r="CW4" s="35" t="s">
        <v>31</v>
      </c>
      <c r="CX4" s="35"/>
      <c r="CY4" s="35"/>
      <c r="CZ4" s="35" t="s">
        <v>31</v>
      </c>
      <c r="DA4" s="35"/>
      <c r="DB4" s="35"/>
      <c r="DC4" s="35" t="s">
        <v>31</v>
      </c>
      <c r="DD4" s="35"/>
      <c r="DE4" s="35"/>
      <c r="DF4" s="35" t="s">
        <v>31</v>
      </c>
      <c r="DG4" s="35"/>
      <c r="DH4" s="35"/>
      <c r="DI4" s="35" t="s">
        <v>31</v>
      </c>
      <c r="DJ4" s="35"/>
      <c r="DK4" s="35"/>
      <c r="DL4" s="35" t="s">
        <v>31</v>
      </c>
      <c r="DM4" s="35"/>
      <c r="DN4" s="35"/>
      <c r="DO4" s="35" t="s">
        <v>31</v>
      </c>
      <c r="DP4" s="35"/>
      <c r="DQ4" s="35"/>
      <c r="DR4" s="35" t="s">
        <v>31</v>
      </c>
      <c r="DS4" s="5" t="s">
        <v>10</v>
      </c>
      <c r="DT4" s="2" t="s">
        <v>10</v>
      </c>
      <c r="DV4" s="50"/>
      <c r="DW4" s="35"/>
      <c r="DX4" s="35"/>
      <c r="DY4" s="51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52"/>
      <c r="EM4" s="52"/>
      <c r="EN4" s="52"/>
      <c r="EO4" s="52"/>
      <c r="EP4" s="52"/>
      <c r="EQ4" s="52"/>
      <c r="ER4" s="52"/>
      <c r="ES4" s="52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4"/>
      <c r="FQ4" s="54"/>
      <c r="FR4" s="54"/>
      <c r="FS4" s="54"/>
      <c r="FT4" s="54"/>
      <c r="FU4" s="54"/>
      <c r="FV4" s="54"/>
    </row>
    <row r="5" spans="1:178" s="65" customFormat="1" ht="12.75" customHeight="1" x14ac:dyDescent="0.25">
      <c r="A5" s="5" t="s">
        <v>11</v>
      </c>
      <c r="B5" s="5" t="s">
        <v>37</v>
      </c>
      <c r="C5" s="57" t="s">
        <v>204</v>
      </c>
      <c r="D5" s="57"/>
      <c r="E5" s="57" t="s">
        <v>41</v>
      </c>
      <c r="F5" s="57" t="s">
        <v>15</v>
      </c>
      <c r="G5" s="57"/>
      <c r="H5" s="57" t="s">
        <v>41</v>
      </c>
      <c r="I5" s="57" t="s">
        <v>16</v>
      </c>
      <c r="J5" s="57"/>
      <c r="K5" s="57" t="s">
        <v>41</v>
      </c>
      <c r="L5" s="57" t="s">
        <v>14</v>
      </c>
      <c r="M5" s="57"/>
      <c r="N5" s="57" t="s">
        <v>41</v>
      </c>
      <c r="O5" s="57" t="s">
        <v>183</v>
      </c>
      <c r="P5" s="57"/>
      <c r="Q5" s="57" t="s">
        <v>41</v>
      </c>
      <c r="R5" s="57" t="s">
        <v>183</v>
      </c>
      <c r="S5" s="57"/>
      <c r="T5" s="57" t="s">
        <v>41</v>
      </c>
      <c r="U5" s="57" t="s">
        <v>183</v>
      </c>
      <c r="V5" s="57"/>
      <c r="W5" s="57" t="s">
        <v>41</v>
      </c>
      <c r="X5" s="57" t="s">
        <v>183</v>
      </c>
      <c r="Y5" s="57"/>
      <c r="Z5" s="57" t="s">
        <v>41</v>
      </c>
      <c r="AA5" s="57" t="s">
        <v>183</v>
      </c>
      <c r="AB5" s="57"/>
      <c r="AC5" s="57" t="s">
        <v>41</v>
      </c>
      <c r="AD5" s="57" t="s">
        <v>255</v>
      </c>
      <c r="AE5" s="57"/>
      <c r="AF5" s="57" t="s">
        <v>41</v>
      </c>
      <c r="AG5" s="57" t="s">
        <v>265</v>
      </c>
      <c r="AH5" s="57"/>
      <c r="AI5" s="57" t="s">
        <v>41</v>
      </c>
      <c r="AJ5" s="57" t="s">
        <v>265</v>
      </c>
      <c r="AK5" s="57"/>
      <c r="AL5" s="57" t="s">
        <v>41</v>
      </c>
      <c r="AM5" s="57" t="s">
        <v>15</v>
      </c>
      <c r="AN5" s="57"/>
      <c r="AO5" s="57" t="s">
        <v>41</v>
      </c>
      <c r="AP5" s="57" t="s">
        <v>14</v>
      </c>
      <c r="AQ5" s="57"/>
      <c r="AR5" s="57" t="s">
        <v>41</v>
      </c>
      <c r="AS5" s="57" t="s">
        <v>14</v>
      </c>
      <c r="AT5" s="57"/>
      <c r="AU5" s="57" t="s">
        <v>41</v>
      </c>
      <c r="AV5" s="57" t="s">
        <v>183</v>
      </c>
      <c r="AW5" s="57"/>
      <c r="AX5" s="57" t="s">
        <v>41</v>
      </c>
      <c r="AY5" s="57" t="s">
        <v>267</v>
      </c>
      <c r="AZ5" s="57"/>
      <c r="BA5" s="57" t="s">
        <v>41</v>
      </c>
      <c r="BB5" s="57" t="s">
        <v>265</v>
      </c>
      <c r="BC5" s="57"/>
      <c r="BD5" s="57" t="s">
        <v>41</v>
      </c>
      <c r="BE5" s="57" t="s">
        <v>265</v>
      </c>
      <c r="BF5" s="57"/>
      <c r="BG5" s="57" t="s">
        <v>41</v>
      </c>
      <c r="BH5" s="57"/>
      <c r="BI5" s="57"/>
      <c r="BJ5" s="57" t="s">
        <v>41</v>
      </c>
      <c r="BK5" s="57"/>
      <c r="BL5" s="57"/>
      <c r="BM5" s="57" t="s">
        <v>41</v>
      </c>
      <c r="BN5" s="57"/>
      <c r="BO5" s="57"/>
      <c r="BP5" s="57" t="s">
        <v>41</v>
      </c>
      <c r="BQ5" s="57"/>
      <c r="BR5" s="57"/>
      <c r="BS5" s="57" t="s">
        <v>41</v>
      </c>
      <c r="BT5" s="57"/>
      <c r="BU5" s="57"/>
      <c r="BV5" s="57" t="s">
        <v>41</v>
      </c>
      <c r="BW5" s="57"/>
      <c r="BX5" s="57"/>
      <c r="BY5" s="57" t="s">
        <v>41</v>
      </c>
      <c r="BZ5" s="57"/>
      <c r="CA5" s="57"/>
      <c r="CB5" s="57" t="s">
        <v>41</v>
      </c>
      <c r="CC5" s="57"/>
      <c r="CD5" s="57"/>
      <c r="CE5" s="57" t="s">
        <v>41</v>
      </c>
      <c r="CF5" s="57"/>
      <c r="CG5" s="57"/>
      <c r="CH5" s="57" t="s">
        <v>41</v>
      </c>
      <c r="CI5" s="57"/>
      <c r="CJ5" s="57"/>
      <c r="CK5" s="57" t="s">
        <v>41</v>
      </c>
      <c r="CL5" s="57"/>
      <c r="CM5" s="57"/>
      <c r="CN5" s="57" t="s">
        <v>41</v>
      </c>
      <c r="CO5" s="57"/>
      <c r="CP5" s="57"/>
      <c r="CQ5" s="57" t="s">
        <v>41</v>
      </c>
      <c r="CR5" s="57"/>
      <c r="CS5" s="57"/>
      <c r="CT5" s="57" t="s">
        <v>41</v>
      </c>
      <c r="CU5" s="57"/>
      <c r="CV5" s="57"/>
      <c r="CW5" s="57" t="s">
        <v>41</v>
      </c>
      <c r="CX5" s="57"/>
      <c r="CY5" s="57"/>
      <c r="CZ5" s="57" t="s">
        <v>41</v>
      </c>
      <c r="DA5" s="57"/>
      <c r="DB5" s="57"/>
      <c r="DC5" s="57" t="s">
        <v>41</v>
      </c>
      <c r="DD5" s="57"/>
      <c r="DE5" s="57"/>
      <c r="DF5" s="57" t="s">
        <v>41</v>
      </c>
      <c r="DG5" s="57"/>
      <c r="DH5" s="57"/>
      <c r="DI5" s="57" t="s">
        <v>41</v>
      </c>
      <c r="DJ5" s="57"/>
      <c r="DK5" s="57"/>
      <c r="DL5" s="57" t="s">
        <v>41</v>
      </c>
      <c r="DM5" s="57"/>
      <c r="DN5" s="57"/>
      <c r="DO5" s="57" t="s">
        <v>41</v>
      </c>
      <c r="DP5" s="57"/>
      <c r="DQ5" s="57"/>
      <c r="DR5" s="57" t="s">
        <v>41</v>
      </c>
      <c r="DS5" s="50" t="s">
        <v>19</v>
      </c>
      <c r="DT5" s="50" t="s">
        <v>45</v>
      </c>
      <c r="DU5" s="50" t="s">
        <v>41</v>
      </c>
      <c r="DV5" s="57"/>
      <c r="DW5" s="57"/>
      <c r="DX5" s="57"/>
      <c r="DY5" s="61"/>
      <c r="DZ5" s="57"/>
      <c r="EA5" s="57"/>
      <c r="EB5" s="57"/>
      <c r="EC5" s="57"/>
      <c r="ED5" s="57"/>
      <c r="EE5" s="57"/>
      <c r="EF5" s="57"/>
      <c r="EG5" s="57"/>
      <c r="EH5" s="57"/>
      <c r="EI5" s="57"/>
      <c r="EJ5" s="57"/>
      <c r="EK5" s="57"/>
      <c r="EL5" s="62"/>
      <c r="EM5" s="62"/>
      <c r="EN5" s="62"/>
      <c r="EO5" s="62"/>
      <c r="EP5" s="62"/>
      <c r="EQ5" s="62"/>
      <c r="ER5" s="62"/>
      <c r="ES5" s="62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4"/>
      <c r="FQ5" s="64"/>
      <c r="FR5" s="64"/>
      <c r="FS5" s="64"/>
      <c r="FT5" s="64"/>
      <c r="FU5" s="64"/>
      <c r="FV5" s="64"/>
    </row>
    <row r="6" spans="1:178" s="79" customFormat="1" x14ac:dyDescent="0.25">
      <c r="A6" s="66">
        <v>36678</v>
      </c>
      <c r="B6" s="67" t="s">
        <v>47</v>
      </c>
      <c r="C6" s="68">
        <v>4178</v>
      </c>
      <c r="D6" s="68">
        <v>4178</v>
      </c>
      <c r="E6" s="71">
        <f t="shared" ref="E6:E34" si="0">D6-C6</f>
        <v>0</v>
      </c>
      <c r="F6" s="68">
        <v>5000</v>
      </c>
      <c r="G6" s="68">
        <v>5000</v>
      </c>
      <c r="H6" s="71">
        <f t="shared" ref="H6:H34" si="1">G6-F6</f>
        <v>0</v>
      </c>
      <c r="I6" s="68">
        <v>4666</v>
      </c>
      <c r="J6" s="68">
        <v>4666</v>
      </c>
      <c r="K6" s="71">
        <f t="shared" ref="K6:K34" si="2">J6-I6</f>
        <v>0</v>
      </c>
      <c r="L6" s="68">
        <v>16000</v>
      </c>
      <c r="M6" s="68">
        <f>2101+14999</f>
        <v>17100</v>
      </c>
      <c r="N6" s="71">
        <f t="shared" ref="N6:N34" si="3">M6-L6</f>
        <v>1100</v>
      </c>
      <c r="O6" s="68">
        <v>10000</v>
      </c>
      <c r="P6" s="68">
        <v>10000</v>
      </c>
      <c r="Q6" s="71">
        <f t="shared" ref="Q6:Q34" si="4">P6-O6</f>
        <v>0</v>
      </c>
      <c r="R6" s="68">
        <v>20000</v>
      </c>
      <c r="S6" s="68">
        <v>20000</v>
      </c>
      <c r="T6" s="71">
        <f t="shared" ref="T6:T34" si="5">S6-R6</f>
        <v>0</v>
      </c>
      <c r="U6" s="68">
        <v>10000</v>
      </c>
      <c r="V6" s="68">
        <v>10000</v>
      </c>
      <c r="W6" s="71">
        <f t="shared" ref="W6:W34" si="6">V6-U6</f>
        <v>0</v>
      </c>
      <c r="X6" s="68">
        <v>5000</v>
      </c>
      <c r="Y6" s="68">
        <v>5000</v>
      </c>
      <c r="Z6" s="71">
        <f t="shared" ref="Z6:Z34" si="7">Y6-X6</f>
        <v>0</v>
      </c>
      <c r="AA6" s="68">
        <v>5000</v>
      </c>
      <c r="AB6" s="68">
        <v>5000</v>
      </c>
      <c r="AC6" s="71">
        <f t="shared" ref="AC6:AC34" si="8">AB6-AA6</f>
        <v>0</v>
      </c>
      <c r="AD6" s="68">
        <f>10000+3388</f>
        <v>13388</v>
      </c>
      <c r="AE6" s="68">
        <f>10000+3388</f>
        <v>13388</v>
      </c>
      <c r="AF6" s="71">
        <f t="shared" ref="AF6:AF34" si="9">AE6-AD6</f>
        <v>0</v>
      </c>
      <c r="AG6" s="68">
        <v>10000</v>
      </c>
      <c r="AH6" s="68">
        <v>10000</v>
      </c>
      <c r="AI6" s="71">
        <f t="shared" ref="AI6:AI34" si="10">AH6-AG6</f>
        <v>0</v>
      </c>
      <c r="AJ6" s="68">
        <v>10000</v>
      </c>
      <c r="AK6" s="68">
        <v>10000</v>
      </c>
      <c r="AL6" s="71">
        <f t="shared" ref="AL6:AL34" si="11">AK6-AJ6</f>
        <v>0</v>
      </c>
      <c r="AM6" s="68">
        <v>10000</v>
      </c>
      <c r="AN6" s="68">
        <v>10000</v>
      </c>
      <c r="AO6" s="71">
        <f t="shared" ref="AO6:AO34" si="12">AN6-AM6</f>
        <v>0</v>
      </c>
      <c r="AP6" s="68">
        <v>5000</v>
      </c>
      <c r="AQ6" s="68">
        <v>5000</v>
      </c>
      <c r="AR6" s="71">
        <f t="shared" ref="AR6:AR34" si="13">AQ6-AP6</f>
        <v>0</v>
      </c>
      <c r="AS6" s="68">
        <v>20000</v>
      </c>
      <c r="AT6" s="68">
        <v>20000</v>
      </c>
      <c r="AU6" s="71">
        <f t="shared" ref="AU6:AU34" si="14">AT6-AS6</f>
        <v>0</v>
      </c>
      <c r="AV6" s="68">
        <v>20000</v>
      </c>
      <c r="AW6" s="68">
        <v>20000</v>
      </c>
      <c r="AX6" s="71">
        <f t="shared" ref="AX6:AX34" si="15">AW6-AV6</f>
        <v>0</v>
      </c>
      <c r="AY6" s="68">
        <v>2928</v>
      </c>
      <c r="AZ6" s="68">
        <v>2928</v>
      </c>
      <c r="BA6" s="71">
        <f t="shared" ref="BA6:BA34" si="16">AZ6-AY6</f>
        <v>0</v>
      </c>
      <c r="BB6" s="68">
        <v>3388</v>
      </c>
      <c r="BC6" s="68">
        <v>3388</v>
      </c>
      <c r="BD6" s="71">
        <f t="shared" ref="BD6:BD34" si="17">BC6-BB6</f>
        <v>0</v>
      </c>
      <c r="BE6" s="68"/>
      <c r="BF6" s="68"/>
      <c r="BG6" s="71">
        <f t="shared" ref="BG6:BG34" si="18">BF6-BE6</f>
        <v>0</v>
      </c>
      <c r="BH6" s="68"/>
      <c r="BI6" s="68"/>
      <c r="BJ6" s="71">
        <f t="shared" ref="BJ6:BJ34" si="19">BI6-BH6</f>
        <v>0</v>
      </c>
      <c r="BK6" s="68"/>
      <c r="BL6" s="68"/>
      <c r="BM6" s="71">
        <f t="shared" ref="BM6:BM34" si="20">BL6-BK6</f>
        <v>0</v>
      </c>
      <c r="BN6" s="68"/>
      <c r="BO6" s="68"/>
      <c r="BP6" s="71">
        <f t="shared" ref="BP6:BP34" si="21">BO6-BN6</f>
        <v>0</v>
      </c>
      <c r="BQ6" s="68"/>
      <c r="BR6" s="68"/>
      <c r="BS6" s="71">
        <f t="shared" ref="BS6:BS34" si="22">BR6-BQ6</f>
        <v>0</v>
      </c>
      <c r="BT6" s="68"/>
      <c r="BU6" s="68"/>
      <c r="BV6" s="71">
        <f t="shared" ref="BV6:BV34" si="23">BU6-BT6</f>
        <v>0</v>
      </c>
      <c r="BW6" s="68"/>
      <c r="BX6" s="68"/>
      <c r="BY6" s="71">
        <f t="shared" ref="BY6:BY34" si="24">BX6-BW6</f>
        <v>0</v>
      </c>
      <c r="BZ6" s="68"/>
      <c r="CA6" s="68"/>
      <c r="CB6" s="71">
        <f t="shared" ref="CB6:CB34" si="25">CA6-BZ6</f>
        <v>0</v>
      </c>
      <c r="CC6" s="68"/>
      <c r="CD6" s="68"/>
      <c r="CE6" s="71">
        <f t="shared" ref="CE6:CE34" si="26">CD6-CC6</f>
        <v>0</v>
      </c>
      <c r="CF6" s="68"/>
      <c r="CG6" s="68"/>
      <c r="CH6" s="71">
        <f t="shared" ref="CH6:CH34" si="27">CG6-CF6</f>
        <v>0</v>
      </c>
      <c r="CI6" s="68"/>
      <c r="CJ6" s="68"/>
      <c r="CK6" s="71">
        <f t="shared" ref="CK6:CK34" si="28">CJ6-CI6</f>
        <v>0</v>
      </c>
      <c r="CL6" s="68"/>
      <c r="CM6" s="68"/>
      <c r="CN6" s="71">
        <f t="shared" ref="CN6:CN34" si="29">CM6-CL6</f>
        <v>0</v>
      </c>
      <c r="CO6" s="68"/>
      <c r="CP6" s="68"/>
      <c r="CQ6" s="71">
        <f t="shared" ref="CQ6:CQ34" si="30">CP6-CO6</f>
        <v>0</v>
      </c>
      <c r="CR6" s="68"/>
      <c r="CS6" s="68"/>
      <c r="CT6" s="71">
        <f t="shared" ref="CT6:CT34" si="31">CS6-CR6</f>
        <v>0</v>
      </c>
      <c r="CU6" s="68"/>
      <c r="CV6" s="68"/>
      <c r="CW6" s="71">
        <f t="shared" ref="CW6:CW34" si="32">CV6-CU6</f>
        <v>0</v>
      </c>
      <c r="CX6" s="68"/>
      <c r="CY6" s="68"/>
      <c r="CZ6" s="71">
        <f t="shared" ref="CZ6:CZ34" si="33">CY6-CX6</f>
        <v>0</v>
      </c>
      <c r="DA6" s="68"/>
      <c r="DB6" s="68"/>
      <c r="DC6" s="71">
        <f t="shared" ref="DC6:DC34" si="34">DB6-DA6</f>
        <v>0</v>
      </c>
      <c r="DD6" s="68"/>
      <c r="DE6" s="68"/>
      <c r="DF6" s="71">
        <f t="shared" ref="DF6:DF34" si="35">DE6-DD6</f>
        <v>0</v>
      </c>
      <c r="DG6" s="68"/>
      <c r="DH6" s="68"/>
      <c r="DI6" s="71">
        <f t="shared" ref="DI6:DI34" si="36">DH6-DG6</f>
        <v>0</v>
      </c>
      <c r="DJ6" s="68"/>
      <c r="DK6" s="68"/>
      <c r="DL6" s="71">
        <f t="shared" ref="DL6:DL34" si="37">DK6-DJ6</f>
        <v>0</v>
      </c>
      <c r="DM6" s="68"/>
      <c r="DN6" s="68"/>
      <c r="DO6" s="71">
        <f t="shared" ref="DO6:DO34" si="38">DN6-DM6</f>
        <v>0</v>
      </c>
      <c r="DP6" s="68"/>
      <c r="DQ6" s="68"/>
      <c r="DR6" s="71">
        <f t="shared" ref="DR6:DR34" si="39">DQ6-DP6</f>
        <v>0</v>
      </c>
      <c r="DS6" s="71">
        <f t="shared" ref="DS6:DS34" si="40">+C6+F6+I6+L6+O6+R6+U6+X6+AA6+AD6+AG6+AJ6+AM6+AP6+AS6+AV6+AY6+BB6+BE6+BH6+BK6+BN6+BQ6+BT6+BW6+BZ6+CC6+CF6+CI6+CL6+CO6+CR6+CU6+CX6+DA6+DD6+DG6+DJ6+DM6+DP6</f>
        <v>174548</v>
      </c>
      <c r="DT6" s="71">
        <f t="shared" ref="DT6:DT34" si="41">+D6+G6+J6+M6+P6+S6+V6+Y6+AB6+AE6+AH6+AK6+AN6+AQ6+AT6+AW6+AZ6+BC6+BF6+BI6+BL6+BO6+BR6+BU6+BX6+CA6+CD6+CG6+CJ6+CM6+CP6+CS6+CV6+CY6+DB6+DE6+DH6+DK6+DN6+DQ6</f>
        <v>175648</v>
      </c>
      <c r="DU6" s="71">
        <f t="shared" ref="DU6:DU34" si="42">DT6-DS6</f>
        <v>1100</v>
      </c>
      <c r="DV6" s="68"/>
      <c r="DW6" s="68"/>
      <c r="DX6" s="71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76"/>
      <c r="EM6" s="76"/>
      <c r="EN6" s="76"/>
      <c r="EO6" s="76"/>
      <c r="EP6" s="76"/>
      <c r="EQ6" s="76"/>
      <c r="ER6" s="76"/>
      <c r="ES6" s="76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8"/>
      <c r="FQ6" s="78"/>
      <c r="FR6" s="78"/>
      <c r="FS6" s="78"/>
      <c r="FT6" s="78"/>
      <c r="FU6" s="78"/>
      <c r="FV6" s="78"/>
    </row>
    <row r="7" spans="1:178" s="79" customFormat="1" x14ac:dyDescent="0.25">
      <c r="A7" s="67">
        <f t="shared" ref="A7:A34" si="43">A6+1</f>
        <v>36679</v>
      </c>
      <c r="B7" s="67" t="s">
        <v>48</v>
      </c>
      <c r="C7" s="68">
        <v>4178</v>
      </c>
      <c r="D7" s="68">
        <v>4178</v>
      </c>
      <c r="E7" s="71">
        <f t="shared" si="0"/>
        <v>0</v>
      </c>
      <c r="F7" s="68">
        <v>5000</v>
      </c>
      <c r="G7" s="68">
        <v>5000</v>
      </c>
      <c r="H7" s="71">
        <f t="shared" si="1"/>
        <v>0</v>
      </c>
      <c r="I7" s="68">
        <v>4666</v>
      </c>
      <c r="J7" s="68">
        <v>4666</v>
      </c>
      <c r="K7" s="71">
        <f t="shared" si="2"/>
        <v>0</v>
      </c>
      <c r="L7" s="68">
        <v>16000</v>
      </c>
      <c r="M7" s="68">
        <f>14999+1000</f>
        <v>15999</v>
      </c>
      <c r="N7" s="71">
        <f t="shared" si="3"/>
        <v>-1</v>
      </c>
      <c r="O7" s="68">
        <v>10000</v>
      </c>
      <c r="P7" s="68">
        <v>10000</v>
      </c>
      <c r="Q7" s="71">
        <f t="shared" si="4"/>
        <v>0</v>
      </c>
      <c r="R7" s="68">
        <v>20000</v>
      </c>
      <c r="S7" s="68">
        <v>20000</v>
      </c>
      <c r="T7" s="71">
        <f t="shared" si="5"/>
        <v>0</v>
      </c>
      <c r="U7" s="68">
        <v>10000</v>
      </c>
      <c r="V7" s="68">
        <v>10000</v>
      </c>
      <c r="W7" s="71">
        <f t="shared" si="6"/>
        <v>0</v>
      </c>
      <c r="X7" s="68">
        <v>5000</v>
      </c>
      <c r="Y7" s="68">
        <v>5000</v>
      </c>
      <c r="Z7" s="71">
        <f t="shared" si="7"/>
        <v>0</v>
      </c>
      <c r="AA7" s="68">
        <v>5000</v>
      </c>
      <c r="AB7" s="68">
        <v>5000</v>
      </c>
      <c r="AC7" s="71">
        <f t="shared" si="8"/>
        <v>0</v>
      </c>
      <c r="AD7" s="68">
        <f>10000+3575</f>
        <v>13575</v>
      </c>
      <c r="AE7" s="68">
        <f>10000+3575</f>
        <v>13575</v>
      </c>
      <c r="AF7" s="71">
        <f t="shared" si="9"/>
        <v>0</v>
      </c>
      <c r="AG7" s="68">
        <v>10000</v>
      </c>
      <c r="AH7" s="68">
        <v>10000</v>
      </c>
      <c r="AI7" s="71">
        <f t="shared" si="10"/>
        <v>0</v>
      </c>
      <c r="AJ7" s="68">
        <v>10000</v>
      </c>
      <c r="AK7" s="68">
        <v>10000</v>
      </c>
      <c r="AL7" s="71">
        <f t="shared" si="11"/>
        <v>0</v>
      </c>
      <c r="AM7" s="68">
        <v>10000</v>
      </c>
      <c r="AN7" s="68">
        <v>10000</v>
      </c>
      <c r="AO7" s="71">
        <f t="shared" si="12"/>
        <v>0</v>
      </c>
      <c r="AP7" s="68">
        <v>5000</v>
      </c>
      <c r="AQ7" s="68">
        <v>5000</v>
      </c>
      <c r="AR7" s="71">
        <f t="shared" si="13"/>
        <v>0</v>
      </c>
      <c r="AS7" s="68">
        <v>20000</v>
      </c>
      <c r="AT7" s="68">
        <v>20000</v>
      </c>
      <c r="AU7" s="71">
        <f t="shared" si="14"/>
        <v>0</v>
      </c>
      <c r="AV7" s="68">
        <v>20000</v>
      </c>
      <c r="AW7" s="68">
        <v>20000</v>
      </c>
      <c r="AX7" s="71">
        <f t="shared" si="15"/>
        <v>0</v>
      </c>
      <c r="AY7" s="68">
        <f>609+3049</f>
        <v>3658</v>
      </c>
      <c r="AZ7" s="68">
        <f>609+3049</f>
        <v>3658</v>
      </c>
      <c r="BA7" s="71">
        <f t="shared" si="16"/>
        <v>0</v>
      </c>
      <c r="BB7" s="68">
        <v>3575</v>
      </c>
      <c r="BC7" s="68">
        <v>3575</v>
      </c>
      <c r="BD7" s="71">
        <f t="shared" si="17"/>
        <v>0</v>
      </c>
      <c r="BE7" s="68">
        <v>5000</v>
      </c>
      <c r="BF7" s="68">
        <v>5000</v>
      </c>
      <c r="BG7" s="71">
        <f t="shared" si="18"/>
        <v>0</v>
      </c>
      <c r="BH7" s="68"/>
      <c r="BI7" s="68"/>
      <c r="BJ7" s="71">
        <f t="shared" si="19"/>
        <v>0</v>
      </c>
      <c r="BK7" s="68"/>
      <c r="BL7" s="68"/>
      <c r="BM7" s="71">
        <f t="shared" si="20"/>
        <v>0</v>
      </c>
      <c r="BN7" s="68"/>
      <c r="BO7" s="68"/>
      <c r="BP7" s="71">
        <f t="shared" si="21"/>
        <v>0</v>
      </c>
      <c r="BQ7" s="68"/>
      <c r="BR7" s="68"/>
      <c r="BS7" s="71">
        <f t="shared" si="22"/>
        <v>0</v>
      </c>
      <c r="BT7" s="68"/>
      <c r="BU7" s="68"/>
      <c r="BV7" s="71">
        <f t="shared" si="23"/>
        <v>0</v>
      </c>
      <c r="BW7" s="68"/>
      <c r="BX7" s="68"/>
      <c r="BY7" s="71">
        <f t="shared" si="24"/>
        <v>0</v>
      </c>
      <c r="BZ7" s="68"/>
      <c r="CA7" s="68"/>
      <c r="CB7" s="71">
        <f t="shared" si="25"/>
        <v>0</v>
      </c>
      <c r="CC7" s="68"/>
      <c r="CD7" s="68"/>
      <c r="CE7" s="71">
        <f t="shared" si="26"/>
        <v>0</v>
      </c>
      <c r="CF7" s="68"/>
      <c r="CG7" s="68"/>
      <c r="CH7" s="71">
        <f t="shared" si="27"/>
        <v>0</v>
      </c>
      <c r="CI7" s="68"/>
      <c r="CJ7" s="68"/>
      <c r="CK7" s="71">
        <f t="shared" si="28"/>
        <v>0</v>
      </c>
      <c r="CL7" s="68"/>
      <c r="CM7" s="68"/>
      <c r="CN7" s="71">
        <f t="shared" si="29"/>
        <v>0</v>
      </c>
      <c r="CO7" s="68"/>
      <c r="CP7" s="68"/>
      <c r="CQ7" s="71">
        <f t="shared" si="30"/>
        <v>0</v>
      </c>
      <c r="CR7" s="68"/>
      <c r="CS7" s="68"/>
      <c r="CT7" s="71">
        <f t="shared" si="31"/>
        <v>0</v>
      </c>
      <c r="CU7" s="68"/>
      <c r="CV7" s="68"/>
      <c r="CW7" s="71">
        <f t="shared" si="32"/>
        <v>0</v>
      </c>
      <c r="CX7" s="68"/>
      <c r="CY7" s="68"/>
      <c r="CZ7" s="71">
        <f t="shared" si="33"/>
        <v>0</v>
      </c>
      <c r="DA7" s="68"/>
      <c r="DB7" s="68"/>
      <c r="DC7" s="71">
        <f t="shared" si="34"/>
        <v>0</v>
      </c>
      <c r="DD7" s="68"/>
      <c r="DE7" s="68"/>
      <c r="DF7" s="71">
        <f t="shared" si="35"/>
        <v>0</v>
      </c>
      <c r="DG7" s="68"/>
      <c r="DH7" s="68"/>
      <c r="DI7" s="71">
        <f t="shared" si="36"/>
        <v>0</v>
      </c>
      <c r="DJ7" s="68"/>
      <c r="DK7" s="68"/>
      <c r="DL7" s="71">
        <f t="shared" si="37"/>
        <v>0</v>
      </c>
      <c r="DM7" s="68"/>
      <c r="DN7" s="68"/>
      <c r="DO7" s="71">
        <f t="shared" si="38"/>
        <v>0</v>
      </c>
      <c r="DP7" s="68"/>
      <c r="DQ7" s="68"/>
      <c r="DR7" s="71">
        <f t="shared" si="39"/>
        <v>0</v>
      </c>
      <c r="DS7" s="71">
        <f t="shared" si="40"/>
        <v>180652</v>
      </c>
      <c r="DT7" s="71">
        <f t="shared" si="41"/>
        <v>180651</v>
      </c>
      <c r="DU7" s="71">
        <f t="shared" si="42"/>
        <v>-1</v>
      </c>
      <c r="DV7" s="68"/>
      <c r="DW7" s="68"/>
      <c r="DX7" s="71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76"/>
      <c r="EM7" s="76"/>
      <c r="EN7" s="76"/>
      <c r="EO7" s="76"/>
      <c r="EP7" s="76"/>
      <c r="EQ7" s="76"/>
      <c r="ER7" s="76"/>
      <c r="ES7" s="76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8"/>
      <c r="FQ7" s="78"/>
      <c r="FR7" s="78"/>
      <c r="FS7" s="78"/>
      <c r="FT7" s="78"/>
      <c r="FU7" s="78"/>
      <c r="FV7" s="78"/>
    </row>
    <row r="8" spans="1:178" x14ac:dyDescent="0.25">
      <c r="A8" s="67">
        <f t="shared" si="43"/>
        <v>36680</v>
      </c>
      <c r="B8" s="67" t="s">
        <v>49</v>
      </c>
      <c r="C8" s="68">
        <v>4178</v>
      </c>
      <c r="D8" s="68">
        <v>4178</v>
      </c>
      <c r="E8" s="71">
        <f t="shared" si="0"/>
        <v>0</v>
      </c>
      <c r="F8" s="68">
        <v>5000</v>
      </c>
      <c r="G8" s="68">
        <v>5000</v>
      </c>
      <c r="H8" s="71">
        <f t="shared" si="1"/>
        <v>0</v>
      </c>
      <c r="I8" s="68">
        <v>4666</v>
      </c>
      <c r="J8" s="68">
        <v>4666</v>
      </c>
      <c r="K8" s="71">
        <f t="shared" si="2"/>
        <v>0</v>
      </c>
      <c r="L8" s="68">
        <v>16000</v>
      </c>
      <c r="M8" s="68">
        <f>1000+14998</f>
        <v>15998</v>
      </c>
      <c r="N8" s="71">
        <f t="shared" si="3"/>
        <v>-2</v>
      </c>
      <c r="O8" s="68">
        <v>10000</v>
      </c>
      <c r="P8" s="68">
        <v>10000</v>
      </c>
      <c r="Q8" s="71">
        <f t="shared" si="4"/>
        <v>0</v>
      </c>
      <c r="R8" s="68">
        <v>20000</v>
      </c>
      <c r="S8" s="68">
        <v>20000</v>
      </c>
      <c r="T8" s="71">
        <f t="shared" si="5"/>
        <v>0</v>
      </c>
      <c r="U8" s="68">
        <v>10000</v>
      </c>
      <c r="V8" s="68">
        <v>10000</v>
      </c>
      <c r="W8" s="71">
        <f t="shared" si="6"/>
        <v>0</v>
      </c>
      <c r="X8" s="68">
        <v>5000</v>
      </c>
      <c r="Y8" s="68">
        <v>5000</v>
      </c>
      <c r="Z8" s="71">
        <f t="shared" si="7"/>
        <v>0</v>
      </c>
      <c r="AA8" s="68">
        <v>5000</v>
      </c>
      <c r="AB8" s="68">
        <v>5000</v>
      </c>
      <c r="AC8" s="71">
        <f t="shared" si="8"/>
        <v>0</v>
      </c>
      <c r="AD8" s="68">
        <f>10000+984</f>
        <v>10984</v>
      </c>
      <c r="AE8" s="68">
        <f>10000+984</f>
        <v>10984</v>
      </c>
      <c r="AF8" s="71">
        <f t="shared" si="9"/>
        <v>0</v>
      </c>
      <c r="AG8" s="68">
        <v>10000</v>
      </c>
      <c r="AH8" s="68">
        <v>10000</v>
      </c>
      <c r="AI8" s="71">
        <f t="shared" si="10"/>
        <v>0</v>
      </c>
      <c r="AJ8" s="68">
        <v>10000</v>
      </c>
      <c r="AK8" s="68">
        <v>10000</v>
      </c>
      <c r="AL8" s="71">
        <f t="shared" si="11"/>
        <v>0</v>
      </c>
      <c r="AM8" s="68">
        <v>10000</v>
      </c>
      <c r="AN8" s="68">
        <v>10000</v>
      </c>
      <c r="AO8" s="71">
        <f t="shared" si="12"/>
        <v>0</v>
      </c>
      <c r="AP8" s="68">
        <v>5000</v>
      </c>
      <c r="AQ8" s="68">
        <v>5000</v>
      </c>
      <c r="AR8" s="71">
        <f t="shared" si="13"/>
        <v>0</v>
      </c>
      <c r="AS8" s="68">
        <v>20000</v>
      </c>
      <c r="AT8" s="68">
        <v>20000</v>
      </c>
      <c r="AU8" s="71">
        <f t="shared" si="14"/>
        <v>0</v>
      </c>
      <c r="AV8" s="68">
        <v>20000</v>
      </c>
      <c r="AW8" s="68">
        <v>20000</v>
      </c>
      <c r="AX8" s="71">
        <f t="shared" si="15"/>
        <v>0</v>
      </c>
      <c r="AY8" s="68">
        <f>308+765</f>
        <v>1073</v>
      </c>
      <c r="AZ8" s="68">
        <v>1073</v>
      </c>
      <c r="BA8" s="71">
        <f t="shared" si="16"/>
        <v>0</v>
      </c>
      <c r="BB8" s="68">
        <v>984</v>
      </c>
      <c r="BC8" s="68">
        <v>984</v>
      </c>
      <c r="BD8" s="71">
        <f t="shared" si="17"/>
        <v>0</v>
      </c>
      <c r="BE8" s="68">
        <v>5000</v>
      </c>
      <c r="BF8" s="68">
        <v>5000</v>
      </c>
      <c r="BG8" s="71">
        <f t="shared" si="18"/>
        <v>0</v>
      </c>
      <c r="BH8" s="68"/>
      <c r="BI8" s="68"/>
      <c r="BJ8" s="71">
        <f t="shared" si="19"/>
        <v>0</v>
      </c>
      <c r="BK8" s="68"/>
      <c r="BL8" s="68"/>
      <c r="BM8" s="71">
        <f t="shared" si="20"/>
        <v>0</v>
      </c>
      <c r="BN8" s="68"/>
      <c r="BO8" s="68"/>
      <c r="BP8" s="71">
        <f t="shared" si="21"/>
        <v>0</v>
      </c>
      <c r="BQ8" s="68"/>
      <c r="BR8" s="68"/>
      <c r="BS8" s="71">
        <f t="shared" si="22"/>
        <v>0</v>
      </c>
      <c r="BT8" s="68"/>
      <c r="BU8" s="68"/>
      <c r="BV8" s="71">
        <f t="shared" si="23"/>
        <v>0</v>
      </c>
      <c r="BW8" s="68"/>
      <c r="BX8" s="68"/>
      <c r="BY8" s="71">
        <f t="shared" si="24"/>
        <v>0</v>
      </c>
      <c r="BZ8" s="68"/>
      <c r="CA8" s="68"/>
      <c r="CB8" s="71">
        <f t="shared" si="25"/>
        <v>0</v>
      </c>
      <c r="CC8" s="68"/>
      <c r="CD8" s="68"/>
      <c r="CE8" s="71">
        <f t="shared" si="26"/>
        <v>0</v>
      </c>
      <c r="CF8" s="68"/>
      <c r="CG8" s="68"/>
      <c r="CH8" s="71">
        <f t="shared" si="27"/>
        <v>0</v>
      </c>
      <c r="CI8" s="68"/>
      <c r="CJ8" s="68"/>
      <c r="CK8" s="71">
        <f t="shared" si="28"/>
        <v>0</v>
      </c>
      <c r="CL8" s="68"/>
      <c r="CM8" s="68"/>
      <c r="CN8" s="71">
        <f t="shared" si="29"/>
        <v>0</v>
      </c>
      <c r="CO8" s="68"/>
      <c r="CP8" s="68"/>
      <c r="CQ8" s="71">
        <f t="shared" si="30"/>
        <v>0</v>
      </c>
      <c r="CR8" s="68"/>
      <c r="CS8" s="68"/>
      <c r="CT8" s="71">
        <f t="shared" si="31"/>
        <v>0</v>
      </c>
      <c r="CU8" s="68"/>
      <c r="CV8" s="68"/>
      <c r="CW8" s="71">
        <f t="shared" si="32"/>
        <v>0</v>
      </c>
      <c r="CX8" s="68"/>
      <c r="CY8" s="68"/>
      <c r="CZ8" s="71">
        <f t="shared" si="33"/>
        <v>0</v>
      </c>
      <c r="DA8" s="68"/>
      <c r="DB8" s="68"/>
      <c r="DC8" s="71">
        <f t="shared" si="34"/>
        <v>0</v>
      </c>
      <c r="DD8" s="68"/>
      <c r="DE8" s="68"/>
      <c r="DF8" s="71">
        <f t="shared" si="35"/>
        <v>0</v>
      </c>
      <c r="DG8" s="68"/>
      <c r="DH8" s="68"/>
      <c r="DI8" s="71">
        <f t="shared" si="36"/>
        <v>0</v>
      </c>
      <c r="DJ8" s="68"/>
      <c r="DK8" s="68"/>
      <c r="DL8" s="71">
        <f t="shared" si="37"/>
        <v>0</v>
      </c>
      <c r="DM8" s="68"/>
      <c r="DN8" s="68"/>
      <c r="DO8" s="71">
        <f t="shared" si="38"/>
        <v>0</v>
      </c>
      <c r="DP8" s="68"/>
      <c r="DQ8" s="68"/>
      <c r="DR8" s="71">
        <f t="shared" si="39"/>
        <v>0</v>
      </c>
      <c r="DS8" s="71">
        <f t="shared" si="40"/>
        <v>172885</v>
      </c>
      <c r="DT8" s="71">
        <f t="shared" si="41"/>
        <v>172883</v>
      </c>
      <c r="DU8" s="71">
        <f t="shared" si="42"/>
        <v>-2</v>
      </c>
      <c r="DV8" s="80"/>
      <c r="DW8" s="73"/>
      <c r="DX8" s="73"/>
      <c r="DY8" s="80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</row>
    <row r="9" spans="1:178" x14ac:dyDescent="0.25">
      <c r="A9" s="67">
        <f t="shared" si="43"/>
        <v>36681</v>
      </c>
      <c r="B9" s="67" t="s">
        <v>50</v>
      </c>
      <c r="C9" s="68">
        <v>4178</v>
      </c>
      <c r="D9" s="68">
        <v>4178</v>
      </c>
      <c r="E9" s="71">
        <f t="shared" si="0"/>
        <v>0</v>
      </c>
      <c r="F9" s="68">
        <v>5000</v>
      </c>
      <c r="G9" s="68">
        <v>5000</v>
      </c>
      <c r="H9" s="71">
        <f t="shared" si="1"/>
        <v>0</v>
      </c>
      <c r="I9" s="68">
        <v>4666</v>
      </c>
      <c r="J9" s="68">
        <v>4666</v>
      </c>
      <c r="K9" s="71">
        <f t="shared" si="2"/>
        <v>0</v>
      </c>
      <c r="L9" s="68">
        <v>16000</v>
      </c>
      <c r="M9" s="68">
        <f>1000+14989</f>
        <v>15989</v>
      </c>
      <c r="N9" s="71">
        <f t="shared" si="3"/>
        <v>-11</v>
      </c>
      <c r="O9" s="68">
        <v>10000</v>
      </c>
      <c r="P9" s="68">
        <v>10000</v>
      </c>
      <c r="Q9" s="71">
        <f t="shared" si="4"/>
        <v>0</v>
      </c>
      <c r="R9" s="68">
        <v>20000</v>
      </c>
      <c r="S9" s="68">
        <v>20000</v>
      </c>
      <c r="T9" s="71">
        <f t="shared" si="5"/>
        <v>0</v>
      </c>
      <c r="U9" s="68">
        <v>10000</v>
      </c>
      <c r="V9" s="68">
        <v>10000</v>
      </c>
      <c r="W9" s="71">
        <f t="shared" si="6"/>
        <v>0</v>
      </c>
      <c r="X9" s="68">
        <v>5000</v>
      </c>
      <c r="Y9" s="68">
        <v>5000</v>
      </c>
      <c r="Z9" s="71">
        <f t="shared" si="7"/>
        <v>0</v>
      </c>
      <c r="AA9" s="68">
        <v>5000</v>
      </c>
      <c r="AB9" s="68">
        <v>5000</v>
      </c>
      <c r="AC9" s="71">
        <f t="shared" si="8"/>
        <v>0</v>
      </c>
      <c r="AD9" s="68">
        <f>10000+1635</f>
        <v>11635</v>
      </c>
      <c r="AE9" s="68">
        <f>10000+1635</f>
        <v>11635</v>
      </c>
      <c r="AF9" s="71">
        <f t="shared" si="9"/>
        <v>0</v>
      </c>
      <c r="AG9" s="68">
        <v>10000</v>
      </c>
      <c r="AH9" s="68">
        <v>10000</v>
      </c>
      <c r="AI9" s="71">
        <f t="shared" si="10"/>
        <v>0</v>
      </c>
      <c r="AJ9" s="68">
        <v>10000</v>
      </c>
      <c r="AK9" s="68">
        <v>10000</v>
      </c>
      <c r="AL9" s="71">
        <f t="shared" si="11"/>
        <v>0</v>
      </c>
      <c r="AM9" s="68">
        <v>10000</v>
      </c>
      <c r="AN9" s="68">
        <v>10000</v>
      </c>
      <c r="AO9" s="71">
        <f t="shared" si="12"/>
        <v>0</v>
      </c>
      <c r="AP9" s="68">
        <v>5000</v>
      </c>
      <c r="AQ9" s="68">
        <v>5000</v>
      </c>
      <c r="AR9" s="71">
        <f t="shared" si="13"/>
        <v>0</v>
      </c>
      <c r="AS9" s="68">
        <v>20000</v>
      </c>
      <c r="AT9" s="68">
        <v>20000</v>
      </c>
      <c r="AU9" s="71">
        <f t="shared" si="14"/>
        <v>0</v>
      </c>
      <c r="AV9" s="68">
        <v>20000</v>
      </c>
      <c r="AW9" s="68">
        <v>20000</v>
      </c>
      <c r="AX9" s="71">
        <f t="shared" si="15"/>
        <v>0</v>
      </c>
      <c r="AY9" s="68">
        <f>513+1288</f>
        <v>1801</v>
      </c>
      <c r="AZ9" s="68">
        <v>1801</v>
      </c>
      <c r="BA9" s="71">
        <f t="shared" si="16"/>
        <v>0</v>
      </c>
      <c r="BB9" s="68">
        <v>1635</v>
      </c>
      <c r="BC9" s="68">
        <v>1635</v>
      </c>
      <c r="BD9" s="71">
        <f t="shared" si="17"/>
        <v>0</v>
      </c>
      <c r="BE9" s="68">
        <v>5000</v>
      </c>
      <c r="BF9" s="68">
        <v>5000</v>
      </c>
      <c r="BG9" s="71">
        <f t="shared" si="18"/>
        <v>0</v>
      </c>
      <c r="BH9" s="68"/>
      <c r="BI9" s="68"/>
      <c r="BJ9" s="71">
        <f t="shared" si="19"/>
        <v>0</v>
      </c>
      <c r="BK9" s="68"/>
      <c r="BL9" s="68"/>
      <c r="BM9" s="71">
        <f t="shared" si="20"/>
        <v>0</v>
      </c>
      <c r="BN9" s="68"/>
      <c r="BO9" s="68"/>
      <c r="BP9" s="71">
        <f t="shared" si="21"/>
        <v>0</v>
      </c>
      <c r="BQ9" s="68"/>
      <c r="BR9" s="68"/>
      <c r="BS9" s="71">
        <f t="shared" si="22"/>
        <v>0</v>
      </c>
      <c r="BT9" s="68"/>
      <c r="BU9" s="68"/>
      <c r="BV9" s="71">
        <f t="shared" si="23"/>
        <v>0</v>
      </c>
      <c r="BW9" s="68"/>
      <c r="BX9" s="68"/>
      <c r="BY9" s="71">
        <f t="shared" si="24"/>
        <v>0</v>
      </c>
      <c r="BZ9" s="68"/>
      <c r="CA9" s="68"/>
      <c r="CB9" s="71">
        <f t="shared" si="25"/>
        <v>0</v>
      </c>
      <c r="CC9" s="68"/>
      <c r="CD9" s="68"/>
      <c r="CE9" s="71">
        <f t="shared" si="26"/>
        <v>0</v>
      </c>
      <c r="CF9" s="68"/>
      <c r="CG9" s="68"/>
      <c r="CH9" s="71">
        <f t="shared" si="27"/>
        <v>0</v>
      </c>
      <c r="CI9" s="68"/>
      <c r="CJ9" s="68"/>
      <c r="CK9" s="71">
        <f t="shared" si="28"/>
        <v>0</v>
      </c>
      <c r="CL9" s="68"/>
      <c r="CM9" s="68"/>
      <c r="CN9" s="71">
        <f t="shared" si="29"/>
        <v>0</v>
      </c>
      <c r="CO9" s="68"/>
      <c r="CP9" s="68"/>
      <c r="CQ9" s="71">
        <f t="shared" si="30"/>
        <v>0</v>
      </c>
      <c r="CR9" s="68"/>
      <c r="CS9" s="68"/>
      <c r="CT9" s="71">
        <f t="shared" si="31"/>
        <v>0</v>
      </c>
      <c r="CU9" s="68"/>
      <c r="CV9" s="68"/>
      <c r="CW9" s="71">
        <f t="shared" si="32"/>
        <v>0</v>
      </c>
      <c r="CX9" s="68"/>
      <c r="CY9" s="68"/>
      <c r="CZ9" s="71">
        <f t="shared" si="33"/>
        <v>0</v>
      </c>
      <c r="DA9" s="68"/>
      <c r="DB9" s="68"/>
      <c r="DC9" s="71">
        <f t="shared" si="34"/>
        <v>0</v>
      </c>
      <c r="DD9" s="68"/>
      <c r="DE9" s="68"/>
      <c r="DF9" s="71">
        <f t="shared" si="35"/>
        <v>0</v>
      </c>
      <c r="DG9" s="68"/>
      <c r="DH9" s="68"/>
      <c r="DI9" s="71">
        <f t="shared" si="36"/>
        <v>0</v>
      </c>
      <c r="DJ9" s="68"/>
      <c r="DK9" s="68"/>
      <c r="DL9" s="71">
        <f t="shared" si="37"/>
        <v>0</v>
      </c>
      <c r="DM9" s="68"/>
      <c r="DN9" s="68"/>
      <c r="DO9" s="71">
        <f t="shared" si="38"/>
        <v>0</v>
      </c>
      <c r="DP9" s="68"/>
      <c r="DQ9" s="68"/>
      <c r="DR9" s="71">
        <f t="shared" si="39"/>
        <v>0</v>
      </c>
      <c r="DS9" s="71">
        <f t="shared" si="40"/>
        <v>174915</v>
      </c>
      <c r="DT9" s="71">
        <f t="shared" si="41"/>
        <v>174904</v>
      </c>
      <c r="DU9" s="71">
        <f t="shared" si="42"/>
        <v>-11</v>
      </c>
      <c r="DV9" s="80"/>
      <c r="DW9" s="73"/>
      <c r="DX9" s="73"/>
      <c r="DY9" s="80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</row>
    <row r="10" spans="1:178" x14ac:dyDescent="0.25">
      <c r="A10" s="67">
        <f t="shared" si="43"/>
        <v>36682</v>
      </c>
      <c r="B10" s="67" t="s">
        <v>51</v>
      </c>
      <c r="C10" s="68">
        <v>4178</v>
      </c>
      <c r="D10" s="68">
        <v>4178</v>
      </c>
      <c r="E10" s="71">
        <f t="shared" si="0"/>
        <v>0</v>
      </c>
      <c r="F10" s="68">
        <v>5000</v>
      </c>
      <c r="G10" s="68">
        <v>5000</v>
      </c>
      <c r="H10" s="71">
        <f t="shared" si="1"/>
        <v>0</v>
      </c>
      <c r="I10" s="68">
        <v>4666</v>
      </c>
      <c r="J10" s="68">
        <v>4666</v>
      </c>
      <c r="K10" s="71">
        <f t="shared" si="2"/>
        <v>0</v>
      </c>
      <c r="L10" s="68">
        <v>16000</v>
      </c>
      <c r="M10" s="68">
        <f>15000+1000</f>
        <v>16000</v>
      </c>
      <c r="N10" s="71">
        <f t="shared" si="3"/>
        <v>0</v>
      </c>
      <c r="O10" s="68">
        <v>10000</v>
      </c>
      <c r="P10" s="68">
        <v>10000</v>
      </c>
      <c r="Q10" s="71">
        <f t="shared" si="4"/>
        <v>0</v>
      </c>
      <c r="R10" s="68">
        <v>20000</v>
      </c>
      <c r="S10" s="68">
        <v>20000</v>
      </c>
      <c r="T10" s="71">
        <f t="shared" si="5"/>
        <v>0</v>
      </c>
      <c r="U10" s="68">
        <v>10000</v>
      </c>
      <c r="V10" s="68">
        <v>10000</v>
      </c>
      <c r="W10" s="71">
        <f t="shared" si="6"/>
        <v>0</v>
      </c>
      <c r="X10" s="68">
        <v>5000</v>
      </c>
      <c r="Y10" s="68">
        <v>5000</v>
      </c>
      <c r="Z10" s="71">
        <f t="shared" si="7"/>
        <v>0</v>
      </c>
      <c r="AA10" s="68">
        <v>5000</v>
      </c>
      <c r="AB10" s="68">
        <v>5000</v>
      </c>
      <c r="AC10" s="71">
        <f t="shared" si="8"/>
        <v>0</v>
      </c>
      <c r="AD10" s="68">
        <f>10000+4318</f>
        <v>14318</v>
      </c>
      <c r="AE10" s="68">
        <v>14318</v>
      </c>
      <c r="AF10" s="71">
        <f t="shared" si="9"/>
        <v>0</v>
      </c>
      <c r="AG10" s="68">
        <v>10000</v>
      </c>
      <c r="AH10" s="68">
        <v>10000</v>
      </c>
      <c r="AI10" s="71">
        <f t="shared" si="10"/>
        <v>0</v>
      </c>
      <c r="AJ10" s="68">
        <v>10000</v>
      </c>
      <c r="AK10" s="68">
        <v>10000</v>
      </c>
      <c r="AL10" s="71">
        <f t="shared" si="11"/>
        <v>0</v>
      </c>
      <c r="AM10" s="68">
        <v>10000</v>
      </c>
      <c r="AN10" s="68">
        <v>10000</v>
      </c>
      <c r="AO10" s="71">
        <f t="shared" si="12"/>
        <v>0</v>
      </c>
      <c r="AP10" s="68">
        <v>5000</v>
      </c>
      <c r="AQ10" s="68">
        <v>5000</v>
      </c>
      <c r="AR10" s="71">
        <f t="shared" si="13"/>
        <v>0</v>
      </c>
      <c r="AS10" s="68">
        <v>20000</v>
      </c>
      <c r="AT10" s="68">
        <v>20000</v>
      </c>
      <c r="AU10" s="71">
        <f t="shared" si="14"/>
        <v>0</v>
      </c>
      <c r="AV10" s="68">
        <v>20000</v>
      </c>
      <c r="AW10" s="68">
        <v>20000</v>
      </c>
      <c r="AX10" s="71">
        <f t="shared" si="15"/>
        <v>0</v>
      </c>
      <c r="AY10" s="68">
        <f>2655+1166</f>
        <v>3821</v>
      </c>
      <c r="AZ10" s="68">
        <v>3821</v>
      </c>
      <c r="BA10" s="71">
        <f t="shared" si="16"/>
        <v>0</v>
      </c>
      <c r="BB10" s="68">
        <v>4318</v>
      </c>
      <c r="BC10" s="68">
        <v>4318</v>
      </c>
      <c r="BD10" s="71">
        <f t="shared" si="17"/>
        <v>0</v>
      </c>
      <c r="BE10" s="68">
        <v>5000</v>
      </c>
      <c r="BF10" s="68">
        <v>5000</v>
      </c>
      <c r="BG10" s="71">
        <f t="shared" si="18"/>
        <v>0</v>
      </c>
      <c r="BH10" s="68"/>
      <c r="BI10" s="68"/>
      <c r="BJ10" s="71">
        <f t="shared" si="19"/>
        <v>0</v>
      </c>
      <c r="BK10" s="68"/>
      <c r="BL10" s="68"/>
      <c r="BM10" s="71">
        <f t="shared" si="20"/>
        <v>0</v>
      </c>
      <c r="BN10" s="68"/>
      <c r="BO10" s="68"/>
      <c r="BP10" s="71">
        <f t="shared" si="21"/>
        <v>0</v>
      </c>
      <c r="BQ10" s="68"/>
      <c r="BR10" s="68"/>
      <c r="BS10" s="71">
        <f t="shared" si="22"/>
        <v>0</v>
      </c>
      <c r="BT10" s="68"/>
      <c r="BU10" s="68"/>
      <c r="BV10" s="71">
        <f t="shared" si="23"/>
        <v>0</v>
      </c>
      <c r="BW10" s="68"/>
      <c r="BX10" s="68"/>
      <c r="BY10" s="71">
        <f t="shared" si="24"/>
        <v>0</v>
      </c>
      <c r="BZ10" s="68"/>
      <c r="CA10" s="68"/>
      <c r="CB10" s="71">
        <f t="shared" si="25"/>
        <v>0</v>
      </c>
      <c r="CC10" s="68"/>
      <c r="CD10" s="68"/>
      <c r="CE10" s="71">
        <f t="shared" si="26"/>
        <v>0</v>
      </c>
      <c r="CF10" s="68"/>
      <c r="CG10" s="68"/>
      <c r="CH10" s="71">
        <f t="shared" si="27"/>
        <v>0</v>
      </c>
      <c r="CI10" s="68"/>
      <c r="CJ10" s="68"/>
      <c r="CK10" s="71">
        <f t="shared" si="28"/>
        <v>0</v>
      </c>
      <c r="CL10" s="68"/>
      <c r="CM10" s="68"/>
      <c r="CN10" s="71">
        <f t="shared" si="29"/>
        <v>0</v>
      </c>
      <c r="CO10" s="68"/>
      <c r="CP10" s="68"/>
      <c r="CQ10" s="71">
        <f t="shared" si="30"/>
        <v>0</v>
      </c>
      <c r="CR10" s="68"/>
      <c r="CS10" s="68"/>
      <c r="CT10" s="71">
        <f t="shared" si="31"/>
        <v>0</v>
      </c>
      <c r="CU10" s="68"/>
      <c r="CV10" s="68"/>
      <c r="CW10" s="71">
        <f t="shared" si="32"/>
        <v>0</v>
      </c>
      <c r="CX10" s="68"/>
      <c r="CY10" s="68"/>
      <c r="CZ10" s="71">
        <f t="shared" si="33"/>
        <v>0</v>
      </c>
      <c r="DA10" s="68"/>
      <c r="DB10" s="68"/>
      <c r="DC10" s="71">
        <f t="shared" si="34"/>
        <v>0</v>
      </c>
      <c r="DD10" s="68"/>
      <c r="DE10" s="68"/>
      <c r="DF10" s="71">
        <f t="shared" si="35"/>
        <v>0</v>
      </c>
      <c r="DG10" s="68"/>
      <c r="DH10" s="68"/>
      <c r="DI10" s="71">
        <f t="shared" si="36"/>
        <v>0</v>
      </c>
      <c r="DJ10" s="68"/>
      <c r="DK10" s="68"/>
      <c r="DL10" s="71">
        <f t="shared" si="37"/>
        <v>0</v>
      </c>
      <c r="DM10" s="68"/>
      <c r="DN10" s="68"/>
      <c r="DO10" s="71">
        <f t="shared" si="38"/>
        <v>0</v>
      </c>
      <c r="DP10" s="68"/>
      <c r="DQ10" s="68"/>
      <c r="DR10" s="71">
        <f t="shared" si="39"/>
        <v>0</v>
      </c>
      <c r="DS10" s="71">
        <f t="shared" si="40"/>
        <v>182301</v>
      </c>
      <c r="DT10" s="71">
        <f t="shared" si="41"/>
        <v>182301</v>
      </c>
      <c r="DU10" s="71">
        <f t="shared" si="42"/>
        <v>0</v>
      </c>
      <c r="DV10" s="80"/>
      <c r="DW10" s="73"/>
      <c r="DX10" s="73"/>
      <c r="DY10" s="80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</row>
    <row r="11" spans="1:178" x14ac:dyDescent="0.25">
      <c r="A11" s="67">
        <f t="shared" si="43"/>
        <v>36683</v>
      </c>
      <c r="B11" s="67" t="s">
        <v>52</v>
      </c>
      <c r="C11" s="68">
        <v>4178</v>
      </c>
      <c r="D11" s="68">
        <v>4178</v>
      </c>
      <c r="E11" s="71">
        <f t="shared" si="0"/>
        <v>0</v>
      </c>
      <c r="F11" s="68">
        <v>5000</v>
      </c>
      <c r="G11" s="68">
        <v>5000</v>
      </c>
      <c r="H11" s="71">
        <f t="shared" si="1"/>
        <v>0</v>
      </c>
      <c r="I11" s="68">
        <v>4666</v>
      </c>
      <c r="J11" s="68">
        <v>4666</v>
      </c>
      <c r="K11" s="71">
        <f t="shared" si="2"/>
        <v>0</v>
      </c>
      <c r="L11" s="68">
        <v>16000</v>
      </c>
      <c r="M11" s="68">
        <f>1000+14752</f>
        <v>15752</v>
      </c>
      <c r="N11" s="71">
        <f t="shared" si="3"/>
        <v>-248</v>
      </c>
      <c r="O11" s="68">
        <v>10000</v>
      </c>
      <c r="P11" s="68">
        <v>10000</v>
      </c>
      <c r="Q11" s="71">
        <f t="shared" si="4"/>
        <v>0</v>
      </c>
      <c r="R11" s="68">
        <v>20000</v>
      </c>
      <c r="S11" s="68">
        <v>20000</v>
      </c>
      <c r="T11" s="71">
        <f t="shared" si="5"/>
        <v>0</v>
      </c>
      <c r="U11" s="68">
        <v>10000</v>
      </c>
      <c r="V11" s="68">
        <v>10000</v>
      </c>
      <c r="W11" s="71">
        <f t="shared" si="6"/>
        <v>0</v>
      </c>
      <c r="X11" s="68">
        <v>5000</v>
      </c>
      <c r="Y11" s="68">
        <v>5000</v>
      </c>
      <c r="Z11" s="71">
        <f t="shared" si="7"/>
        <v>0</v>
      </c>
      <c r="AA11" s="68">
        <v>5000</v>
      </c>
      <c r="AB11" s="68">
        <v>5000</v>
      </c>
      <c r="AC11" s="71">
        <f t="shared" si="8"/>
        <v>0</v>
      </c>
      <c r="AD11" s="68">
        <f>10000+4327</f>
        <v>14327</v>
      </c>
      <c r="AE11" s="68">
        <f>10000+4327</f>
        <v>14327</v>
      </c>
      <c r="AF11" s="71">
        <f t="shared" si="9"/>
        <v>0</v>
      </c>
      <c r="AG11" s="68">
        <v>10000</v>
      </c>
      <c r="AH11" s="68">
        <v>10000</v>
      </c>
      <c r="AI11" s="71">
        <f t="shared" si="10"/>
        <v>0</v>
      </c>
      <c r="AJ11" s="68">
        <v>10000</v>
      </c>
      <c r="AK11" s="68">
        <v>10000</v>
      </c>
      <c r="AL11" s="71">
        <f t="shared" si="11"/>
        <v>0</v>
      </c>
      <c r="AM11" s="68">
        <v>10000</v>
      </c>
      <c r="AN11" s="68">
        <v>10000</v>
      </c>
      <c r="AO11" s="71">
        <f t="shared" si="12"/>
        <v>0</v>
      </c>
      <c r="AP11" s="68">
        <v>5000</v>
      </c>
      <c r="AQ11" s="68">
        <v>5000</v>
      </c>
      <c r="AR11" s="71">
        <f t="shared" si="13"/>
        <v>0</v>
      </c>
      <c r="AS11" s="68">
        <v>20000</v>
      </c>
      <c r="AT11" s="68">
        <v>20000</v>
      </c>
      <c r="AU11" s="71">
        <f t="shared" si="14"/>
        <v>0</v>
      </c>
      <c r="AV11" s="68">
        <v>20000</v>
      </c>
      <c r="AW11" s="68">
        <v>20000</v>
      </c>
      <c r="AX11" s="71">
        <f t="shared" si="15"/>
        <v>0</v>
      </c>
      <c r="AY11" s="68">
        <v>6000</v>
      </c>
      <c r="AZ11" s="68">
        <v>6000</v>
      </c>
      <c r="BA11" s="71">
        <f t="shared" si="16"/>
        <v>0</v>
      </c>
      <c r="BB11" s="68">
        <v>4327</v>
      </c>
      <c r="BC11" s="68">
        <v>4327</v>
      </c>
      <c r="BD11" s="71">
        <f t="shared" si="17"/>
        <v>0</v>
      </c>
      <c r="BE11" s="68">
        <v>5000</v>
      </c>
      <c r="BF11" s="68">
        <v>5000</v>
      </c>
      <c r="BG11" s="71">
        <f t="shared" si="18"/>
        <v>0</v>
      </c>
      <c r="BH11" s="68"/>
      <c r="BI11" s="68"/>
      <c r="BJ11" s="71">
        <f t="shared" si="19"/>
        <v>0</v>
      </c>
      <c r="BK11" s="68"/>
      <c r="BL11" s="68"/>
      <c r="BM11" s="71">
        <f t="shared" si="20"/>
        <v>0</v>
      </c>
      <c r="BN11" s="68"/>
      <c r="BO11" s="68"/>
      <c r="BP11" s="71">
        <f t="shared" si="21"/>
        <v>0</v>
      </c>
      <c r="BQ11" s="68"/>
      <c r="BR11" s="68"/>
      <c r="BS11" s="71">
        <f t="shared" si="22"/>
        <v>0</v>
      </c>
      <c r="BT11" s="68"/>
      <c r="BU11" s="68"/>
      <c r="BV11" s="71">
        <f t="shared" si="23"/>
        <v>0</v>
      </c>
      <c r="BW11" s="68"/>
      <c r="BX11" s="68"/>
      <c r="BY11" s="71">
        <f t="shared" si="24"/>
        <v>0</v>
      </c>
      <c r="BZ11" s="68"/>
      <c r="CA11" s="68"/>
      <c r="CB11" s="71">
        <f t="shared" si="25"/>
        <v>0</v>
      </c>
      <c r="CC11" s="68"/>
      <c r="CD11" s="68"/>
      <c r="CE11" s="71">
        <f t="shared" si="26"/>
        <v>0</v>
      </c>
      <c r="CF11" s="68"/>
      <c r="CG11" s="68"/>
      <c r="CH11" s="71">
        <f t="shared" si="27"/>
        <v>0</v>
      </c>
      <c r="CI11" s="68"/>
      <c r="CJ11" s="68"/>
      <c r="CK11" s="71">
        <f t="shared" si="28"/>
        <v>0</v>
      </c>
      <c r="CL11" s="68"/>
      <c r="CM11" s="68"/>
      <c r="CN11" s="71">
        <f t="shared" si="29"/>
        <v>0</v>
      </c>
      <c r="CO11" s="68"/>
      <c r="CP11" s="68"/>
      <c r="CQ11" s="71">
        <f t="shared" si="30"/>
        <v>0</v>
      </c>
      <c r="CR11" s="68"/>
      <c r="CS11" s="68"/>
      <c r="CT11" s="71">
        <f t="shared" si="31"/>
        <v>0</v>
      </c>
      <c r="CU11" s="68"/>
      <c r="CV11" s="68"/>
      <c r="CW11" s="71">
        <f t="shared" si="32"/>
        <v>0</v>
      </c>
      <c r="CX11" s="68"/>
      <c r="CY11" s="68"/>
      <c r="CZ11" s="71">
        <f t="shared" si="33"/>
        <v>0</v>
      </c>
      <c r="DA11" s="68"/>
      <c r="DB11" s="68"/>
      <c r="DC11" s="71">
        <f t="shared" si="34"/>
        <v>0</v>
      </c>
      <c r="DD11" s="68"/>
      <c r="DE11" s="68"/>
      <c r="DF11" s="71">
        <f t="shared" si="35"/>
        <v>0</v>
      </c>
      <c r="DG11" s="68"/>
      <c r="DH11" s="68"/>
      <c r="DI11" s="71">
        <f t="shared" si="36"/>
        <v>0</v>
      </c>
      <c r="DJ11" s="68"/>
      <c r="DK11" s="68"/>
      <c r="DL11" s="71">
        <f t="shared" si="37"/>
        <v>0</v>
      </c>
      <c r="DM11" s="68"/>
      <c r="DN11" s="68"/>
      <c r="DO11" s="71">
        <f t="shared" si="38"/>
        <v>0</v>
      </c>
      <c r="DP11" s="68"/>
      <c r="DQ11" s="68"/>
      <c r="DR11" s="71">
        <f t="shared" si="39"/>
        <v>0</v>
      </c>
      <c r="DS11" s="71">
        <f t="shared" si="40"/>
        <v>184498</v>
      </c>
      <c r="DT11" s="71">
        <f t="shared" si="41"/>
        <v>184250</v>
      </c>
      <c r="DU11" s="71">
        <f t="shared" si="42"/>
        <v>-248</v>
      </c>
      <c r="DV11" s="80"/>
      <c r="DW11" s="73"/>
      <c r="DX11" s="73"/>
      <c r="DY11" s="80"/>
      <c r="DZ11" s="73"/>
      <c r="EA11" s="73"/>
      <c r="EB11" s="73"/>
      <c r="EC11" s="73"/>
      <c r="ED11" s="73"/>
      <c r="EE11" s="73"/>
      <c r="EF11" s="73"/>
      <c r="EG11" s="73"/>
      <c r="EH11" s="73"/>
      <c r="EI11" s="73"/>
      <c r="EJ11" s="73"/>
      <c r="EK11" s="73"/>
    </row>
    <row r="12" spans="1:178" x14ac:dyDescent="0.25">
      <c r="A12" s="67">
        <f t="shared" si="43"/>
        <v>36684</v>
      </c>
      <c r="B12" s="67" t="s">
        <v>46</v>
      </c>
      <c r="C12" s="68">
        <v>4178</v>
      </c>
      <c r="D12" s="68">
        <v>4178</v>
      </c>
      <c r="E12" s="71">
        <f t="shared" si="0"/>
        <v>0</v>
      </c>
      <c r="F12" s="68">
        <v>5000</v>
      </c>
      <c r="G12" s="68">
        <v>5000</v>
      </c>
      <c r="H12" s="71">
        <f t="shared" si="1"/>
        <v>0</v>
      </c>
      <c r="I12" s="68">
        <v>4666</v>
      </c>
      <c r="J12" s="68">
        <v>4666</v>
      </c>
      <c r="K12" s="71">
        <f t="shared" si="2"/>
        <v>0</v>
      </c>
      <c r="L12" s="68">
        <v>16000</v>
      </c>
      <c r="M12" s="68">
        <f>1000+11213</f>
        <v>12213</v>
      </c>
      <c r="N12" s="71">
        <f t="shared" si="3"/>
        <v>-3787</v>
      </c>
      <c r="O12" s="68">
        <v>10000</v>
      </c>
      <c r="P12" s="68">
        <v>10000</v>
      </c>
      <c r="Q12" s="71">
        <f t="shared" si="4"/>
        <v>0</v>
      </c>
      <c r="R12" s="68">
        <v>20000</v>
      </c>
      <c r="S12" s="68">
        <v>20000</v>
      </c>
      <c r="T12" s="71">
        <f t="shared" si="5"/>
        <v>0</v>
      </c>
      <c r="U12" s="68">
        <v>10000</v>
      </c>
      <c r="V12" s="68">
        <v>10000</v>
      </c>
      <c r="W12" s="71">
        <f t="shared" si="6"/>
        <v>0</v>
      </c>
      <c r="X12" s="68">
        <v>5000</v>
      </c>
      <c r="Y12" s="68">
        <v>5000</v>
      </c>
      <c r="Z12" s="71">
        <f t="shared" si="7"/>
        <v>0</v>
      </c>
      <c r="AA12" s="68">
        <v>5000</v>
      </c>
      <c r="AB12" s="68">
        <v>5000</v>
      </c>
      <c r="AC12" s="71">
        <f t="shared" si="8"/>
        <v>0</v>
      </c>
      <c r="AD12" s="68">
        <f t="shared" ref="AD12:AE35" si="44">10000+5000</f>
        <v>15000</v>
      </c>
      <c r="AE12" s="68">
        <f t="shared" si="44"/>
        <v>15000</v>
      </c>
      <c r="AF12" s="71">
        <f t="shared" si="9"/>
        <v>0</v>
      </c>
      <c r="AG12" s="68">
        <v>10000</v>
      </c>
      <c r="AH12" s="68">
        <v>10000</v>
      </c>
      <c r="AI12" s="71">
        <f t="shared" si="10"/>
        <v>0</v>
      </c>
      <c r="AJ12" s="68">
        <v>10000</v>
      </c>
      <c r="AK12" s="68">
        <v>10000</v>
      </c>
      <c r="AL12" s="71">
        <f t="shared" si="11"/>
        <v>0</v>
      </c>
      <c r="AM12" s="68">
        <v>10000</v>
      </c>
      <c r="AN12" s="68">
        <v>10000</v>
      </c>
      <c r="AO12" s="71">
        <f t="shared" si="12"/>
        <v>0</v>
      </c>
      <c r="AP12" s="68">
        <v>5000</v>
      </c>
      <c r="AQ12" s="68">
        <v>5000</v>
      </c>
      <c r="AR12" s="71">
        <f t="shared" si="13"/>
        <v>0</v>
      </c>
      <c r="AS12" s="68">
        <v>20000</v>
      </c>
      <c r="AT12" s="68">
        <v>20000</v>
      </c>
      <c r="AU12" s="71">
        <f t="shared" si="14"/>
        <v>0</v>
      </c>
      <c r="AV12" s="68">
        <v>20000</v>
      </c>
      <c r="AW12" s="68">
        <v>20000</v>
      </c>
      <c r="AX12" s="71">
        <f t="shared" si="15"/>
        <v>0</v>
      </c>
      <c r="AY12" s="68">
        <v>6000</v>
      </c>
      <c r="AZ12" s="68">
        <v>6000</v>
      </c>
      <c r="BA12" s="71">
        <f t="shared" si="16"/>
        <v>0</v>
      </c>
      <c r="BB12" s="68">
        <v>5000</v>
      </c>
      <c r="BC12" s="68">
        <v>5000</v>
      </c>
      <c r="BD12" s="71">
        <f t="shared" si="17"/>
        <v>0</v>
      </c>
      <c r="BE12" s="68">
        <v>5000</v>
      </c>
      <c r="BF12" s="68">
        <v>5000</v>
      </c>
      <c r="BG12" s="71">
        <f t="shared" si="18"/>
        <v>0</v>
      </c>
      <c r="BH12" s="68"/>
      <c r="BI12" s="68"/>
      <c r="BJ12" s="71">
        <f t="shared" si="19"/>
        <v>0</v>
      </c>
      <c r="BK12" s="68"/>
      <c r="BL12" s="68"/>
      <c r="BM12" s="71">
        <f t="shared" si="20"/>
        <v>0</v>
      </c>
      <c r="BN12" s="68"/>
      <c r="BO12" s="68"/>
      <c r="BP12" s="71">
        <f t="shared" si="21"/>
        <v>0</v>
      </c>
      <c r="BQ12" s="68"/>
      <c r="BR12" s="68"/>
      <c r="BS12" s="71">
        <f t="shared" si="22"/>
        <v>0</v>
      </c>
      <c r="BT12" s="68"/>
      <c r="BU12" s="68"/>
      <c r="BV12" s="71">
        <f t="shared" si="23"/>
        <v>0</v>
      </c>
      <c r="BW12" s="68"/>
      <c r="BX12" s="68"/>
      <c r="BY12" s="71">
        <f t="shared" si="24"/>
        <v>0</v>
      </c>
      <c r="BZ12" s="68"/>
      <c r="CA12" s="68"/>
      <c r="CB12" s="71">
        <f t="shared" si="25"/>
        <v>0</v>
      </c>
      <c r="CC12" s="68"/>
      <c r="CD12" s="68"/>
      <c r="CE12" s="71">
        <f t="shared" si="26"/>
        <v>0</v>
      </c>
      <c r="CF12" s="68"/>
      <c r="CG12" s="68"/>
      <c r="CH12" s="71">
        <f t="shared" si="27"/>
        <v>0</v>
      </c>
      <c r="CI12" s="68"/>
      <c r="CJ12" s="68"/>
      <c r="CK12" s="71">
        <f t="shared" si="28"/>
        <v>0</v>
      </c>
      <c r="CL12" s="68"/>
      <c r="CM12" s="68"/>
      <c r="CN12" s="71">
        <f t="shared" si="29"/>
        <v>0</v>
      </c>
      <c r="CO12" s="68"/>
      <c r="CP12" s="68"/>
      <c r="CQ12" s="71">
        <f t="shared" si="30"/>
        <v>0</v>
      </c>
      <c r="CR12" s="68"/>
      <c r="CS12" s="68"/>
      <c r="CT12" s="71">
        <f t="shared" si="31"/>
        <v>0</v>
      </c>
      <c r="CU12" s="68"/>
      <c r="CV12" s="68"/>
      <c r="CW12" s="71">
        <f t="shared" si="32"/>
        <v>0</v>
      </c>
      <c r="CX12" s="68"/>
      <c r="CY12" s="68"/>
      <c r="CZ12" s="71">
        <f t="shared" si="33"/>
        <v>0</v>
      </c>
      <c r="DA12" s="68"/>
      <c r="DB12" s="68"/>
      <c r="DC12" s="71">
        <f t="shared" si="34"/>
        <v>0</v>
      </c>
      <c r="DD12" s="68"/>
      <c r="DE12" s="68"/>
      <c r="DF12" s="71">
        <f t="shared" si="35"/>
        <v>0</v>
      </c>
      <c r="DG12" s="68"/>
      <c r="DH12" s="68"/>
      <c r="DI12" s="71">
        <f t="shared" si="36"/>
        <v>0</v>
      </c>
      <c r="DJ12" s="68"/>
      <c r="DK12" s="68"/>
      <c r="DL12" s="71">
        <f t="shared" si="37"/>
        <v>0</v>
      </c>
      <c r="DM12" s="68"/>
      <c r="DN12" s="68"/>
      <c r="DO12" s="71">
        <f t="shared" si="38"/>
        <v>0</v>
      </c>
      <c r="DP12" s="68"/>
      <c r="DQ12" s="68"/>
      <c r="DR12" s="71">
        <f t="shared" si="39"/>
        <v>0</v>
      </c>
      <c r="DS12" s="71">
        <f t="shared" si="40"/>
        <v>185844</v>
      </c>
      <c r="DT12" s="71">
        <f t="shared" si="41"/>
        <v>182057</v>
      </c>
      <c r="DU12" s="71">
        <f t="shared" si="42"/>
        <v>-3787</v>
      </c>
      <c r="DV12" s="80"/>
      <c r="DW12" s="73"/>
      <c r="DX12" s="73"/>
      <c r="DY12" s="80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</row>
    <row r="13" spans="1:178" x14ac:dyDescent="0.25">
      <c r="A13" s="67">
        <f t="shared" si="43"/>
        <v>36685</v>
      </c>
      <c r="B13" s="67" t="s">
        <v>47</v>
      </c>
      <c r="C13" s="68">
        <v>4178</v>
      </c>
      <c r="D13" s="68">
        <v>4178</v>
      </c>
      <c r="E13" s="71">
        <f t="shared" si="0"/>
        <v>0</v>
      </c>
      <c r="F13" s="68">
        <v>5000</v>
      </c>
      <c r="G13" s="68">
        <v>5000</v>
      </c>
      <c r="H13" s="71">
        <f t="shared" si="1"/>
        <v>0</v>
      </c>
      <c r="I13" s="68">
        <v>4666</v>
      </c>
      <c r="J13" s="68">
        <v>4666</v>
      </c>
      <c r="K13" s="71">
        <f t="shared" si="2"/>
        <v>0</v>
      </c>
      <c r="L13" s="68">
        <v>16000</v>
      </c>
      <c r="M13" s="68">
        <f>1000+14639</f>
        <v>15639</v>
      </c>
      <c r="N13" s="71">
        <f t="shared" si="3"/>
        <v>-361</v>
      </c>
      <c r="O13" s="68">
        <v>10000</v>
      </c>
      <c r="P13" s="68">
        <v>10000</v>
      </c>
      <c r="Q13" s="71">
        <f t="shared" si="4"/>
        <v>0</v>
      </c>
      <c r="R13" s="68">
        <v>20000</v>
      </c>
      <c r="S13" s="68">
        <v>20000</v>
      </c>
      <c r="T13" s="71">
        <f t="shared" si="5"/>
        <v>0</v>
      </c>
      <c r="U13" s="68">
        <v>10000</v>
      </c>
      <c r="V13" s="68">
        <v>10000</v>
      </c>
      <c r="W13" s="71">
        <f t="shared" si="6"/>
        <v>0</v>
      </c>
      <c r="X13" s="68">
        <v>5000</v>
      </c>
      <c r="Y13" s="68">
        <v>5000</v>
      </c>
      <c r="Z13" s="71">
        <f t="shared" si="7"/>
        <v>0</v>
      </c>
      <c r="AA13" s="68">
        <v>5000</v>
      </c>
      <c r="AB13" s="68">
        <v>5000</v>
      </c>
      <c r="AC13" s="71">
        <f t="shared" si="8"/>
        <v>0</v>
      </c>
      <c r="AD13" s="68">
        <f>10000+3629</f>
        <v>13629</v>
      </c>
      <c r="AE13" s="68">
        <f>10000+3629</f>
        <v>13629</v>
      </c>
      <c r="AF13" s="71">
        <f t="shared" si="9"/>
        <v>0</v>
      </c>
      <c r="AG13" s="68">
        <v>10000</v>
      </c>
      <c r="AH13" s="68">
        <v>10000</v>
      </c>
      <c r="AI13" s="71">
        <f t="shared" si="10"/>
        <v>0</v>
      </c>
      <c r="AJ13" s="68">
        <v>10000</v>
      </c>
      <c r="AK13" s="68">
        <v>10000</v>
      </c>
      <c r="AL13" s="71">
        <f t="shared" si="11"/>
        <v>0</v>
      </c>
      <c r="AM13" s="68">
        <v>10000</v>
      </c>
      <c r="AN13" s="68">
        <v>10000</v>
      </c>
      <c r="AO13" s="71">
        <f t="shared" si="12"/>
        <v>0</v>
      </c>
      <c r="AP13" s="68">
        <v>5000</v>
      </c>
      <c r="AQ13" s="68">
        <v>5000</v>
      </c>
      <c r="AR13" s="71">
        <f t="shared" si="13"/>
        <v>0</v>
      </c>
      <c r="AS13" s="68">
        <v>20000</v>
      </c>
      <c r="AT13" s="68">
        <v>20000</v>
      </c>
      <c r="AU13" s="71">
        <f t="shared" si="14"/>
        <v>0</v>
      </c>
      <c r="AV13" s="68">
        <v>20000</v>
      </c>
      <c r="AW13" s="68">
        <v>20000</v>
      </c>
      <c r="AX13" s="71">
        <f t="shared" si="15"/>
        <v>0</v>
      </c>
      <c r="AY13" s="68">
        <v>5537</v>
      </c>
      <c r="AZ13" s="68">
        <f>6000-1000+537</f>
        <v>5537</v>
      </c>
      <c r="BA13" s="71">
        <f t="shared" si="16"/>
        <v>0</v>
      </c>
      <c r="BB13" s="68">
        <v>3629</v>
      </c>
      <c r="BC13" s="68">
        <v>3629</v>
      </c>
      <c r="BD13" s="71">
        <f t="shared" si="17"/>
        <v>0</v>
      </c>
      <c r="BE13" s="68">
        <v>5000</v>
      </c>
      <c r="BF13" s="68">
        <v>5000</v>
      </c>
      <c r="BG13" s="71">
        <f t="shared" si="18"/>
        <v>0</v>
      </c>
      <c r="BH13" s="68"/>
      <c r="BI13" s="68"/>
      <c r="BJ13" s="71">
        <f t="shared" si="19"/>
        <v>0</v>
      </c>
      <c r="BK13" s="68"/>
      <c r="BL13" s="68"/>
      <c r="BM13" s="71">
        <f t="shared" si="20"/>
        <v>0</v>
      </c>
      <c r="BN13" s="68"/>
      <c r="BO13" s="68"/>
      <c r="BP13" s="71">
        <f t="shared" si="21"/>
        <v>0</v>
      </c>
      <c r="BQ13" s="68"/>
      <c r="BR13" s="68"/>
      <c r="BS13" s="71">
        <f t="shared" si="22"/>
        <v>0</v>
      </c>
      <c r="BT13" s="68"/>
      <c r="BU13" s="68"/>
      <c r="BV13" s="71">
        <f t="shared" si="23"/>
        <v>0</v>
      </c>
      <c r="BW13" s="68"/>
      <c r="BX13" s="68"/>
      <c r="BY13" s="71">
        <f t="shared" si="24"/>
        <v>0</v>
      </c>
      <c r="BZ13" s="68"/>
      <c r="CA13" s="68"/>
      <c r="CB13" s="71">
        <f t="shared" si="25"/>
        <v>0</v>
      </c>
      <c r="CC13" s="68"/>
      <c r="CD13" s="68"/>
      <c r="CE13" s="71">
        <f t="shared" si="26"/>
        <v>0</v>
      </c>
      <c r="CF13" s="68"/>
      <c r="CG13" s="68"/>
      <c r="CH13" s="71">
        <f t="shared" si="27"/>
        <v>0</v>
      </c>
      <c r="CI13" s="68"/>
      <c r="CJ13" s="68"/>
      <c r="CK13" s="71">
        <f t="shared" si="28"/>
        <v>0</v>
      </c>
      <c r="CL13" s="68"/>
      <c r="CM13" s="68"/>
      <c r="CN13" s="71">
        <f t="shared" si="29"/>
        <v>0</v>
      </c>
      <c r="CO13" s="68"/>
      <c r="CP13" s="68"/>
      <c r="CQ13" s="71">
        <f t="shared" si="30"/>
        <v>0</v>
      </c>
      <c r="CR13" s="68"/>
      <c r="CS13" s="68"/>
      <c r="CT13" s="71">
        <f t="shared" si="31"/>
        <v>0</v>
      </c>
      <c r="CU13" s="68"/>
      <c r="CV13" s="68"/>
      <c r="CW13" s="71">
        <f t="shared" si="32"/>
        <v>0</v>
      </c>
      <c r="CX13" s="68"/>
      <c r="CY13" s="68"/>
      <c r="CZ13" s="71">
        <f t="shared" si="33"/>
        <v>0</v>
      </c>
      <c r="DA13" s="68"/>
      <c r="DB13" s="68"/>
      <c r="DC13" s="71">
        <f t="shared" si="34"/>
        <v>0</v>
      </c>
      <c r="DD13" s="68"/>
      <c r="DE13" s="68"/>
      <c r="DF13" s="71">
        <f t="shared" si="35"/>
        <v>0</v>
      </c>
      <c r="DG13" s="68"/>
      <c r="DH13" s="68"/>
      <c r="DI13" s="71">
        <f t="shared" si="36"/>
        <v>0</v>
      </c>
      <c r="DJ13" s="68"/>
      <c r="DK13" s="68"/>
      <c r="DL13" s="71">
        <f t="shared" si="37"/>
        <v>0</v>
      </c>
      <c r="DM13" s="68"/>
      <c r="DN13" s="68"/>
      <c r="DO13" s="71">
        <f t="shared" si="38"/>
        <v>0</v>
      </c>
      <c r="DP13" s="68"/>
      <c r="DQ13" s="68"/>
      <c r="DR13" s="71">
        <f t="shared" si="39"/>
        <v>0</v>
      </c>
      <c r="DS13" s="71">
        <f t="shared" si="40"/>
        <v>182639</v>
      </c>
      <c r="DT13" s="71">
        <f t="shared" si="41"/>
        <v>182278</v>
      </c>
      <c r="DU13" s="71">
        <f t="shared" si="42"/>
        <v>-361</v>
      </c>
      <c r="DV13" s="80"/>
      <c r="DW13" s="73"/>
      <c r="DX13" s="73"/>
      <c r="DY13" s="80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</row>
    <row r="14" spans="1:178" x14ac:dyDescent="0.25">
      <c r="A14" s="67">
        <f t="shared" si="43"/>
        <v>36686</v>
      </c>
      <c r="B14" s="67" t="s">
        <v>48</v>
      </c>
      <c r="C14" s="68">
        <v>4178</v>
      </c>
      <c r="D14" s="68">
        <v>4178</v>
      </c>
      <c r="E14" s="71">
        <f t="shared" si="0"/>
        <v>0</v>
      </c>
      <c r="F14" s="68">
        <v>5000</v>
      </c>
      <c r="G14" s="68">
        <v>5000</v>
      </c>
      <c r="H14" s="71">
        <f t="shared" si="1"/>
        <v>0</v>
      </c>
      <c r="I14" s="68">
        <v>4666</v>
      </c>
      <c r="J14" s="68">
        <v>4666</v>
      </c>
      <c r="K14" s="71">
        <f t="shared" si="2"/>
        <v>0</v>
      </c>
      <c r="L14" s="68">
        <v>16000</v>
      </c>
      <c r="M14" s="68">
        <f>1000+14995</f>
        <v>15995</v>
      </c>
      <c r="N14" s="71">
        <f t="shared" si="3"/>
        <v>-5</v>
      </c>
      <c r="O14" s="68">
        <v>10000</v>
      </c>
      <c r="P14" s="68">
        <v>10000</v>
      </c>
      <c r="Q14" s="71">
        <f t="shared" si="4"/>
        <v>0</v>
      </c>
      <c r="R14" s="68">
        <v>20000</v>
      </c>
      <c r="S14" s="68">
        <v>20000</v>
      </c>
      <c r="T14" s="71">
        <f t="shared" si="5"/>
        <v>0</v>
      </c>
      <c r="U14" s="68">
        <v>10000</v>
      </c>
      <c r="V14" s="68">
        <v>10000</v>
      </c>
      <c r="W14" s="71">
        <f t="shared" si="6"/>
        <v>0</v>
      </c>
      <c r="X14" s="68">
        <v>5000</v>
      </c>
      <c r="Y14" s="68">
        <v>5000</v>
      </c>
      <c r="Z14" s="71">
        <f t="shared" si="7"/>
        <v>0</v>
      </c>
      <c r="AA14" s="68">
        <v>5000</v>
      </c>
      <c r="AB14" s="68">
        <v>5000</v>
      </c>
      <c r="AC14" s="71">
        <f t="shared" si="8"/>
        <v>0</v>
      </c>
      <c r="AD14" s="68">
        <f>10000+3649</f>
        <v>13649</v>
      </c>
      <c r="AE14" s="68">
        <f>10000+3649</f>
        <v>13649</v>
      </c>
      <c r="AF14" s="71">
        <f t="shared" si="9"/>
        <v>0</v>
      </c>
      <c r="AG14" s="68">
        <v>10000</v>
      </c>
      <c r="AH14" s="68">
        <v>10000</v>
      </c>
      <c r="AI14" s="71">
        <f t="shared" si="10"/>
        <v>0</v>
      </c>
      <c r="AJ14" s="68">
        <v>10000</v>
      </c>
      <c r="AK14" s="68">
        <v>10000</v>
      </c>
      <c r="AL14" s="71">
        <f t="shared" si="11"/>
        <v>0</v>
      </c>
      <c r="AM14" s="68">
        <v>10000</v>
      </c>
      <c r="AN14" s="68">
        <v>10000</v>
      </c>
      <c r="AO14" s="71">
        <f t="shared" si="12"/>
        <v>0</v>
      </c>
      <c r="AP14" s="68">
        <v>5000</v>
      </c>
      <c r="AQ14" s="68">
        <v>5000</v>
      </c>
      <c r="AR14" s="71">
        <f t="shared" si="13"/>
        <v>0</v>
      </c>
      <c r="AS14" s="68">
        <v>20000</v>
      </c>
      <c r="AT14" s="68">
        <v>20000</v>
      </c>
      <c r="AU14" s="71">
        <f t="shared" si="14"/>
        <v>0</v>
      </c>
      <c r="AV14" s="68">
        <v>20000</v>
      </c>
      <c r="AW14" s="68">
        <v>20000</v>
      </c>
      <c r="AX14" s="71">
        <f t="shared" si="15"/>
        <v>0</v>
      </c>
      <c r="AY14" s="68">
        <v>2584</v>
      </c>
      <c r="AZ14" s="68">
        <v>2584</v>
      </c>
      <c r="BA14" s="71">
        <f t="shared" si="16"/>
        <v>0</v>
      </c>
      <c r="BB14" s="68">
        <v>3649</v>
      </c>
      <c r="BC14" s="68">
        <v>3649</v>
      </c>
      <c r="BD14" s="71">
        <f t="shared" si="17"/>
        <v>0</v>
      </c>
      <c r="BE14" s="68">
        <v>5000</v>
      </c>
      <c r="BF14" s="68">
        <v>5000</v>
      </c>
      <c r="BG14" s="71">
        <f t="shared" si="18"/>
        <v>0</v>
      </c>
      <c r="BH14" s="68"/>
      <c r="BI14" s="68"/>
      <c r="BJ14" s="71">
        <f t="shared" si="19"/>
        <v>0</v>
      </c>
      <c r="BK14" s="68"/>
      <c r="BL14" s="68"/>
      <c r="BM14" s="71">
        <f t="shared" si="20"/>
        <v>0</v>
      </c>
      <c r="BN14" s="68"/>
      <c r="BO14" s="68"/>
      <c r="BP14" s="71">
        <f t="shared" si="21"/>
        <v>0</v>
      </c>
      <c r="BQ14" s="68"/>
      <c r="BR14" s="68"/>
      <c r="BS14" s="71">
        <f t="shared" si="22"/>
        <v>0</v>
      </c>
      <c r="BT14" s="68"/>
      <c r="BU14" s="68"/>
      <c r="BV14" s="71">
        <f t="shared" si="23"/>
        <v>0</v>
      </c>
      <c r="BW14" s="68"/>
      <c r="BX14" s="68"/>
      <c r="BY14" s="71">
        <f t="shared" si="24"/>
        <v>0</v>
      </c>
      <c r="BZ14" s="68"/>
      <c r="CA14" s="68"/>
      <c r="CB14" s="71">
        <f t="shared" si="25"/>
        <v>0</v>
      </c>
      <c r="CC14" s="68"/>
      <c r="CD14" s="68"/>
      <c r="CE14" s="71">
        <f t="shared" si="26"/>
        <v>0</v>
      </c>
      <c r="CF14" s="68"/>
      <c r="CG14" s="68"/>
      <c r="CH14" s="71">
        <f t="shared" si="27"/>
        <v>0</v>
      </c>
      <c r="CI14" s="68"/>
      <c r="CJ14" s="68"/>
      <c r="CK14" s="71">
        <f t="shared" si="28"/>
        <v>0</v>
      </c>
      <c r="CL14" s="68"/>
      <c r="CM14" s="68"/>
      <c r="CN14" s="71">
        <f t="shared" si="29"/>
        <v>0</v>
      </c>
      <c r="CO14" s="68"/>
      <c r="CP14" s="68"/>
      <c r="CQ14" s="71">
        <f t="shared" si="30"/>
        <v>0</v>
      </c>
      <c r="CR14" s="68"/>
      <c r="CS14" s="68"/>
      <c r="CT14" s="71">
        <f t="shared" si="31"/>
        <v>0</v>
      </c>
      <c r="CU14" s="68"/>
      <c r="CV14" s="68"/>
      <c r="CW14" s="71">
        <f t="shared" si="32"/>
        <v>0</v>
      </c>
      <c r="CX14" s="68"/>
      <c r="CY14" s="68"/>
      <c r="CZ14" s="71">
        <f t="shared" si="33"/>
        <v>0</v>
      </c>
      <c r="DA14" s="68"/>
      <c r="DB14" s="68"/>
      <c r="DC14" s="71">
        <f t="shared" si="34"/>
        <v>0</v>
      </c>
      <c r="DD14" s="68"/>
      <c r="DE14" s="68"/>
      <c r="DF14" s="71">
        <f t="shared" si="35"/>
        <v>0</v>
      </c>
      <c r="DG14" s="68"/>
      <c r="DH14" s="68"/>
      <c r="DI14" s="71">
        <f t="shared" si="36"/>
        <v>0</v>
      </c>
      <c r="DJ14" s="68"/>
      <c r="DK14" s="68"/>
      <c r="DL14" s="71">
        <f t="shared" si="37"/>
        <v>0</v>
      </c>
      <c r="DM14" s="68"/>
      <c r="DN14" s="68"/>
      <c r="DO14" s="71">
        <f t="shared" si="38"/>
        <v>0</v>
      </c>
      <c r="DP14" s="68"/>
      <c r="DQ14" s="68"/>
      <c r="DR14" s="71">
        <f t="shared" si="39"/>
        <v>0</v>
      </c>
      <c r="DS14" s="71">
        <f t="shared" si="40"/>
        <v>179726</v>
      </c>
      <c r="DT14" s="71">
        <f t="shared" si="41"/>
        <v>179721</v>
      </c>
      <c r="DU14" s="71">
        <f t="shared" si="42"/>
        <v>-5</v>
      </c>
      <c r="DV14" s="80"/>
      <c r="DW14" s="73"/>
      <c r="DX14" s="73"/>
      <c r="DY14" s="80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</row>
    <row r="15" spans="1:178" x14ac:dyDescent="0.25">
      <c r="A15" s="67">
        <f t="shared" si="43"/>
        <v>36687</v>
      </c>
      <c r="B15" s="67" t="s">
        <v>49</v>
      </c>
      <c r="C15" s="68">
        <v>4178</v>
      </c>
      <c r="D15" s="68">
        <v>4178</v>
      </c>
      <c r="E15" s="71">
        <f t="shared" si="0"/>
        <v>0</v>
      </c>
      <c r="F15" s="68">
        <v>5000</v>
      </c>
      <c r="G15" s="68">
        <v>5000</v>
      </c>
      <c r="H15" s="71">
        <f t="shared" si="1"/>
        <v>0</v>
      </c>
      <c r="I15" s="68">
        <v>4666</v>
      </c>
      <c r="J15" s="68">
        <v>4666</v>
      </c>
      <c r="K15" s="71">
        <f t="shared" si="2"/>
        <v>0</v>
      </c>
      <c r="L15" s="68">
        <v>16000</v>
      </c>
      <c r="M15" s="68">
        <f>1000+14999</f>
        <v>15999</v>
      </c>
      <c r="N15" s="71">
        <f t="shared" si="3"/>
        <v>-1</v>
      </c>
      <c r="O15" s="68">
        <v>10000</v>
      </c>
      <c r="P15" s="68">
        <v>10000</v>
      </c>
      <c r="Q15" s="71">
        <f t="shared" si="4"/>
        <v>0</v>
      </c>
      <c r="R15" s="68">
        <v>20000</v>
      </c>
      <c r="S15" s="68">
        <v>20000</v>
      </c>
      <c r="T15" s="71">
        <f t="shared" si="5"/>
        <v>0</v>
      </c>
      <c r="U15" s="68">
        <v>10000</v>
      </c>
      <c r="V15" s="68">
        <v>10000</v>
      </c>
      <c r="W15" s="71">
        <f t="shared" si="6"/>
        <v>0</v>
      </c>
      <c r="X15" s="68">
        <v>5000</v>
      </c>
      <c r="Y15" s="68">
        <v>5000</v>
      </c>
      <c r="Z15" s="71">
        <f t="shared" si="7"/>
        <v>0</v>
      </c>
      <c r="AA15" s="68">
        <v>5000</v>
      </c>
      <c r="AB15" s="68">
        <v>5000</v>
      </c>
      <c r="AC15" s="71">
        <f t="shared" si="8"/>
        <v>0</v>
      </c>
      <c r="AD15" s="68">
        <f t="shared" si="44"/>
        <v>15000</v>
      </c>
      <c r="AE15" s="68">
        <f t="shared" si="44"/>
        <v>15000</v>
      </c>
      <c r="AF15" s="71">
        <f t="shared" si="9"/>
        <v>0</v>
      </c>
      <c r="AG15" s="68">
        <v>10000</v>
      </c>
      <c r="AH15" s="68">
        <v>10000</v>
      </c>
      <c r="AI15" s="71">
        <f t="shared" si="10"/>
        <v>0</v>
      </c>
      <c r="AJ15" s="68">
        <v>10000</v>
      </c>
      <c r="AK15" s="68">
        <v>10000</v>
      </c>
      <c r="AL15" s="71">
        <f t="shared" si="11"/>
        <v>0</v>
      </c>
      <c r="AM15" s="68">
        <v>10000</v>
      </c>
      <c r="AN15" s="68">
        <v>10000</v>
      </c>
      <c r="AO15" s="71">
        <f t="shared" si="12"/>
        <v>0</v>
      </c>
      <c r="AP15" s="68">
        <v>5000</v>
      </c>
      <c r="AQ15" s="68">
        <v>5000</v>
      </c>
      <c r="AR15" s="71">
        <f t="shared" si="13"/>
        <v>0</v>
      </c>
      <c r="AS15" s="68">
        <v>20000</v>
      </c>
      <c r="AT15" s="68">
        <v>20000</v>
      </c>
      <c r="AU15" s="71">
        <f t="shared" si="14"/>
        <v>0</v>
      </c>
      <c r="AV15" s="68">
        <v>20000</v>
      </c>
      <c r="AW15" s="68">
        <v>20000</v>
      </c>
      <c r="AX15" s="71">
        <f t="shared" si="15"/>
        <v>0</v>
      </c>
      <c r="AY15" s="68">
        <v>6000</v>
      </c>
      <c r="AZ15" s="68">
        <v>6000</v>
      </c>
      <c r="BA15" s="71">
        <f t="shared" si="16"/>
        <v>0</v>
      </c>
      <c r="BB15" s="68">
        <v>5000</v>
      </c>
      <c r="BC15" s="68">
        <v>5000</v>
      </c>
      <c r="BD15" s="71">
        <f t="shared" si="17"/>
        <v>0</v>
      </c>
      <c r="BE15" s="68">
        <v>5000</v>
      </c>
      <c r="BF15" s="68">
        <v>5000</v>
      </c>
      <c r="BG15" s="71">
        <f t="shared" si="18"/>
        <v>0</v>
      </c>
      <c r="BH15" s="68"/>
      <c r="BI15" s="68"/>
      <c r="BJ15" s="71">
        <f t="shared" si="19"/>
        <v>0</v>
      </c>
      <c r="BK15" s="68"/>
      <c r="BL15" s="68"/>
      <c r="BM15" s="71">
        <f t="shared" si="20"/>
        <v>0</v>
      </c>
      <c r="BN15" s="68"/>
      <c r="BO15" s="68"/>
      <c r="BP15" s="71">
        <f t="shared" si="21"/>
        <v>0</v>
      </c>
      <c r="BQ15" s="68"/>
      <c r="BR15" s="68"/>
      <c r="BS15" s="71">
        <f t="shared" si="22"/>
        <v>0</v>
      </c>
      <c r="BT15" s="68"/>
      <c r="BU15" s="68"/>
      <c r="BV15" s="71">
        <f t="shared" si="23"/>
        <v>0</v>
      </c>
      <c r="BW15" s="68"/>
      <c r="BX15" s="68"/>
      <c r="BY15" s="71">
        <f t="shared" si="24"/>
        <v>0</v>
      </c>
      <c r="BZ15" s="68"/>
      <c r="CA15" s="68"/>
      <c r="CB15" s="71">
        <f t="shared" si="25"/>
        <v>0</v>
      </c>
      <c r="CC15" s="68"/>
      <c r="CD15" s="68"/>
      <c r="CE15" s="71">
        <f t="shared" si="26"/>
        <v>0</v>
      </c>
      <c r="CF15" s="68"/>
      <c r="CG15" s="68"/>
      <c r="CH15" s="71">
        <f t="shared" si="27"/>
        <v>0</v>
      </c>
      <c r="CI15" s="68"/>
      <c r="CJ15" s="68"/>
      <c r="CK15" s="71">
        <f t="shared" si="28"/>
        <v>0</v>
      </c>
      <c r="CL15" s="68"/>
      <c r="CM15" s="68"/>
      <c r="CN15" s="71">
        <f t="shared" si="29"/>
        <v>0</v>
      </c>
      <c r="CO15" s="68"/>
      <c r="CP15" s="68"/>
      <c r="CQ15" s="71">
        <f t="shared" si="30"/>
        <v>0</v>
      </c>
      <c r="CR15" s="68"/>
      <c r="CS15" s="68"/>
      <c r="CT15" s="71">
        <f t="shared" si="31"/>
        <v>0</v>
      </c>
      <c r="CU15" s="68"/>
      <c r="CV15" s="68"/>
      <c r="CW15" s="71">
        <f t="shared" si="32"/>
        <v>0</v>
      </c>
      <c r="CX15" s="68"/>
      <c r="CY15" s="68"/>
      <c r="CZ15" s="71">
        <f t="shared" si="33"/>
        <v>0</v>
      </c>
      <c r="DA15" s="68"/>
      <c r="DB15" s="68"/>
      <c r="DC15" s="71">
        <f t="shared" si="34"/>
        <v>0</v>
      </c>
      <c r="DD15" s="68"/>
      <c r="DE15" s="68"/>
      <c r="DF15" s="71">
        <f t="shared" si="35"/>
        <v>0</v>
      </c>
      <c r="DG15" s="68"/>
      <c r="DH15" s="68"/>
      <c r="DI15" s="71">
        <f t="shared" si="36"/>
        <v>0</v>
      </c>
      <c r="DJ15" s="68"/>
      <c r="DK15" s="68"/>
      <c r="DL15" s="71">
        <f t="shared" si="37"/>
        <v>0</v>
      </c>
      <c r="DM15" s="68"/>
      <c r="DN15" s="68"/>
      <c r="DO15" s="71">
        <f t="shared" si="38"/>
        <v>0</v>
      </c>
      <c r="DP15" s="68"/>
      <c r="DQ15" s="68"/>
      <c r="DR15" s="71">
        <f t="shared" si="39"/>
        <v>0</v>
      </c>
      <c r="DS15" s="71">
        <f t="shared" si="40"/>
        <v>185844</v>
      </c>
      <c r="DT15" s="71">
        <f t="shared" si="41"/>
        <v>185843</v>
      </c>
      <c r="DU15" s="71">
        <f t="shared" si="42"/>
        <v>-1</v>
      </c>
      <c r="DV15" s="80"/>
      <c r="DW15" s="73"/>
      <c r="DX15" s="73"/>
      <c r="DY15" s="80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</row>
    <row r="16" spans="1:178" x14ac:dyDescent="0.25">
      <c r="A16" s="67">
        <f t="shared" si="43"/>
        <v>36688</v>
      </c>
      <c r="B16" s="67" t="s">
        <v>50</v>
      </c>
      <c r="C16" s="68">
        <v>4178</v>
      </c>
      <c r="D16" s="68">
        <v>4178</v>
      </c>
      <c r="E16" s="71">
        <f t="shared" si="0"/>
        <v>0</v>
      </c>
      <c r="F16" s="68">
        <v>5000</v>
      </c>
      <c r="G16" s="68">
        <v>5000</v>
      </c>
      <c r="H16" s="71">
        <f t="shared" si="1"/>
        <v>0</v>
      </c>
      <c r="I16" s="68">
        <v>4666</v>
      </c>
      <c r="J16" s="68">
        <v>4666</v>
      </c>
      <c r="K16" s="71">
        <f t="shared" si="2"/>
        <v>0</v>
      </c>
      <c r="L16" s="68">
        <v>16000</v>
      </c>
      <c r="M16" s="68">
        <f>1000+14578</f>
        <v>15578</v>
      </c>
      <c r="N16" s="71">
        <f t="shared" si="3"/>
        <v>-422</v>
      </c>
      <c r="O16" s="68">
        <v>10000</v>
      </c>
      <c r="P16" s="68">
        <v>10000</v>
      </c>
      <c r="Q16" s="71">
        <f t="shared" si="4"/>
        <v>0</v>
      </c>
      <c r="R16" s="68">
        <v>20000</v>
      </c>
      <c r="S16" s="68">
        <v>20000</v>
      </c>
      <c r="T16" s="71">
        <f t="shared" si="5"/>
        <v>0</v>
      </c>
      <c r="U16" s="68">
        <v>10000</v>
      </c>
      <c r="V16" s="68">
        <v>10000</v>
      </c>
      <c r="W16" s="71">
        <f t="shared" si="6"/>
        <v>0</v>
      </c>
      <c r="X16" s="68">
        <v>5000</v>
      </c>
      <c r="Y16" s="68">
        <v>5000</v>
      </c>
      <c r="Z16" s="71">
        <f t="shared" si="7"/>
        <v>0</v>
      </c>
      <c r="AA16" s="68">
        <v>5000</v>
      </c>
      <c r="AB16" s="68">
        <v>5000</v>
      </c>
      <c r="AC16" s="71">
        <f t="shared" si="8"/>
        <v>0</v>
      </c>
      <c r="AD16" s="68">
        <f t="shared" si="44"/>
        <v>15000</v>
      </c>
      <c r="AE16" s="68">
        <f t="shared" si="44"/>
        <v>15000</v>
      </c>
      <c r="AF16" s="71">
        <f t="shared" si="9"/>
        <v>0</v>
      </c>
      <c r="AG16" s="68">
        <v>10000</v>
      </c>
      <c r="AH16" s="68">
        <v>10000</v>
      </c>
      <c r="AI16" s="71">
        <f t="shared" si="10"/>
        <v>0</v>
      </c>
      <c r="AJ16" s="68">
        <v>10000</v>
      </c>
      <c r="AK16" s="68">
        <v>10000</v>
      </c>
      <c r="AL16" s="71">
        <f t="shared" si="11"/>
        <v>0</v>
      </c>
      <c r="AM16" s="68">
        <v>10000</v>
      </c>
      <c r="AN16" s="68">
        <v>10000</v>
      </c>
      <c r="AO16" s="71">
        <f t="shared" si="12"/>
        <v>0</v>
      </c>
      <c r="AP16" s="68">
        <v>5000</v>
      </c>
      <c r="AQ16" s="68">
        <v>5000</v>
      </c>
      <c r="AR16" s="71">
        <f t="shared" si="13"/>
        <v>0</v>
      </c>
      <c r="AS16" s="68">
        <v>20000</v>
      </c>
      <c r="AT16" s="68">
        <v>20000</v>
      </c>
      <c r="AU16" s="71">
        <f t="shared" si="14"/>
        <v>0</v>
      </c>
      <c r="AV16" s="68">
        <v>20000</v>
      </c>
      <c r="AW16" s="68">
        <v>20000</v>
      </c>
      <c r="AX16" s="71">
        <f t="shared" si="15"/>
        <v>0</v>
      </c>
      <c r="AY16" s="68">
        <v>6000</v>
      </c>
      <c r="AZ16" s="68">
        <v>6000</v>
      </c>
      <c r="BA16" s="71">
        <f t="shared" si="16"/>
        <v>0</v>
      </c>
      <c r="BB16" s="68">
        <v>5000</v>
      </c>
      <c r="BC16" s="68">
        <v>5000</v>
      </c>
      <c r="BD16" s="71">
        <f t="shared" si="17"/>
        <v>0</v>
      </c>
      <c r="BE16" s="68">
        <v>5000</v>
      </c>
      <c r="BF16" s="68">
        <v>5000</v>
      </c>
      <c r="BG16" s="71">
        <f t="shared" si="18"/>
        <v>0</v>
      </c>
      <c r="BH16" s="68"/>
      <c r="BI16" s="68"/>
      <c r="BJ16" s="71">
        <f t="shared" si="19"/>
        <v>0</v>
      </c>
      <c r="BK16" s="68"/>
      <c r="BL16" s="68"/>
      <c r="BM16" s="71">
        <f t="shared" si="20"/>
        <v>0</v>
      </c>
      <c r="BN16" s="68"/>
      <c r="BO16" s="68"/>
      <c r="BP16" s="71">
        <f t="shared" si="21"/>
        <v>0</v>
      </c>
      <c r="BQ16" s="68"/>
      <c r="BR16" s="68"/>
      <c r="BS16" s="71">
        <f t="shared" si="22"/>
        <v>0</v>
      </c>
      <c r="BT16" s="68"/>
      <c r="BU16" s="68"/>
      <c r="BV16" s="71">
        <f t="shared" si="23"/>
        <v>0</v>
      </c>
      <c r="BW16" s="68"/>
      <c r="BX16" s="68"/>
      <c r="BY16" s="71">
        <f t="shared" si="24"/>
        <v>0</v>
      </c>
      <c r="BZ16" s="68"/>
      <c r="CA16" s="68"/>
      <c r="CB16" s="71">
        <f t="shared" si="25"/>
        <v>0</v>
      </c>
      <c r="CC16" s="68"/>
      <c r="CD16" s="68"/>
      <c r="CE16" s="71">
        <f t="shared" si="26"/>
        <v>0</v>
      </c>
      <c r="CF16" s="68"/>
      <c r="CG16" s="68"/>
      <c r="CH16" s="71">
        <f t="shared" si="27"/>
        <v>0</v>
      </c>
      <c r="CI16" s="68"/>
      <c r="CJ16" s="68"/>
      <c r="CK16" s="71">
        <f t="shared" si="28"/>
        <v>0</v>
      </c>
      <c r="CL16" s="68"/>
      <c r="CM16" s="68"/>
      <c r="CN16" s="71">
        <f t="shared" si="29"/>
        <v>0</v>
      </c>
      <c r="CO16" s="68"/>
      <c r="CP16" s="68"/>
      <c r="CQ16" s="71">
        <f t="shared" si="30"/>
        <v>0</v>
      </c>
      <c r="CR16" s="68"/>
      <c r="CS16" s="68"/>
      <c r="CT16" s="71">
        <f t="shared" si="31"/>
        <v>0</v>
      </c>
      <c r="CU16" s="68"/>
      <c r="CV16" s="68"/>
      <c r="CW16" s="71">
        <f t="shared" si="32"/>
        <v>0</v>
      </c>
      <c r="CX16" s="68"/>
      <c r="CY16" s="68"/>
      <c r="CZ16" s="71">
        <f t="shared" si="33"/>
        <v>0</v>
      </c>
      <c r="DA16" s="68"/>
      <c r="DB16" s="68"/>
      <c r="DC16" s="71">
        <f t="shared" si="34"/>
        <v>0</v>
      </c>
      <c r="DD16" s="68"/>
      <c r="DE16" s="68"/>
      <c r="DF16" s="71">
        <f t="shared" si="35"/>
        <v>0</v>
      </c>
      <c r="DG16" s="68"/>
      <c r="DH16" s="68"/>
      <c r="DI16" s="71">
        <f t="shared" si="36"/>
        <v>0</v>
      </c>
      <c r="DJ16" s="68"/>
      <c r="DK16" s="68"/>
      <c r="DL16" s="71">
        <f t="shared" si="37"/>
        <v>0</v>
      </c>
      <c r="DM16" s="68"/>
      <c r="DN16" s="68"/>
      <c r="DO16" s="71">
        <f t="shared" si="38"/>
        <v>0</v>
      </c>
      <c r="DP16" s="68"/>
      <c r="DQ16" s="68"/>
      <c r="DR16" s="71">
        <f t="shared" si="39"/>
        <v>0</v>
      </c>
      <c r="DS16" s="71">
        <f t="shared" si="40"/>
        <v>185844</v>
      </c>
      <c r="DT16" s="71">
        <f t="shared" si="41"/>
        <v>185422</v>
      </c>
      <c r="DU16" s="71">
        <f t="shared" si="42"/>
        <v>-422</v>
      </c>
      <c r="DV16" s="80"/>
      <c r="DW16" s="73"/>
      <c r="DX16" s="73"/>
      <c r="DY16" s="80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</row>
    <row r="17" spans="1:141" x14ac:dyDescent="0.25">
      <c r="A17" s="67">
        <f t="shared" si="43"/>
        <v>36689</v>
      </c>
      <c r="B17" s="67" t="s">
        <v>51</v>
      </c>
      <c r="C17" s="68">
        <v>4178</v>
      </c>
      <c r="D17" s="68">
        <v>4178</v>
      </c>
      <c r="E17" s="71">
        <f t="shared" si="0"/>
        <v>0</v>
      </c>
      <c r="F17" s="68">
        <v>5000</v>
      </c>
      <c r="G17" s="68">
        <v>5000</v>
      </c>
      <c r="H17" s="71">
        <f t="shared" si="1"/>
        <v>0</v>
      </c>
      <c r="I17" s="68">
        <v>4666</v>
      </c>
      <c r="J17" s="68">
        <v>4666</v>
      </c>
      <c r="K17" s="71">
        <f t="shared" si="2"/>
        <v>0</v>
      </c>
      <c r="L17" s="68">
        <v>16000</v>
      </c>
      <c r="M17" s="68">
        <f>1000+14646</f>
        <v>15646</v>
      </c>
      <c r="N17" s="71">
        <f t="shared" si="3"/>
        <v>-354</v>
      </c>
      <c r="O17" s="68">
        <v>10000</v>
      </c>
      <c r="P17" s="68">
        <v>10000</v>
      </c>
      <c r="Q17" s="71">
        <f t="shared" si="4"/>
        <v>0</v>
      </c>
      <c r="R17" s="68">
        <v>20000</v>
      </c>
      <c r="S17" s="68">
        <v>20000</v>
      </c>
      <c r="T17" s="71">
        <f t="shared" si="5"/>
        <v>0</v>
      </c>
      <c r="U17" s="68">
        <v>10000</v>
      </c>
      <c r="V17" s="68">
        <v>10000</v>
      </c>
      <c r="W17" s="71">
        <f t="shared" si="6"/>
        <v>0</v>
      </c>
      <c r="X17" s="68">
        <v>5000</v>
      </c>
      <c r="Y17" s="68">
        <v>5000</v>
      </c>
      <c r="Z17" s="71">
        <f t="shared" si="7"/>
        <v>0</v>
      </c>
      <c r="AA17" s="68">
        <v>5000</v>
      </c>
      <c r="AB17" s="68">
        <v>5000</v>
      </c>
      <c r="AC17" s="71">
        <f t="shared" si="8"/>
        <v>0</v>
      </c>
      <c r="AD17" s="68">
        <f t="shared" si="44"/>
        <v>15000</v>
      </c>
      <c r="AE17" s="68">
        <f t="shared" si="44"/>
        <v>15000</v>
      </c>
      <c r="AF17" s="71">
        <f t="shared" si="9"/>
        <v>0</v>
      </c>
      <c r="AG17" s="68">
        <v>10000</v>
      </c>
      <c r="AH17" s="68">
        <v>10000</v>
      </c>
      <c r="AI17" s="71">
        <f t="shared" si="10"/>
        <v>0</v>
      </c>
      <c r="AJ17" s="68">
        <v>10000</v>
      </c>
      <c r="AK17" s="68">
        <v>10000</v>
      </c>
      <c r="AL17" s="71">
        <f t="shared" si="11"/>
        <v>0</v>
      </c>
      <c r="AM17" s="68">
        <v>10000</v>
      </c>
      <c r="AN17" s="68">
        <v>10000</v>
      </c>
      <c r="AO17" s="71">
        <f t="shared" si="12"/>
        <v>0</v>
      </c>
      <c r="AP17" s="68">
        <v>5000</v>
      </c>
      <c r="AQ17" s="68">
        <v>5000</v>
      </c>
      <c r="AR17" s="71">
        <f t="shared" si="13"/>
        <v>0</v>
      </c>
      <c r="AS17" s="68">
        <v>20000</v>
      </c>
      <c r="AT17" s="68">
        <v>20000</v>
      </c>
      <c r="AU17" s="71">
        <f t="shared" si="14"/>
        <v>0</v>
      </c>
      <c r="AV17" s="68">
        <v>20000</v>
      </c>
      <c r="AW17" s="68">
        <v>20000</v>
      </c>
      <c r="AX17" s="71">
        <f t="shared" si="15"/>
        <v>0</v>
      </c>
      <c r="AY17" s="68">
        <v>6000</v>
      </c>
      <c r="AZ17" s="68">
        <v>6000</v>
      </c>
      <c r="BA17" s="71">
        <f t="shared" si="16"/>
        <v>0</v>
      </c>
      <c r="BB17" s="68">
        <v>5000</v>
      </c>
      <c r="BC17" s="68">
        <v>5000</v>
      </c>
      <c r="BD17" s="71">
        <f t="shared" si="17"/>
        <v>0</v>
      </c>
      <c r="BE17" s="68">
        <v>5000</v>
      </c>
      <c r="BF17" s="68">
        <v>5000</v>
      </c>
      <c r="BG17" s="71">
        <f t="shared" si="18"/>
        <v>0</v>
      </c>
      <c r="BH17" s="68"/>
      <c r="BI17" s="68"/>
      <c r="BJ17" s="71">
        <f t="shared" si="19"/>
        <v>0</v>
      </c>
      <c r="BK17" s="68"/>
      <c r="BL17" s="68"/>
      <c r="BM17" s="71">
        <f t="shared" si="20"/>
        <v>0</v>
      </c>
      <c r="BN17" s="68"/>
      <c r="BO17" s="68"/>
      <c r="BP17" s="71">
        <f t="shared" si="21"/>
        <v>0</v>
      </c>
      <c r="BQ17" s="68"/>
      <c r="BR17" s="68"/>
      <c r="BS17" s="71">
        <f t="shared" si="22"/>
        <v>0</v>
      </c>
      <c r="BT17" s="68"/>
      <c r="BU17" s="68"/>
      <c r="BV17" s="71">
        <f t="shared" si="23"/>
        <v>0</v>
      </c>
      <c r="BW17" s="68"/>
      <c r="BX17" s="68"/>
      <c r="BY17" s="71">
        <f t="shared" si="24"/>
        <v>0</v>
      </c>
      <c r="BZ17" s="68"/>
      <c r="CA17" s="68"/>
      <c r="CB17" s="71">
        <f t="shared" si="25"/>
        <v>0</v>
      </c>
      <c r="CC17" s="68"/>
      <c r="CD17" s="68"/>
      <c r="CE17" s="71">
        <f t="shared" si="26"/>
        <v>0</v>
      </c>
      <c r="CF17" s="68"/>
      <c r="CG17" s="68"/>
      <c r="CH17" s="71">
        <f t="shared" si="27"/>
        <v>0</v>
      </c>
      <c r="CI17" s="68"/>
      <c r="CJ17" s="68"/>
      <c r="CK17" s="71">
        <f t="shared" si="28"/>
        <v>0</v>
      </c>
      <c r="CL17" s="68"/>
      <c r="CM17" s="68"/>
      <c r="CN17" s="71">
        <f t="shared" si="29"/>
        <v>0</v>
      </c>
      <c r="CO17" s="68"/>
      <c r="CP17" s="68"/>
      <c r="CQ17" s="71">
        <f t="shared" si="30"/>
        <v>0</v>
      </c>
      <c r="CR17" s="68"/>
      <c r="CS17" s="68"/>
      <c r="CT17" s="71">
        <f t="shared" si="31"/>
        <v>0</v>
      </c>
      <c r="CU17" s="68"/>
      <c r="CV17" s="68"/>
      <c r="CW17" s="71">
        <f t="shared" si="32"/>
        <v>0</v>
      </c>
      <c r="CX17" s="68"/>
      <c r="CY17" s="68"/>
      <c r="CZ17" s="71">
        <f t="shared" si="33"/>
        <v>0</v>
      </c>
      <c r="DA17" s="68"/>
      <c r="DB17" s="68"/>
      <c r="DC17" s="71">
        <f t="shared" si="34"/>
        <v>0</v>
      </c>
      <c r="DD17" s="68"/>
      <c r="DE17" s="68"/>
      <c r="DF17" s="71">
        <f t="shared" si="35"/>
        <v>0</v>
      </c>
      <c r="DG17" s="68"/>
      <c r="DH17" s="68"/>
      <c r="DI17" s="71">
        <f t="shared" si="36"/>
        <v>0</v>
      </c>
      <c r="DJ17" s="68"/>
      <c r="DK17" s="68"/>
      <c r="DL17" s="71">
        <f t="shared" si="37"/>
        <v>0</v>
      </c>
      <c r="DM17" s="68"/>
      <c r="DN17" s="68"/>
      <c r="DO17" s="71">
        <f t="shared" si="38"/>
        <v>0</v>
      </c>
      <c r="DP17" s="68"/>
      <c r="DQ17" s="68"/>
      <c r="DR17" s="71">
        <f t="shared" si="39"/>
        <v>0</v>
      </c>
      <c r="DS17" s="71">
        <f t="shared" si="40"/>
        <v>185844</v>
      </c>
      <c r="DT17" s="71">
        <f t="shared" si="41"/>
        <v>185490</v>
      </c>
      <c r="DU17" s="71">
        <f t="shared" si="42"/>
        <v>-354</v>
      </c>
      <c r="DV17" s="80"/>
      <c r="DW17" s="73"/>
      <c r="DX17" s="73"/>
      <c r="DY17" s="80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</row>
    <row r="18" spans="1:141" x14ac:dyDescent="0.25">
      <c r="A18" s="67">
        <f t="shared" si="43"/>
        <v>36690</v>
      </c>
      <c r="B18" s="67" t="s">
        <v>52</v>
      </c>
      <c r="C18" s="68">
        <v>4178</v>
      </c>
      <c r="D18" s="68">
        <v>4178</v>
      </c>
      <c r="E18" s="71">
        <f t="shared" si="0"/>
        <v>0</v>
      </c>
      <c r="F18" s="68">
        <v>5000</v>
      </c>
      <c r="G18" s="68">
        <v>5000</v>
      </c>
      <c r="H18" s="71">
        <f t="shared" si="1"/>
        <v>0</v>
      </c>
      <c r="I18" s="68">
        <v>4666</v>
      </c>
      <c r="J18" s="68">
        <v>4666</v>
      </c>
      <c r="K18" s="71">
        <f t="shared" si="2"/>
        <v>0</v>
      </c>
      <c r="L18" s="68">
        <v>16000</v>
      </c>
      <c r="M18" s="68">
        <f>1000+10792</f>
        <v>11792</v>
      </c>
      <c r="N18" s="71">
        <f t="shared" si="3"/>
        <v>-4208</v>
      </c>
      <c r="O18" s="68">
        <v>10000</v>
      </c>
      <c r="P18" s="68">
        <v>10000</v>
      </c>
      <c r="Q18" s="71">
        <f t="shared" si="4"/>
        <v>0</v>
      </c>
      <c r="R18" s="68">
        <v>20000</v>
      </c>
      <c r="S18" s="68">
        <v>20000</v>
      </c>
      <c r="T18" s="71">
        <f t="shared" si="5"/>
        <v>0</v>
      </c>
      <c r="U18" s="68">
        <v>10000</v>
      </c>
      <c r="V18" s="68">
        <v>10000</v>
      </c>
      <c r="W18" s="71">
        <f t="shared" si="6"/>
        <v>0</v>
      </c>
      <c r="X18" s="68">
        <v>5000</v>
      </c>
      <c r="Y18" s="68">
        <v>5000</v>
      </c>
      <c r="Z18" s="71">
        <f t="shared" si="7"/>
        <v>0</v>
      </c>
      <c r="AA18" s="68">
        <v>5000</v>
      </c>
      <c r="AB18" s="68">
        <v>5000</v>
      </c>
      <c r="AC18" s="71">
        <f t="shared" si="8"/>
        <v>0</v>
      </c>
      <c r="AD18" s="68">
        <f t="shared" si="44"/>
        <v>15000</v>
      </c>
      <c r="AE18" s="68">
        <f t="shared" si="44"/>
        <v>15000</v>
      </c>
      <c r="AF18" s="71">
        <f t="shared" si="9"/>
        <v>0</v>
      </c>
      <c r="AG18" s="68">
        <v>10000</v>
      </c>
      <c r="AH18" s="68">
        <v>10000</v>
      </c>
      <c r="AI18" s="71">
        <f t="shared" si="10"/>
        <v>0</v>
      </c>
      <c r="AJ18" s="68">
        <v>10000</v>
      </c>
      <c r="AK18" s="68">
        <v>10000</v>
      </c>
      <c r="AL18" s="71">
        <f t="shared" si="11"/>
        <v>0</v>
      </c>
      <c r="AM18" s="68">
        <v>10000</v>
      </c>
      <c r="AN18" s="68">
        <v>10000</v>
      </c>
      <c r="AO18" s="71">
        <f t="shared" si="12"/>
        <v>0</v>
      </c>
      <c r="AP18" s="68">
        <v>5000</v>
      </c>
      <c r="AQ18" s="68">
        <v>5000</v>
      </c>
      <c r="AR18" s="71">
        <f t="shared" si="13"/>
        <v>0</v>
      </c>
      <c r="AS18" s="68">
        <v>20000</v>
      </c>
      <c r="AT18" s="68">
        <v>20000</v>
      </c>
      <c r="AU18" s="71">
        <f t="shared" si="14"/>
        <v>0</v>
      </c>
      <c r="AV18" s="68">
        <v>20000</v>
      </c>
      <c r="AW18" s="68">
        <v>20000</v>
      </c>
      <c r="AX18" s="71">
        <f t="shared" si="15"/>
        <v>0</v>
      </c>
      <c r="AY18" s="68">
        <v>6000</v>
      </c>
      <c r="AZ18" s="68">
        <v>6000</v>
      </c>
      <c r="BA18" s="71">
        <f t="shared" si="16"/>
        <v>0</v>
      </c>
      <c r="BB18" s="68">
        <v>5000</v>
      </c>
      <c r="BC18" s="68">
        <v>5000</v>
      </c>
      <c r="BD18" s="71">
        <f t="shared" si="17"/>
        <v>0</v>
      </c>
      <c r="BE18" s="68">
        <v>5000</v>
      </c>
      <c r="BF18" s="68">
        <v>5000</v>
      </c>
      <c r="BG18" s="71">
        <f t="shared" si="18"/>
        <v>0</v>
      </c>
      <c r="BH18" s="68"/>
      <c r="BI18" s="68"/>
      <c r="BJ18" s="71">
        <f t="shared" si="19"/>
        <v>0</v>
      </c>
      <c r="BK18" s="68"/>
      <c r="BL18" s="68"/>
      <c r="BM18" s="71">
        <f t="shared" si="20"/>
        <v>0</v>
      </c>
      <c r="BN18" s="68"/>
      <c r="BO18" s="68"/>
      <c r="BP18" s="71">
        <f t="shared" si="21"/>
        <v>0</v>
      </c>
      <c r="BQ18" s="68"/>
      <c r="BR18" s="68"/>
      <c r="BS18" s="71">
        <f t="shared" si="22"/>
        <v>0</v>
      </c>
      <c r="BT18" s="68"/>
      <c r="BU18" s="68"/>
      <c r="BV18" s="71">
        <f t="shared" si="23"/>
        <v>0</v>
      </c>
      <c r="BW18" s="68"/>
      <c r="BX18" s="68"/>
      <c r="BY18" s="71">
        <f t="shared" si="24"/>
        <v>0</v>
      </c>
      <c r="BZ18" s="68"/>
      <c r="CA18" s="68"/>
      <c r="CB18" s="71">
        <f t="shared" si="25"/>
        <v>0</v>
      </c>
      <c r="CC18" s="68"/>
      <c r="CD18" s="68"/>
      <c r="CE18" s="71">
        <f t="shared" si="26"/>
        <v>0</v>
      </c>
      <c r="CF18" s="68"/>
      <c r="CG18" s="68"/>
      <c r="CH18" s="71">
        <f t="shared" si="27"/>
        <v>0</v>
      </c>
      <c r="CI18" s="68"/>
      <c r="CJ18" s="68"/>
      <c r="CK18" s="71">
        <f t="shared" si="28"/>
        <v>0</v>
      </c>
      <c r="CL18" s="68"/>
      <c r="CM18" s="68"/>
      <c r="CN18" s="71">
        <f t="shared" si="29"/>
        <v>0</v>
      </c>
      <c r="CO18" s="68"/>
      <c r="CP18" s="68"/>
      <c r="CQ18" s="71">
        <f t="shared" si="30"/>
        <v>0</v>
      </c>
      <c r="CR18" s="68"/>
      <c r="CS18" s="68"/>
      <c r="CT18" s="71">
        <f t="shared" si="31"/>
        <v>0</v>
      </c>
      <c r="CU18" s="68"/>
      <c r="CV18" s="68"/>
      <c r="CW18" s="71">
        <f t="shared" si="32"/>
        <v>0</v>
      </c>
      <c r="CX18" s="68"/>
      <c r="CY18" s="68"/>
      <c r="CZ18" s="71">
        <f t="shared" si="33"/>
        <v>0</v>
      </c>
      <c r="DA18" s="68"/>
      <c r="DB18" s="68"/>
      <c r="DC18" s="71">
        <f t="shared" si="34"/>
        <v>0</v>
      </c>
      <c r="DD18" s="68"/>
      <c r="DE18" s="68"/>
      <c r="DF18" s="71">
        <f t="shared" si="35"/>
        <v>0</v>
      </c>
      <c r="DG18" s="68"/>
      <c r="DH18" s="68"/>
      <c r="DI18" s="71">
        <f t="shared" si="36"/>
        <v>0</v>
      </c>
      <c r="DJ18" s="68"/>
      <c r="DK18" s="68"/>
      <c r="DL18" s="71">
        <f t="shared" si="37"/>
        <v>0</v>
      </c>
      <c r="DM18" s="68"/>
      <c r="DN18" s="68"/>
      <c r="DO18" s="71">
        <f t="shared" si="38"/>
        <v>0</v>
      </c>
      <c r="DP18" s="68"/>
      <c r="DQ18" s="68"/>
      <c r="DR18" s="71">
        <f t="shared" si="39"/>
        <v>0</v>
      </c>
      <c r="DS18" s="71">
        <f t="shared" si="40"/>
        <v>185844</v>
      </c>
      <c r="DT18" s="71">
        <f t="shared" si="41"/>
        <v>181636</v>
      </c>
      <c r="DU18" s="71">
        <f t="shared" si="42"/>
        <v>-4208</v>
      </c>
      <c r="DV18" s="80"/>
      <c r="DW18" s="73"/>
      <c r="DX18" s="73"/>
      <c r="DY18" s="80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</row>
    <row r="19" spans="1:141" x14ac:dyDescent="0.25">
      <c r="A19" s="67">
        <f t="shared" si="43"/>
        <v>36691</v>
      </c>
      <c r="B19" s="67" t="s">
        <v>46</v>
      </c>
      <c r="C19" s="68">
        <v>4178</v>
      </c>
      <c r="D19" s="68">
        <v>4178</v>
      </c>
      <c r="E19" s="71">
        <f t="shared" si="0"/>
        <v>0</v>
      </c>
      <c r="F19" s="68">
        <v>5000</v>
      </c>
      <c r="G19" s="68">
        <v>5000</v>
      </c>
      <c r="H19" s="71">
        <f t="shared" si="1"/>
        <v>0</v>
      </c>
      <c r="I19" s="68">
        <v>4666</v>
      </c>
      <c r="J19" s="68">
        <v>4666</v>
      </c>
      <c r="K19" s="71">
        <f t="shared" si="2"/>
        <v>0</v>
      </c>
      <c r="L19" s="68">
        <v>16000</v>
      </c>
      <c r="M19" s="68">
        <f>1000+14282</f>
        <v>15282</v>
      </c>
      <c r="N19" s="71">
        <f t="shared" si="3"/>
        <v>-718</v>
      </c>
      <c r="O19" s="68">
        <v>10000</v>
      </c>
      <c r="P19" s="68">
        <v>10000</v>
      </c>
      <c r="Q19" s="71">
        <f t="shared" si="4"/>
        <v>0</v>
      </c>
      <c r="R19" s="68">
        <v>20000</v>
      </c>
      <c r="S19" s="68">
        <v>20000</v>
      </c>
      <c r="T19" s="71">
        <f t="shared" si="5"/>
        <v>0</v>
      </c>
      <c r="U19" s="68">
        <v>10000</v>
      </c>
      <c r="V19" s="68">
        <v>10000</v>
      </c>
      <c r="W19" s="71">
        <f t="shared" si="6"/>
        <v>0</v>
      </c>
      <c r="X19" s="68">
        <v>5000</v>
      </c>
      <c r="Y19" s="68">
        <v>5000</v>
      </c>
      <c r="Z19" s="71">
        <f t="shared" si="7"/>
        <v>0</v>
      </c>
      <c r="AA19" s="68">
        <v>5000</v>
      </c>
      <c r="AB19" s="68">
        <v>5000</v>
      </c>
      <c r="AC19" s="71">
        <f t="shared" si="8"/>
        <v>0</v>
      </c>
      <c r="AD19" s="68">
        <f t="shared" si="44"/>
        <v>15000</v>
      </c>
      <c r="AE19" s="68">
        <f t="shared" si="44"/>
        <v>15000</v>
      </c>
      <c r="AF19" s="71">
        <f t="shared" si="9"/>
        <v>0</v>
      </c>
      <c r="AG19" s="68">
        <v>10000</v>
      </c>
      <c r="AH19" s="68">
        <v>10000</v>
      </c>
      <c r="AI19" s="71">
        <f t="shared" si="10"/>
        <v>0</v>
      </c>
      <c r="AJ19" s="68">
        <v>10000</v>
      </c>
      <c r="AK19" s="68">
        <v>10000</v>
      </c>
      <c r="AL19" s="71">
        <f t="shared" si="11"/>
        <v>0</v>
      </c>
      <c r="AM19" s="68">
        <v>10000</v>
      </c>
      <c r="AN19" s="68">
        <v>10000</v>
      </c>
      <c r="AO19" s="71">
        <f t="shared" si="12"/>
        <v>0</v>
      </c>
      <c r="AP19" s="68">
        <v>5000</v>
      </c>
      <c r="AQ19" s="68">
        <v>5000</v>
      </c>
      <c r="AR19" s="71">
        <f t="shared" si="13"/>
        <v>0</v>
      </c>
      <c r="AS19" s="68">
        <v>20000</v>
      </c>
      <c r="AT19" s="68">
        <v>20000</v>
      </c>
      <c r="AU19" s="71">
        <f t="shared" si="14"/>
        <v>0</v>
      </c>
      <c r="AV19" s="68">
        <v>20000</v>
      </c>
      <c r="AW19" s="68">
        <v>20000</v>
      </c>
      <c r="AX19" s="71">
        <f t="shared" si="15"/>
        <v>0</v>
      </c>
      <c r="AY19" s="68">
        <v>6000</v>
      </c>
      <c r="AZ19" s="68">
        <v>6000</v>
      </c>
      <c r="BA19" s="71">
        <f t="shared" si="16"/>
        <v>0</v>
      </c>
      <c r="BB19" s="68">
        <v>5000</v>
      </c>
      <c r="BC19" s="68">
        <v>5000</v>
      </c>
      <c r="BD19" s="71">
        <f t="shared" si="17"/>
        <v>0</v>
      </c>
      <c r="BE19" s="68">
        <v>5000</v>
      </c>
      <c r="BF19" s="68">
        <v>5000</v>
      </c>
      <c r="BG19" s="71">
        <f t="shared" si="18"/>
        <v>0</v>
      </c>
      <c r="BH19" s="68"/>
      <c r="BI19" s="68"/>
      <c r="BJ19" s="71">
        <f t="shared" si="19"/>
        <v>0</v>
      </c>
      <c r="BK19" s="68"/>
      <c r="BL19" s="68"/>
      <c r="BM19" s="71">
        <f t="shared" si="20"/>
        <v>0</v>
      </c>
      <c r="BN19" s="68"/>
      <c r="BO19" s="68"/>
      <c r="BP19" s="71">
        <f t="shared" si="21"/>
        <v>0</v>
      </c>
      <c r="BQ19" s="68"/>
      <c r="BR19" s="68"/>
      <c r="BS19" s="71">
        <f t="shared" si="22"/>
        <v>0</v>
      </c>
      <c r="BT19" s="68"/>
      <c r="BU19" s="68"/>
      <c r="BV19" s="71">
        <f t="shared" si="23"/>
        <v>0</v>
      </c>
      <c r="BW19" s="68"/>
      <c r="BX19" s="68"/>
      <c r="BY19" s="71">
        <f t="shared" si="24"/>
        <v>0</v>
      </c>
      <c r="BZ19" s="68"/>
      <c r="CA19" s="68"/>
      <c r="CB19" s="71">
        <f t="shared" si="25"/>
        <v>0</v>
      </c>
      <c r="CC19" s="68"/>
      <c r="CD19" s="68"/>
      <c r="CE19" s="71">
        <f t="shared" si="26"/>
        <v>0</v>
      </c>
      <c r="CF19" s="68"/>
      <c r="CG19" s="68"/>
      <c r="CH19" s="71">
        <f t="shared" si="27"/>
        <v>0</v>
      </c>
      <c r="CI19" s="68"/>
      <c r="CJ19" s="68"/>
      <c r="CK19" s="71">
        <f t="shared" si="28"/>
        <v>0</v>
      </c>
      <c r="CL19" s="68"/>
      <c r="CM19" s="68"/>
      <c r="CN19" s="71">
        <f t="shared" si="29"/>
        <v>0</v>
      </c>
      <c r="CO19" s="68"/>
      <c r="CP19" s="68"/>
      <c r="CQ19" s="71">
        <f t="shared" si="30"/>
        <v>0</v>
      </c>
      <c r="CR19" s="68"/>
      <c r="CS19" s="68"/>
      <c r="CT19" s="71">
        <f t="shared" si="31"/>
        <v>0</v>
      </c>
      <c r="CU19" s="68"/>
      <c r="CV19" s="68"/>
      <c r="CW19" s="71">
        <f t="shared" si="32"/>
        <v>0</v>
      </c>
      <c r="CX19" s="68"/>
      <c r="CY19" s="68"/>
      <c r="CZ19" s="71">
        <f t="shared" si="33"/>
        <v>0</v>
      </c>
      <c r="DA19" s="68"/>
      <c r="DB19" s="68"/>
      <c r="DC19" s="71">
        <f t="shared" si="34"/>
        <v>0</v>
      </c>
      <c r="DD19" s="68"/>
      <c r="DE19" s="68"/>
      <c r="DF19" s="71">
        <f t="shared" si="35"/>
        <v>0</v>
      </c>
      <c r="DG19" s="68"/>
      <c r="DH19" s="68"/>
      <c r="DI19" s="71">
        <f t="shared" si="36"/>
        <v>0</v>
      </c>
      <c r="DJ19" s="68"/>
      <c r="DK19" s="68"/>
      <c r="DL19" s="71">
        <f t="shared" si="37"/>
        <v>0</v>
      </c>
      <c r="DM19" s="68"/>
      <c r="DN19" s="68"/>
      <c r="DO19" s="71">
        <f t="shared" si="38"/>
        <v>0</v>
      </c>
      <c r="DP19" s="68"/>
      <c r="DQ19" s="68"/>
      <c r="DR19" s="71">
        <f t="shared" si="39"/>
        <v>0</v>
      </c>
      <c r="DS19" s="71">
        <f t="shared" si="40"/>
        <v>185844</v>
      </c>
      <c r="DT19" s="71">
        <f t="shared" si="41"/>
        <v>185126</v>
      </c>
      <c r="DU19" s="71">
        <f t="shared" si="42"/>
        <v>-718</v>
      </c>
      <c r="DV19" s="80"/>
      <c r="DW19" s="73"/>
      <c r="DX19" s="73"/>
      <c r="DY19" s="80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</row>
    <row r="20" spans="1:141" x14ac:dyDescent="0.25">
      <c r="A20" s="67">
        <f t="shared" si="43"/>
        <v>36692</v>
      </c>
      <c r="B20" s="67" t="s">
        <v>47</v>
      </c>
      <c r="C20" s="68">
        <v>4178</v>
      </c>
      <c r="D20" s="68">
        <v>4178</v>
      </c>
      <c r="E20" s="71">
        <f t="shared" si="0"/>
        <v>0</v>
      </c>
      <c r="F20" s="68">
        <v>5000</v>
      </c>
      <c r="G20" s="68">
        <v>5000</v>
      </c>
      <c r="H20" s="71">
        <f t="shared" si="1"/>
        <v>0</v>
      </c>
      <c r="I20" s="68">
        <v>4666</v>
      </c>
      <c r="J20" s="68">
        <v>4666</v>
      </c>
      <c r="K20" s="71">
        <f t="shared" si="2"/>
        <v>0</v>
      </c>
      <c r="L20" s="68">
        <v>16000</v>
      </c>
      <c r="M20" s="68">
        <f>1000+14494</f>
        <v>15494</v>
      </c>
      <c r="N20" s="71">
        <f t="shared" si="3"/>
        <v>-506</v>
      </c>
      <c r="O20" s="68">
        <v>10000</v>
      </c>
      <c r="P20" s="68">
        <v>10000</v>
      </c>
      <c r="Q20" s="71">
        <f t="shared" si="4"/>
        <v>0</v>
      </c>
      <c r="R20" s="68">
        <v>20000</v>
      </c>
      <c r="S20" s="68">
        <v>20000</v>
      </c>
      <c r="T20" s="71">
        <f t="shared" si="5"/>
        <v>0</v>
      </c>
      <c r="U20" s="68">
        <v>10000</v>
      </c>
      <c r="V20" s="68">
        <v>10000</v>
      </c>
      <c r="W20" s="71">
        <f t="shared" si="6"/>
        <v>0</v>
      </c>
      <c r="X20" s="68">
        <v>5000</v>
      </c>
      <c r="Y20" s="68">
        <v>5000</v>
      </c>
      <c r="Z20" s="71">
        <f t="shared" si="7"/>
        <v>0</v>
      </c>
      <c r="AA20" s="68">
        <v>5000</v>
      </c>
      <c r="AB20" s="68">
        <v>5000</v>
      </c>
      <c r="AC20" s="71">
        <f t="shared" si="8"/>
        <v>0</v>
      </c>
      <c r="AD20" s="68">
        <f>10000+1413+2606</f>
        <v>14019</v>
      </c>
      <c r="AE20" s="68">
        <v>14019</v>
      </c>
      <c r="AF20" s="71">
        <f t="shared" si="9"/>
        <v>0</v>
      </c>
      <c r="AG20" s="68">
        <v>10000</v>
      </c>
      <c r="AH20" s="68">
        <v>10000</v>
      </c>
      <c r="AI20" s="71">
        <f t="shared" si="10"/>
        <v>0</v>
      </c>
      <c r="AJ20" s="68">
        <v>10000</v>
      </c>
      <c r="AK20" s="68">
        <v>10000</v>
      </c>
      <c r="AL20" s="71">
        <f t="shared" si="11"/>
        <v>0</v>
      </c>
      <c r="AM20" s="68">
        <v>10000</v>
      </c>
      <c r="AN20" s="68">
        <v>10000</v>
      </c>
      <c r="AO20" s="71">
        <f t="shared" si="12"/>
        <v>0</v>
      </c>
      <c r="AP20" s="68">
        <v>5000</v>
      </c>
      <c r="AQ20" s="68">
        <v>5000</v>
      </c>
      <c r="AR20" s="71">
        <f t="shared" si="13"/>
        <v>0</v>
      </c>
      <c r="AS20" s="68">
        <v>20000</v>
      </c>
      <c r="AT20" s="68">
        <v>20000</v>
      </c>
      <c r="AU20" s="71">
        <f t="shared" si="14"/>
        <v>0</v>
      </c>
      <c r="AV20" s="68">
        <v>20000</v>
      </c>
      <c r="AW20" s="68">
        <v>20000</v>
      </c>
      <c r="AX20" s="71">
        <f t="shared" si="15"/>
        <v>0</v>
      </c>
      <c r="AY20" s="68">
        <v>6000</v>
      </c>
      <c r="AZ20" s="68">
        <v>6000</v>
      </c>
      <c r="BA20" s="71">
        <f t="shared" si="16"/>
        <v>0</v>
      </c>
      <c r="BB20" s="68">
        <v>5000</v>
      </c>
      <c r="BC20" s="68">
        <v>5000</v>
      </c>
      <c r="BD20" s="71">
        <f t="shared" si="17"/>
        <v>0</v>
      </c>
      <c r="BE20" s="68">
        <v>5000</v>
      </c>
      <c r="BF20" s="68">
        <v>5000</v>
      </c>
      <c r="BG20" s="71">
        <f t="shared" si="18"/>
        <v>0</v>
      </c>
      <c r="BH20" s="68"/>
      <c r="BI20" s="68"/>
      <c r="BJ20" s="71">
        <f t="shared" si="19"/>
        <v>0</v>
      </c>
      <c r="BK20" s="68"/>
      <c r="BL20" s="68"/>
      <c r="BM20" s="71">
        <f t="shared" si="20"/>
        <v>0</v>
      </c>
      <c r="BN20" s="68"/>
      <c r="BO20" s="68"/>
      <c r="BP20" s="71">
        <f t="shared" si="21"/>
        <v>0</v>
      </c>
      <c r="BQ20" s="68"/>
      <c r="BR20" s="68"/>
      <c r="BS20" s="71">
        <f t="shared" si="22"/>
        <v>0</v>
      </c>
      <c r="BT20" s="68"/>
      <c r="BU20" s="68"/>
      <c r="BV20" s="71">
        <f t="shared" si="23"/>
        <v>0</v>
      </c>
      <c r="BW20" s="68"/>
      <c r="BX20" s="68"/>
      <c r="BY20" s="71">
        <f t="shared" si="24"/>
        <v>0</v>
      </c>
      <c r="BZ20" s="68"/>
      <c r="CA20" s="68"/>
      <c r="CB20" s="71">
        <f t="shared" si="25"/>
        <v>0</v>
      </c>
      <c r="CC20" s="68"/>
      <c r="CD20" s="68"/>
      <c r="CE20" s="71">
        <f t="shared" si="26"/>
        <v>0</v>
      </c>
      <c r="CF20" s="68"/>
      <c r="CG20" s="68"/>
      <c r="CH20" s="71">
        <f t="shared" si="27"/>
        <v>0</v>
      </c>
      <c r="CI20" s="68"/>
      <c r="CJ20" s="68"/>
      <c r="CK20" s="71">
        <f t="shared" si="28"/>
        <v>0</v>
      </c>
      <c r="CL20" s="68"/>
      <c r="CM20" s="68"/>
      <c r="CN20" s="71">
        <f t="shared" si="29"/>
        <v>0</v>
      </c>
      <c r="CO20" s="68"/>
      <c r="CP20" s="68"/>
      <c r="CQ20" s="71">
        <f t="shared" si="30"/>
        <v>0</v>
      </c>
      <c r="CR20" s="68"/>
      <c r="CS20" s="68"/>
      <c r="CT20" s="71">
        <f t="shared" si="31"/>
        <v>0</v>
      </c>
      <c r="CU20" s="68"/>
      <c r="CV20" s="68"/>
      <c r="CW20" s="71">
        <f t="shared" si="32"/>
        <v>0</v>
      </c>
      <c r="CX20" s="68"/>
      <c r="CY20" s="68"/>
      <c r="CZ20" s="71">
        <f t="shared" si="33"/>
        <v>0</v>
      </c>
      <c r="DA20" s="68"/>
      <c r="DB20" s="68"/>
      <c r="DC20" s="71">
        <f t="shared" si="34"/>
        <v>0</v>
      </c>
      <c r="DD20" s="68"/>
      <c r="DE20" s="68"/>
      <c r="DF20" s="71">
        <f t="shared" si="35"/>
        <v>0</v>
      </c>
      <c r="DG20" s="68"/>
      <c r="DH20" s="68"/>
      <c r="DI20" s="71">
        <f t="shared" si="36"/>
        <v>0</v>
      </c>
      <c r="DJ20" s="68"/>
      <c r="DK20" s="68"/>
      <c r="DL20" s="71">
        <f t="shared" si="37"/>
        <v>0</v>
      </c>
      <c r="DM20" s="68"/>
      <c r="DN20" s="68"/>
      <c r="DO20" s="71">
        <f t="shared" si="38"/>
        <v>0</v>
      </c>
      <c r="DP20" s="68"/>
      <c r="DQ20" s="68"/>
      <c r="DR20" s="71">
        <f t="shared" si="39"/>
        <v>0</v>
      </c>
      <c r="DS20" s="71">
        <f t="shared" si="40"/>
        <v>184863</v>
      </c>
      <c r="DT20" s="71">
        <f t="shared" si="41"/>
        <v>184357</v>
      </c>
      <c r="DU20" s="71">
        <f t="shared" si="42"/>
        <v>-506</v>
      </c>
      <c r="DV20" s="80"/>
      <c r="DW20" s="73"/>
      <c r="DX20" s="73"/>
      <c r="DY20" s="80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</row>
    <row r="21" spans="1:141" x14ac:dyDescent="0.25">
      <c r="A21" s="67">
        <f t="shared" si="43"/>
        <v>36693</v>
      </c>
      <c r="B21" s="67" t="s">
        <v>48</v>
      </c>
      <c r="C21" s="68">
        <v>4178</v>
      </c>
      <c r="D21" s="68">
        <v>4178</v>
      </c>
      <c r="E21" s="71">
        <f t="shared" si="0"/>
        <v>0</v>
      </c>
      <c r="F21" s="68">
        <v>5000</v>
      </c>
      <c r="G21" s="68">
        <v>5000</v>
      </c>
      <c r="H21" s="71">
        <f t="shared" si="1"/>
        <v>0</v>
      </c>
      <c r="I21" s="68">
        <v>4666</v>
      </c>
      <c r="J21" s="68">
        <v>4666</v>
      </c>
      <c r="K21" s="71">
        <f t="shared" si="2"/>
        <v>0</v>
      </c>
      <c r="L21" s="68">
        <v>16000</v>
      </c>
      <c r="M21" s="68">
        <f>1000+13846</f>
        <v>14846</v>
      </c>
      <c r="N21" s="71">
        <f t="shared" si="3"/>
        <v>-1154</v>
      </c>
      <c r="O21" s="68">
        <v>10000</v>
      </c>
      <c r="P21" s="68">
        <v>10000</v>
      </c>
      <c r="Q21" s="71">
        <f t="shared" si="4"/>
        <v>0</v>
      </c>
      <c r="R21" s="68">
        <v>20000</v>
      </c>
      <c r="S21" s="68">
        <v>20000</v>
      </c>
      <c r="T21" s="71">
        <f t="shared" si="5"/>
        <v>0</v>
      </c>
      <c r="U21" s="68">
        <v>10000</v>
      </c>
      <c r="V21" s="68">
        <v>10000</v>
      </c>
      <c r="W21" s="71">
        <f t="shared" si="6"/>
        <v>0</v>
      </c>
      <c r="X21" s="68">
        <v>5000</v>
      </c>
      <c r="Y21" s="68">
        <v>5000</v>
      </c>
      <c r="Z21" s="71">
        <f t="shared" si="7"/>
        <v>0</v>
      </c>
      <c r="AA21" s="68">
        <v>5000</v>
      </c>
      <c r="AB21" s="68">
        <v>5000</v>
      </c>
      <c r="AC21" s="71">
        <f t="shared" si="8"/>
        <v>0</v>
      </c>
      <c r="AD21" s="68">
        <f>10000+3642</f>
        <v>13642</v>
      </c>
      <c r="AE21" s="68">
        <f>10000+3642</f>
        <v>13642</v>
      </c>
      <c r="AF21" s="71">
        <f t="shared" si="9"/>
        <v>0</v>
      </c>
      <c r="AG21" s="68">
        <v>10000</v>
      </c>
      <c r="AH21" s="68">
        <v>10000</v>
      </c>
      <c r="AI21" s="71">
        <f t="shared" si="10"/>
        <v>0</v>
      </c>
      <c r="AJ21" s="68">
        <v>10000</v>
      </c>
      <c r="AK21" s="68">
        <v>10000</v>
      </c>
      <c r="AL21" s="71">
        <f t="shared" si="11"/>
        <v>0</v>
      </c>
      <c r="AM21" s="68">
        <v>10000</v>
      </c>
      <c r="AN21" s="68">
        <v>10000</v>
      </c>
      <c r="AO21" s="71">
        <f t="shared" si="12"/>
        <v>0</v>
      </c>
      <c r="AP21" s="68">
        <v>5000</v>
      </c>
      <c r="AQ21" s="68">
        <v>5000</v>
      </c>
      <c r="AR21" s="71">
        <f t="shared" si="13"/>
        <v>0</v>
      </c>
      <c r="AS21" s="68">
        <v>20000</v>
      </c>
      <c r="AT21" s="68">
        <v>20000</v>
      </c>
      <c r="AU21" s="71">
        <f t="shared" si="14"/>
        <v>0</v>
      </c>
      <c r="AV21" s="68">
        <v>20000</v>
      </c>
      <c r="AW21" s="68">
        <v>20000</v>
      </c>
      <c r="AX21" s="71">
        <f t="shared" si="15"/>
        <v>0</v>
      </c>
      <c r="AY21" s="68">
        <v>6000</v>
      </c>
      <c r="AZ21" s="68">
        <v>6000</v>
      </c>
      <c r="BA21" s="71">
        <f t="shared" si="16"/>
        <v>0</v>
      </c>
      <c r="BB21" s="68">
        <v>0</v>
      </c>
      <c r="BC21" s="68">
        <v>0</v>
      </c>
      <c r="BD21" s="71">
        <f t="shared" si="17"/>
        <v>0</v>
      </c>
      <c r="BE21" s="68">
        <v>5000</v>
      </c>
      <c r="BF21" s="68">
        <v>5000</v>
      </c>
      <c r="BG21" s="71">
        <f t="shared" si="18"/>
        <v>0</v>
      </c>
      <c r="BH21" s="68"/>
      <c r="BI21" s="68"/>
      <c r="BJ21" s="71">
        <f t="shared" si="19"/>
        <v>0</v>
      </c>
      <c r="BK21" s="68"/>
      <c r="BL21" s="68"/>
      <c r="BM21" s="71">
        <f t="shared" si="20"/>
        <v>0</v>
      </c>
      <c r="BN21" s="68"/>
      <c r="BO21" s="68"/>
      <c r="BP21" s="71">
        <f t="shared" si="21"/>
        <v>0</v>
      </c>
      <c r="BQ21" s="68"/>
      <c r="BR21" s="68"/>
      <c r="BS21" s="71">
        <f t="shared" si="22"/>
        <v>0</v>
      </c>
      <c r="BT21" s="68"/>
      <c r="BU21" s="68"/>
      <c r="BV21" s="71">
        <f t="shared" si="23"/>
        <v>0</v>
      </c>
      <c r="BW21" s="68"/>
      <c r="BX21" s="68"/>
      <c r="BY21" s="71">
        <f t="shared" si="24"/>
        <v>0</v>
      </c>
      <c r="BZ21" s="68"/>
      <c r="CA21" s="68"/>
      <c r="CB21" s="71">
        <f t="shared" si="25"/>
        <v>0</v>
      </c>
      <c r="CC21" s="68"/>
      <c r="CD21" s="68"/>
      <c r="CE21" s="71">
        <f t="shared" si="26"/>
        <v>0</v>
      </c>
      <c r="CF21" s="68"/>
      <c r="CG21" s="68"/>
      <c r="CH21" s="71">
        <f t="shared" si="27"/>
        <v>0</v>
      </c>
      <c r="CI21" s="68"/>
      <c r="CJ21" s="68"/>
      <c r="CK21" s="71">
        <f t="shared" si="28"/>
        <v>0</v>
      </c>
      <c r="CL21" s="68"/>
      <c r="CM21" s="68"/>
      <c r="CN21" s="71">
        <f t="shared" si="29"/>
        <v>0</v>
      </c>
      <c r="CO21" s="68"/>
      <c r="CP21" s="68"/>
      <c r="CQ21" s="71">
        <f t="shared" si="30"/>
        <v>0</v>
      </c>
      <c r="CR21" s="68"/>
      <c r="CS21" s="68"/>
      <c r="CT21" s="71">
        <f t="shared" si="31"/>
        <v>0</v>
      </c>
      <c r="CU21" s="68"/>
      <c r="CV21" s="68"/>
      <c r="CW21" s="71">
        <f t="shared" si="32"/>
        <v>0</v>
      </c>
      <c r="CX21" s="68"/>
      <c r="CY21" s="68"/>
      <c r="CZ21" s="71">
        <f t="shared" si="33"/>
        <v>0</v>
      </c>
      <c r="DA21" s="68"/>
      <c r="DB21" s="68"/>
      <c r="DC21" s="71">
        <f t="shared" si="34"/>
        <v>0</v>
      </c>
      <c r="DD21" s="68"/>
      <c r="DE21" s="68"/>
      <c r="DF21" s="71">
        <f t="shared" si="35"/>
        <v>0</v>
      </c>
      <c r="DG21" s="68"/>
      <c r="DH21" s="68"/>
      <c r="DI21" s="71">
        <f t="shared" si="36"/>
        <v>0</v>
      </c>
      <c r="DJ21" s="68"/>
      <c r="DK21" s="68"/>
      <c r="DL21" s="71">
        <f t="shared" si="37"/>
        <v>0</v>
      </c>
      <c r="DM21" s="68"/>
      <c r="DN21" s="68"/>
      <c r="DO21" s="71">
        <f t="shared" si="38"/>
        <v>0</v>
      </c>
      <c r="DP21" s="68"/>
      <c r="DQ21" s="68"/>
      <c r="DR21" s="71">
        <f t="shared" si="39"/>
        <v>0</v>
      </c>
      <c r="DS21" s="71">
        <f t="shared" si="40"/>
        <v>179486</v>
      </c>
      <c r="DT21" s="71">
        <f t="shared" si="41"/>
        <v>178332</v>
      </c>
      <c r="DU21" s="71">
        <f t="shared" si="42"/>
        <v>-1154</v>
      </c>
      <c r="DV21" s="80"/>
      <c r="DW21" s="73"/>
      <c r="DX21" s="73"/>
      <c r="DY21" s="80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</row>
    <row r="22" spans="1:141" x14ac:dyDescent="0.25">
      <c r="A22" s="67">
        <f t="shared" si="43"/>
        <v>36694</v>
      </c>
      <c r="B22" s="67" t="s">
        <v>49</v>
      </c>
      <c r="C22" s="68">
        <v>4178</v>
      </c>
      <c r="D22" s="68">
        <v>4178</v>
      </c>
      <c r="E22" s="71">
        <f t="shared" si="0"/>
        <v>0</v>
      </c>
      <c r="F22" s="68">
        <v>5000</v>
      </c>
      <c r="G22" s="68">
        <v>5000</v>
      </c>
      <c r="H22" s="71">
        <f t="shared" si="1"/>
        <v>0</v>
      </c>
      <c r="I22" s="68">
        <v>4666</v>
      </c>
      <c r="J22" s="68">
        <v>4666</v>
      </c>
      <c r="K22" s="71">
        <f t="shared" si="2"/>
        <v>0</v>
      </c>
      <c r="L22" s="68">
        <v>16000</v>
      </c>
      <c r="M22" s="68">
        <f>1000+14770</f>
        <v>15770</v>
      </c>
      <c r="N22" s="71">
        <f t="shared" si="3"/>
        <v>-230</v>
      </c>
      <c r="O22" s="68">
        <v>10000</v>
      </c>
      <c r="P22" s="68">
        <v>10000</v>
      </c>
      <c r="Q22" s="71">
        <f t="shared" si="4"/>
        <v>0</v>
      </c>
      <c r="R22" s="68">
        <v>20000</v>
      </c>
      <c r="S22" s="68">
        <v>20000</v>
      </c>
      <c r="T22" s="71">
        <f t="shared" si="5"/>
        <v>0</v>
      </c>
      <c r="U22" s="68">
        <v>10000</v>
      </c>
      <c r="V22" s="68">
        <v>10000</v>
      </c>
      <c r="W22" s="71">
        <f t="shared" si="6"/>
        <v>0</v>
      </c>
      <c r="X22" s="68">
        <v>5000</v>
      </c>
      <c r="Y22" s="68">
        <v>5000</v>
      </c>
      <c r="Z22" s="71">
        <f t="shared" si="7"/>
        <v>0</v>
      </c>
      <c r="AA22" s="68">
        <v>5000</v>
      </c>
      <c r="AB22" s="68">
        <v>5000</v>
      </c>
      <c r="AC22" s="71">
        <f t="shared" si="8"/>
        <v>0</v>
      </c>
      <c r="AD22" s="68">
        <f>10000+3367</f>
        <v>13367</v>
      </c>
      <c r="AE22" s="68">
        <f>10000+3367</f>
        <v>13367</v>
      </c>
      <c r="AF22" s="71">
        <f t="shared" si="9"/>
        <v>0</v>
      </c>
      <c r="AG22" s="68">
        <v>10000</v>
      </c>
      <c r="AH22" s="68">
        <v>10000</v>
      </c>
      <c r="AI22" s="71">
        <f t="shared" si="10"/>
        <v>0</v>
      </c>
      <c r="AJ22" s="68">
        <v>10000</v>
      </c>
      <c r="AK22" s="68">
        <v>10000</v>
      </c>
      <c r="AL22" s="71">
        <f t="shared" si="11"/>
        <v>0</v>
      </c>
      <c r="AM22" s="68">
        <v>10000</v>
      </c>
      <c r="AN22" s="68">
        <v>10000</v>
      </c>
      <c r="AO22" s="71">
        <f t="shared" si="12"/>
        <v>0</v>
      </c>
      <c r="AP22" s="68">
        <v>5000</v>
      </c>
      <c r="AQ22" s="68">
        <v>5000</v>
      </c>
      <c r="AR22" s="71">
        <f t="shared" si="13"/>
        <v>0</v>
      </c>
      <c r="AS22" s="68">
        <v>20000</v>
      </c>
      <c r="AT22" s="68">
        <v>20000</v>
      </c>
      <c r="AU22" s="71">
        <f t="shared" si="14"/>
        <v>0</v>
      </c>
      <c r="AV22" s="68">
        <v>20000</v>
      </c>
      <c r="AW22" s="68">
        <v>20000</v>
      </c>
      <c r="AX22" s="71">
        <f t="shared" si="15"/>
        <v>0</v>
      </c>
      <c r="AY22" s="68">
        <v>6000</v>
      </c>
      <c r="AZ22" s="68">
        <v>6000</v>
      </c>
      <c r="BA22" s="71">
        <f t="shared" si="16"/>
        <v>0</v>
      </c>
      <c r="BB22" s="68">
        <v>3367</v>
      </c>
      <c r="BC22" s="68">
        <v>3367</v>
      </c>
      <c r="BD22" s="71">
        <f t="shared" si="17"/>
        <v>0</v>
      </c>
      <c r="BE22" s="68">
        <v>5000</v>
      </c>
      <c r="BF22" s="68">
        <v>5000</v>
      </c>
      <c r="BG22" s="71">
        <f t="shared" si="18"/>
        <v>0</v>
      </c>
      <c r="BH22" s="68"/>
      <c r="BI22" s="68"/>
      <c r="BJ22" s="71">
        <f t="shared" si="19"/>
        <v>0</v>
      </c>
      <c r="BK22" s="68"/>
      <c r="BL22" s="68"/>
      <c r="BM22" s="71">
        <f t="shared" si="20"/>
        <v>0</v>
      </c>
      <c r="BN22" s="68"/>
      <c r="BO22" s="68"/>
      <c r="BP22" s="71">
        <f t="shared" si="21"/>
        <v>0</v>
      </c>
      <c r="BQ22" s="68"/>
      <c r="BR22" s="68"/>
      <c r="BS22" s="71">
        <f t="shared" si="22"/>
        <v>0</v>
      </c>
      <c r="BT22" s="68"/>
      <c r="BU22" s="68"/>
      <c r="BV22" s="71">
        <f t="shared" si="23"/>
        <v>0</v>
      </c>
      <c r="BW22" s="68"/>
      <c r="BX22" s="68"/>
      <c r="BY22" s="71">
        <f t="shared" si="24"/>
        <v>0</v>
      </c>
      <c r="BZ22" s="68"/>
      <c r="CA22" s="68"/>
      <c r="CB22" s="71">
        <f t="shared" si="25"/>
        <v>0</v>
      </c>
      <c r="CC22" s="68"/>
      <c r="CD22" s="68"/>
      <c r="CE22" s="71">
        <f t="shared" si="26"/>
        <v>0</v>
      </c>
      <c r="CF22" s="68"/>
      <c r="CG22" s="68"/>
      <c r="CH22" s="71">
        <f t="shared" si="27"/>
        <v>0</v>
      </c>
      <c r="CI22" s="68"/>
      <c r="CJ22" s="68"/>
      <c r="CK22" s="71">
        <f t="shared" si="28"/>
        <v>0</v>
      </c>
      <c r="CL22" s="68"/>
      <c r="CM22" s="68"/>
      <c r="CN22" s="71">
        <f t="shared" si="29"/>
        <v>0</v>
      </c>
      <c r="CO22" s="68"/>
      <c r="CP22" s="68"/>
      <c r="CQ22" s="71">
        <f t="shared" si="30"/>
        <v>0</v>
      </c>
      <c r="CR22" s="68"/>
      <c r="CS22" s="68"/>
      <c r="CT22" s="71">
        <f t="shared" si="31"/>
        <v>0</v>
      </c>
      <c r="CU22" s="68"/>
      <c r="CV22" s="68"/>
      <c r="CW22" s="71">
        <f t="shared" si="32"/>
        <v>0</v>
      </c>
      <c r="CX22" s="68"/>
      <c r="CY22" s="68"/>
      <c r="CZ22" s="71">
        <f t="shared" si="33"/>
        <v>0</v>
      </c>
      <c r="DA22" s="68"/>
      <c r="DB22" s="68"/>
      <c r="DC22" s="71">
        <f t="shared" si="34"/>
        <v>0</v>
      </c>
      <c r="DD22" s="68"/>
      <c r="DE22" s="68"/>
      <c r="DF22" s="71">
        <f t="shared" si="35"/>
        <v>0</v>
      </c>
      <c r="DG22" s="68"/>
      <c r="DH22" s="68"/>
      <c r="DI22" s="71">
        <f t="shared" si="36"/>
        <v>0</v>
      </c>
      <c r="DJ22" s="68"/>
      <c r="DK22" s="68"/>
      <c r="DL22" s="71">
        <f t="shared" si="37"/>
        <v>0</v>
      </c>
      <c r="DM22" s="68"/>
      <c r="DN22" s="68"/>
      <c r="DO22" s="71">
        <f t="shared" si="38"/>
        <v>0</v>
      </c>
      <c r="DP22" s="68"/>
      <c r="DQ22" s="68"/>
      <c r="DR22" s="71">
        <f t="shared" si="39"/>
        <v>0</v>
      </c>
      <c r="DS22" s="71">
        <f t="shared" si="40"/>
        <v>182578</v>
      </c>
      <c r="DT22" s="71">
        <f t="shared" si="41"/>
        <v>182348</v>
      </c>
      <c r="DU22" s="71">
        <f t="shared" si="42"/>
        <v>-230</v>
      </c>
      <c r="DV22" s="80"/>
      <c r="DW22" s="73"/>
      <c r="DX22" s="73"/>
      <c r="DY22" s="80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</row>
    <row r="23" spans="1:141" x14ac:dyDescent="0.25">
      <c r="A23" s="67">
        <f t="shared" si="43"/>
        <v>36695</v>
      </c>
      <c r="B23" s="67" t="s">
        <v>50</v>
      </c>
      <c r="C23" s="68">
        <v>4178</v>
      </c>
      <c r="D23" s="68">
        <v>4178</v>
      </c>
      <c r="E23" s="71">
        <f t="shared" si="0"/>
        <v>0</v>
      </c>
      <c r="F23" s="68">
        <v>5000</v>
      </c>
      <c r="G23" s="68">
        <v>5000</v>
      </c>
      <c r="H23" s="71">
        <f t="shared" si="1"/>
        <v>0</v>
      </c>
      <c r="I23" s="68">
        <v>4666</v>
      </c>
      <c r="J23" s="68">
        <v>4666</v>
      </c>
      <c r="K23" s="71">
        <f t="shared" si="2"/>
        <v>0</v>
      </c>
      <c r="L23" s="68">
        <v>16000</v>
      </c>
      <c r="M23" s="68">
        <f>1000+14212</f>
        <v>15212</v>
      </c>
      <c r="N23" s="71">
        <f t="shared" si="3"/>
        <v>-788</v>
      </c>
      <c r="O23" s="68">
        <v>10000</v>
      </c>
      <c r="P23" s="68">
        <v>10000</v>
      </c>
      <c r="Q23" s="71">
        <f t="shared" si="4"/>
        <v>0</v>
      </c>
      <c r="R23" s="68">
        <v>20000</v>
      </c>
      <c r="S23" s="68">
        <v>20000</v>
      </c>
      <c r="T23" s="71">
        <f t="shared" si="5"/>
        <v>0</v>
      </c>
      <c r="U23" s="68">
        <v>10000</v>
      </c>
      <c r="V23" s="68">
        <v>10000</v>
      </c>
      <c r="W23" s="71">
        <f t="shared" si="6"/>
        <v>0</v>
      </c>
      <c r="X23" s="68">
        <v>5000</v>
      </c>
      <c r="Y23" s="68">
        <v>5000</v>
      </c>
      <c r="Z23" s="71">
        <f t="shared" si="7"/>
        <v>0</v>
      </c>
      <c r="AA23" s="68">
        <v>5000</v>
      </c>
      <c r="AB23" s="68">
        <v>5000</v>
      </c>
      <c r="AC23" s="71">
        <f t="shared" si="8"/>
        <v>0</v>
      </c>
      <c r="AD23" s="68">
        <f t="shared" si="44"/>
        <v>15000</v>
      </c>
      <c r="AE23" s="68">
        <f>10000+3333</f>
        <v>13333</v>
      </c>
      <c r="AF23" s="71">
        <f t="shared" si="9"/>
        <v>-1667</v>
      </c>
      <c r="AG23" s="68">
        <v>10000</v>
      </c>
      <c r="AH23" s="68">
        <v>10000</v>
      </c>
      <c r="AI23" s="71">
        <f t="shared" si="10"/>
        <v>0</v>
      </c>
      <c r="AJ23" s="68">
        <v>10000</v>
      </c>
      <c r="AK23" s="68">
        <v>10000</v>
      </c>
      <c r="AL23" s="71">
        <f t="shared" si="11"/>
        <v>0</v>
      </c>
      <c r="AM23" s="68">
        <v>10000</v>
      </c>
      <c r="AN23" s="68">
        <v>10000</v>
      </c>
      <c r="AO23" s="71">
        <f t="shared" si="12"/>
        <v>0</v>
      </c>
      <c r="AP23" s="68">
        <v>5000</v>
      </c>
      <c r="AQ23" s="68">
        <v>5000</v>
      </c>
      <c r="AR23" s="71">
        <f t="shared" si="13"/>
        <v>0</v>
      </c>
      <c r="AS23" s="68">
        <v>20000</v>
      </c>
      <c r="AT23" s="68">
        <v>20000</v>
      </c>
      <c r="AU23" s="71">
        <f t="shared" si="14"/>
        <v>0</v>
      </c>
      <c r="AV23" s="68">
        <v>20000</v>
      </c>
      <c r="AW23" s="68">
        <v>20000</v>
      </c>
      <c r="AX23" s="71">
        <f t="shared" si="15"/>
        <v>0</v>
      </c>
      <c r="AY23" s="68">
        <v>6000</v>
      </c>
      <c r="AZ23" s="68">
        <v>6000</v>
      </c>
      <c r="BA23" s="71">
        <f t="shared" si="16"/>
        <v>0</v>
      </c>
      <c r="BB23" s="68">
        <v>5000</v>
      </c>
      <c r="BC23" s="68">
        <v>3333</v>
      </c>
      <c r="BD23" s="71">
        <f t="shared" si="17"/>
        <v>-1667</v>
      </c>
      <c r="BE23" s="68">
        <v>5000</v>
      </c>
      <c r="BF23" s="68">
        <v>5000</v>
      </c>
      <c r="BG23" s="71">
        <f t="shared" si="18"/>
        <v>0</v>
      </c>
      <c r="BH23" s="68"/>
      <c r="BI23" s="68"/>
      <c r="BJ23" s="71">
        <f t="shared" si="19"/>
        <v>0</v>
      </c>
      <c r="BK23" s="68"/>
      <c r="BL23" s="68"/>
      <c r="BM23" s="71">
        <f t="shared" si="20"/>
        <v>0</v>
      </c>
      <c r="BN23" s="68"/>
      <c r="BO23" s="68"/>
      <c r="BP23" s="71">
        <f t="shared" si="21"/>
        <v>0</v>
      </c>
      <c r="BQ23" s="68"/>
      <c r="BR23" s="68"/>
      <c r="BS23" s="71">
        <f t="shared" si="22"/>
        <v>0</v>
      </c>
      <c r="BT23" s="68"/>
      <c r="BU23" s="68"/>
      <c r="BV23" s="71">
        <f t="shared" si="23"/>
        <v>0</v>
      </c>
      <c r="BW23" s="68"/>
      <c r="BX23" s="68"/>
      <c r="BY23" s="71">
        <f t="shared" si="24"/>
        <v>0</v>
      </c>
      <c r="BZ23" s="68"/>
      <c r="CA23" s="68"/>
      <c r="CB23" s="71">
        <f t="shared" si="25"/>
        <v>0</v>
      </c>
      <c r="CC23" s="68"/>
      <c r="CD23" s="68"/>
      <c r="CE23" s="71">
        <f t="shared" si="26"/>
        <v>0</v>
      </c>
      <c r="CF23" s="68"/>
      <c r="CG23" s="68"/>
      <c r="CH23" s="71">
        <f t="shared" si="27"/>
        <v>0</v>
      </c>
      <c r="CI23" s="68"/>
      <c r="CJ23" s="68"/>
      <c r="CK23" s="71">
        <f t="shared" si="28"/>
        <v>0</v>
      </c>
      <c r="CL23" s="68"/>
      <c r="CM23" s="68"/>
      <c r="CN23" s="71">
        <f t="shared" si="29"/>
        <v>0</v>
      </c>
      <c r="CO23" s="68"/>
      <c r="CP23" s="68"/>
      <c r="CQ23" s="71">
        <f t="shared" si="30"/>
        <v>0</v>
      </c>
      <c r="CR23" s="68"/>
      <c r="CS23" s="68"/>
      <c r="CT23" s="71">
        <f t="shared" si="31"/>
        <v>0</v>
      </c>
      <c r="CU23" s="68"/>
      <c r="CV23" s="68"/>
      <c r="CW23" s="71">
        <f t="shared" si="32"/>
        <v>0</v>
      </c>
      <c r="CX23" s="68"/>
      <c r="CY23" s="68"/>
      <c r="CZ23" s="71">
        <f t="shared" si="33"/>
        <v>0</v>
      </c>
      <c r="DA23" s="68"/>
      <c r="DB23" s="68"/>
      <c r="DC23" s="71">
        <f t="shared" si="34"/>
        <v>0</v>
      </c>
      <c r="DD23" s="68"/>
      <c r="DE23" s="68"/>
      <c r="DF23" s="71">
        <f t="shared" si="35"/>
        <v>0</v>
      </c>
      <c r="DG23" s="68"/>
      <c r="DH23" s="68"/>
      <c r="DI23" s="71">
        <f t="shared" si="36"/>
        <v>0</v>
      </c>
      <c r="DJ23" s="68"/>
      <c r="DK23" s="68"/>
      <c r="DL23" s="71">
        <f t="shared" si="37"/>
        <v>0</v>
      </c>
      <c r="DM23" s="68"/>
      <c r="DN23" s="68"/>
      <c r="DO23" s="71">
        <f t="shared" si="38"/>
        <v>0</v>
      </c>
      <c r="DP23" s="68"/>
      <c r="DQ23" s="68"/>
      <c r="DR23" s="71">
        <f t="shared" si="39"/>
        <v>0</v>
      </c>
      <c r="DS23" s="71">
        <f t="shared" si="40"/>
        <v>185844</v>
      </c>
      <c r="DT23" s="71">
        <f t="shared" si="41"/>
        <v>181722</v>
      </c>
      <c r="DU23" s="71">
        <f t="shared" si="42"/>
        <v>-4122</v>
      </c>
      <c r="DV23" s="80"/>
      <c r="DW23" s="73"/>
      <c r="DX23" s="73"/>
      <c r="DY23" s="80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</row>
    <row r="24" spans="1:141" x14ac:dyDescent="0.25">
      <c r="A24" s="67">
        <f t="shared" si="43"/>
        <v>36696</v>
      </c>
      <c r="B24" s="67" t="s">
        <v>51</v>
      </c>
      <c r="C24" s="68">
        <v>4178</v>
      </c>
      <c r="D24" s="68">
        <v>4178</v>
      </c>
      <c r="E24" s="71">
        <f t="shared" si="0"/>
        <v>0</v>
      </c>
      <c r="F24" s="68">
        <v>5000</v>
      </c>
      <c r="G24" s="68">
        <v>5000</v>
      </c>
      <c r="H24" s="71">
        <f t="shared" si="1"/>
        <v>0</v>
      </c>
      <c r="I24" s="68">
        <v>4666</v>
      </c>
      <c r="J24" s="68">
        <v>4666</v>
      </c>
      <c r="K24" s="71">
        <f t="shared" si="2"/>
        <v>0</v>
      </c>
      <c r="L24" s="68">
        <v>16000</v>
      </c>
      <c r="M24" s="68">
        <f>1000+13954</f>
        <v>14954</v>
      </c>
      <c r="N24" s="71">
        <f t="shared" si="3"/>
        <v>-1046</v>
      </c>
      <c r="O24" s="68">
        <v>10000</v>
      </c>
      <c r="P24" s="68">
        <v>10000</v>
      </c>
      <c r="Q24" s="71">
        <f t="shared" si="4"/>
        <v>0</v>
      </c>
      <c r="R24" s="68">
        <v>20000</v>
      </c>
      <c r="S24" s="68">
        <v>20000</v>
      </c>
      <c r="T24" s="71">
        <f t="shared" si="5"/>
        <v>0</v>
      </c>
      <c r="U24" s="68">
        <v>10000</v>
      </c>
      <c r="V24" s="68">
        <v>10000</v>
      </c>
      <c r="W24" s="71">
        <f t="shared" si="6"/>
        <v>0</v>
      </c>
      <c r="X24" s="68">
        <v>5000</v>
      </c>
      <c r="Y24" s="68">
        <v>5000</v>
      </c>
      <c r="Z24" s="71">
        <f t="shared" si="7"/>
        <v>0</v>
      </c>
      <c r="AA24" s="68">
        <v>5000</v>
      </c>
      <c r="AB24" s="68">
        <v>5000</v>
      </c>
      <c r="AC24" s="71">
        <f t="shared" si="8"/>
        <v>0</v>
      </c>
      <c r="AD24" s="68">
        <f t="shared" si="44"/>
        <v>15000</v>
      </c>
      <c r="AE24" s="68">
        <f>10000+3198</f>
        <v>13198</v>
      </c>
      <c r="AF24" s="71">
        <f t="shared" si="9"/>
        <v>-1802</v>
      </c>
      <c r="AG24" s="68">
        <v>10000</v>
      </c>
      <c r="AH24" s="68">
        <v>10000</v>
      </c>
      <c r="AI24" s="71">
        <f t="shared" si="10"/>
        <v>0</v>
      </c>
      <c r="AJ24" s="68">
        <v>10000</v>
      </c>
      <c r="AK24" s="68">
        <v>10000</v>
      </c>
      <c r="AL24" s="71">
        <f t="shared" si="11"/>
        <v>0</v>
      </c>
      <c r="AM24" s="68">
        <v>10000</v>
      </c>
      <c r="AN24" s="68">
        <v>10000</v>
      </c>
      <c r="AO24" s="71">
        <f t="shared" si="12"/>
        <v>0</v>
      </c>
      <c r="AP24" s="68">
        <v>5000</v>
      </c>
      <c r="AQ24" s="68">
        <v>5000</v>
      </c>
      <c r="AR24" s="71">
        <f t="shared" si="13"/>
        <v>0</v>
      </c>
      <c r="AS24" s="68">
        <v>20000</v>
      </c>
      <c r="AT24" s="68">
        <v>20000</v>
      </c>
      <c r="AU24" s="71">
        <f t="shared" si="14"/>
        <v>0</v>
      </c>
      <c r="AV24" s="68">
        <v>20000</v>
      </c>
      <c r="AW24" s="68">
        <v>20000</v>
      </c>
      <c r="AX24" s="71">
        <f t="shared" si="15"/>
        <v>0</v>
      </c>
      <c r="AY24" s="68">
        <v>6000</v>
      </c>
      <c r="AZ24" s="68">
        <v>6000</v>
      </c>
      <c r="BA24" s="71">
        <f t="shared" si="16"/>
        <v>0</v>
      </c>
      <c r="BB24" s="68">
        <v>5000</v>
      </c>
      <c r="BC24" s="68">
        <v>3198</v>
      </c>
      <c r="BD24" s="71">
        <f t="shared" si="17"/>
        <v>-1802</v>
      </c>
      <c r="BE24" s="68">
        <v>5000</v>
      </c>
      <c r="BF24" s="68">
        <v>5000</v>
      </c>
      <c r="BG24" s="71">
        <f t="shared" si="18"/>
        <v>0</v>
      </c>
      <c r="BH24" s="68"/>
      <c r="BI24" s="68"/>
      <c r="BJ24" s="71">
        <f t="shared" si="19"/>
        <v>0</v>
      </c>
      <c r="BK24" s="68"/>
      <c r="BL24" s="68"/>
      <c r="BM24" s="71">
        <f t="shared" si="20"/>
        <v>0</v>
      </c>
      <c r="BN24" s="68"/>
      <c r="BO24" s="68"/>
      <c r="BP24" s="71">
        <f t="shared" si="21"/>
        <v>0</v>
      </c>
      <c r="BQ24" s="68"/>
      <c r="BR24" s="68"/>
      <c r="BS24" s="71">
        <f t="shared" si="22"/>
        <v>0</v>
      </c>
      <c r="BT24" s="68"/>
      <c r="BU24" s="68"/>
      <c r="BV24" s="71">
        <f t="shared" si="23"/>
        <v>0</v>
      </c>
      <c r="BW24" s="68"/>
      <c r="BX24" s="68"/>
      <c r="BY24" s="71">
        <f t="shared" si="24"/>
        <v>0</v>
      </c>
      <c r="BZ24" s="68"/>
      <c r="CA24" s="68"/>
      <c r="CB24" s="71">
        <f t="shared" si="25"/>
        <v>0</v>
      </c>
      <c r="CC24" s="68"/>
      <c r="CD24" s="68"/>
      <c r="CE24" s="71">
        <f t="shared" si="26"/>
        <v>0</v>
      </c>
      <c r="CF24" s="68"/>
      <c r="CG24" s="68"/>
      <c r="CH24" s="71">
        <f t="shared" si="27"/>
        <v>0</v>
      </c>
      <c r="CI24" s="68"/>
      <c r="CJ24" s="68"/>
      <c r="CK24" s="71">
        <f t="shared" si="28"/>
        <v>0</v>
      </c>
      <c r="CL24" s="68"/>
      <c r="CM24" s="68"/>
      <c r="CN24" s="71">
        <f t="shared" si="29"/>
        <v>0</v>
      </c>
      <c r="CO24" s="68"/>
      <c r="CP24" s="68"/>
      <c r="CQ24" s="71">
        <f t="shared" si="30"/>
        <v>0</v>
      </c>
      <c r="CR24" s="68"/>
      <c r="CS24" s="68"/>
      <c r="CT24" s="71">
        <f t="shared" si="31"/>
        <v>0</v>
      </c>
      <c r="CU24" s="68"/>
      <c r="CV24" s="68"/>
      <c r="CW24" s="71">
        <f t="shared" si="32"/>
        <v>0</v>
      </c>
      <c r="CX24" s="68"/>
      <c r="CY24" s="68"/>
      <c r="CZ24" s="71">
        <f t="shared" si="33"/>
        <v>0</v>
      </c>
      <c r="DA24" s="68"/>
      <c r="DB24" s="68"/>
      <c r="DC24" s="71">
        <f t="shared" si="34"/>
        <v>0</v>
      </c>
      <c r="DD24" s="68"/>
      <c r="DE24" s="68"/>
      <c r="DF24" s="71">
        <f t="shared" si="35"/>
        <v>0</v>
      </c>
      <c r="DG24" s="68"/>
      <c r="DH24" s="68"/>
      <c r="DI24" s="71">
        <f t="shared" si="36"/>
        <v>0</v>
      </c>
      <c r="DJ24" s="68"/>
      <c r="DK24" s="68"/>
      <c r="DL24" s="71">
        <f t="shared" si="37"/>
        <v>0</v>
      </c>
      <c r="DM24" s="68"/>
      <c r="DN24" s="68"/>
      <c r="DO24" s="71">
        <f t="shared" si="38"/>
        <v>0</v>
      </c>
      <c r="DP24" s="68"/>
      <c r="DQ24" s="68"/>
      <c r="DR24" s="71">
        <f t="shared" si="39"/>
        <v>0</v>
      </c>
      <c r="DS24" s="71">
        <f t="shared" si="40"/>
        <v>185844</v>
      </c>
      <c r="DT24" s="71">
        <f t="shared" si="41"/>
        <v>181194</v>
      </c>
      <c r="DU24" s="71">
        <f t="shared" si="42"/>
        <v>-4650</v>
      </c>
      <c r="DV24" s="80"/>
      <c r="DW24" s="73"/>
      <c r="DX24" s="73"/>
      <c r="DY24" s="80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</row>
    <row r="25" spans="1:141" x14ac:dyDescent="0.25">
      <c r="A25" s="67">
        <f t="shared" si="43"/>
        <v>36697</v>
      </c>
      <c r="B25" s="67" t="s">
        <v>52</v>
      </c>
      <c r="C25" s="68">
        <v>4178</v>
      </c>
      <c r="D25" s="68">
        <v>4178</v>
      </c>
      <c r="E25" s="71">
        <f t="shared" si="0"/>
        <v>0</v>
      </c>
      <c r="F25" s="68">
        <v>5000</v>
      </c>
      <c r="G25" s="68">
        <v>5000</v>
      </c>
      <c r="H25" s="71">
        <f t="shared" si="1"/>
        <v>0</v>
      </c>
      <c r="I25" s="68">
        <v>4666</v>
      </c>
      <c r="J25" s="68">
        <v>4666</v>
      </c>
      <c r="K25" s="71">
        <f t="shared" si="2"/>
        <v>0</v>
      </c>
      <c r="L25" s="68">
        <v>16000</v>
      </c>
      <c r="M25" s="68">
        <f>1000+14998</f>
        <v>15998</v>
      </c>
      <c r="N25" s="71">
        <f t="shared" si="3"/>
        <v>-2</v>
      </c>
      <c r="O25" s="68">
        <v>10000</v>
      </c>
      <c r="P25" s="68">
        <v>10000</v>
      </c>
      <c r="Q25" s="71">
        <f t="shared" si="4"/>
        <v>0</v>
      </c>
      <c r="R25" s="68">
        <v>20000</v>
      </c>
      <c r="S25" s="68">
        <v>20000</v>
      </c>
      <c r="T25" s="71">
        <f t="shared" si="5"/>
        <v>0</v>
      </c>
      <c r="U25" s="68">
        <v>10000</v>
      </c>
      <c r="V25" s="68">
        <v>10000</v>
      </c>
      <c r="W25" s="71">
        <f t="shared" si="6"/>
        <v>0</v>
      </c>
      <c r="X25" s="68">
        <v>5000</v>
      </c>
      <c r="Y25" s="68">
        <v>5000</v>
      </c>
      <c r="Z25" s="71">
        <f t="shared" si="7"/>
        <v>0</v>
      </c>
      <c r="AA25" s="68">
        <v>5000</v>
      </c>
      <c r="AB25" s="68">
        <v>5000</v>
      </c>
      <c r="AC25" s="71">
        <f t="shared" si="8"/>
        <v>0</v>
      </c>
      <c r="AD25" s="68">
        <f t="shared" si="44"/>
        <v>15000</v>
      </c>
      <c r="AE25" s="68">
        <f t="shared" si="44"/>
        <v>15000</v>
      </c>
      <c r="AF25" s="71">
        <f t="shared" si="9"/>
        <v>0</v>
      </c>
      <c r="AG25" s="68">
        <v>10000</v>
      </c>
      <c r="AH25" s="68">
        <v>10000</v>
      </c>
      <c r="AI25" s="71">
        <f t="shared" si="10"/>
        <v>0</v>
      </c>
      <c r="AJ25" s="68">
        <v>10000</v>
      </c>
      <c r="AK25" s="68">
        <v>10000</v>
      </c>
      <c r="AL25" s="71">
        <f t="shared" si="11"/>
        <v>0</v>
      </c>
      <c r="AM25" s="68">
        <v>10000</v>
      </c>
      <c r="AN25" s="68">
        <v>10000</v>
      </c>
      <c r="AO25" s="71">
        <f t="shared" si="12"/>
        <v>0</v>
      </c>
      <c r="AP25" s="68">
        <v>5000</v>
      </c>
      <c r="AQ25" s="68">
        <v>5000</v>
      </c>
      <c r="AR25" s="71">
        <f t="shared" si="13"/>
        <v>0</v>
      </c>
      <c r="AS25" s="68">
        <v>20000</v>
      </c>
      <c r="AT25" s="68">
        <v>20000</v>
      </c>
      <c r="AU25" s="71">
        <f t="shared" si="14"/>
        <v>0</v>
      </c>
      <c r="AV25" s="68">
        <v>20000</v>
      </c>
      <c r="AW25" s="68">
        <v>20000</v>
      </c>
      <c r="AX25" s="71">
        <f t="shared" si="15"/>
        <v>0</v>
      </c>
      <c r="AY25" s="68">
        <v>6000</v>
      </c>
      <c r="AZ25" s="68">
        <v>6000</v>
      </c>
      <c r="BA25" s="71">
        <f t="shared" si="16"/>
        <v>0</v>
      </c>
      <c r="BB25" s="68">
        <v>5000</v>
      </c>
      <c r="BC25" s="68">
        <v>5000</v>
      </c>
      <c r="BD25" s="71">
        <f t="shared" si="17"/>
        <v>0</v>
      </c>
      <c r="BE25" s="68">
        <v>5000</v>
      </c>
      <c r="BF25" s="68">
        <v>5000</v>
      </c>
      <c r="BG25" s="71">
        <f t="shared" si="18"/>
        <v>0</v>
      </c>
      <c r="BH25" s="68"/>
      <c r="BI25" s="68"/>
      <c r="BJ25" s="71">
        <f t="shared" si="19"/>
        <v>0</v>
      </c>
      <c r="BK25" s="68"/>
      <c r="BL25" s="68"/>
      <c r="BM25" s="71">
        <f t="shared" si="20"/>
        <v>0</v>
      </c>
      <c r="BN25" s="68"/>
      <c r="BO25" s="68"/>
      <c r="BP25" s="71">
        <f t="shared" si="21"/>
        <v>0</v>
      </c>
      <c r="BQ25" s="68"/>
      <c r="BR25" s="68"/>
      <c r="BS25" s="71">
        <f t="shared" si="22"/>
        <v>0</v>
      </c>
      <c r="BT25" s="68"/>
      <c r="BU25" s="68"/>
      <c r="BV25" s="71">
        <f t="shared" si="23"/>
        <v>0</v>
      </c>
      <c r="BW25" s="68"/>
      <c r="BX25" s="68"/>
      <c r="BY25" s="71">
        <f t="shared" si="24"/>
        <v>0</v>
      </c>
      <c r="BZ25" s="68"/>
      <c r="CA25" s="68"/>
      <c r="CB25" s="71">
        <f t="shared" si="25"/>
        <v>0</v>
      </c>
      <c r="CC25" s="68"/>
      <c r="CD25" s="68"/>
      <c r="CE25" s="71">
        <f t="shared" si="26"/>
        <v>0</v>
      </c>
      <c r="CF25" s="68"/>
      <c r="CG25" s="68"/>
      <c r="CH25" s="71">
        <f t="shared" si="27"/>
        <v>0</v>
      </c>
      <c r="CI25" s="68"/>
      <c r="CJ25" s="68"/>
      <c r="CK25" s="71">
        <f t="shared" si="28"/>
        <v>0</v>
      </c>
      <c r="CL25" s="68"/>
      <c r="CM25" s="68"/>
      <c r="CN25" s="71">
        <f t="shared" si="29"/>
        <v>0</v>
      </c>
      <c r="CO25" s="68"/>
      <c r="CP25" s="68"/>
      <c r="CQ25" s="71">
        <f t="shared" si="30"/>
        <v>0</v>
      </c>
      <c r="CR25" s="68"/>
      <c r="CS25" s="68"/>
      <c r="CT25" s="71">
        <f t="shared" si="31"/>
        <v>0</v>
      </c>
      <c r="CU25" s="68"/>
      <c r="CV25" s="68"/>
      <c r="CW25" s="71">
        <f t="shared" si="32"/>
        <v>0</v>
      </c>
      <c r="CX25" s="68"/>
      <c r="CY25" s="68"/>
      <c r="CZ25" s="71">
        <f t="shared" si="33"/>
        <v>0</v>
      </c>
      <c r="DA25" s="68"/>
      <c r="DB25" s="68"/>
      <c r="DC25" s="71">
        <f t="shared" si="34"/>
        <v>0</v>
      </c>
      <c r="DD25" s="68"/>
      <c r="DE25" s="68"/>
      <c r="DF25" s="71">
        <f t="shared" si="35"/>
        <v>0</v>
      </c>
      <c r="DG25" s="68"/>
      <c r="DH25" s="68"/>
      <c r="DI25" s="71">
        <f t="shared" si="36"/>
        <v>0</v>
      </c>
      <c r="DJ25" s="68"/>
      <c r="DK25" s="68"/>
      <c r="DL25" s="71">
        <f t="shared" si="37"/>
        <v>0</v>
      </c>
      <c r="DM25" s="68"/>
      <c r="DN25" s="68"/>
      <c r="DO25" s="71">
        <f t="shared" si="38"/>
        <v>0</v>
      </c>
      <c r="DP25" s="68"/>
      <c r="DQ25" s="68"/>
      <c r="DR25" s="71">
        <f t="shared" si="39"/>
        <v>0</v>
      </c>
      <c r="DS25" s="71">
        <f t="shared" si="40"/>
        <v>185844</v>
      </c>
      <c r="DT25" s="71">
        <f t="shared" si="41"/>
        <v>185842</v>
      </c>
      <c r="DU25" s="71">
        <f t="shared" si="42"/>
        <v>-2</v>
      </c>
      <c r="DV25" s="80"/>
      <c r="DW25" s="73"/>
      <c r="DX25" s="73"/>
      <c r="DY25" s="80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</row>
    <row r="26" spans="1:141" x14ac:dyDescent="0.25">
      <c r="A26" s="67">
        <f t="shared" si="43"/>
        <v>36698</v>
      </c>
      <c r="B26" s="67" t="s">
        <v>46</v>
      </c>
      <c r="C26" s="68">
        <v>4178</v>
      </c>
      <c r="D26" s="68">
        <v>4178</v>
      </c>
      <c r="E26" s="71">
        <f t="shared" si="0"/>
        <v>0</v>
      </c>
      <c r="F26" s="68">
        <v>5000</v>
      </c>
      <c r="G26" s="68">
        <v>5000</v>
      </c>
      <c r="H26" s="71">
        <f t="shared" si="1"/>
        <v>0</v>
      </c>
      <c r="I26" s="68">
        <v>4666</v>
      </c>
      <c r="J26" s="68">
        <v>4666</v>
      </c>
      <c r="K26" s="71">
        <f t="shared" si="2"/>
        <v>0</v>
      </c>
      <c r="L26" s="68">
        <v>16000</v>
      </c>
      <c r="M26" s="68">
        <f>1000+9876</f>
        <v>10876</v>
      </c>
      <c r="N26" s="71">
        <f t="shared" si="3"/>
        <v>-5124</v>
      </c>
      <c r="O26" s="68">
        <v>10000</v>
      </c>
      <c r="P26" s="68">
        <v>10000</v>
      </c>
      <c r="Q26" s="71">
        <f t="shared" si="4"/>
        <v>0</v>
      </c>
      <c r="R26" s="68">
        <v>20000</v>
      </c>
      <c r="S26" s="68">
        <v>20000</v>
      </c>
      <c r="T26" s="71">
        <f t="shared" si="5"/>
        <v>0</v>
      </c>
      <c r="U26" s="68">
        <v>10000</v>
      </c>
      <c r="V26" s="68">
        <v>10000</v>
      </c>
      <c r="W26" s="71">
        <f t="shared" si="6"/>
        <v>0</v>
      </c>
      <c r="X26" s="68">
        <v>5000</v>
      </c>
      <c r="Y26" s="68">
        <v>5000</v>
      </c>
      <c r="Z26" s="71">
        <f t="shared" si="7"/>
        <v>0</v>
      </c>
      <c r="AA26" s="68">
        <v>5000</v>
      </c>
      <c r="AB26" s="68">
        <v>5000</v>
      </c>
      <c r="AC26" s="71">
        <f t="shared" si="8"/>
        <v>0</v>
      </c>
      <c r="AD26" s="68">
        <f t="shared" si="44"/>
        <v>15000</v>
      </c>
      <c r="AE26" s="68">
        <f>10000+3550</f>
        <v>13550</v>
      </c>
      <c r="AF26" s="71">
        <f t="shared" si="9"/>
        <v>-1450</v>
      </c>
      <c r="AG26" s="68">
        <v>10000</v>
      </c>
      <c r="AH26" s="68">
        <v>10000</v>
      </c>
      <c r="AI26" s="71">
        <f t="shared" si="10"/>
        <v>0</v>
      </c>
      <c r="AJ26" s="68">
        <v>10000</v>
      </c>
      <c r="AK26" s="68">
        <v>10000</v>
      </c>
      <c r="AL26" s="71">
        <f t="shared" si="11"/>
        <v>0</v>
      </c>
      <c r="AM26" s="68">
        <v>10000</v>
      </c>
      <c r="AN26" s="68">
        <v>10000</v>
      </c>
      <c r="AO26" s="71">
        <f t="shared" si="12"/>
        <v>0</v>
      </c>
      <c r="AP26" s="68">
        <v>5000</v>
      </c>
      <c r="AQ26" s="68">
        <v>5000</v>
      </c>
      <c r="AR26" s="71">
        <f t="shared" si="13"/>
        <v>0</v>
      </c>
      <c r="AS26" s="68">
        <v>20000</v>
      </c>
      <c r="AT26" s="68">
        <v>20000</v>
      </c>
      <c r="AU26" s="71">
        <f t="shared" si="14"/>
        <v>0</v>
      </c>
      <c r="AV26" s="68">
        <v>20000</v>
      </c>
      <c r="AW26" s="68">
        <v>20000</v>
      </c>
      <c r="AX26" s="71">
        <f t="shared" si="15"/>
        <v>0</v>
      </c>
      <c r="AY26" s="68">
        <v>6000</v>
      </c>
      <c r="AZ26" s="68">
        <v>6000</v>
      </c>
      <c r="BA26" s="71">
        <f t="shared" si="16"/>
        <v>0</v>
      </c>
      <c r="BB26" s="68">
        <v>5000</v>
      </c>
      <c r="BC26" s="68">
        <v>3550</v>
      </c>
      <c r="BD26" s="71">
        <f t="shared" si="17"/>
        <v>-1450</v>
      </c>
      <c r="BE26" s="68">
        <v>5000</v>
      </c>
      <c r="BF26" s="68">
        <v>5000</v>
      </c>
      <c r="BG26" s="71">
        <f t="shared" si="18"/>
        <v>0</v>
      </c>
      <c r="BH26" s="68"/>
      <c r="BI26" s="68"/>
      <c r="BJ26" s="71">
        <f t="shared" si="19"/>
        <v>0</v>
      </c>
      <c r="BK26" s="68"/>
      <c r="BL26" s="68"/>
      <c r="BM26" s="71">
        <f t="shared" si="20"/>
        <v>0</v>
      </c>
      <c r="BN26" s="68"/>
      <c r="BO26" s="68"/>
      <c r="BP26" s="71">
        <f t="shared" si="21"/>
        <v>0</v>
      </c>
      <c r="BQ26" s="68"/>
      <c r="BR26" s="68"/>
      <c r="BS26" s="71">
        <f t="shared" si="22"/>
        <v>0</v>
      </c>
      <c r="BT26" s="68"/>
      <c r="BU26" s="68"/>
      <c r="BV26" s="71">
        <f t="shared" si="23"/>
        <v>0</v>
      </c>
      <c r="BW26" s="68"/>
      <c r="BX26" s="68"/>
      <c r="BY26" s="71">
        <f t="shared" si="24"/>
        <v>0</v>
      </c>
      <c r="BZ26" s="68"/>
      <c r="CA26" s="68"/>
      <c r="CB26" s="71">
        <f t="shared" si="25"/>
        <v>0</v>
      </c>
      <c r="CC26" s="68"/>
      <c r="CD26" s="68"/>
      <c r="CE26" s="71">
        <f t="shared" si="26"/>
        <v>0</v>
      </c>
      <c r="CF26" s="68"/>
      <c r="CG26" s="68"/>
      <c r="CH26" s="71">
        <f t="shared" si="27"/>
        <v>0</v>
      </c>
      <c r="CI26" s="68"/>
      <c r="CJ26" s="68"/>
      <c r="CK26" s="71">
        <f t="shared" si="28"/>
        <v>0</v>
      </c>
      <c r="CL26" s="68"/>
      <c r="CM26" s="68"/>
      <c r="CN26" s="71">
        <f t="shared" si="29"/>
        <v>0</v>
      </c>
      <c r="CO26" s="68"/>
      <c r="CP26" s="68"/>
      <c r="CQ26" s="71">
        <f t="shared" si="30"/>
        <v>0</v>
      </c>
      <c r="CR26" s="68"/>
      <c r="CS26" s="68"/>
      <c r="CT26" s="71">
        <f t="shared" si="31"/>
        <v>0</v>
      </c>
      <c r="CU26" s="68"/>
      <c r="CV26" s="68"/>
      <c r="CW26" s="71">
        <f t="shared" si="32"/>
        <v>0</v>
      </c>
      <c r="CX26" s="68"/>
      <c r="CY26" s="68"/>
      <c r="CZ26" s="71">
        <f t="shared" si="33"/>
        <v>0</v>
      </c>
      <c r="DA26" s="68"/>
      <c r="DB26" s="68"/>
      <c r="DC26" s="71">
        <f t="shared" si="34"/>
        <v>0</v>
      </c>
      <c r="DD26" s="68"/>
      <c r="DE26" s="68"/>
      <c r="DF26" s="71">
        <f t="shared" si="35"/>
        <v>0</v>
      </c>
      <c r="DG26" s="68"/>
      <c r="DH26" s="68"/>
      <c r="DI26" s="71">
        <f t="shared" si="36"/>
        <v>0</v>
      </c>
      <c r="DJ26" s="68"/>
      <c r="DK26" s="68"/>
      <c r="DL26" s="71">
        <f t="shared" si="37"/>
        <v>0</v>
      </c>
      <c r="DM26" s="68"/>
      <c r="DN26" s="68"/>
      <c r="DO26" s="71">
        <f t="shared" si="38"/>
        <v>0</v>
      </c>
      <c r="DP26" s="68"/>
      <c r="DQ26" s="68"/>
      <c r="DR26" s="71">
        <f t="shared" si="39"/>
        <v>0</v>
      </c>
      <c r="DS26" s="71">
        <f t="shared" si="40"/>
        <v>185844</v>
      </c>
      <c r="DT26" s="71">
        <f t="shared" si="41"/>
        <v>177820</v>
      </c>
      <c r="DU26" s="71">
        <f t="shared" si="42"/>
        <v>-8024</v>
      </c>
      <c r="DV26" s="80"/>
      <c r="DW26" s="73"/>
      <c r="DX26" s="73"/>
      <c r="DY26" s="80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</row>
    <row r="27" spans="1:141" x14ac:dyDescent="0.25">
      <c r="A27" s="67">
        <f t="shared" si="43"/>
        <v>36699</v>
      </c>
      <c r="B27" s="67" t="s">
        <v>47</v>
      </c>
      <c r="C27" s="68">
        <v>4178</v>
      </c>
      <c r="D27" s="68">
        <v>4178</v>
      </c>
      <c r="E27" s="71">
        <f t="shared" si="0"/>
        <v>0</v>
      </c>
      <c r="F27" s="68">
        <v>5000</v>
      </c>
      <c r="G27" s="68">
        <v>5000</v>
      </c>
      <c r="H27" s="71">
        <f t="shared" si="1"/>
        <v>0</v>
      </c>
      <c r="I27" s="68">
        <v>4666</v>
      </c>
      <c r="J27" s="68">
        <v>4666</v>
      </c>
      <c r="K27" s="71">
        <f t="shared" si="2"/>
        <v>0</v>
      </c>
      <c r="L27" s="68">
        <v>16000</v>
      </c>
      <c r="M27" s="68">
        <f>1000+14683</f>
        <v>15683</v>
      </c>
      <c r="N27" s="71">
        <f t="shared" si="3"/>
        <v>-317</v>
      </c>
      <c r="O27" s="68">
        <v>10000</v>
      </c>
      <c r="P27" s="68">
        <v>10000</v>
      </c>
      <c r="Q27" s="71">
        <f t="shared" si="4"/>
        <v>0</v>
      </c>
      <c r="R27" s="68">
        <v>20000</v>
      </c>
      <c r="S27" s="68">
        <v>20000</v>
      </c>
      <c r="T27" s="71">
        <f t="shared" si="5"/>
        <v>0</v>
      </c>
      <c r="U27" s="68">
        <v>10000</v>
      </c>
      <c r="V27" s="68">
        <v>10000</v>
      </c>
      <c r="W27" s="71">
        <f t="shared" si="6"/>
        <v>0</v>
      </c>
      <c r="X27" s="68">
        <v>5000</v>
      </c>
      <c r="Y27" s="68">
        <v>5000</v>
      </c>
      <c r="Z27" s="71">
        <f t="shared" si="7"/>
        <v>0</v>
      </c>
      <c r="AA27" s="68">
        <v>5000</v>
      </c>
      <c r="AB27" s="68">
        <v>5000</v>
      </c>
      <c r="AC27" s="71">
        <f t="shared" si="8"/>
        <v>0</v>
      </c>
      <c r="AD27" s="68">
        <f t="shared" si="44"/>
        <v>15000</v>
      </c>
      <c r="AE27" s="68">
        <f>10000+3317</f>
        <v>13317</v>
      </c>
      <c r="AF27" s="71">
        <f t="shared" si="9"/>
        <v>-1683</v>
      </c>
      <c r="AG27" s="68">
        <v>10000</v>
      </c>
      <c r="AH27" s="68">
        <v>10000</v>
      </c>
      <c r="AI27" s="71">
        <f t="shared" si="10"/>
        <v>0</v>
      </c>
      <c r="AJ27" s="68">
        <v>10000</v>
      </c>
      <c r="AK27" s="68">
        <v>10000</v>
      </c>
      <c r="AL27" s="71">
        <f t="shared" si="11"/>
        <v>0</v>
      </c>
      <c r="AM27" s="68">
        <v>10000</v>
      </c>
      <c r="AN27" s="68">
        <v>10000</v>
      </c>
      <c r="AO27" s="71">
        <f t="shared" si="12"/>
        <v>0</v>
      </c>
      <c r="AP27" s="68">
        <v>5000</v>
      </c>
      <c r="AQ27" s="68">
        <v>5000</v>
      </c>
      <c r="AR27" s="71">
        <f t="shared" si="13"/>
        <v>0</v>
      </c>
      <c r="AS27" s="68">
        <v>20000</v>
      </c>
      <c r="AT27" s="68">
        <v>20000</v>
      </c>
      <c r="AU27" s="71">
        <f t="shared" si="14"/>
        <v>0</v>
      </c>
      <c r="AV27" s="68">
        <v>20000</v>
      </c>
      <c r="AW27" s="68">
        <v>20000</v>
      </c>
      <c r="AX27" s="71">
        <f t="shared" si="15"/>
        <v>0</v>
      </c>
      <c r="AY27" s="68">
        <v>6000</v>
      </c>
      <c r="AZ27" s="68">
        <v>6000</v>
      </c>
      <c r="BA27" s="71">
        <f t="shared" si="16"/>
        <v>0</v>
      </c>
      <c r="BB27" s="68">
        <v>5000</v>
      </c>
      <c r="BC27" s="68">
        <v>3317</v>
      </c>
      <c r="BD27" s="71">
        <f t="shared" si="17"/>
        <v>-1683</v>
      </c>
      <c r="BE27" s="68">
        <v>5000</v>
      </c>
      <c r="BF27" s="68">
        <v>5000</v>
      </c>
      <c r="BG27" s="71">
        <f t="shared" si="18"/>
        <v>0</v>
      </c>
      <c r="BH27" s="68"/>
      <c r="BI27" s="68"/>
      <c r="BJ27" s="71">
        <f t="shared" si="19"/>
        <v>0</v>
      </c>
      <c r="BK27" s="68"/>
      <c r="BL27" s="68"/>
      <c r="BM27" s="71">
        <f t="shared" si="20"/>
        <v>0</v>
      </c>
      <c r="BN27" s="68"/>
      <c r="BO27" s="68"/>
      <c r="BP27" s="71">
        <f t="shared" si="21"/>
        <v>0</v>
      </c>
      <c r="BQ27" s="68"/>
      <c r="BR27" s="68"/>
      <c r="BS27" s="71">
        <f t="shared" si="22"/>
        <v>0</v>
      </c>
      <c r="BT27" s="68"/>
      <c r="BU27" s="68"/>
      <c r="BV27" s="71">
        <f t="shared" si="23"/>
        <v>0</v>
      </c>
      <c r="BW27" s="68"/>
      <c r="BX27" s="68"/>
      <c r="BY27" s="71">
        <f t="shared" si="24"/>
        <v>0</v>
      </c>
      <c r="BZ27" s="68"/>
      <c r="CA27" s="68"/>
      <c r="CB27" s="71">
        <f t="shared" si="25"/>
        <v>0</v>
      </c>
      <c r="CC27" s="68"/>
      <c r="CD27" s="68"/>
      <c r="CE27" s="71">
        <f t="shared" si="26"/>
        <v>0</v>
      </c>
      <c r="CF27" s="68"/>
      <c r="CG27" s="68"/>
      <c r="CH27" s="71">
        <f t="shared" si="27"/>
        <v>0</v>
      </c>
      <c r="CI27" s="68"/>
      <c r="CJ27" s="68"/>
      <c r="CK27" s="71">
        <f t="shared" si="28"/>
        <v>0</v>
      </c>
      <c r="CL27" s="68"/>
      <c r="CM27" s="68"/>
      <c r="CN27" s="71">
        <f t="shared" si="29"/>
        <v>0</v>
      </c>
      <c r="CO27" s="68"/>
      <c r="CP27" s="68"/>
      <c r="CQ27" s="71">
        <f t="shared" si="30"/>
        <v>0</v>
      </c>
      <c r="CR27" s="68"/>
      <c r="CS27" s="68"/>
      <c r="CT27" s="71">
        <f t="shared" si="31"/>
        <v>0</v>
      </c>
      <c r="CU27" s="68"/>
      <c r="CV27" s="68"/>
      <c r="CW27" s="71">
        <f t="shared" si="32"/>
        <v>0</v>
      </c>
      <c r="CX27" s="68"/>
      <c r="CY27" s="68"/>
      <c r="CZ27" s="71">
        <f t="shared" si="33"/>
        <v>0</v>
      </c>
      <c r="DA27" s="68"/>
      <c r="DB27" s="68"/>
      <c r="DC27" s="71">
        <f t="shared" si="34"/>
        <v>0</v>
      </c>
      <c r="DD27" s="68"/>
      <c r="DE27" s="68"/>
      <c r="DF27" s="71">
        <f t="shared" si="35"/>
        <v>0</v>
      </c>
      <c r="DG27" s="68"/>
      <c r="DH27" s="68"/>
      <c r="DI27" s="71">
        <f t="shared" si="36"/>
        <v>0</v>
      </c>
      <c r="DJ27" s="68"/>
      <c r="DK27" s="68"/>
      <c r="DL27" s="71">
        <f t="shared" si="37"/>
        <v>0</v>
      </c>
      <c r="DM27" s="68"/>
      <c r="DN27" s="68"/>
      <c r="DO27" s="71">
        <f t="shared" si="38"/>
        <v>0</v>
      </c>
      <c r="DP27" s="68"/>
      <c r="DQ27" s="68"/>
      <c r="DR27" s="71">
        <f t="shared" si="39"/>
        <v>0</v>
      </c>
      <c r="DS27" s="71">
        <f t="shared" si="40"/>
        <v>185844</v>
      </c>
      <c r="DT27" s="71">
        <f t="shared" si="41"/>
        <v>182161</v>
      </c>
      <c r="DU27" s="71">
        <f t="shared" si="42"/>
        <v>-3683</v>
      </c>
      <c r="DV27" s="80"/>
      <c r="DW27" s="73"/>
      <c r="DX27" s="73"/>
      <c r="DY27" s="80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</row>
    <row r="28" spans="1:141" x14ac:dyDescent="0.25">
      <c r="A28" s="67">
        <f t="shared" si="43"/>
        <v>36700</v>
      </c>
      <c r="B28" s="67" t="s">
        <v>48</v>
      </c>
      <c r="C28" s="68">
        <v>4178</v>
      </c>
      <c r="D28" s="68">
        <v>4178</v>
      </c>
      <c r="E28" s="71">
        <f t="shared" si="0"/>
        <v>0</v>
      </c>
      <c r="F28" s="68">
        <v>5000</v>
      </c>
      <c r="G28" s="68">
        <v>5000</v>
      </c>
      <c r="H28" s="71">
        <f t="shared" si="1"/>
        <v>0</v>
      </c>
      <c r="I28" s="68">
        <v>4666</v>
      </c>
      <c r="J28" s="68">
        <v>4666</v>
      </c>
      <c r="K28" s="71">
        <f t="shared" si="2"/>
        <v>0</v>
      </c>
      <c r="L28" s="68">
        <v>16000</v>
      </c>
      <c r="M28" s="68">
        <f>15000+1000</f>
        <v>16000</v>
      </c>
      <c r="N28" s="71">
        <f t="shared" si="3"/>
        <v>0</v>
      </c>
      <c r="O28" s="68">
        <v>10000</v>
      </c>
      <c r="P28" s="68">
        <v>10000</v>
      </c>
      <c r="Q28" s="71">
        <f t="shared" si="4"/>
        <v>0</v>
      </c>
      <c r="R28" s="68">
        <v>20000</v>
      </c>
      <c r="S28" s="68">
        <v>20000</v>
      </c>
      <c r="T28" s="71">
        <f t="shared" si="5"/>
        <v>0</v>
      </c>
      <c r="U28" s="68">
        <v>10000</v>
      </c>
      <c r="V28" s="68">
        <v>10000</v>
      </c>
      <c r="W28" s="71">
        <f t="shared" si="6"/>
        <v>0</v>
      </c>
      <c r="X28" s="68">
        <v>5000</v>
      </c>
      <c r="Y28" s="68">
        <v>5000</v>
      </c>
      <c r="Z28" s="71">
        <f t="shared" si="7"/>
        <v>0</v>
      </c>
      <c r="AA28" s="68">
        <v>5000</v>
      </c>
      <c r="AB28" s="68">
        <v>5000</v>
      </c>
      <c r="AC28" s="71">
        <f t="shared" si="8"/>
        <v>0</v>
      </c>
      <c r="AD28" s="68">
        <f t="shared" si="44"/>
        <v>15000</v>
      </c>
      <c r="AE28" s="68">
        <f>10000+3125</f>
        <v>13125</v>
      </c>
      <c r="AF28" s="71">
        <f t="shared" si="9"/>
        <v>-1875</v>
      </c>
      <c r="AG28" s="68">
        <v>10000</v>
      </c>
      <c r="AH28" s="68">
        <v>10000</v>
      </c>
      <c r="AI28" s="71">
        <f t="shared" si="10"/>
        <v>0</v>
      </c>
      <c r="AJ28" s="68">
        <v>10000</v>
      </c>
      <c r="AK28" s="68">
        <v>10000</v>
      </c>
      <c r="AL28" s="71">
        <f t="shared" si="11"/>
        <v>0</v>
      </c>
      <c r="AM28" s="68">
        <v>10000</v>
      </c>
      <c r="AN28" s="68">
        <v>10000</v>
      </c>
      <c r="AO28" s="71">
        <f t="shared" si="12"/>
        <v>0</v>
      </c>
      <c r="AP28" s="68">
        <v>5000</v>
      </c>
      <c r="AQ28" s="68">
        <v>5000</v>
      </c>
      <c r="AR28" s="71">
        <f t="shared" si="13"/>
        <v>0</v>
      </c>
      <c r="AS28" s="68">
        <v>20000</v>
      </c>
      <c r="AT28" s="68">
        <v>20000</v>
      </c>
      <c r="AU28" s="71">
        <f t="shared" si="14"/>
        <v>0</v>
      </c>
      <c r="AV28" s="68">
        <v>20000</v>
      </c>
      <c r="AW28" s="68">
        <v>20000</v>
      </c>
      <c r="AX28" s="71">
        <f t="shared" si="15"/>
        <v>0</v>
      </c>
      <c r="AY28" s="68">
        <v>6000</v>
      </c>
      <c r="AZ28" s="68">
        <v>6000</v>
      </c>
      <c r="BA28" s="71">
        <f t="shared" si="16"/>
        <v>0</v>
      </c>
      <c r="BB28" s="68">
        <v>5000</v>
      </c>
      <c r="BC28" s="68">
        <v>3125</v>
      </c>
      <c r="BD28" s="71">
        <f t="shared" si="17"/>
        <v>-1875</v>
      </c>
      <c r="BE28" s="68">
        <v>5000</v>
      </c>
      <c r="BF28" s="68">
        <v>5000</v>
      </c>
      <c r="BG28" s="71">
        <f t="shared" si="18"/>
        <v>0</v>
      </c>
      <c r="BH28" s="68"/>
      <c r="BI28" s="68"/>
      <c r="BJ28" s="71">
        <f t="shared" si="19"/>
        <v>0</v>
      </c>
      <c r="BK28" s="68"/>
      <c r="BL28" s="68"/>
      <c r="BM28" s="71">
        <f t="shared" si="20"/>
        <v>0</v>
      </c>
      <c r="BN28" s="68"/>
      <c r="BO28" s="68"/>
      <c r="BP28" s="71">
        <f t="shared" si="21"/>
        <v>0</v>
      </c>
      <c r="BQ28" s="68"/>
      <c r="BR28" s="68"/>
      <c r="BS28" s="71">
        <f t="shared" si="22"/>
        <v>0</v>
      </c>
      <c r="BT28" s="68"/>
      <c r="BU28" s="68"/>
      <c r="BV28" s="71">
        <f t="shared" si="23"/>
        <v>0</v>
      </c>
      <c r="BW28" s="68"/>
      <c r="BX28" s="68"/>
      <c r="BY28" s="71">
        <f t="shared" si="24"/>
        <v>0</v>
      </c>
      <c r="BZ28" s="68"/>
      <c r="CA28" s="68"/>
      <c r="CB28" s="71">
        <f t="shared" si="25"/>
        <v>0</v>
      </c>
      <c r="CC28" s="68"/>
      <c r="CD28" s="68"/>
      <c r="CE28" s="71">
        <f t="shared" si="26"/>
        <v>0</v>
      </c>
      <c r="CF28" s="68"/>
      <c r="CG28" s="68"/>
      <c r="CH28" s="71">
        <f t="shared" si="27"/>
        <v>0</v>
      </c>
      <c r="CI28" s="68"/>
      <c r="CJ28" s="68"/>
      <c r="CK28" s="71">
        <f t="shared" si="28"/>
        <v>0</v>
      </c>
      <c r="CL28" s="68"/>
      <c r="CM28" s="68"/>
      <c r="CN28" s="71">
        <f t="shared" si="29"/>
        <v>0</v>
      </c>
      <c r="CO28" s="68"/>
      <c r="CP28" s="68"/>
      <c r="CQ28" s="71">
        <f t="shared" si="30"/>
        <v>0</v>
      </c>
      <c r="CR28" s="68"/>
      <c r="CS28" s="68"/>
      <c r="CT28" s="71">
        <f t="shared" si="31"/>
        <v>0</v>
      </c>
      <c r="CU28" s="68"/>
      <c r="CV28" s="68"/>
      <c r="CW28" s="71">
        <f t="shared" si="32"/>
        <v>0</v>
      </c>
      <c r="CX28" s="68"/>
      <c r="CY28" s="68"/>
      <c r="CZ28" s="71">
        <f t="shared" si="33"/>
        <v>0</v>
      </c>
      <c r="DA28" s="68"/>
      <c r="DB28" s="68"/>
      <c r="DC28" s="71">
        <f t="shared" si="34"/>
        <v>0</v>
      </c>
      <c r="DD28" s="68"/>
      <c r="DE28" s="68"/>
      <c r="DF28" s="71">
        <f t="shared" si="35"/>
        <v>0</v>
      </c>
      <c r="DG28" s="68"/>
      <c r="DH28" s="68"/>
      <c r="DI28" s="71">
        <f t="shared" si="36"/>
        <v>0</v>
      </c>
      <c r="DJ28" s="68"/>
      <c r="DK28" s="68"/>
      <c r="DL28" s="71">
        <f t="shared" si="37"/>
        <v>0</v>
      </c>
      <c r="DM28" s="68"/>
      <c r="DN28" s="68"/>
      <c r="DO28" s="71">
        <f t="shared" si="38"/>
        <v>0</v>
      </c>
      <c r="DP28" s="68"/>
      <c r="DQ28" s="68"/>
      <c r="DR28" s="71">
        <f t="shared" si="39"/>
        <v>0</v>
      </c>
      <c r="DS28" s="71">
        <f t="shared" si="40"/>
        <v>185844</v>
      </c>
      <c r="DT28" s="71">
        <f t="shared" si="41"/>
        <v>182094</v>
      </c>
      <c r="DU28" s="71">
        <f t="shared" si="42"/>
        <v>-3750</v>
      </c>
      <c r="DV28" s="80"/>
      <c r="DW28" s="73"/>
      <c r="DX28" s="73"/>
      <c r="DY28" s="80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</row>
    <row r="29" spans="1:141" x14ac:dyDescent="0.25">
      <c r="A29" s="67">
        <f t="shared" si="43"/>
        <v>36701</v>
      </c>
      <c r="B29" s="67" t="s">
        <v>49</v>
      </c>
      <c r="C29" s="68">
        <v>4178</v>
      </c>
      <c r="D29" s="68">
        <v>4178</v>
      </c>
      <c r="E29" s="71">
        <f t="shared" si="0"/>
        <v>0</v>
      </c>
      <c r="F29" s="68">
        <v>5000</v>
      </c>
      <c r="G29" s="68">
        <v>5000</v>
      </c>
      <c r="H29" s="71">
        <f t="shared" si="1"/>
        <v>0</v>
      </c>
      <c r="I29" s="68">
        <v>4666</v>
      </c>
      <c r="J29" s="68">
        <v>4666</v>
      </c>
      <c r="K29" s="71">
        <f t="shared" si="2"/>
        <v>0</v>
      </c>
      <c r="L29" s="68">
        <v>16000</v>
      </c>
      <c r="M29" s="68">
        <f>16000+2755</f>
        <v>18755</v>
      </c>
      <c r="N29" s="71">
        <f t="shared" si="3"/>
        <v>2755</v>
      </c>
      <c r="O29" s="68">
        <v>10000</v>
      </c>
      <c r="P29" s="68">
        <v>10000</v>
      </c>
      <c r="Q29" s="71">
        <f t="shared" si="4"/>
        <v>0</v>
      </c>
      <c r="R29" s="68">
        <v>20000</v>
      </c>
      <c r="S29" s="68">
        <v>20000</v>
      </c>
      <c r="T29" s="71">
        <f t="shared" si="5"/>
        <v>0</v>
      </c>
      <c r="U29" s="68">
        <v>10000</v>
      </c>
      <c r="V29" s="68">
        <v>10000</v>
      </c>
      <c r="W29" s="71">
        <f t="shared" si="6"/>
        <v>0</v>
      </c>
      <c r="X29" s="68">
        <v>5000</v>
      </c>
      <c r="Y29" s="68">
        <v>5000</v>
      </c>
      <c r="Z29" s="71">
        <f t="shared" si="7"/>
        <v>0</v>
      </c>
      <c r="AA29" s="68">
        <v>5000</v>
      </c>
      <c r="AB29" s="68">
        <v>5000</v>
      </c>
      <c r="AC29" s="71">
        <f t="shared" si="8"/>
        <v>0</v>
      </c>
      <c r="AD29" s="68">
        <f t="shared" si="44"/>
        <v>15000</v>
      </c>
      <c r="AE29" s="68">
        <f>10000+3056</f>
        <v>13056</v>
      </c>
      <c r="AF29" s="71">
        <f t="shared" si="9"/>
        <v>-1944</v>
      </c>
      <c r="AG29" s="68">
        <v>10000</v>
      </c>
      <c r="AH29" s="68">
        <v>10000</v>
      </c>
      <c r="AI29" s="71">
        <f t="shared" si="10"/>
        <v>0</v>
      </c>
      <c r="AJ29" s="68">
        <v>10000</v>
      </c>
      <c r="AK29" s="68">
        <v>10000</v>
      </c>
      <c r="AL29" s="71">
        <f t="shared" si="11"/>
        <v>0</v>
      </c>
      <c r="AM29" s="68">
        <v>10000</v>
      </c>
      <c r="AN29" s="68">
        <v>10000</v>
      </c>
      <c r="AO29" s="71">
        <f t="shared" si="12"/>
        <v>0</v>
      </c>
      <c r="AP29" s="68">
        <v>5000</v>
      </c>
      <c r="AQ29" s="68">
        <v>5000</v>
      </c>
      <c r="AR29" s="71">
        <f t="shared" si="13"/>
        <v>0</v>
      </c>
      <c r="AS29" s="68">
        <v>20000</v>
      </c>
      <c r="AT29" s="68">
        <v>20000</v>
      </c>
      <c r="AU29" s="71">
        <f t="shared" si="14"/>
        <v>0</v>
      </c>
      <c r="AV29" s="68">
        <v>20000</v>
      </c>
      <c r="AW29" s="68">
        <v>20000</v>
      </c>
      <c r="AX29" s="71">
        <f t="shared" si="15"/>
        <v>0</v>
      </c>
      <c r="AY29" s="68">
        <v>6000</v>
      </c>
      <c r="AZ29" s="68">
        <v>6000</v>
      </c>
      <c r="BA29" s="71">
        <f t="shared" si="16"/>
        <v>0</v>
      </c>
      <c r="BB29" s="68">
        <v>5000</v>
      </c>
      <c r="BC29" s="68">
        <v>3056</v>
      </c>
      <c r="BD29" s="71">
        <f t="shared" si="17"/>
        <v>-1944</v>
      </c>
      <c r="BE29" s="68">
        <v>5000</v>
      </c>
      <c r="BF29" s="68">
        <v>5000</v>
      </c>
      <c r="BG29" s="71">
        <f t="shared" si="18"/>
        <v>0</v>
      </c>
      <c r="BH29" s="68"/>
      <c r="BI29" s="68"/>
      <c r="BJ29" s="71">
        <f t="shared" si="19"/>
        <v>0</v>
      </c>
      <c r="BK29" s="68"/>
      <c r="BL29" s="68"/>
      <c r="BM29" s="71">
        <f t="shared" si="20"/>
        <v>0</v>
      </c>
      <c r="BN29" s="68"/>
      <c r="BO29" s="68"/>
      <c r="BP29" s="71">
        <f t="shared" si="21"/>
        <v>0</v>
      </c>
      <c r="BQ29" s="68"/>
      <c r="BR29" s="68"/>
      <c r="BS29" s="71">
        <f t="shared" si="22"/>
        <v>0</v>
      </c>
      <c r="BT29" s="68"/>
      <c r="BU29" s="68"/>
      <c r="BV29" s="71">
        <f t="shared" si="23"/>
        <v>0</v>
      </c>
      <c r="BW29" s="68"/>
      <c r="BX29" s="68"/>
      <c r="BY29" s="71">
        <f t="shared" si="24"/>
        <v>0</v>
      </c>
      <c r="BZ29" s="68"/>
      <c r="CA29" s="68"/>
      <c r="CB29" s="71">
        <f t="shared" si="25"/>
        <v>0</v>
      </c>
      <c r="CC29" s="68"/>
      <c r="CD29" s="68"/>
      <c r="CE29" s="71">
        <f t="shared" si="26"/>
        <v>0</v>
      </c>
      <c r="CF29" s="68"/>
      <c r="CG29" s="68"/>
      <c r="CH29" s="71">
        <f t="shared" si="27"/>
        <v>0</v>
      </c>
      <c r="CI29" s="68"/>
      <c r="CJ29" s="68"/>
      <c r="CK29" s="71">
        <f t="shared" si="28"/>
        <v>0</v>
      </c>
      <c r="CL29" s="68"/>
      <c r="CM29" s="68"/>
      <c r="CN29" s="71">
        <f t="shared" si="29"/>
        <v>0</v>
      </c>
      <c r="CO29" s="68"/>
      <c r="CP29" s="68"/>
      <c r="CQ29" s="71">
        <f t="shared" si="30"/>
        <v>0</v>
      </c>
      <c r="CR29" s="68"/>
      <c r="CS29" s="68"/>
      <c r="CT29" s="71">
        <f t="shared" si="31"/>
        <v>0</v>
      </c>
      <c r="CU29" s="68"/>
      <c r="CV29" s="68"/>
      <c r="CW29" s="71">
        <f t="shared" si="32"/>
        <v>0</v>
      </c>
      <c r="CX29" s="68"/>
      <c r="CY29" s="68"/>
      <c r="CZ29" s="71">
        <f t="shared" si="33"/>
        <v>0</v>
      </c>
      <c r="DA29" s="68"/>
      <c r="DB29" s="68"/>
      <c r="DC29" s="71">
        <f t="shared" si="34"/>
        <v>0</v>
      </c>
      <c r="DD29" s="68"/>
      <c r="DE29" s="68"/>
      <c r="DF29" s="71">
        <f t="shared" si="35"/>
        <v>0</v>
      </c>
      <c r="DG29" s="68"/>
      <c r="DH29" s="68"/>
      <c r="DI29" s="71">
        <f t="shared" si="36"/>
        <v>0</v>
      </c>
      <c r="DJ29" s="68"/>
      <c r="DK29" s="68"/>
      <c r="DL29" s="71">
        <f t="shared" si="37"/>
        <v>0</v>
      </c>
      <c r="DM29" s="68"/>
      <c r="DN29" s="68"/>
      <c r="DO29" s="71">
        <f t="shared" si="38"/>
        <v>0</v>
      </c>
      <c r="DP29" s="68"/>
      <c r="DQ29" s="68"/>
      <c r="DR29" s="71">
        <f t="shared" si="39"/>
        <v>0</v>
      </c>
      <c r="DS29" s="71">
        <f t="shared" si="40"/>
        <v>185844</v>
      </c>
      <c r="DT29" s="71">
        <f t="shared" si="41"/>
        <v>184711</v>
      </c>
      <c r="DU29" s="71">
        <f t="shared" si="42"/>
        <v>-1133</v>
      </c>
      <c r="DV29" s="80"/>
      <c r="DW29" s="73"/>
      <c r="DX29" s="73"/>
      <c r="DY29" s="80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</row>
    <row r="30" spans="1:141" x14ac:dyDescent="0.25">
      <c r="A30" s="67">
        <f t="shared" si="43"/>
        <v>36702</v>
      </c>
      <c r="B30" s="67" t="s">
        <v>50</v>
      </c>
      <c r="C30" s="68">
        <v>4178</v>
      </c>
      <c r="D30" s="68">
        <v>4178</v>
      </c>
      <c r="E30" s="71">
        <f t="shared" si="0"/>
        <v>0</v>
      </c>
      <c r="F30" s="68">
        <v>5000</v>
      </c>
      <c r="G30" s="68">
        <v>5000</v>
      </c>
      <c r="H30" s="71">
        <f t="shared" si="1"/>
        <v>0</v>
      </c>
      <c r="I30" s="68">
        <v>4666</v>
      </c>
      <c r="J30" s="68">
        <v>4666</v>
      </c>
      <c r="K30" s="71">
        <f t="shared" si="2"/>
        <v>0</v>
      </c>
      <c r="L30" s="68">
        <v>16000</v>
      </c>
      <c r="M30" s="68">
        <f t="shared" ref="M30:M35" si="45">16000+2755</f>
        <v>18755</v>
      </c>
      <c r="N30" s="71">
        <f t="shared" si="3"/>
        <v>2755</v>
      </c>
      <c r="O30" s="68">
        <v>10000</v>
      </c>
      <c r="P30" s="68">
        <v>10000</v>
      </c>
      <c r="Q30" s="71">
        <f t="shared" si="4"/>
        <v>0</v>
      </c>
      <c r="R30" s="68">
        <v>20000</v>
      </c>
      <c r="S30" s="68">
        <v>20000</v>
      </c>
      <c r="T30" s="71">
        <f t="shared" si="5"/>
        <v>0</v>
      </c>
      <c r="U30" s="68">
        <v>10000</v>
      </c>
      <c r="V30" s="68">
        <v>10000</v>
      </c>
      <c r="W30" s="71">
        <f t="shared" si="6"/>
        <v>0</v>
      </c>
      <c r="X30" s="68">
        <v>5000</v>
      </c>
      <c r="Y30" s="68">
        <v>5000</v>
      </c>
      <c r="Z30" s="71">
        <f t="shared" si="7"/>
        <v>0</v>
      </c>
      <c r="AA30" s="68">
        <v>5000</v>
      </c>
      <c r="AB30" s="68">
        <v>5000</v>
      </c>
      <c r="AC30" s="71">
        <f t="shared" si="8"/>
        <v>0</v>
      </c>
      <c r="AD30" s="68">
        <f t="shared" si="44"/>
        <v>15000</v>
      </c>
      <c r="AE30" s="68">
        <f>10000+2999</f>
        <v>12999</v>
      </c>
      <c r="AF30" s="71">
        <f t="shared" si="9"/>
        <v>-2001</v>
      </c>
      <c r="AG30" s="68">
        <v>10000</v>
      </c>
      <c r="AH30" s="68">
        <v>10000</v>
      </c>
      <c r="AI30" s="71">
        <f t="shared" si="10"/>
        <v>0</v>
      </c>
      <c r="AJ30" s="68">
        <v>10000</v>
      </c>
      <c r="AK30" s="68">
        <v>10000</v>
      </c>
      <c r="AL30" s="71">
        <f t="shared" si="11"/>
        <v>0</v>
      </c>
      <c r="AM30" s="68">
        <v>10000</v>
      </c>
      <c r="AN30" s="68">
        <v>10000</v>
      </c>
      <c r="AO30" s="71">
        <f t="shared" si="12"/>
        <v>0</v>
      </c>
      <c r="AP30" s="68">
        <v>5000</v>
      </c>
      <c r="AQ30" s="68">
        <v>5000</v>
      </c>
      <c r="AR30" s="71">
        <f t="shared" si="13"/>
        <v>0</v>
      </c>
      <c r="AS30" s="68">
        <v>20000</v>
      </c>
      <c r="AT30" s="68">
        <v>20000</v>
      </c>
      <c r="AU30" s="71">
        <f t="shared" si="14"/>
        <v>0</v>
      </c>
      <c r="AV30" s="68">
        <v>20000</v>
      </c>
      <c r="AW30" s="68">
        <v>20000</v>
      </c>
      <c r="AX30" s="71">
        <f t="shared" si="15"/>
        <v>0</v>
      </c>
      <c r="AY30" s="68">
        <v>6000</v>
      </c>
      <c r="AZ30" s="68">
        <v>6000</v>
      </c>
      <c r="BA30" s="71">
        <f t="shared" si="16"/>
        <v>0</v>
      </c>
      <c r="BB30" s="68">
        <v>5000</v>
      </c>
      <c r="BC30" s="68">
        <v>2999</v>
      </c>
      <c r="BD30" s="71">
        <f t="shared" si="17"/>
        <v>-2001</v>
      </c>
      <c r="BE30" s="68">
        <v>5000</v>
      </c>
      <c r="BF30" s="68">
        <v>5000</v>
      </c>
      <c r="BG30" s="71">
        <f t="shared" si="18"/>
        <v>0</v>
      </c>
      <c r="BH30" s="68"/>
      <c r="BI30" s="68"/>
      <c r="BJ30" s="71">
        <f t="shared" si="19"/>
        <v>0</v>
      </c>
      <c r="BK30" s="68"/>
      <c r="BL30" s="68"/>
      <c r="BM30" s="71">
        <f t="shared" si="20"/>
        <v>0</v>
      </c>
      <c r="BN30" s="68"/>
      <c r="BO30" s="68"/>
      <c r="BP30" s="71">
        <f t="shared" si="21"/>
        <v>0</v>
      </c>
      <c r="BQ30" s="68"/>
      <c r="BR30" s="68"/>
      <c r="BS30" s="71">
        <f t="shared" si="22"/>
        <v>0</v>
      </c>
      <c r="BT30" s="68"/>
      <c r="BU30" s="68"/>
      <c r="BV30" s="71">
        <f t="shared" si="23"/>
        <v>0</v>
      </c>
      <c r="BW30" s="68"/>
      <c r="BX30" s="68"/>
      <c r="BY30" s="71">
        <f t="shared" si="24"/>
        <v>0</v>
      </c>
      <c r="BZ30" s="68"/>
      <c r="CA30" s="68"/>
      <c r="CB30" s="71">
        <f t="shared" si="25"/>
        <v>0</v>
      </c>
      <c r="CC30" s="68"/>
      <c r="CD30" s="68"/>
      <c r="CE30" s="71">
        <f t="shared" si="26"/>
        <v>0</v>
      </c>
      <c r="CF30" s="68"/>
      <c r="CG30" s="68"/>
      <c r="CH30" s="71">
        <f t="shared" si="27"/>
        <v>0</v>
      </c>
      <c r="CI30" s="68"/>
      <c r="CJ30" s="68"/>
      <c r="CK30" s="71">
        <f t="shared" si="28"/>
        <v>0</v>
      </c>
      <c r="CL30" s="68"/>
      <c r="CM30" s="68"/>
      <c r="CN30" s="71">
        <f t="shared" si="29"/>
        <v>0</v>
      </c>
      <c r="CO30" s="68"/>
      <c r="CP30" s="68"/>
      <c r="CQ30" s="71">
        <f t="shared" si="30"/>
        <v>0</v>
      </c>
      <c r="CR30" s="68"/>
      <c r="CS30" s="68"/>
      <c r="CT30" s="71">
        <f t="shared" si="31"/>
        <v>0</v>
      </c>
      <c r="CU30" s="68"/>
      <c r="CV30" s="68"/>
      <c r="CW30" s="71">
        <f t="shared" si="32"/>
        <v>0</v>
      </c>
      <c r="CX30" s="68"/>
      <c r="CY30" s="68"/>
      <c r="CZ30" s="71">
        <f t="shared" si="33"/>
        <v>0</v>
      </c>
      <c r="DA30" s="68"/>
      <c r="DB30" s="68"/>
      <c r="DC30" s="71">
        <f t="shared" si="34"/>
        <v>0</v>
      </c>
      <c r="DD30" s="68"/>
      <c r="DE30" s="68"/>
      <c r="DF30" s="71">
        <f t="shared" si="35"/>
        <v>0</v>
      </c>
      <c r="DG30" s="68"/>
      <c r="DH30" s="68"/>
      <c r="DI30" s="71">
        <f t="shared" si="36"/>
        <v>0</v>
      </c>
      <c r="DJ30" s="68"/>
      <c r="DK30" s="68"/>
      <c r="DL30" s="71">
        <f t="shared" si="37"/>
        <v>0</v>
      </c>
      <c r="DM30" s="68"/>
      <c r="DN30" s="68"/>
      <c r="DO30" s="71">
        <f t="shared" si="38"/>
        <v>0</v>
      </c>
      <c r="DP30" s="68"/>
      <c r="DQ30" s="68"/>
      <c r="DR30" s="71">
        <f t="shared" si="39"/>
        <v>0</v>
      </c>
      <c r="DS30" s="71">
        <f t="shared" si="40"/>
        <v>185844</v>
      </c>
      <c r="DT30" s="71">
        <f t="shared" si="41"/>
        <v>184597</v>
      </c>
      <c r="DU30" s="71">
        <f t="shared" si="42"/>
        <v>-1247</v>
      </c>
      <c r="DV30" s="80"/>
      <c r="DW30" s="73"/>
      <c r="DX30" s="73"/>
      <c r="DY30" s="80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</row>
    <row r="31" spans="1:141" x14ac:dyDescent="0.25">
      <c r="A31" s="67">
        <f t="shared" si="43"/>
        <v>36703</v>
      </c>
      <c r="B31" s="67" t="s">
        <v>51</v>
      </c>
      <c r="C31" s="68">
        <v>4178</v>
      </c>
      <c r="D31" s="68">
        <v>4178</v>
      </c>
      <c r="E31" s="71">
        <f t="shared" si="0"/>
        <v>0</v>
      </c>
      <c r="F31" s="68">
        <v>5000</v>
      </c>
      <c r="G31" s="68">
        <v>5000</v>
      </c>
      <c r="H31" s="71">
        <f t="shared" si="1"/>
        <v>0</v>
      </c>
      <c r="I31" s="68">
        <v>4666</v>
      </c>
      <c r="J31" s="68">
        <v>4666</v>
      </c>
      <c r="K31" s="71">
        <f t="shared" si="2"/>
        <v>0</v>
      </c>
      <c r="L31" s="68">
        <v>16000</v>
      </c>
      <c r="M31" s="68">
        <f t="shared" si="45"/>
        <v>18755</v>
      </c>
      <c r="N31" s="71">
        <f t="shared" si="3"/>
        <v>2755</v>
      </c>
      <c r="O31" s="68">
        <v>10000</v>
      </c>
      <c r="P31" s="68">
        <v>10000</v>
      </c>
      <c r="Q31" s="71">
        <f t="shared" si="4"/>
        <v>0</v>
      </c>
      <c r="R31" s="68">
        <v>20000</v>
      </c>
      <c r="S31" s="68">
        <v>20000</v>
      </c>
      <c r="T31" s="71">
        <f t="shared" si="5"/>
        <v>0</v>
      </c>
      <c r="U31" s="68">
        <v>10000</v>
      </c>
      <c r="V31" s="68">
        <v>10000</v>
      </c>
      <c r="W31" s="71">
        <f t="shared" si="6"/>
        <v>0</v>
      </c>
      <c r="X31" s="68">
        <v>5000</v>
      </c>
      <c r="Y31" s="68">
        <v>5000</v>
      </c>
      <c r="Z31" s="71">
        <f t="shared" si="7"/>
        <v>0</v>
      </c>
      <c r="AA31" s="68">
        <v>5000</v>
      </c>
      <c r="AB31" s="68">
        <v>5000</v>
      </c>
      <c r="AC31" s="71">
        <f t="shared" si="8"/>
        <v>0</v>
      </c>
      <c r="AD31" s="68">
        <f t="shared" si="44"/>
        <v>15000</v>
      </c>
      <c r="AE31" s="68">
        <f>10000+2816</f>
        <v>12816</v>
      </c>
      <c r="AF31" s="71">
        <f t="shared" si="9"/>
        <v>-2184</v>
      </c>
      <c r="AG31" s="68">
        <v>10000</v>
      </c>
      <c r="AH31" s="68">
        <v>10000</v>
      </c>
      <c r="AI31" s="71">
        <f t="shared" si="10"/>
        <v>0</v>
      </c>
      <c r="AJ31" s="68">
        <v>10000</v>
      </c>
      <c r="AK31" s="68">
        <v>10000</v>
      </c>
      <c r="AL31" s="71">
        <f t="shared" si="11"/>
        <v>0</v>
      </c>
      <c r="AM31" s="68">
        <v>10000</v>
      </c>
      <c r="AN31" s="68">
        <v>10000</v>
      </c>
      <c r="AO31" s="71">
        <f t="shared" si="12"/>
        <v>0</v>
      </c>
      <c r="AP31" s="68">
        <v>5000</v>
      </c>
      <c r="AQ31" s="68">
        <v>5000</v>
      </c>
      <c r="AR31" s="71">
        <f t="shared" si="13"/>
        <v>0</v>
      </c>
      <c r="AS31" s="68">
        <v>20000</v>
      </c>
      <c r="AT31" s="68">
        <v>20000</v>
      </c>
      <c r="AU31" s="71">
        <f t="shared" si="14"/>
        <v>0</v>
      </c>
      <c r="AV31" s="68">
        <v>20000</v>
      </c>
      <c r="AW31" s="68">
        <v>20000</v>
      </c>
      <c r="AX31" s="71">
        <f t="shared" si="15"/>
        <v>0</v>
      </c>
      <c r="AY31" s="68">
        <v>6000</v>
      </c>
      <c r="AZ31" s="68">
        <v>6000</v>
      </c>
      <c r="BA31" s="71">
        <f t="shared" si="16"/>
        <v>0</v>
      </c>
      <c r="BB31" s="68">
        <v>5000</v>
      </c>
      <c r="BC31" s="68">
        <v>2816</v>
      </c>
      <c r="BD31" s="71">
        <f t="shared" si="17"/>
        <v>-2184</v>
      </c>
      <c r="BE31" s="68">
        <v>5000</v>
      </c>
      <c r="BF31" s="68">
        <v>5000</v>
      </c>
      <c r="BG31" s="71">
        <f t="shared" si="18"/>
        <v>0</v>
      </c>
      <c r="BH31" s="68"/>
      <c r="BI31" s="68"/>
      <c r="BJ31" s="71">
        <f t="shared" si="19"/>
        <v>0</v>
      </c>
      <c r="BK31" s="68"/>
      <c r="BL31" s="68"/>
      <c r="BM31" s="71">
        <f t="shared" si="20"/>
        <v>0</v>
      </c>
      <c r="BN31" s="68"/>
      <c r="BO31" s="68"/>
      <c r="BP31" s="71">
        <f t="shared" si="21"/>
        <v>0</v>
      </c>
      <c r="BQ31" s="68"/>
      <c r="BR31" s="68"/>
      <c r="BS31" s="71">
        <f t="shared" si="22"/>
        <v>0</v>
      </c>
      <c r="BT31" s="68"/>
      <c r="BU31" s="68"/>
      <c r="BV31" s="71">
        <f t="shared" si="23"/>
        <v>0</v>
      </c>
      <c r="BW31" s="68"/>
      <c r="BX31" s="68"/>
      <c r="BY31" s="71">
        <f t="shared" si="24"/>
        <v>0</v>
      </c>
      <c r="BZ31" s="68"/>
      <c r="CA31" s="68"/>
      <c r="CB31" s="71">
        <f t="shared" si="25"/>
        <v>0</v>
      </c>
      <c r="CC31" s="68"/>
      <c r="CD31" s="68"/>
      <c r="CE31" s="71">
        <f t="shared" si="26"/>
        <v>0</v>
      </c>
      <c r="CF31" s="68"/>
      <c r="CG31" s="68"/>
      <c r="CH31" s="71">
        <f t="shared" si="27"/>
        <v>0</v>
      </c>
      <c r="CI31" s="68"/>
      <c r="CJ31" s="68"/>
      <c r="CK31" s="71">
        <f t="shared" si="28"/>
        <v>0</v>
      </c>
      <c r="CL31" s="68"/>
      <c r="CM31" s="68"/>
      <c r="CN31" s="71">
        <f t="shared" si="29"/>
        <v>0</v>
      </c>
      <c r="CO31" s="68"/>
      <c r="CP31" s="68"/>
      <c r="CQ31" s="71">
        <f t="shared" si="30"/>
        <v>0</v>
      </c>
      <c r="CR31" s="68"/>
      <c r="CS31" s="68"/>
      <c r="CT31" s="71">
        <f t="shared" si="31"/>
        <v>0</v>
      </c>
      <c r="CU31" s="68"/>
      <c r="CV31" s="68"/>
      <c r="CW31" s="71">
        <f t="shared" si="32"/>
        <v>0</v>
      </c>
      <c r="CX31" s="68"/>
      <c r="CY31" s="68"/>
      <c r="CZ31" s="71">
        <f t="shared" si="33"/>
        <v>0</v>
      </c>
      <c r="DA31" s="68"/>
      <c r="DB31" s="68"/>
      <c r="DC31" s="71">
        <f t="shared" si="34"/>
        <v>0</v>
      </c>
      <c r="DD31" s="68"/>
      <c r="DE31" s="68"/>
      <c r="DF31" s="71">
        <f t="shared" si="35"/>
        <v>0</v>
      </c>
      <c r="DG31" s="68"/>
      <c r="DH31" s="68"/>
      <c r="DI31" s="71">
        <f t="shared" si="36"/>
        <v>0</v>
      </c>
      <c r="DJ31" s="68"/>
      <c r="DK31" s="68"/>
      <c r="DL31" s="71">
        <f t="shared" si="37"/>
        <v>0</v>
      </c>
      <c r="DM31" s="68"/>
      <c r="DN31" s="68"/>
      <c r="DO31" s="71">
        <f t="shared" si="38"/>
        <v>0</v>
      </c>
      <c r="DP31" s="68"/>
      <c r="DQ31" s="68"/>
      <c r="DR31" s="71">
        <f t="shared" si="39"/>
        <v>0</v>
      </c>
      <c r="DS31" s="71">
        <f t="shared" si="40"/>
        <v>185844</v>
      </c>
      <c r="DT31" s="71">
        <f t="shared" si="41"/>
        <v>184231</v>
      </c>
      <c r="DU31" s="71">
        <f t="shared" si="42"/>
        <v>-1613</v>
      </c>
      <c r="DV31" s="80"/>
      <c r="DW31" s="73"/>
      <c r="DX31" s="73"/>
      <c r="DY31" s="80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</row>
    <row r="32" spans="1:141" x14ac:dyDescent="0.25">
      <c r="A32" s="67">
        <f t="shared" si="43"/>
        <v>36704</v>
      </c>
      <c r="B32" s="67" t="s">
        <v>52</v>
      </c>
      <c r="C32" s="68">
        <v>4178</v>
      </c>
      <c r="D32" s="68">
        <v>4178</v>
      </c>
      <c r="E32" s="71">
        <f t="shared" si="0"/>
        <v>0</v>
      </c>
      <c r="F32" s="68">
        <v>5000</v>
      </c>
      <c r="G32" s="68">
        <v>5000</v>
      </c>
      <c r="H32" s="71">
        <f t="shared" si="1"/>
        <v>0</v>
      </c>
      <c r="I32" s="68">
        <v>4666</v>
      </c>
      <c r="J32" s="68">
        <v>4666</v>
      </c>
      <c r="K32" s="71">
        <f t="shared" si="2"/>
        <v>0</v>
      </c>
      <c r="L32" s="68">
        <v>16000</v>
      </c>
      <c r="M32" s="68">
        <f t="shared" si="45"/>
        <v>18755</v>
      </c>
      <c r="N32" s="71">
        <f t="shared" si="3"/>
        <v>2755</v>
      </c>
      <c r="O32" s="68">
        <v>10000</v>
      </c>
      <c r="P32" s="68">
        <v>10000</v>
      </c>
      <c r="Q32" s="71">
        <f t="shared" si="4"/>
        <v>0</v>
      </c>
      <c r="R32" s="68">
        <v>20000</v>
      </c>
      <c r="S32" s="68">
        <v>20000</v>
      </c>
      <c r="T32" s="71">
        <f t="shared" si="5"/>
        <v>0</v>
      </c>
      <c r="U32" s="68">
        <v>10000</v>
      </c>
      <c r="V32" s="68">
        <v>10000</v>
      </c>
      <c r="W32" s="71">
        <f t="shared" si="6"/>
        <v>0</v>
      </c>
      <c r="X32" s="68">
        <v>5000</v>
      </c>
      <c r="Y32" s="68">
        <v>5000</v>
      </c>
      <c r="Z32" s="71">
        <f t="shared" si="7"/>
        <v>0</v>
      </c>
      <c r="AA32" s="68">
        <v>5000</v>
      </c>
      <c r="AB32" s="68">
        <v>5000</v>
      </c>
      <c r="AC32" s="71">
        <f t="shared" si="8"/>
        <v>0</v>
      </c>
      <c r="AD32" s="68">
        <f t="shared" si="44"/>
        <v>15000</v>
      </c>
      <c r="AE32" s="68">
        <f>10000+2725</f>
        <v>12725</v>
      </c>
      <c r="AF32" s="71">
        <f t="shared" si="9"/>
        <v>-2275</v>
      </c>
      <c r="AG32" s="68">
        <v>10000</v>
      </c>
      <c r="AH32" s="68">
        <v>10000</v>
      </c>
      <c r="AI32" s="71">
        <f t="shared" si="10"/>
        <v>0</v>
      </c>
      <c r="AJ32" s="68">
        <v>10000</v>
      </c>
      <c r="AK32" s="68">
        <v>10000</v>
      </c>
      <c r="AL32" s="71">
        <f t="shared" si="11"/>
        <v>0</v>
      </c>
      <c r="AM32" s="68">
        <v>10000</v>
      </c>
      <c r="AN32" s="68">
        <v>10000</v>
      </c>
      <c r="AO32" s="71">
        <f t="shared" si="12"/>
        <v>0</v>
      </c>
      <c r="AP32" s="68">
        <v>5000</v>
      </c>
      <c r="AQ32" s="68">
        <v>5000</v>
      </c>
      <c r="AR32" s="71">
        <f t="shared" si="13"/>
        <v>0</v>
      </c>
      <c r="AS32" s="68">
        <v>20000</v>
      </c>
      <c r="AT32" s="68">
        <v>20000</v>
      </c>
      <c r="AU32" s="71">
        <f t="shared" si="14"/>
        <v>0</v>
      </c>
      <c r="AV32" s="68">
        <v>20000</v>
      </c>
      <c r="AW32" s="68">
        <v>20000</v>
      </c>
      <c r="AX32" s="71">
        <f t="shared" si="15"/>
        <v>0</v>
      </c>
      <c r="AY32" s="68">
        <v>6000</v>
      </c>
      <c r="AZ32" s="68">
        <v>6000</v>
      </c>
      <c r="BA32" s="71">
        <f t="shared" si="16"/>
        <v>0</v>
      </c>
      <c r="BB32" s="68">
        <v>5000</v>
      </c>
      <c r="BC32" s="68">
        <v>2725</v>
      </c>
      <c r="BD32" s="71">
        <f t="shared" si="17"/>
        <v>-2275</v>
      </c>
      <c r="BE32" s="68">
        <v>5000</v>
      </c>
      <c r="BF32" s="68">
        <v>5000</v>
      </c>
      <c r="BG32" s="71">
        <f t="shared" si="18"/>
        <v>0</v>
      </c>
      <c r="BH32" s="68"/>
      <c r="BI32" s="68"/>
      <c r="BJ32" s="71">
        <f t="shared" si="19"/>
        <v>0</v>
      </c>
      <c r="BK32" s="68"/>
      <c r="BL32" s="68"/>
      <c r="BM32" s="71">
        <f t="shared" si="20"/>
        <v>0</v>
      </c>
      <c r="BN32" s="68"/>
      <c r="BO32" s="68"/>
      <c r="BP32" s="71">
        <f t="shared" si="21"/>
        <v>0</v>
      </c>
      <c r="BQ32" s="68"/>
      <c r="BR32" s="68"/>
      <c r="BS32" s="71">
        <f t="shared" si="22"/>
        <v>0</v>
      </c>
      <c r="BT32" s="68"/>
      <c r="BU32" s="68"/>
      <c r="BV32" s="71">
        <f t="shared" si="23"/>
        <v>0</v>
      </c>
      <c r="BW32" s="68"/>
      <c r="BX32" s="68"/>
      <c r="BY32" s="71">
        <f t="shared" si="24"/>
        <v>0</v>
      </c>
      <c r="BZ32" s="68"/>
      <c r="CA32" s="68"/>
      <c r="CB32" s="71">
        <f t="shared" si="25"/>
        <v>0</v>
      </c>
      <c r="CC32" s="68"/>
      <c r="CD32" s="68"/>
      <c r="CE32" s="71">
        <f t="shared" si="26"/>
        <v>0</v>
      </c>
      <c r="CF32" s="68"/>
      <c r="CG32" s="68"/>
      <c r="CH32" s="71">
        <f t="shared" si="27"/>
        <v>0</v>
      </c>
      <c r="CI32" s="68"/>
      <c r="CJ32" s="68"/>
      <c r="CK32" s="71">
        <f t="shared" si="28"/>
        <v>0</v>
      </c>
      <c r="CL32" s="68"/>
      <c r="CM32" s="68"/>
      <c r="CN32" s="71">
        <f t="shared" si="29"/>
        <v>0</v>
      </c>
      <c r="CO32" s="68"/>
      <c r="CP32" s="68"/>
      <c r="CQ32" s="71">
        <f t="shared" si="30"/>
        <v>0</v>
      </c>
      <c r="CR32" s="68"/>
      <c r="CS32" s="68"/>
      <c r="CT32" s="71">
        <f t="shared" si="31"/>
        <v>0</v>
      </c>
      <c r="CU32" s="68"/>
      <c r="CV32" s="68"/>
      <c r="CW32" s="71">
        <f t="shared" si="32"/>
        <v>0</v>
      </c>
      <c r="CX32" s="68"/>
      <c r="CY32" s="68"/>
      <c r="CZ32" s="71">
        <f t="shared" si="33"/>
        <v>0</v>
      </c>
      <c r="DA32" s="68"/>
      <c r="DB32" s="68"/>
      <c r="DC32" s="71">
        <f t="shared" si="34"/>
        <v>0</v>
      </c>
      <c r="DD32" s="68"/>
      <c r="DE32" s="68"/>
      <c r="DF32" s="71">
        <f t="shared" si="35"/>
        <v>0</v>
      </c>
      <c r="DG32" s="68"/>
      <c r="DH32" s="68"/>
      <c r="DI32" s="71">
        <f t="shared" si="36"/>
        <v>0</v>
      </c>
      <c r="DJ32" s="68"/>
      <c r="DK32" s="68"/>
      <c r="DL32" s="71">
        <f t="shared" si="37"/>
        <v>0</v>
      </c>
      <c r="DM32" s="68"/>
      <c r="DN32" s="68"/>
      <c r="DO32" s="71">
        <f t="shared" si="38"/>
        <v>0</v>
      </c>
      <c r="DP32" s="68"/>
      <c r="DQ32" s="68"/>
      <c r="DR32" s="71">
        <f t="shared" si="39"/>
        <v>0</v>
      </c>
      <c r="DS32" s="71">
        <f t="shared" si="40"/>
        <v>185844</v>
      </c>
      <c r="DT32" s="71">
        <f t="shared" si="41"/>
        <v>184049</v>
      </c>
      <c r="DU32" s="71">
        <f t="shared" si="42"/>
        <v>-1795</v>
      </c>
      <c r="DV32" s="80"/>
      <c r="DW32" s="73"/>
      <c r="DX32" s="73"/>
      <c r="DY32" s="80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</row>
    <row r="33" spans="1:178" x14ac:dyDescent="0.25">
      <c r="A33" s="67">
        <f t="shared" si="43"/>
        <v>36705</v>
      </c>
      <c r="B33" s="67" t="s">
        <v>46</v>
      </c>
      <c r="C33" s="68">
        <v>4178</v>
      </c>
      <c r="D33" s="68">
        <v>4178</v>
      </c>
      <c r="E33" s="71">
        <f t="shared" si="0"/>
        <v>0</v>
      </c>
      <c r="F33" s="68">
        <v>5000</v>
      </c>
      <c r="G33" s="68">
        <v>5000</v>
      </c>
      <c r="H33" s="71">
        <f t="shared" si="1"/>
        <v>0</v>
      </c>
      <c r="I33" s="68">
        <v>4666</v>
      </c>
      <c r="J33" s="68">
        <v>4666</v>
      </c>
      <c r="K33" s="71">
        <f t="shared" si="2"/>
        <v>0</v>
      </c>
      <c r="L33" s="68">
        <v>16000</v>
      </c>
      <c r="M33" s="68">
        <f t="shared" si="45"/>
        <v>18755</v>
      </c>
      <c r="N33" s="71">
        <f t="shared" si="3"/>
        <v>2755</v>
      </c>
      <c r="O33" s="68">
        <v>10000</v>
      </c>
      <c r="P33" s="68">
        <v>10000</v>
      </c>
      <c r="Q33" s="71">
        <f t="shared" si="4"/>
        <v>0</v>
      </c>
      <c r="R33" s="68">
        <v>20000</v>
      </c>
      <c r="S33" s="68">
        <v>20000</v>
      </c>
      <c r="T33" s="71">
        <f t="shared" si="5"/>
        <v>0</v>
      </c>
      <c r="U33" s="68">
        <v>10000</v>
      </c>
      <c r="V33" s="68">
        <v>10000</v>
      </c>
      <c r="W33" s="71">
        <f t="shared" si="6"/>
        <v>0</v>
      </c>
      <c r="X33" s="68">
        <v>5000</v>
      </c>
      <c r="Y33" s="68">
        <v>5000</v>
      </c>
      <c r="Z33" s="71">
        <f t="shared" si="7"/>
        <v>0</v>
      </c>
      <c r="AA33" s="68">
        <v>5000</v>
      </c>
      <c r="AB33" s="68">
        <v>5000</v>
      </c>
      <c r="AC33" s="71">
        <f t="shared" si="8"/>
        <v>0</v>
      </c>
      <c r="AD33" s="68">
        <f t="shared" si="44"/>
        <v>15000</v>
      </c>
      <c r="AE33" s="68">
        <f>10000+2202+1534</f>
        <v>13736</v>
      </c>
      <c r="AF33" s="71">
        <f t="shared" si="9"/>
        <v>-1264</v>
      </c>
      <c r="AG33" s="68">
        <v>10000</v>
      </c>
      <c r="AH33" s="68">
        <v>10000</v>
      </c>
      <c r="AI33" s="71">
        <f t="shared" si="10"/>
        <v>0</v>
      </c>
      <c r="AJ33" s="68">
        <v>10000</v>
      </c>
      <c r="AK33" s="68">
        <v>10000</v>
      </c>
      <c r="AL33" s="71">
        <f t="shared" si="11"/>
        <v>0</v>
      </c>
      <c r="AM33" s="68">
        <v>10000</v>
      </c>
      <c r="AN33" s="68">
        <v>10000</v>
      </c>
      <c r="AO33" s="71">
        <f t="shared" si="12"/>
        <v>0</v>
      </c>
      <c r="AP33" s="68">
        <v>5000</v>
      </c>
      <c r="AQ33" s="68">
        <v>5000</v>
      </c>
      <c r="AR33" s="71">
        <f t="shared" si="13"/>
        <v>0</v>
      </c>
      <c r="AS33" s="68">
        <v>20000</v>
      </c>
      <c r="AT33" s="68">
        <v>20000</v>
      </c>
      <c r="AU33" s="71">
        <f t="shared" si="14"/>
        <v>0</v>
      </c>
      <c r="AV33" s="68">
        <v>20000</v>
      </c>
      <c r="AW33" s="68">
        <v>20000</v>
      </c>
      <c r="AX33" s="71">
        <f t="shared" si="15"/>
        <v>0</v>
      </c>
      <c r="AY33" s="68">
        <v>6000</v>
      </c>
      <c r="AZ33" s="68">
        <v>6000</v>
      </c>
      <c r="BA33" s="71">
        <f t="shared" si="16"/>
        <v>0</v>
      </c>
      <c r="BB33" s="68">
        <v>5000</v>
      </c>
      <c r="BC33" s="68">
        <f>2597+1318</f>
        <v>3915</v>
      </c>
      <c r="BD33" s="71">
        <f t="shared" si="17"/>
        <v>-1085</v>
      </c>
      <c r="BE33" s="68">
        <v>5000</v>
      </c>
      <c r="BF33" s="68">
        <v>5000</v>
      </c>
      <c r="BG33" s="71">
        <f t="shared" si="18"/>
        <v>0</v>
      </c>
      <c r="BH33" s="68"/>
      <c r="BI33" s="68"/>
      <c r="BJ33" s="71">
        <f t="shared" si="19"/>
        <v>0</v>
      </c>
      <c r="BK33" s="68"/>
      <c r="BL33" s="68"/>
      <c r="BM33" s="71">
        <f t="shared" si="20"/>
        <v>0</v>
      </c>
      <c r="BN33" s="68"/>
      <c r="BO33" s="68"/>
      <c r="BP33" s="71">
        <f t="shared" si="21"/>
        <v>0</v>
      </c>
      <c r="BQ33" s="68"/>
      <c r="BR33" s="68"/>
      <c r="BS33" s="71">
        <f t="shared" si="22"/>
        <v>0</v>
      </c>
      <c r="BT33" s="68"/>
      <c r="BU33" s="68"/>
      <c r="BV33" s="71">
        <f t="shared" si="23"/>
        <v>0</v>
      </c>
      <c r="BW33" s="68"/>
      <c r="BX33" s="68"/>
      <c r="BY33" s="71">
        <f t="shared" si="24"/>
        <v>0</v>
      </c>
      <c r="BZ33" s="68"/>
      <c r="CA33" s="68"/>
      <c r="CB33" s="71">
        <f t="shared" si="25"/>
        <v>0</v>
      </c>
      <c r="CC33" s="68"/>
      <c r="CD33" s="68"/>
      <c r="CE33" s="71">
        <f t="shared" si="26"/>
        <v>0</v>
      </c>
      <c r="CF33" s="68"/>
      <c r="CG33" s="68"/>
      <c r="CH33" s="71">
        <f t="shared" si="27"/>
        <v>0</v>
      </c>
      <c r="CI33" s="68"/>
      <c r="CJ33" s="68"/>
      <c r="CK33" s="71">
        <f t="shared" si="28"/>
        <v>0</v>
      </c>
      <c r="CL33" s="68"/>
      <c r="CM33" s="68"/>
      <c r="CN33" s="71">
        <f t="shared" si="29"/>
        <v>0</v>
      </c>
      <c r="CO33" s="68"/>
      <c r="CP33" s="68"/>
      <c r="CQ33" s="71">
        <f t="shared" si="30"/>
        <v>0</v>
      </c>
      <c r="CR33" s="68"/>
      <c r="CS33" s="68"/>
      <c r="CT33" s="71">
        <f t="shared" si="31"/>
        <v>0</v>
      </c>
      <c r="CU33" s="68"/>
      <c r="CV33" s="68"/>
      <c r="CW33" s="71">
        <f t="shared" si="32"/>
        <v>0</v>
      </c>
      <c r="CX33" s="68"/>
      <c r="CY33" s="68"/>
      <c r="CZ33" s="71">
        <f t="shared" si="33"/>
        <v>0</v>
      </c>
      <c r="DA33" s="68"/>
      <c r="DB33" s="68"/>
      <c r="DC33" s="71">
        <f t="shared" si="34"/>
        <v>0</v>
      </c>
      <c r="DD33" s="68"/>
      <c r="DE33" s="68"/>
      <c r="DF33" s="71">
        <f t="shared" si="35"/>
        <v>0</v>
      </c>
      <c r="DG33" s="68"/>
      <c r="DH33" s="68"/>
      <c r="DI33" s="71">
        <f t="shared" si="36"/>
        <v>0</v>
      </c>
      <c r="DJ33" s="68"/>
      <c r="DK33" s="68"/>
      <c r="DL33" s="71">
        <f t="shared" si="37"/>
        <v>0</v>
      </c>
      <c r="DM33" s="68"/>
      <c r="DN33" s="68"/>
      <c r="DO33" s="71">
        <f t="shared" si="38"/>
        <v>0</v>
      </c>
      <c r="DP33" s="68"/>
      <c r="DQ33" s="68"/>
      <c r="DR33" s="71">
        <f t="shared" si="39"/>
        <v>0</v>
      </c>
      <c r="DS33" s="71">
        <f t="shared" si="40"/>
        <v>185844</v>
      </c>
      <c r="DT33" s="71">
        <f t="shared" si="41"/>
        <v>186250</v>
      </c>
      <c r="DU33" s="71">
        <f t="shared" si="42"/>
        <v>406</v>
      </c>
      <c r="DV33" s="80"/>
      <c r="DW33" s="73"/>
      <c r="DX33" s="73"/>
      <c r="DY33" s="80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</row>
    <row r="34" spans="1:178" x14ac:dyDescent="0.25">
      <c r="A34" s="67">
        <f t="shared" si="43"/>
        <v>36706</v>
      </c>
      <c r="B34" s="67" t="s">
        <v>47</v>
      </c>
      <c r="C34" s="68">
        <v>4178</v>
      </c>
      <c r="D34" s="68">
        <v>4178</v>
      </c>
      <c r="E34" s="71">
        <f t="shared" si="0"/>
        <v>0</v>
      </c>
      <c r="F34" s="68">
        <v>5000</v>
      </c>
      <c r="G34" s="68">
        <v>5000</v>
      </c>
      <c r="H34" s="71">
        <f t="shared" si="1"/>
        <v>0</v>
      </c>
      <c r="I34" s="68">
        <v>4666</v>
      </c>
      <c r="J34" s="68">
        <v>4666</v>
      </c>
      <c r="K34" s="71">
        <f t="shared" si="2"/>
        <v>0</v>
      </c>
      <c r="L34" s="68">
        <v>16000</v>
      </c>
      <c r="M34" s="68">
        <f t="shared" si="45"/>
        <v>18755</v>
      </c>
      <c r="N34" s="71">
        <f t="shared" si="3"/>
        <v>2755</v>
      </c>
      <c r="O34" s="68">
        <v>10000</v>
      </c>
      <c r="P34" s="68">
        <v>10000</v>
      </c>
      <c r="Q34" s="71">
        <f t="shared" si="4"/>
        <v>0</v>
      </c>
      <c r="R34" s="68">
        <v>20000</v>
      </c>
      <c r="S34" s="68">
        <v>20000</v>
      </c>
      <c r="T34" s="71">
        <f t="shared" si="5"/>
        <v>0</v>
      </c>
      <c r="U34" s="68">
        <v>10000</v>
      </c>
      <c r="V34" s="68">
        <v>10000</v>
      </c>
      <c r="W34" s="71">
        <f t="shared" si="6"/>
        <v>0</v>
      </c>
      <c r="X34" s="68">
        <v>5000</v>
      </c>
      <c r="Y34" s="68">
        <v>5000</v>
      </c>
      <c r="Z34" s="71">
        <f t="shared" si="7"/>
        <v>0</v>
      </c>
      <c r="AA34" s="68">
        <v>5000</v>
      </c>
      <c r="AB34" s="68">
        <v>5000</v>
      </c>
      <c r="AC34" s="71">
        <f t="shared" si="8"/>
        <v>0</v>
      </c>
      <c r="AD34" s="68">
        <f t="shared" si="44"/>
        <v>15000</v>
      </c>
      <c r="AE34" s="68">
        <f t="shared" si="44"/>
        <v>15000</v>
      </c>
      <c r="AF34" s="71">
        <f t="shared" si="9"/>
        <v>0</v>
      </c>
      <c r="AG34" s="68">
        <v>10000</v>
      </c>
      <c r="AH34" s="68">
        <v>10000</v>
      </c>
      <c r="AI34" s="71">
        <f t="shared" si="10"/>
        <v>0</v>
      </c>
      <c r="AJ34" s="68">
        <v>10000</v>
      </c>
      <c r="AK34" s="68">
        <v>10000</v>
      </c>
      <c r="AL34" s="71">
        <f t="shared" si="11"/>
        <v>0</v>
      </c>
      <c r="AM34" s="68">
        <v>10000</v>
      </c>
      <c r="AN34" s="68">
        <v>10000</v>
      </c>
      <c r="AO34" s="71">
        <f t="shared" si="12"/>
        <v>0</v>
      </c>
      <c r="AP34" s="68">
        <v>5000</v>
      </c>
      <c r="AQ34" s="68">
        <v>5000</v>
      </c>
      <c r="AR34" s="71">
        <f t="shared" si="13"/>
        <v>0</v>
      </c>
      <c r="AS34" s="68">
        <v>20000</v>
      </c>
      <c r="AT34" s="68">
        <v>20000</v>
      </c>
      <c r="AU34" s="71">
        <f t="shared" si="14"/>
        <v>0</v>
      </c>
      <c r="AV34" s="68">
        <v>20000</v>
      </c>
      <c r="AW34" s="68">
        <v>20000</v>
      </c>
      <c r="AX34" s="71">
        <f t="shared" si="15"/>
        <v>0</v>
      </c>
      <c r="AY34" s="68">
        <v>6000</v>
      </c>
      <c r="AZ34" s="68">
        <v>6000</v>
      </c>
      <c r="BA34" s="71">
        <f t="shared" si="16"/>
        <v>0</v>
      </c>
      <c r="BB34" s="68">
        <v>5000</v>
      </c>
      <c r="BC34" s="68">
        <v>5000</v>
      </c>
      <c r="BD34" s="71">
        <f t="shared" si="17"/>
        <v>0</v>
      </c>
      <c r="BE34" s="68">
        <v>5000</v>
      </c>
      <c r="BF34" s="68">
        <v>5000</v>
      </c>
      <c r="BG34" s="71">
        <f t="shared" si="18"/>
        <v>0</v>
      </c>
      <c r="BH34" s="68"/>
      <c r="BI34" s="68"/>
      <c r="BJ34" s="71">
        <f t="shared" si="19"/>
        <v>0</v>
      </c>
      <c r="BK34" s="68"/>
      <c r="BL34" s="68"/>
      <c r="BM34" s="71">
        <f t="shared" si="20"/>
        <v>0</v>
      </c>
      <c r="BN34" s="68"/>
      <c r="BO34" s="68"/>
      <c r="BP34" s="71">
        <f t="shared" si="21"/>
        <v>0</v>
      </c>
      <c r="BQ34" s="68"/>
      <c r="BR34" s="68"/>
      <c r="BS34" s="71">
        <f t="shared" si="22"/>
        <v>0</v>
      </c>
      <c r="BT34" s="68"/>
      <c r="BU34" s="68"/>
      <c r="BV34" s="71">
        <f t="shared" si="23"/>
        <v>0</v>
      </c>
      <c r="BW34" s="68"/>
      <c r="BX34" s="68"/>
      <c r="BY34" s="71">
        <f t="shared" si="24"/>
        <v>0</v>
      </c>
      <c r="BZ34" s="68"/>
      <c r="CA34" s="68"/>
      <c r="CB34" s="71">
        <f t="shared" si="25"/>
        <v>0</v>
      </c>
      <c r="CC34" s="68"/>
      <c r="CD34" s="68"/>
      <c r="CE34" s="71">
        <f t="shared" si="26"/>
        <v>0</v>
      </c>
      <c r="CF34" s="68"/>
      <c r="CG34" s="68"/>
      <c r="CH34" s="71">
        <f t="shared" si="27"/>
        <v>0</v>
      </c>
      <c r="CI34" s="68"/>
      <c r="CJ34" s="68"/>
      <c r="CK34" s="71">
        <f t="shared" si="28"/>
        <v>0</v>
      </c>
      <c r="CL34" s="68"/>
      <c r="CM34" s="68"/>
      <c r="CN34" s="71">
        <f t="shared" si="29"/>
        <v>0</v>
      </c>
      <c r="CO34" s="68"/>
      <c r="CP34" s="68"/>
      <c r="CQ34" s="71">
        <f t="shared" si="30"/>
        <v>0</v>
      </c>
      <c r="CR34" s="68"/>
      <c r="CS34" s="68"/>
      <c r="CT34" s="71">
        <f t="shared" si="31"/>
        <v>0</v>
      </c>
      <c r="CU34" s="68"/>
      <c r="CV34" s="68"/>
      <c r="CW34" s="71">
        <f t="shared" si="32"/>
        <v>0</v>
      </c>
      <c r="CX34" s="68"/>
      <c r="CY34" s="68"/>
      <c r="CZ34" s="71">
        <f t="shared" si="33"/>
        <v>0</v>
      </c>
      <c r="DA34" s="68"/>
      <c r="DB34" s="68"/>
      <c r="DC34" s="71">
        <f t="shared" si="34"/>
        <v>0</v>
      </c>
      <c r="DD34" s="68"/>
      <c r="DE34" s="68"/>
      <c r="DF34" s="71">
        <f t="shared" si="35"/>
        <v>0</v>
      </c>
      <c r="DG34" s="68"/>
      <c r="DH34" s="68"/>
      <c r="DI34" s="71">
        <f t="shared" si="36"/>
        <v>0</v>
      </c>
      <c r="DJ34" s="68"/>
      <c r="DK34" s="68"/>
      <c r="DL34" s="71">
        <f t="shared" si="37"/>
        <v>0</v>
      </c>
      <c r="DM34" s="68"/>
      <c r="DN34" s="68"/>
      <c r="DO34" s="71">
        <f t="shared" si="38"/>
        <v>0</v>
      </c>
      <c r="DP34" s="68"/>
      <c r="DQ34" s="68"/>
      <c r="DR34" s="71">
        <f t="shared" si="39"/>
        <v>0</v>
      </c>
      <c r="DS34" s="71">
        <f t="shared" si="40"/>
        <v>185844</v>
      </c>
      <c r="DT34" s="71">
        <f t="shared" si="41"/>
        <v>188599</v>
      </c>
      <c r="DU34" s="71">
        <f t="shared" si="42"/>
        <v>2755</v>
      </c>
      <c r="DV34" s="80"/>
      <c r="DW34" s="73"/>
      <c r="DX34" s="73"/>
      <c r="DY34" s="80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</row>
    <row r="35" spans="1:178" x14ac:dyDescent="0.25">
      <c r="A35" s="67">
        <f>A34+1</f>
        <v>36707</v>
      </c>
      <c r="B35" s="67" t="s">
        <v>48</v>
      </c>
      <c r="C35" s="68">
        <v>4178</v>
      </c>
      <c r="D35" s="68">
        <v>4178</v>
      </c>
      <c r="E35" s="71">
        <f>D35-C35</f>
        <v>0</v>
      </c>
      <c r="F35" s="68">
        <v>5000</v>
      </c>
      <c r="G35" s="68">
        <v>5000</v>
      </c>
      <c r="H35" s="71">
        <f>G35-F35</f>
        <v>0</v>
      </c>
      <c r="I35" s="68">
        <v>4666</v>
      </c>
      <c r="J35" s="68">
        <v>4666</v>
      </c>
      <c r="K35" s="71">
        <f>J35-I35</f>
        <v>0</v>
      </c>
      <c r="L35" s="68">
        <v>16000</v>
      </c>
      <c r="M35" s="68">
        <f t="shared" si="45"/>
        <v>18755</v>
      </c>
      <c r="N35" s="71">
        <f>M35-L35</f>
        <v>2755</v>
      </c>
      <c r="O35" s="68">
        <v>10000</v>
      </c>
      <c r="P35" s="68">
        <v>10000</v>
      </c>
      <c r="Q35" s="71">
        <f>P35-O35</f>
        <v>0</v>
      </c>
      <c r="R35" s="68">
        <v>20000</v>
      </c>
      <c r="S35" s="68">
        <v>20000</v>
      </c>
      <c r="T35" s="71">
        <f>S35-R35</f>
        <v>0</v>
      </c>
      <c r="U35" s="68">
        <v>10000</v>
      </c>
      <c r="V35" s="68">
        <v>10000</v>
      </c>
      <c r="W35" s="71">
        <f>V35-U35</f>
        <v>0</v>
      </c>
      <c r="X35" s="68">
        <v>5000</v>
      </c>
      <c r="Y35" s="68">
        <v>5000</v>
      </c>
      <c r="Z35" s="71">
        <f>Y35-X35</f>
        <v>0</v>
      </c>
      <c r="AA35" s="68">
        <v>5000</v>
      </c>
      <c r="AB35" s="68">
        <v>5000</v>
      </c>
      <c r="AC35" s="71">
        <f>AB35-AA35</f>
        <v>0</v>
      </c>
      <c r="AD35" s="68">
        <f t="shared" si="44"/>
        <v>15000</v>
      </c>
      <c r="AE35" s="68">
        <f>10000+2740</f>
        <v>12740</v>
      </c>
      <c r="AF35" s="71">
        <f>AE35-AD35</f>
        <v>-2260</v>
      </c>
      <c r="AG35" s="68">
        <v>10000</v>
      </c>
      <c r="AH35" s="68">
        <v>10000</v>
      </c>
      <c r="AI35" s="71">
        <f>AH35-AG35</f>
        <v>0</v>
      </c>
      <c r="AJ35" s="68">
        <v>10000</v>
      </c>
      <c r="AK35" s="68">
        <v>10000</v>
      </c>
      <c r="AL35" s="71">
        <f>AK35-AJ35</f>
        <v>0</v>
      </c>
      <c r="AM35" s="68">
        <v>10000</v>
      </c>
      <c r="AN35" s="68">
        <v>10000</v>
      </c>
      <c r="AO35" s="71">
        <f>AN35-AM35</f>
        <v>0</v>
      </c>
      <c r="AP35" s="68">
        <v>5000</v>
      </c>
      <c r="AQ35" s="68">
        <v>5000</v>
      </c>
      <c r="AR35" s="71">
        <f>AQ35-AP35</f>
        <v>0</v>
      </c>
      <c r="AS35" s="68">
        <v>20000</v>
      </c>
      <c r="AT35" s="68">
        <v>20000</v>
      </c>
      <c r="AU35" s="71">
        <f>AT35-AS35</f>
        <v>0</v>
      </c>
      <c r="AV35" s="68">
        <v>20000</v>
      </c>
      <c r="AW35" s="68">
        <v>20000</v>
      </c>
      <c r="AX35" s="71">
        <f>AW35-AV35</f>
        <v>0</v>
      </c>
      <c r="AY35" s="68">
        <v>6000</v>
      </c>
      <c r="AZ35" s="68">
        <v>3307</v>
      </c>
      <c r="BA35" s="71">
        <f>AZ35-AY35</f>
        <v>-2693</v>
      </c>
      <c r="BB35" s="68">
        <v>5000</v>
      </c>
      <c r="BC35" s="68">
        <v>2740</v>
      </c>
      <c r="BD35" s="71">
        <f>BC35-BB35</f>
        <v>-2260</v>
      </c>
      <c r="BE35" s="68">
        <v>5000</v>
      </c>
      <c r="BF35" s="68">
        <v>5000</v>
      </c>
      <c r="BG35" s="71">
        <f>BF35-BE35</f>
        <v>0</v>
      </c>
      <c r="BH35" s="68"/>
      <c r="BI35" s="68"/>
      <c r="BJ35" s="71">
        <f>BI35-BH35</f>
        <v>0</v>
      </c>
      <c r="BK35" s="68"/>
      <c r="BL35" s="68"/>
      <c r="BM35" s="71">
        <f>BL35-BK35</f>
        <v>0</v>
      </c>
      <c r="BN35" s="68"/>
      <c r="BO35" s="68"/>
      <c r="BP35" s="71">
        <f>BO35-BN35</f>
        <v>0</v>
      </c>
      <c r="BQ35" s="68"/>
      <c r="BR35" s="68"/>
      <c r="BS35" s="71">
        <f>BR35-BQ35</f>
        <v>0</v>
      </c>
      <c r="BT35" s="68"/>
      <c r="BU35" s="68"/>
      <c r="BV35" s="71">
        <f>BU35-BT35</f>
        <v>0</v>
      </c>
      <c r="BW35" s="68"/>
      <c r="BX35" s="68"/>
      <c r="BY35" s="71">
        <f>BX35-BW35</f>
        <v>0</v>
      </c>
      <c r="BZ35" s="68"/>
      <c r="CA35" s="68"/>
      <c r="CB35" s="71">
        <f>CA35-BZ35</f>
        <v>0</v>
      </c>
      <c r="CC35" s="68"/>
      <c r="CD35" s="68"/>
      <c r="CE35" s="71">
        <f>CD35-CC35</f>
        <v>0</v>
      </c>
      <c r="CF35" s="68"/>
      <c r="CG35" s="68"/>
      <c r="CH35" s="71">
        <f>CG35-CF35</f>
        <v>0</v>
      </c>
      <c r="CI35" s="68"/>
      <c r="CJ35" s="68"/>
      <c r="CK35" s="71">
        <f>CJ35-CI35</f>
        <v>0</v>
      </c>
      <c r="CL35" s="68"/>
      <c r="CM35" s="68"/>
      <c r="CN35" s="71">
        <f>CM35-CL35</f>
        <v>0</v>
      </c>
      <c r="CO35" s="68"/>
      <c r="CP35" s="68"/>
      <c r="CQ35" s="71">
        <f>CP35-CO35</f>
        <v>0</v>
      </c>
      <c r="CR35" s="68"/>
      <c r="CS35" s="68"/>
      <c r="CT35" s="71">
        <f>CS35-CR35</f>
        <v>0</v>
      </c>
      <c r="CU35" s="68"/>
      <c r="CV35" s="68"/>
      <c r="CW35" s="71">
        <f>CV35-CU35</f>
        <v>0</v>
      </c>
      <c r="CX35" s="68"/>
      <c r="CY35" s="68"/>
      <c r="CZ35" s="71">
        <f>CY35-CX35</f>
        <v>0</v>
      </c>
      <c r="DA35" s="68"/>
      <c r="DB35" s="68"/>
      <c r="DC35" s="71">
        <f>DB35-DA35</f>
        <v>0</v>
      </c>
      <c r="DD35" s="68"/>
      <c r="DE35" s="68"/>
      <c r="DF35" s="71">
        <f>DE35-DD35</f>
        <v>0</v>
      </c>
      <c r="DG35" s="68"/>
      <c r="DH35" s="68"/>
      <c r="DI35" s="71">
        <f>DH35-DG35</f>
        <v>0</v>
      </c>
      <c r="DJ35" s="68"/>
      <c r="DK35" s="68"/>
      <c r="DL35" s="71">
        <f>DK35-DJ35</f>
        <v>0</v>
      </c>
      <c r="DM35" s="68"/>
      <c r="DN35" s="68"/>
      <c r="DO35" s="71">
        <f>DN35-DM35</f>
        <v>0</v>
      </c>
      <c r="DP35" s="68"/>
      <c r="DQ35" s="68"/>
      <c r="DR35" s="71">
        <f>DQ35-DP35</f>
        <v>0</v>
      </c>
      <c r="DS35" s="71">
        <f>+C35+F35+I35+L35+O35+R35+U35+X35+AA35+AD35+AG35+AJ35+AM35+AP35+AS35+AV35+AY35+BB35+BE35+BH35+BK35+BN35+BQ35+BT35+BW35+BZ35+CC35+CF35+CI35+CL35+CO35+CR35+CU35+CX35+DA35+DD35+DG35+DJ35+DM35+DP35</f>
        <v>185844</v>
      </c>
      <c r="DT35" s="71">
        <f>+D35+G35+J35+M35+P35+S35+V35+Y35+AB35+AE35+AH35+AK35+AN35+AQ35+AT35+AW35+AZ35+BC35+BF35+BI35+BL35+BO35+BR35+BU35+BX35+CA35+CD35+CG35+CJ35+CM35+CP35+CS35+CV35+CY35+DB35+DE35+DH35+DK35+DN35+DQ35</f>
        <v>181386</v>
      </c>
      <c r="DU35" s="71">
        <f>DT35-DS35</f>
        <v>-4458</v>
      </c>
      <c r="DV35" s="80"/>
      <c r="DW35" s="73"/>
      <c r="DX35" s="73"/>
      <c r="DY35" s="80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</row>
    <row r="36" spans="1:178" x14ac:dyDescent="0.25">
      <c r="A36" s="67"/>
      <c r="B36" s="67"/>
      <c r="C36" s="68"/>
      <c r="D36" s="68"/>
      <c r="E36" s="71"/>
      <c r="F36" s="68"/>
      <c r="G36" s="68"/>
      <c r="H36" s="71"/>
      <c r="I36" s="68"/>
      <c r="J36" s="68"/>
      <c r="K36" s="71"/>
      <c r="L36" s="68"/>
      <c r="M36" s="68"/>
      <c r="N36" s="71"/>
      <c r="O36" s="68"/>
      <c r="P36" s="68"/>
      <c r="Q36" s="71"/>
      <c r="R36" s="68"/>
      <c r="S36" s="68"/>
      <c r="T36" s="71"/>
      <c r="U36" s="68"/>
      <c r="V36" s="68"/>
      <c r="W36" s="71"/>
      <c r="X36" s="68"/>
      <c r="Y36" s="68"/>
      <c r="Z36" s="71"/>
      <c r="AA36" s="68"/>
      <c r="AB36" s="68"/>
      <c r="AC36" s="71"/>
      <c r="AD36" s="68"/>
      <c r="AE36" s="68"/>
      <c r="AF36" s="71"/>
      <c r="AG36" s="68"/>
      <c r="AH36" s="68"/>
      <c r="AI36" s="71"/>
      <c r="AJ36" s="68"/>
      <c r="AK36" s="68"/>
      <c r="AL36" s="71"/>
      <c r="AM36" s="68"/>
      <c r="AN36" s="68"/>
      <c r="AO36" s="71"/>
      <c r="AP36" s="68"/>
      <c r="AQ36" s="68"/>
      <c r="AR36" s="71"/>
      <c r="AS36" s="68"/>
      <c r="AT36" s="68"/>
      <c r="AU36" s="71"/>
      <c r="AV36" s="68"/>
      <c r="AW36" s="68"/>
      <c r="AX36" s="71"/>
      <c r="AY36" s="68"/>
      <c r="AZ36" s="68"/>
      <c r="BA36" s="71"/>
      <c r="BB36" s="68"/>
      <c r="BC36" s="68"/>
      <c r="BD36" s="71"/>
      <c r="BE36" s="68"/>
      <c r="BF36" s="68"/>
      <c r="BG36" s="71"/>
      <c r="BH36" s="68"/>
      <c r="BI36" s="68"/>
      <c r="BJ36" s="71"/>
      <c r="BK36" s="68"/>
      <c r="BL36" s="68"/>
      <c r="BM36" s="71"/>
      <c r="BN36" s="68"/>
      <c r="BO36" s="68"/>
      <c r="BP36" s="71"/>
      <c r="BQ36" s="68"/>
      <c r="BR36" s="68"/>
      <c r="BS36" s="71"/>
      <c r="BT36" s="68"/>
      <c r="BU36" s="68"/>
      <c r="BV36" s="71"/>
      <c r="BW36" s="68"/>
      <c r="BX36" s="68"/>
      <c r="BY36" s="71"/>
      <c r="BZ36" s="68"/>
      <c r="CA36" s="68"/>
      <c r="CB36" s="71"/>
      <c r="CC36" s="68"/>
      <c r="CD36" s="68"/>
      <c r="CE36" s="71"/>
      <c r="CF36" s="68"/>
      <c r="CG36" s="68"/>
      <c r="CH36" s="71"/>
      <c r="CI36" s="68"/>
      <c r="CJ36" s="68"/>
      <c r="CK36" s="71"/>
      <c r="CL36" s="68"/>
      <c r="CM36" s="68"/>
      <c r="CN36" s="71"/>
      <c r="CO36" s="68"/>
      <c r="CP36" s="68"/>
      <c r="CQ36" s="71"/>
      <c r="CR36" s="68"/>
      <c r="CS36" s="68"/>
      <c r="CT36" s="71"/>
      <c r="CU36" s="68"/>
      <c r="CV36" s="68"/>
      <c r="CW36" s="71"/>
      <c r="CX36" s="68"/>
      <c r="CY36" s="68"/>
      <c r="CZ36" s="71"/>
      <c r="DA36" s="68"/>
      <c r="DB36" s="68"/>
      <c r="DC36" s="71"/>
      <c r="DD36" s="68"/>
      <c r="DE36" s="68"/>
      <c r="DF36" s="71"/>
      <c r="DG36" s="68"/>
      <c r="DH36" s="68"/>
      <c r="DI36" s="71"/>
      <c r="DJ36" s="68"/>
      <c r="DK36" s="68"/>
      <c r="DL36" s="71"/>
      <c r="DM36" s="68"/>
      <c r="DN36" s="68"/>
      <c r="DO36" s="71"/>
      <c r="DP36" s="68"/>
      <c r="DQ36" s="68"/>
      <c r="DR36" s="71"/>
      <c r="DS36" s="71"/>
      <c r="DT36" s="71"/>
      <c r="DU36" s="71"/>
      <c r="DV36" s="80"/>
      <c r="DW36" s="73"/>
      <c r="DX36" s="73"/>
      <c r="DY36" s="80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</row>
    <row r="37" spans="1:178" s="85" customFormat="1" x14ac:dyDescent="0.25">
      <c r="A37" s="81" t="s">
        <v>17</v>
      </c>
      <c r="B37" s="67"/>
      <c r="C37" s="19">
        <f t="shared" ref="C37:AH37" si="46">SUM(C6:C36)</f>
        <v>125340</v>
      </c>
      <c r="D37" s="19">
        <f t="shared" si="46"/>
        <v>125340</v>
      </c>
      <c r="E37" s="19">
        <f t="shared" si="46"/>
        <v>0</v>
      </c>
      <c r="F37" s="19">
        <f t="shared" si="46"/>
        <v>150000</v>
      </c>
      <c r="G37" s="19">
        <f t="shared" si="46"/>
        <v>150000</v>
      </c>
      <c r="H37" s="19">
        <f t="shared" si="46"/>
        <v>0</v>
      </c>
      <c r="I37" s="19">
        <f t="shared" si="46"/>
        <v>139980</v>
      </c>
      <c r="J37" s="19">
        <f t="shared" si="46"/>
        <v>139980</v>
      </c>
      <c r="K37" s="19">
        <f t="shared" si="46"/>
        <v>0</v>
      </c>
      <c r="L37" s="19">
        <f t="shared" si="46"/>
        <v>480000</v>
      </c>
      <c r="M37" s="19">
        <f t="shared" si="46"/>
        <v>481100</v>
      </c>
      <c r="N37" s="19">
        <f t="shared" si="46"/>
        <v>1100</v>
      </c>
      <c r="O37" s="19">
        <f t="shared" si="46"/>
        <v>300000</v>
      </c>
      <c r="P37" s="19">
        <f t="shared" si="46"/>
        <v>300000</v>
      </c>
      <c r="Q37" s="19">
        <f t="shared" si="46"/>
        <v>0</v>
      </c>
      <c r="R37" s="19">
        <f t="shared" si="46"/>
        <v>600000</v>
      </c>
      <c r="S37" s="19">
        <f t="shared" si="46"/>
        <v>600000</v>
      </c>
      <c r="T37" s="19">
        <f t="shared" si="46"/>
        <v>0</v>
      </c>
      <c r="U37" s="19">
        <f t="shared" si="46"/>
        <v>300000</v>
      </c>
      <c r="V37" s="19">
        <f t="shared" si="46"/>
        <v>300000</v>
      </c>
      <c r="W37" s="19">
        <f t="shared" si="46"/>
        <v>0</v>
      </c>
      <c r="X37" s="19">
        <f t="shared" si="46"/>
        <v>150000</v>
      </c>
      <c r="Y37" s="19">
        <f t="shared" si="46"/>
        <v>150000</v>
      </c>
      <c r="Z37" s="19">
        <f t="shared" si="46"/>
        <v>0</v>
      </c>
      <c r="AA37" s="19">
        <f t="shared" si="46"/>
        <v>150000</v>
      </c>
      <c r="AB37" s="19">
        <f t="shared" si="46"/>
        <v>150000</v>
      </c>
      <c r="AC37" s="19">
        <f t="shared" si="46"/>
        <v>0</v>
      </c>
      <c r="AD37" s="19">
        <f t="shared" si="46"/>
        <v>431533</v>
      </c>
      <c r="AE37" s="19">
        <f t="shared" si="46"/>
        <v>411128</v>
      </c>
      <c r="AF37" s="19">
        <f t="shared" si="46"/>
        <v>-20405</v>
      </c>
      <c r="AG37" s="19">
        <f t="shared" si="46"/>
        <v>300000</v>
      </c>
      <c r="AH37" s="19">
        <f t="shared" si="46"/>
        <v>300000</v>
      </c>
      <c r="AI37" s="19">
        <f t="shared" ref="AI37:BN37" si="47">SUM(AI6:AI36)</f>
        <v>0</v>
      </c>
      <c r="AJ37" s="19">
        <f>SUM(AJ6:AJ36)</f>
        <v>300000</v>
      </c>
      <c r="AK37" s="19">
        <f>SUM(AK6:AK36)</f>
        <v>300000</v>
      </c>
      <c r="AL37" s="19">
        <f t="shared" si="47"/>
        <v>0</v>
      </c>
      <c r="AM37" s="19">
        <f>SUM(AM6:AM36)</f>
        <v>300000</v>
      </c>
      <c r="AN37" s="19">
        <f>SUM(AN6:AN36)</f>
        <v>300000</v>
      </c>
      <c r="AO37" s="19">
        <f t="shared" si="47"/>
        <v>0</v>
      </c>
      <c r="AP37" s="19">
        <f>SUM(AP6:AP36)</f>
        <v>150000</v>
      </c>
      <c r="AQ37" s="19">
        <f>SUM(AQ6:AQ36)</f>
        <v>150000</v>
      </c>
      <c r="AR37" s="19">
        <f t="shared" si="47"/>
        <v>0</v>
      </c>
      <c r="AS37" s="19">
        <f>SUM(AS6:AS36)</f>
        <v>600000</v>
      </c>
      <c r="AT37" s="19">
        <f>SUM(AT6:AT36)</f>
        <v>600000</v>
      </c>
      <c r="AU37" s="19">
        <f t="shared" si="47"/>
        <v>0</v>
      </c>
      <c r="AV37" s="19">
        <f>SUM(AV6:AV36)</f>
        <v>600000</v>
      </c>
      <c r="AW37" s="19">
        <f>SUM(AW6:AW36)</f>
        <v>600000</v>
      </c>
      <c r="AX37" s="19">
        <f t="shared" si="47"/>
        <v>0</v>
      </c>
      <c r="AY37" s="19">
        <f>SUM(AY6:AY36)</f>
        <v>159402</v>
      </c>
      <c r="AZ37" s="19">
        <f>SUM(AZ6:AZ36)</f>
        <v>156709</v>
      </c>
      <c r="BA37" s="19">
        <f t="shared" si="47"/>
        <v>-2693</v>
      </c>
      <c r="BB37" s="19">
        <f>SUM(BB6:BB36)</f>
        <v>128872</v>
      </c>
      <c r="BC37" s="19">
        <f>SUM(BC6:BC36)</f>
        <v>108646</v>
      </c>
      <c r="BD37" s="19">
        <f t="shared" si="47"/>
        <v>-20226</v>
      </c>
      <c r="BE37" s="19">
        <f t="shared" si="47"/>
        <v>145000</v>
      </c>
      <c r="BF37" s="19">
        <f t="shared" si="47"/>
        <v>145000</v>
      </c>
      <c r="BG37" s="19">
        <f t="shared" si="47"/>
        <v>0</v>
      </c>
      <c r="BH37" s="19">
        <f t="shared" si="47"/>
        <v>0</v>
      </c>
      <c r="BI37" s="19">
        <f t="shared" si="47"/>
        <v>0</v>
      </c>
      <c r="BJ37" s="19">
        <f t="shared" si="47"/>
        <v>0</v>
      </c>
      <c r="BK37" s="19">
        <f t="shared" si="47"/>
        <v>0</v>
      </c>
      <c r="BL37" s="19">
        <f t="shared" si="47"/>
        <v>0</v>
      </c>
      <c r="BM37" s="19">
        <f t="shared" si="47"/>
        <v>0</v>
      </c>
      <c r="BN37" s="19">
        <f t="shared" si="47"/>
        <v>0</v>
      </c>
      <c r="BO37" s="19">
        <f>SUM(BO6:BO36)</f>
        <v>0</v>
      </c>
      <c r="BP37" s="84">
        <f t="shared" ref="BP37:CS37" si="48">SUM(BP6:BP36)</f>
        <v>0</v>
      </c>
      <c r="BQ37" s="19">
        <f t="shared" si="48"/>
        <v>0</v>
      </c>
      <c r="BR37" s="19">
        <f t="shared" si="48"/>
        <v>0</v>
      </c>
      <c r="BS37" s="84">
        <f t="shared" si="48"/>
        <v>0</v>
      </c>
      <c r="BT37" s="19">
        <f t="shared" si="48"/>
        <v>0</v>
      </c>
      <c r="BU37" s="19">
        <f t="shared" si="48"/>
        <v>0</v>
      </c>
      <c r="BV37" s="84">
        <f t="shared" si="48"/>
        <v>0</v>
      </c>
      <c r="BW37" s="19">
        <f t="shared" si="48"/>
        <v>0</v>
      </c>
      <c r="BX37" s="19">
        <f t="shared" si="48"/>
        <v>0</v>
      </c>
      <c r="BY37" s="84">
        <f t="shared" si="48"/>
        <v>0</v>
      </c>
      <c r="BZ37" s="19">
        <f t="shared" si="48"/>
        <v>0</v>
      </c>
      <c r="CA37" s="19">
        <f t="shared" si="48"/>
        <v>0</v>
      </c>
      <c r="CB37" s="84">
        <f t="shared" si="48"/>
        <v>0</v>
      </c>
      <c r="CC37" s="19">
        <f t="shared" si="48"/>
        <v>0</v>
      </c>
      <c r="CD37" s="19">
        <f t="shared" si="48"/>
        <v>0</v>
      </c>
      <c r="CE37" s="84">
        <f t="shared" si="48"/>
        <v>0</v>
      </c>
      <c r="CF37" s="19">
        <f t="shared" si="48"/>
        <v>0</v>
      </c>
      <c r="CG37" s="19">
        <f t="shared" si="48"/>
        <v>0</v>
      </c>
      <c r="CH37" s="84">
        <f t="shared" si="48"/>
        <v>0</v>
      </c>
      <c r="CI37" s="19">
        <f t="shared" si="48"/>
        <v>0</v>
      </c>
      <c r="CJ37" s="19">
        <f t="shared" si="48"/>
        <v>0</v>
      </c>
      <c r="CK37" s="84">
        <f t="shared" si="48"/>
        <v>0</v>
      </c>
      <c r="CL37" s="19">
        <f t="shared" si="48"/>
        <v>0</v>
      </c>
      <c r="CM37" s="19">
        <f t="shared" si="48"/>
        <v>0</v>
      </c>
      <c r="CN37" s="84">
        <f t="shared" si="48"/>
        <v>0</v>
      </c>
      <c r="CO37" s="19">
        <f t="shared" si="48"/>
        <v>0</v>
      </c>
      <c r="CP37" s="19">
        <f t="shared" si="48"/>
        <v>0</v>
      </c>
      <c r="CQ37" s="84">
        <f t="shared" si="48"/>
        <v>0</v>
      </c>
      <c r="CR37" s="19">
        <f t="shared" si="48"/>
        <v>0</v>
      </c>
      <c r="CS37" s="19">
        <f t="shared" si="48"/>
        <v>0</v>
      </c>
      <c r="CT37" s="84">
        <f t="shared" ref="CT37:DU37" si="49">SUM(CT6:CT36)</f>
        <v>0</v>
      </c>
      <c r="CU37" s="19">
        <f t="shared" si="49"/>
        <v>0</v>
      </c>
      <c r="CV37" s="19">
        <f t="shared" si="49"/>
        <v>0</v>
      </c>
      <c r="CW37" s="84">
        <f t="shared" si="49"/>
        <v>0</v>
      </c>
      <c r="CX37" s="19">
        <f t="shared" si="49"/>
        <v>0</v>
      </c>
      <c r="CY37" s="19">
        <f t="shared" si="49"/>
        <v>0</v>
      </c>
      <c r="CZ37" s="84">
        <f t="shared" si="49"/>
        <v>0</v>
      </c>
      <c r="DA37" s="19">
        <f t="shared" si="49"/>
        <v>0</v>
      </c>
      <c r="DB37" s="19">
        <f t="shared" si="49"/>
        <v>0</v>
      </c>
      <c r="DC37" s="84">
        <f t="shared" si="49"/>
        <v>0</v>
      </c>
      <c r="DD37" s="19">
        <f t="shared" si="49"/>
        <v>0</v>
      </c>
      <c r="DE37" s="19">
        <f t="shared" si="49"/>
        <v>0</v>
      </c>
      <c r="DF37" s="84">
        <f t="shared" si="49"/>
        <v>0</v>
      </c>
      <c r="DG37" s="19">
        <f t="shared" si="49"/>
        <v>0</v>
      </c>
      <c r="DH37" s="19">
        <f t="shared" si="49"/>
        <v>0</v>
      </c>
      <c r="DI37" s="84">
        <f t="shared" si="49"/>
        <v>0</v>
      </c>
      <c r="DJ37" s="19">
        <f t="shared" si="49"/>
        <v>0</v>
      </c>
      <c r="DK37" s="19">
        <f t="shared" si="49"/>
        <v>0</v>
      </c>
      <c r="DL37" s="84">
        <f t="shared" si="49"/>
        <v>0</v>
      </c>
      <c r="DM37" s="19">
        <f t="shared" si="49"/>
        <v>0</v>
      </c>
      <c r="DN37" s="19">
        <f t="shared" si="49"/>
        <v>0</v>
      </c>
      <c r="DO37" s="84">
        <f t="shared" si="49"/>
        <v>0</v>
      </c>
      <c r="DP37" s="19">
        <f t="shared" si="49"/>
        <v>0</v>
      </c>
      <c r="DQ37" s="19">
        <f t="shared" si="49"/>
        <v>0</v>
      </c>
      <c r="DR37" s="84">
        <f t="shared" si="49"/>
        <v>0</v>
      </c>
      <c r="DS37" s="88">
        <f t="shared" si="49"/>
        <v>5510127</v>
      </c>
      <c r="DT37" s="84">
        <f t="shared" si="49"/>
        <v>5467903</v>
      </c>
      <c r="DU37" s="84">
        <f t="shared" si="49"/>
        <v>-42224</v>
      </c>
      <c r="DV37" s="19"/>
      <c r="DW37" s="19"/>
      <c r="DX37" s="19"/>
      <c r="DY37" s="8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90"/>
      <c r="EM37" s="90"/>
      <c r="EN37" s="90"/>
      <c r="EO37" s="90"/>
      <c r="EP37" s="90"/>
      <c r="EQ37" s="90"/>
      <c r="ER37" s="90"/>
      <c r="ES37" s="90"/>
      <c r="ET37" s="91"/>
      <c r="EU37" s="91"/>
      <c r="EV37" s="91"/>
      <c r="EW37" s="91"/>
      <c r="EX37" s="91"/>
      <c r="EY37" s="91"/>
      <c r="EZ37" s="91"/>
      <c r="FA37" s="91"/>
      <c r="FB37" s="91"/>
      <c r="FC37" s="91"/>
      <c r="FD37" s="91"/>
      <c r="FE37" s="91"/>
      <c r="FF37" s="91"/>
      <c r="FG37" s="91"/>
      <c r="FH37" s="91"/>
      <c r="FI37" s="91"/>
      <c r="FJ37" s="91"/>
      <c r="FK37" s="91"/>
      <c r="FL37" s="91"/>
      <c r="FM37" s="91"/>
      <c r="FN37" s="91"/>
      <c r="FO37" s="91"/>
      <c r="FP37" s="92"/>
      <c r="FQ37" s="92"/>
      <c r="FR37" s="92"/>
      <c r="FS37" s="92"/>
      <c r="FT37" s="92"/>
      <c r="FU37" s="92"/>
      <c r="FV37" s="92"/>
    </row>
    <row r="38" spans="1:178" s="99" customFormat="1" x14ac:dyDescent="0.25">
      <c r="A38" s="93"/>
      <c r="B38" s="67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36"/>
      <c r="CF38" s="96"/>
      <c r="CG38" s="96"/>
      <c r="CH38" s="36"/>
      <c r="CI38" s="96"/>
      <c r="CJ38" s="96"/>
      <c r="CK38" s="36"/>
      <c r="CL38" s="96"/>
      <c r="CM38" s="96"/>
      <c r="CN38" s="36"/>
      <c r="CO38" s="96"/>
      <c r="CP38" s="96"/>
      <c r="CQ38" s="36"/>
      <c r="CR38" s="96"/>
      <c r="CS38" s="96"/>
      <c r="CT38" s="36"/>
      <c r="CU38" s="96"/>
      <c r="CV38" s="96"/>
      <c r="CW38" s="36"/>
      <c r="CX38" s="96"/>
      <c r="CY38" s="96"/>
      <c r="CZ38" s="36"/>
      <c r="DA38" s="96"/>
      <c r="DB38" s="96"/>
      <c r="DC38" s="36"/>
      <c r="DD38" s="96"/>
      <c r="DE38" s="96"/>
      <c r="DF38" s="36"/>
      <c r="DG38" s="96"/>
      <c r="DH38" s="96"/>
      <c r="DI38" s="96"/>
      <c r="DJ38" s="96"/>
      <c r="DK38" s="96"/>
      <c r="DL38" s="36"/>
      <c r="DM38" s="96"/>
      <c r="DN38" s="96"/>
      <c r="DO38" s="36"/>
      <c r="DP38" s="96"/>
      <c r="DQ38" s="96"/>
      <c r="DR38" s="36"/>
      <c r="DS38" s="36"/>
      <c r="DT38" s="96"/>
      <c r="DU38" s="96"/>
      <c r="DV38" s="96"/>
      <c r="DW38" s="96"/>
      <c r="DX38" s="96"/>
      <c r="DY38" s="103"/>
      <c r="DZ38" s="96"/>
      <c r="EA38" s="96"/>
      <c r="EB38" s="96"/>
      <c r="EC38" s="96"/>
      <c r="ED38" s="96"/>
      <c r="EE38" s="96"/>
      <c r="EF38" s="96"/>
      <c r="EG38" s="96"/>
      <c r="EH38" s="96"/>
      <c r="EI38" s="96"/>
      <c r="EJ38" s="96"/>
      <c r="EK38" s="96"/>
      <c r="EL38" s="104"/>
      <c r="EM38" s="104"/>
      <c r="EN38" s="104"/>
      <c r="EO38" s="104"/>
      <c r="EP38" s="104"/>
      <c r="EQ38" s="104"/>
      <c r="ER38" s="104"/>
      <c r="ES38" s="104"/>
      <c r="ET38" s="105"/>
      <c r="EU38" s="105"/>
      <c r="EV38" s="105"/>
      <c r="EW38" s="105"/>
      <c r="EX38" s="105"/>
      <c r="EY38" s="105"/>
      <c r="EZ38" s="105"/>
      <c r="FA38" s="105"/>
      <c r="FB38" s="105"/>
      <c r="FC38" s="105"/>
      <c r="FD38" s="105"/>
      <c r="FE38" s="105"/>
      <c r="FF38" s="105"/>
      <c r="FG38" s="105"/>
      <c r="FH38" s="105"/>
      <c r="FI38" s="105"/>
      <c r="FJ38" s="105"/>
      <c r="FK38" s="105"/>
      <c r="FL38" s="105"/>
      <c r="FM38" s="105"/>
      <c r="FN38" s="105"/>
      <c r="FO38" s="105"/>
      <c r="FP38" s="106"/>
      <c r="FQ38" s="106"/>
      <c r="FR38" s="106"/>
      <c r="FS38" s="106"/>
      <c r="FT38" s="106"/>
      <c r="FU38" s="106"/>
      <c r="FV38" s="106"/>
    </row>
    <row r="39" spans="1:178" x14ac:dyDescent="0.25">
      <c r="A39" s="409">
        <v>1</v>
      </c>
      <c r="B39" s="76">
        <f t="shared" ref="B39:BM39" si="50">+A39+1</f>
        <v>2</v>
      </c>
      <c r="C39" s="76">
        <f t="shared" si="50"/>
        <v>3</v>
      </c>
      <c r="D39" s="76">
        <f t="shared" si="50"/>
        <v>4</v>
      </c>
      <c r="E39" s="76">
        <f t="shared" si="50"/>
        <v>5</v>
      </c>
      <c r="F39" s="76">
        <f t="shared" si="50"/>
        <v>6</v>
      </c>
      <c r="G39" s="76">
        <f t="shared" si="50"/>
        <v>7</v>
      </c>
      <c r="H39" s="76">
        <f t="shared" si="50"/>
        <v>8</v>
      </c>
      <c r="I39" s="76">
        <f t="shared" si="50"/>
        <v>9</v>
      </c>
      <c r="J39" s="76">
        <f t="shared" si="50"/>
        <v>10</v>
      </c>
      <c r="K39" s="76">
        <f t="shared" si="50"/>
        <v>11</v>
      </c>
      <c r="L39" s="76">
        <f t="shared" si="50"/>
        <v>12</v>
      </c>
      <c r="M39" s="76">
        <f t="shared" si="50"/>
        <v>13</v>
      </c>
      <c r="N39" s="76">
        <f t="shared" si="50"/>
        <v>14</v>
      </c>
      <c r="O39" s="76">
        <f t="shared" si="50"/>
        <v>15</v>
      </c>
      <c r="P39" s="76">
        <f t="shared" si="50"/>
        <v>16</v>
      </c>
      <c r="Q39" s="76">
        <f t="shared" si="50"/>
        <v>17</v>
      </c>
      <c r="R39" s="76">
        <f t="shared" si="50"/>
        <v>18</v>
      </c>
      <c r="S39" s="76">
        <f t="shared" si="50"/>
        <v>19</v>
      </c>
      <c r="T39" s="76">
        <f t="shared" si="50"/>
        <v>20</v>
      </c>
      <c r="U39" s="76">
        <f t="shared" si="50"/>
        <v>21</v>
      </c>
      <c r="V39" s="76">
        <f t="shared" si="50"/>
        <v>22</v>
      </c>
      <c r="W39" s="76">
        <f t="shared" si="50"/>
        <v>23</v>
      </c>
      <c r="X39" s="76">
        <f t="shared" si="50"/>
        <v>24</v>
      </c>
      <c r="Y39" s="76">
        <f t="shared" si="50"/>
        <v>25</v>
      </c>
      <c r="Z39" s="76">
        <f t="shared" si="50"/>
        <v>26</v>
      </c>
      <c r="AA39" s="76">
        <f t="shared" si="50"/>
        <v>27</v>
      </c>
      <c r="AB39" s="76">
        <f t="shared" si="50"/>
        <v>28</v>
      </c>
      <c r="AC39" s="76">
        <f t="shared" si="50"/>
        <v>29</v>
      </c>
      <c r="AD39" s="76">
        <f t="shared" si="50"/>
        <v>30</v>
      </c>
      <c r="AE39" s="76">
        <f t="shared" si="50"/>
        <v>31</v>
      </c>
      <c r="AF39" s="76">
        <f t="shared" si="50"/>
        <v>32</v>
      </c>
      <c r="AG39" s="76">
        <f t="shared" si="50"/>
        <v>33</v>
      </c>
      <c r="AH39" s="76">
        <f t="shared" si="50"/>
        <v>34</v>
      </c>
      <c r="AI39" s="76">
        <f t="shared" si="50"/>
        <v>35</v>
      </c>
      <c r="AJ39" s="76">
        <f t="shared" si="50"/>
        <v>36</v>
      </c>
      <c r="AK39" s="76">
        <f t="shared" si="50"/>
        <v>37</v>
      </c>
      <c r="AL39" s="76">
        <f t="shared" si="50"/>
        <v>38</v>
      </c>
      <c r="AM39" s="76">
        <f t="shared" si="50"/>
        <v>39</v>
      </c>
      <c r="AN39" s="76">
        <f t="shared" si="50"/>
        <v>40</v>
      </c>
      <c r="AO39" s="76">
        <f t="shared" si="50"/>
        <v>41</v>
      </c>
      <c r="AP39" s="76">
        <f t="shared" si="50"/>
        <v>42</v>
      </c>
      <c r="AQ39" s="76">
        <f t="shared" si="50"/>
        <v>43</v>
      </c>
      <c r="AR39" s="76">
        <f t="shared" si="50"/>
        <v>44</v>
      </c>
      <c r="AS39" s="76">
        <f>+AR39+1</f>
        <v>45</v>
      </c>
      <c r="AT39" s="76">
        <f>+AS39+1</f>
        <v>46</v>
      </c>
      <c r="AU39" s="76">
        <f t="shared" si="50"/>
        <v>47</v>
      </c>
      <c r="AV39" s="76">
        <f>+AU39+1</f>
        <v>48</v>
      </c>
      <c r="AW39" s="76">
        <f>+AV39+1</f>
        <v>49</v>
      </c>
      <c r="AX39" s="76">
        <f t="shared" si="50"/>
        <v>50</v>
      </c>
      <c r="AY39" s="76">
        <f t="shared" si="50"/>
        <v>51</v>
      </c>
      <c r="AZ39" s="76">
        <f t="shared" si="50"/>
        <v>52</v>
      </c>
      <c r="BA39" s="76">
        <f t="shared" si="50"/>
        <v>53</v>
      </c>
      <c r="BB39" s="76">
        <f t="shared" si="50"/>
        <v>54</v>
      </c>
      <c r="BC39" s="76">
        <f t="shared" si="50"/>
        <v>55</v>
      </c>
      <c r="BD39" s="76">
        <f t="shared" si="50"/>
        <v>56</v>
      </c>
      <c r="BE39" s="76">
        <f t="shared" si="50"/>
        <v>57</v>
      </c>
      <c r="BF39" s="76">
        <f t="shared" si="50"/>
        <v>58</v>
      </c>
      <c r="BG39" s="76">
        <f t="shared" si="50"/>
        <v>59</v>
      </c>
      <c r="BH39" s="76">
        <f t="shared" si="50"/>
        <v>60</v>
      </c>
      <c r="BI39" s="76">
        <f t="shared" si="50"/>
        <v>61</v>
      </c>
      <c r="BJ39" s="76">
        <f t="shared" si="50"/>
        <v>62</v>
      </c>
      <c r="BK39" s="76">
        <f t="shared" si="50"/>
        <v>63</v>
      </c>
      <c r="BL39" s="76">
        <f t="shared" si="50"/>
        <v>64</v>
      </c>
      <c r="BM39" s="76">
        <f t="shared" si="50"/>
        <v>65</v>
      </c>
      <c r="BN39" s="76">
        <f t="shared" ref="BN39:DF39" si="51">+BM39+1</f>
        <v>66</v>
      </c>
      <c r="BO39" s="76">
        <f t="shared" si="51"/>
        <v>67</v>
      </c>
      <c r="BP39" s="76">
        <f t="shared" si="51"/>
        <v>68</v>
      </c>
      <c r="BQ39" s="76">
        <f t="shared" si="51"/>
        <v>69</v>
      </c>
      <c r="BR39" s="76">
        <f t="shared" si="51"/>
        <v>70</v>
      </c>
      <c r="BS39" s="76">
        <f t="shared" si="51"/>
        <v>71</v>
      </c>
      <c r="BT39" s="76">
        <f t="shared" si="51"/>
        <v>72</v>
      </c>
      <c r="BU39" s="76">
        <f t="shared" si="51"/>
        <v>73</v>
      </c>
      <c r="BV39" s="76">
        <f t="shared" si="51"/>
        <v>74</v>
      </c>
      <c r="BW39" s="76">
        <f t="shared" si="51"/>
        <v>75</v>
      </c>
      <c r="BX39" s="76">
        <f t="shared" si="51"/>
        <v>76</v>
      </c>
      <c r="BY39" s="76">
        <f t="shared" si="51"/>
        <v>77</v>
      </c>
      <c r="BZ39" s="76">
        <f t="shared" si="51"/>
        <v>78</v>
      </c>
      <c r="CA39" s="76">
        <f t="shared" si="51"/>
        <v>79</v>
      </c>
      <c r="CB39" s="76">
        <f t="shared" si="51"/>
        <v>80</v>
      </c>
      <c r="CC39" s="76">
        <f t="shared" si="51"/>
        <v>81</v>
      </c>
      <c r="CD39" s="76">
        <f t="shared" si="51"/>
        <v>82</v>
      </c>
      <c r="CE39" s="76">
        <f t="shared" si="51"/>
        <v>83</v>
      </c>
      <c r="CF39" s="76">
        <f t="shared" si="51"/>
        <v>84</v>
      </c>
      <c r="CG39" s="76">
        <f t="shared" si="51"/>
        <v>85</v>
      </c>
      <c r="CH39" s="76">
        <f t="shared" si="51"/>
        <v>86</v>
      </c>
      <c r="CI39" s="76">
        <f t="shared" si="51"/>
        <v>87</v>
      </c>
      <c r="CJ39" s="76">
        <f t="shared" si="51"/>
        <v>88</v>
      </c>
      <c r="CK39" s="76">
        <f t="shared" si="51"/>
        <v>89</v>
      </c>
      <c r="CL39" s="76">
        <f t="shared" si="51"/>
        <v>90</v>
      </c>
      <c r="CM39" s="76">
        <f t="shared" si="51"/>
        <v>91</v>
      </c>
      <c r="CN39" s="76">
        <f t="shared" si="51"/>
        <v>92</v>
      </c>
      <c r="CO39" s="76">
        <f t="shared" si="51"/>
        <v>93</v>
      </c>
      <c r="CP39" s="76">
        <f t="shared" si="51"/>
        <v>94</v>
      </c>
      <c r="CQ39" s="76">
        <f t="shared" si="51"/>
        <v>95</v>
      </c>
      <c r="CR39" s="76">
        <f t="shared" si="51"/>
        <v>96</v>
      </c>
      <c r="CS39" s="76">
        <f t="shared" si="51"/>
        <v>97</v>
      </c>
      <c r="CT39" s="76">
        <f t="shared" si="51"/>
        <v>98</v>
      </c>
      <c r="CU39" s="76">
        <f t="shared" si="51"/>
        <v>99</v>
      </c>
      <c r="CV39" s="76">
        <f t="shared" si="51"/>
        <v>100</v>
      </c>
      <c r="CW39" s="76">
        <f t="shared" si="51"/>
        <v>101</v>
      </c>
      <c r="CX39" s="76">
        <f t="shared" si="51"/>
        <v>102</v>
      </c>
      <c r="CY39" s="76">
        <f t="shared" si="51"/>
        <v>103</v>
      </c>
      <c r="CZ39" s="76">
        <f t="shared" si="51"/>
        <v>104</v>
      </c>
      <c r="DA39" s="76">
        <f t="shared" si="51"/>
        <v>105</v>
      </c>
      <c r="DB39" s="76">
        <f t="shared" si="51"/>
        <v>106</v>
      </c>
      <c r="DC39" s="76">
        <f t="shared" si="51"/>
        <v>107</v>
      </c>
      <c r="DD39" s="76">
        <f t="shared" si="51"/>
        <v>108</v>
      </c>
      <c r="DE39" s="76">
        <f t="shared" si="51"/>
        <v>109</v>
      </c>
      <c r="DF39" s="76">
        <f t="shared" si="51"/>
        <v>110</v>
      </c>
      <c r="DS39" s="36"/>
    </row>
    <row r="40" spans="1:178" x14ac:dyDescent="0.25">
      <c r="A40" s="28"/>
      <c r="B40" s="67"/>
      <c r="C40" s="97"/>
      <c r="F40" s="97"/>
      <c r="I40" s="97"/>
      <c r="L40" s="97"/>
      <c r="O40" s="97"/>
      <c r="R40" s="97"/>
      <c r="U40" s="97"/>
      <c r="X40" s="97"/>
      <c r="AA40" s="97"/>
      <c r="AD40" s="97"/>
      <c r="AG40" s="97"/>
      <c r="AJ40" s="97"/>
      <c r="AM40" s="97"/>
      <c r="AP40" s="97"/>
      <c r="AS40" s="97"/>
      <c r="AV40" s="97"/>
      <c r="AY40" s="97"/>
      <c r="BB40" s="97"/>
      <c r="BE40" s="97"/>
      <c r="BH40" s="97"/>
      <c r="BK40" s="97"/>
      <c r="BN40" s="97"/>
      <c r="DS40" s="36"/>
    </row>
    <row r="41" spans="1:178" x14ac:dyDescent="0.25">
      <c r="A41" s="28"/>
      <c r="B41" s="67"/>
      <c r="C41" s="97"/>
      <c r="F41" s="97"/>
      <c r="I41" s="97"/>
      <c r="L41" s="97"/>
      <c r="O41" s="97"/>
      <c r="R41" s="97"/>
      <c r="U41" s="97"/>
      <c r="X41" s="97"/>
      <c r="AA41" s="97"/>
      <c r="AD41" s="97"/>
      <c r="AG41" s="97"/>
      <c r="AJ41" s="97"/>
      <c r="AM41" s="97"/>
      <c r="AP41" s="97"/>
      <c r="AS41" s="97"/>
      <c r="AV41" s="97"/>
      <c r="AY41" s="97"/>
      <c r="BB41" s="97"/>
      <c r="BE41" s="97"/>
      <c r="BH41" s="97"/>
      <c r="BK41" s="97"/>
      <c r="BN41" s="97"/>
    </row>
    <row r="42" spans="1:178" x14ac:dyDescent="0.25">
      <c r="A42" s="28"/>
      <c r="B42" s="67"/>
      <c r="C42" s="97"/>
      <c r="F42" s="97"/>
      <c r="I42" s="97"/>
      <c r="L42" s="97"/>
      <c r="O42" s="97"/>
      <c r="R42" s="97"/>
      <c r="U42" s="97"/>
      <c r="X42" s="97"/>
      <c r="AA42" s="97"/>
      <c r="AD42" s="97"/>
      <c r="AG42" s="97"/>
      <c r="AJ42" s="97"/>
      <c r="AM42" s="97"/>
      <c r="AP42" s="97"/>
      <c r="AS42" s="97"/>
      <c r="AV42" s="97"/>
      <c r="AY42" s="97"/>
      <c r="BB42" s="97"/>
      <c r="BE42" s="97"/>
      <c r="BH42" s="97"/>
      <c r="BK42" s="97"/>
      <c r="BN42" s="97"/>
    </row>
    <row r="43" spans="1:178" x14ac:dyDescent="0.25">
      <c r="A43" s="28"/>
      <c r="C43" s="97"/>
      <c r="F43" s="97"/>
      <c r="I43" s="97"/>
      <c r="L43" s="97"/>
      <c r="O43" s="97"/>
      <c r="R43" s="97"/>
      <c r="U43" s="97"/>
      <c r="X43" s="97"/>
      <c r="AA43" s="97"/>
      <c r="AD43" s="97"/>
      <c r="AG43" s="97"/>
      <c r="AJ43" s="97"/>
      <c r="AM43" s="97"/>
      <c r="AP43" s="97"/>
      <c r="AS43" s="97"/>
      <c r="AV43" s="97"/>
      <c r="AY43" s="97"/>
      <c r="BB43" s="97"/>
      <c r="BE43" s="97"/>
      <c r="BH43" s="97"/>
      <c r="BK43" s="97"/>
      <c r="BN43" s="97"/>
    </row>
    <row r="44" spans="1:178" x14ac:dyDescent="0.25">
      <c r="A44" s="28"/>
    </row>
    <row r="45" spans="1:178" x14ac:dyDescent="0.25">
      <c r="A45" s="28"/>
    </row>
    <row r="46" spans="1:178" x14ac:dyDescent="0.25">
      <c r="A46" s="28"/>
    </row>
    <row r="47" spans="1:178" x14ac:dyDescent="0.25">
      <c r="A47" s="28"/>
    </row>
    <row r="48" spans="1:178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</sheetData>
  <printOptions horizontalCentered="1" verticalCentered="1" gridLines="1" gridLinesSet="0"/>
  <pageMargins left="0" right="0" top="0" bottom="0" header="0" footer="0"/>
  <pageSetup orientation="portrait" horizontalDpi="4294967293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V515"/>
  <sheetViews>
    <sheetView zoomScale="90" workbookViewId="0">
      <pane xSplit="2" ySplit="5" topLeftCell="N6" activePane="bottomRight" state="frozen"/>
      <selection activeCell="C6" sqref="C6"/>
      <selection pane="topRight" activeCell="C6" sqref="C6"/>
      <selection pane="bottomLeft" activeCell="C6" sqref="C6"/>
      <selection pane="bottomRight" activeCell="R16" sqref="R16"/>
    </sheetView>
  </sheetViews>
  <sheetFormatPr defaultColWidth="15.109375" defaultRowHeight="13.2" x14ac:dyDescent="0.25"/>
  <cols>
    <col min="1" max="1" width="15.109375" style="109" customWidth="1"/>
    <col min="2" max="2" width="15.109375" style="28" customWidth="1"/>
    <col min="3" max="122" width="15.109375" style="31" customWidth="1"/>
    <col min="123" max="123" width="15.109375" style="37" customWidth="1"/>
    <col min="124" max="126" width="15.109375" style="36" customWidth="1"/>
    <col min="127" max="128" width="15.109375" style="31" customWidth="1"/>
    <col min="129" max="129" width="15.109375" style="37" customWidth="1"/>
    <col min="130" max="141" width="15.109375" style="31" customWidth="1"/>
    <col min="142" max="149" width="15.109375" style="38" customWidth="1"/>
    <col min="150" max="171" width="15.109375" style="39" customWidth="1"/>
    <col min="172" max="178" width="15.109375" style="40" customWidth="1"/>
    <col min="179" max="16384" width="15.109375" style="17"/>
  </cols>
  <sheetData>
    <row r="1" spans="1:178" s="415" customFormat="1" x14ac:dyDescent="0.25">
      <c r="A1" s="417" t="s">
        <v>19</v>
      </c>
      <c r="B1" s="373">
        <f>+BaseloadMarkets!B1</f>
        <v>36678</v>
      </c>
      <c r="C1" s="414">
        <v>4.75</v>
      </c>
      <c r="D1" s="416"/>
      <c r="E1" s="416"/>
      <c r="F1" s="414">
        <v>4.4000000000000004</v>
      </c>
      <c r="G1" s="416"/>
      <c r="H1" s="416"/>
      <c r="I1" s="414">
        <v>4.1900000000000004</v>
      </c>
      <c r="J1" s="416"/>
      <c r="K1" s="416"/>
      <c r="L1" s="414">
        <v>4.45</v>
      </c>
      <c r="M1" s="416"/>
      <c r="N1" s="416"/>
      <c r="O1" s="414">
        <v>4.4249999999999998</v>
      </c>
      <c r="P1" s="416"/>
      <c r="Q1" s="416"/>
      <c r="R1" s="414">
        <v>4.41</v>
      </c>
      <c r="S1" s="416"/>
      <c r="T1" s="416"/>
      <c r="U1" s="414">
        <v>4.41</v>
      </c>
      <c r="V1" s="416"/>
      <c r="W1" s="416"/>
      <c r="X1" s="414" t="s">
        <v>286</v>
      </c>
      <c r="Y1" s="416"/>
      <c r="Z1" s="416"/>
      <c r="AA1" s="414">
        <v>4.74</v>
      </c>
      <c r="AB1" s="416"/>
      <c r="AC1" s="416"/>
      <c r="AD1" s="414">
        <v>4.8</v>
      </c>
      <c r="AE1" s="416"/>
      <c r="AF1" s="416"/>
      <c r="AG1" s="414">
        <v>4.72</v>
      </c>
      <c r="AH1" s="416"/>
      <c r="AI1" s="416"/>
      <c r="AJ1" s="414"/>
      <c r="AK1" s="416"/>
      <c r="AL1" s="416"/>
      <c r="AM1" s="414"/>
      <c r="AN1" s="416"/>
      <c r="AO1" s="416"/>
      <c r="AP1" s="414">
        <v>4.3899999999999997</v>
      </c>
      <c r="AQ1" s="416"/>
      <c r="AR1" s="416"/>
      <c r="AS1" s="414">
        <v>4.46</v>
      </c>
      <c r="AT1" s="416"/>
      <c r="AU1" s="416"/>
      <c r="AV1" s="414"/>
      <c r="AW1" s="416"/>
      <c r="AX1" s="416"/>
      <c r="AY1" s="414">
        <v>5.09</v>
      </c>
      <c r="AZ1" s="416"/>
      <c r="BA1" s="416"/>
      <c r="BB1" s="414"/>
      <c r="BC1" s="416"/>
      <c r="BD1" s="416"/>
      <c r="BE1" s="414"/>
      <c r="BF1" s="416"/>
      <c r="BG1" s="416"/>
      <c r="BH1" s="414"/>
      <c r="BI1" s="416"/>
      <c r="BJ1" s="416"/>
      <c r="BK1" s="414"/>
      <c r="BL1" s="416"/>
      <c r="BM1" s="416"/>
      <c r="BN1" s="414"/>
      <c r="BO1" s="416"/>
      <c r="BP1" s="416"/>
      <c r="BQ1" s="414"/>
      <c r="BR1" s="416"/>
      <c r="BS1" s="416"/>
      <c r="BT1" s="414"/>
      <c r="BU1" s="416"/>
      <c r="BV1" s="416"/>
      <c r="BW1" s="414"/>
      <c r="BX1" s="416"/>
      <c r="BY1" s="416"/>
      <c r="BZ1" s="414"/>
      <c r="CA1" s="416"/>
      <c r="CB1" s="416"/>
      <c r="CC1" s="414"/>
      <c r="CD1" s="416"/>
      <c r="CE1" s="416"/>
      <c r="CF1" s="414"/>
      <c r="CG1" s="416"/>
      <c r="CH1" s="416"/>
      <c r="CI1" s="416"/>
      <c r="CJ1" s="416"/>
      <c r="CK1" s="416"/>
      <c r="CL1" s="416"/>
      <c r="CM1" s="416"/>
      <c r="CN1" s="416"/>
      <c r="CO1" s="416"/>
      <c r="CP1" s="416"/>
      <c r="CQ1" s="416"/>
      <c r="CR1" s="416"/>
      <c r="CS1" s="416"/>
      <c r="CT1" s="416"/>
      <c r="CU1" s="416"/>
      <c r="CV1" s="416"/>
      <c r="CW1" s="416"/>
      <c r="CX1" s="416"/>
      <c r="CY1" s="416"/>
      <c r="CZ1" s="416"/>
      <c r="DA1" s="416"/>
      <c r="DB1" s="416"/>
      <c r="DC1" s="416"/>
      <c r="DD1" s="416"/>
      <c r="DE1" s="416"/>
      <c r="DF1" s="416"/>
      <c r="DG1" s="416"/>
      <c r="DH1" s="416"/>
      <c r="DI1" s="416"/>
      <c r="DJ1" s="416"/>
      <c r="DK1" s="416"/>
      <c r="DL1" s="416"/>
      <c r="DM1" s="416"/>
      <c r="DN1" s="416"/>
      <c r="DO1" s="416"/>
      <c r="DP1" s="416"/>
      <c r="DQ1" s="416"/>
      <c r="DR1" s="416"/>
      <c r="DS1" s="418"/>
      <c r="DT1" s="418"/>
      <c r="DU1" s="418"/>
      <c r="DV1" s="418"/>
      <c r="DW1" s="416"/>
      <c r="DX1" s="416"/>
      <c r="DY1" s="419"/>
      <c r="DZ1" s="416"/>
      <c r="EA1" s="416"/>
      <c r="EB1" s="416"/>
      <c r="EC1" s="416"/>
      <c r="ED1" s="416"/>
      <c r="EE1" s="416"/>
      <c r="EF1" s="416"/>
      <c r="EG1" s="416"/>
      <c r="EH1" s="416"/>
      <c r="EI1" s="416"/>
      <c r="EJ1" s="416"/>
      <c r="EK1" s="416"/>
    </row>
    <row r="2" spans="1:178" s="1" customFormat="1" ht="12.75" customHeight="1" x14ac:dyDescent="0.25">
      <c r="A2" s="5" t="s">
        <v>8</v>
      </c>
      <c r="B2" s="5"/>
      <c r="C2" s="35">
        <v>283976</v>
      </c>
      <c r="D2" s="35"/>
      <c r="E2" s="35"/>
      <c r="F2" s="35">
        <v>287279</v>
      </c>
      <c r="G2" s="35"/>
      <c r="H2" s="35"/>
      <c r="I2" s="35">
        <v>286781</v>
      </c>
      <c r="J2" s="35"/>
      <c r="K2" s="35"/>
      <c r="L2" s="35">
        <v>291169</v>
      </c>
      <c r="M2" s="35"/>
      <c r="N2" s="35"/>
      <c r="O2" s="35">
        <v>290879</v>
      </c>
      <c r="P2" s="35"/>
      <c r="Q2" s="35"/>
      <c r="R2" s="35">
        <v>294726</v>
      </c>
      <c r="S2" s="35"/>
      <c r="U2" s="35">
        <v>294759</v>
      </c>
      <c r="V2" s="35"/>
      <c r="W2" s="35"/>
      <c r="X2" s="35">
        <v>295558</v>
      </c>
      <c r="Y2" s="35"/>
      <c r="Z2" s="35"/>
      <c r="AA2" s="35">
        <v>286781</v>
      </c>
      <c r="AB2" s="35"/>
      <c r="AC2" s="35"/>
      <c r="AD2" s="35">
        <v>294644</v>
      </c>
      <c r="AE2" s="35"/>
      <c r="AF2" s="35"/>
      <c r="AG2" s="35">
        <v>298860</v>
      </c>
      <c r="AH2" s="35"/>
      <c r="AI2" s="35"/>
      <c r="AJ2" s="35">
        <v>302118</v>
      </c>
      <c r="AK2" s="35"/>
      <c r="AL2" s="35"/>
      <c r="AM2" s="35">
        <v>301500</v>
      </c>
      <c r="AN2" s="35"/>
      <c r="AO2" s="35"/>
      <c r="AP2" s="35">
        <v>304369</v>
      </c>
      <c r="AQ2" s="35"/>
      <c r="AR2" s="35"/>
      <c r="AS2" s="35">
        <v>306848</v>
      </c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49"/>
      <c r="DV2" s="50"/>
      <c r="DW2" s="35"/>
      <c r="DX2" s="35"/>
      <c r="DY2" s="51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52"/>
      <c r="EM2" s="52"/>
      <c r="EN2" s="52"/>
      <c r="EO2" s="52"/>
      <c r="EP2" s="52"/>
      <c r="EQ2" s="52"/>
      <c r="ER2" s="52"/>
      <c r="ES2" s="52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4"/>
      <c r="FQ2" s="54"/>
      <c r="FR2" s="54"/>
      <c r="FS2" s="54"/>
      <c r="FT2" s="54"/>
      <c r="FU2" s="54"/>
      <c r="FV2" s="54"/>
    </row>
    <row r="3" spans="1:178" s="1" customFormat="1" ht="12.75" customHeight="1" x14ac:dyDescent="0.25">
      <c r="A3" s="5" t="s">
        <v>20</v>
      </c>
      <c r="B3" s="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 t="s">
        <v>170</v>
      </c>
      <c r="AW3" s="35"/>
      <c r="AX3" s="35"/>
      <c r="AY3" s="35" t="s">
        <v>190</v>
      </c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49"/>
      <c r="DV3" s="50"/>
      <c r="DW3" s="35"/>
      <c r="DX3" s="35"/>
      <c r="DY3" s="51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52"/>
      <c r="EM3" s="52"/>
      <c r="EN3" s="52"/>
      <c r="EO3" s="52"/>
      <c r="EP3" s="52"/>
      <c r="EQ3" s="52"/>
      <c r="ER3" s="52"/>
      <c r="ES3" s="52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4"/>
      <c r="FQ3" s="54"/>
      <c r="FR3" s="54"/>
      <c r="FS3" s="54"/>
      <c r="FT3" s="54"/>
      <c r="FU3" s="54"/>
      <c r="FV3" s="54"/>
    </row>
    <row r="4" spans="1:178" s="1" customFormat="1" ht="12.75" customHeight="1" x14ac:dyDescent="0.25">
      <c r="A4" s="5" t="s">
        <v>28</v>
      </c>
      <c r="B4" s="5" t="s">
        <v>29</v>
      </c>
      <c r="C4" s="35" t="s">
        <v>184</v>
      </c>
      <c r="D4" s="35"/>
      <c r="E4" s="35" t="s">
        <v>31</v>
      </c>
      <c r="F4" s="35" t="s">
        <v>208</v>
      </c>
      <c r="G4" s="35"/>
      <c r="H4" s="35" t="s">
        <v>31</v>
      </c>
      <c r="I4" s="35" t="s">
        <v>208</v>
      </c>
      <c r="J4" s="35"/>
      <c r="K4" s="35" t="s">
        <v>31</v>
      </c>
      <c r="L4" s="35" t="s">
        <v>195</v>
      </c>
      <c r="M4" s="35"/>
      <c r="N4" s="35" t="s">
        <v>31</v>
      </c>
      <c r="O4" s="35" t="s">
        <v>288</v>
      </c>
      <c r="P4" s="35"/>
      <c r="Q4" s="35" t="s">
        <v>31</v>
      </c>
      <c r="R4" s="35" t="s">
        <v>210</v>
      </c>
      <c r="S4" s="35"/>
      <c r="T4" s="35" t="s">
        <v>31</v>
      </c>
      <c r="U4" s="35" t="s">
        <v>213</v>
      </c>
      <c r="V4" s="35"/>
      <c r="W4" s="35" t="s">
        <v>31</v>
      </c>
      <c r="X4" s="35" t="s">
        <v>208</v>
      </c>
      <c r="Y4" s="35"/>
      <c r="Z4" s="35" t="s">
        <v>31</v>
      </c>
      <c r="AA4" s="35" t="s">
        <v>208</v>
      </c>
      <c r="AB4" s="35"/>
      <c r="AC4" s="35" t="s">
        <v>31</v>
      </c>
      <c r="AD4" s="35" t="s">
        <v>195</v>
      </c>
      <c r="AE4" s="35"/>
      <c r="AF4" s="35" t="s">
        <v>31</v>
      </c>
      <c r="AG4" s="35" t="s">
        <v>195</v>
      </c>
      <c r="AH4" s="35"/>
      <c r="AI4" s="35" t="s">
        <v>31</v>
      </c>
      <c r="AJ4" s="35" t="s">
        <v>300</v>
      </c>
      <c r="AK4" s="35"/>
      <c r="AL4" s="35" t="s">
        <v>31</v>
      </c>
      <c r="AM4" s="35" t="s">
        <v>208</v>
      </c>
      <c r="AN4" s="35"/>
      <c r="AO4" s="35" t="s">
        <v>31</v>
      </c>
      <c r="AP4" s="35" t="s">
        <v>219</v>
      </c>
      <c r="AQ4" s="35"/>
      <c r="AR4" s="35" t="s">
        <v>31</v>
      </c>
      <c r="AS4" s="35" t="s">
        <v>302</v>
      </c>
      <c r="AT4" s="35"/>
      <c r="AU4" s="35" t="s">
        <v>31</v>
      </c>
      <c r="AV4" s="35" t="s">
        <v>288</v>
      </c>
      <c r="AW4" s="35"/>
      <c r="AX4" s="35" t="s">
        <v>31</v>
      </c>
      <c r="AY4" s="35" t="s">
        <v>220</v>
      </c>
      <c r="AZ4" s="35"/>
      <c r="BA4" s="35" t="s">
        <v>31</v>
      </c>
      <c r="BB4" s="35"/>
      <c r="BC4" s="35"/>
      <c r="BD4" s="35" t="s">
        <v>31</v>
      </c>
      <c r="BE4" s="35"/>
      <c r="BF4" s="35"/>
      <c r="BG4" s="35" t="s">
        <v>31</v>
      </c>
      <c r="BH4" s="35"/>
      <c r="BI4" s="35"/>
      <c r="BJ4" s="35" t="s">
        <v>31</v>
      </c>
      <c r="BK4" s="35"/>
      <c r="BL4" s="35"/>
      <c r="BM4" s="35" t="s">
        <v>31</v>
      </c>
      <c r="BN4" s="35"/>
      <c r="BO4" s="35"/>
      <c r="BP4" s="35" t="s">
        <v>31</v>
      </c>
      <c r="BQ4" s="35"/>
      <c r="BR4" s="35"/>
      <c r="BS4" s="35" t="s">
        <v>31</v>
      </c>
      <c r="BT4" s="35"/>
      <c r="BU4" s="35"/>
      <c r="BV4" s="35" t="s">
        <v>31</v>
      </c>
      <c r="BW4" s="35"/>
      <c r="BX4" s="35"/>
      <c r="BY4" s="35" t="s">
        <v>31</v>
      </c>
      <c r="BZ4" s="35"/>
      <c r="CA4" s="35"/>
      <c r="CB4" s="35" t="s">
        <v>31</v>
      </c>
      <c r="CC4" s="35"/>
      <c r="CD4" s="35"/>
      <c r="CE4" s="35" t="s">
        <v>31</v>
      </c>
      <c r="CF4" s="35"/>
      <c r="CG4" s="35"/>
      <c r="CH4" s="35" t="s">
        <v>31</v>
      </c>
      <c r="CI4" s="35"/>
      <c r="CJ4" s="35"/>
      <c r="CK4" s="35" t="s">
        <v>31</v>
      </c>
      <c r="CL4" s="35"/>
      <c r="CM4" s="35"/>
      <c r="CN4" s="35" t="s">
        <v>31</v>
      </c>
      <c r="CO4" s="35"/>
      <c r="CP4" s="35"/>
      <c r="CQ4" s="35" t="s">
        <v>31</v>
      </c>
      <c r="CR4" s="35"/>
      <c r="CS4" s="35"/>
      <c r="CT4" s="35" t="s">
        <v>31</v>
      </c>
      <c r="CU4" s="35"/>
      <c r="CV4" s="35"/>
      <c r="CW4" s="35" t="s">
        <v>31</v>
      </c>
      <c r="CX4" s="35"/>
      <c r="CY4" s="35"/>
      <c r="CZ4" s="35" t="s">
        <v>31</v>
      </c>
      <c r="DA4" s="35"/>
      <c r="DB4" s="35"/>
      <c r="DC4" s="35" t="s">
        <v>31</v>
      </c>
      <c r="DD4" s="35"/>
      <c r="DE4" s="35"/>
      <c r="DF4" s="35" t="s">
        <v>31</v>
      </c>
      <c r="DG4" s="35"/>
      <c r="DH4" s="35"/>
      <c r="DI4" s="35" t="s">
        <v>31</v>
      </c>
      <c r="DJ4" s="35"/>
      <c r="DK4" s="35"/>
      <c r="DL4" s="35" t="s">
        <v>31</v>
      </c>
      <c r="DM4" s="35"/>
      <c r="DN4" s="35"/>
      <c r="DO4" s="35" t="s">
        <v>31</v>
      </c>
      <c r="DP4" s="35"/>
      <c r="DQ4" s="35"/>
      <c r="DR4" s="35" t="s">
        <v>31</v>
      </c>
      <c r="DS4" s="5" t="s">
        <v>10</v>
      </c>
      <c r="DT4" s="2" t="s">
        <v>10</v>
      </c>
      <c r="DV4" s="50"/>
      <c r="DW4" s="35"/>
      <c r="DX4" s="35"/>
      <c r="DY4" s="51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52"/>
      <c r="EM4" s="52"/>
      <c r="EN4" s="52"/>
      <c r="EO4" s="52"/>
      <c r="EP4" s="52"/>
      <c r="EQ4" s="52"/>
      <c r="ER4" s="52"/>
      <c r="ES4" s="52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4"/>
      <c r="FQ4" s="54"/>
      <c r="FR4" s="54"/>
      <c r="FS4" s="54"/>
      <c r="FT4" s="54"/>
      <c r="FU4" s="54"/>
      <c r="FV4" s="54"/>
    </row>
    <row r="5" spans="1:178" s="65" customFormat="1" ht="12.75" customHeight="1" x14ac:dyDescent="0.25">
      <c r="A5" s="5" t="s">
        <v>11</v>
      </c>
      <c r="B5" s="5" t="s">
        <v>37</v>
      </c>
      <c r="C5" s="57" t="s">
        <v>265</v>
      </c>
      <c r="D5" s="57"/>
      <c r="E5" s="57" t="s">
        <v>41</v>
      </c>
      <c r="F5" s="57" t="s">
        <v>265</v>
      </c>
      <c r="G5" s="57"/>
      <c r="H5" s="57" t="s">
        <v>41</v>
      </c>
      <c r="I5" s="57" t="s">
        <v>268</v>
      </c>
      <c r="J5" s="57"/>
      <c r="K5" s="57" t="s">
        <v>41</v>
      </c>
      <c r="L5" s="57" t="s">
        <v>268</v>
      </c>
      <c r="M5" s="57"/>
      <c r="N5" s="57" t="s">
        <v>41</v>
      </c>
      <c r="O5" s="57" t="s">
        <v>287</v>
      </c>
      <c r="P5" s="57"/>
      <c r="Q5" s="57" t="s">
        <v>41</v>
      </c>
      <c r="R5" s="57" t="s">
        <v>14</v>
      </c>
      <c r="S5" s="57"/>
      <c r="T5" s="57" t="s">
        <v>41</v>
      </c>
      <c r="U5" s="57" t="s">
        <v>268</v>
      </c>
      <c r="V5" s="57"/>
      <c r="W5" s="57" t="s">
        <v>41</v>
      </c>
      <c r="X5" s="57" t="s">
        <v>287</v>
      </c>
      <c r="Y5" s="57"/>
      <c r="Z5" s="57" t="s">
        <v>41</v>
      </c>
      <c r="AA5" s="57" t="s">
        <v>182</v>
      </c>
      <c r="AB5" s="57"/>
      <c r="AC5" s="57" t="s">
        <v>41</v>
      </c>
      <c r="AD5" s="57" t="s">
        <v>297</v>
      </c>
      <c r="AE5" s="57"/>
      <c r="AF5" s="57" t="s">
        <v>41</v>
      </c>
      <c r="AG5" s="57" t="s">
        <v>301</v>
      </c>
      <c r="AH5" s="57"/>
      <c r="AI5" s="57" t="s">
        <v>41</v>
      </c>
      <c r="AJ5" s="57" t="s">
        <v>268</v>
      </c>
      <c r="AK5" s="57"/>
      <c r="AL5" s="57" t="s">
        <v>41</v>
      </c>
      <c r="AM5" s="57" t="s">
        <v>268</v>
      </c>
      <c r="AN5" s="57"/>
      <c r="AO5" s="57" t="s">
        <v>41</v>
      </c>
      <c r="AP5" s="57" t="s">
        <v>287</v>
      </c>
      <c r="AQ5" s="57"/>
      <c r="AR5" s="57" t="s">
        <v>41</v>
      </c>
      <c r="AS5" s="57" t="s">
        <v>303</v>
      </c>
      <c r="AT5" s="57"/>
      <c r="AU5" s="57" t="s">
        <v>41</v>
      </c>
      <c r="AV5" s="57" t="s">
        <v>268</v>
      </c>
      <c r="AW5" s="57"/>
      <c r="AX5" s="57" t="s">
        <v>41</v>
      </c>
      <c r="AY5" s="57" t="s">
        <v>268</v>
      </c>
      <c r="AZ5" s="57"/>
      <c r="BA5" s="57" t="s">
        <v>41</v>
      </c>
      <c r="BB5" s="57"/>
      <c r="BC5" s="57"/>
      <c r="BD5" s="57" t="s">
        <v>41</v>
      </c>
      <c r="BE5" s="57"/>
      <c r="BF5" s="57"/>
      <c r="BG5" s="57" t="s">
        <v>41</v>
      </c>
      <c r="BH5" s="57"/>
      <c r="BI5" s="57"/>
      <c r="BJ5" s="57" t="s">
        <v>41</v>
      </c>
      <c r="BK5" s="57"/>
      <c r="BL5" s="57"/>
      <c r="BM5" s="57" t="s">
        <v>41</v>
      </c>
      <c r="BN5" s="57"/>
      <c r="BO5" s="57"/>
      <c r="BP5" s="57" t="s">
        <v>41</v>
      </c>
      <c r="BQ5" s="57"/>
      <c r="BR5" s="57"/>
      <c r="BS5" s="57" t="s">
        <v>41</v>
      </c>
      <c r="BT5" s="57"/>
      <c r="BU5" s="57"/>
      <c r="BV5" s="57" t="s">
        <v>41</v>
      </c>
      <c r="BW5" s="57"/>
      <c r="BX5" s="57"/>
      <c r="BY5" s="57" t="s">
        <v>41</v>
      </c>
      <c r="BZ5" s="57"/>
      <c r="CA5" s="57"/>
      <c r="CB5" s="57" t="s">
        <v>41</v>
      </c>
      <c r="CC5" s="57"/>
      <c r="CD5" s="57"/>
      <c r="CE5" s="57" t="s">
        <v>41</v>
      </c>
      <c r="CF5" s="57"/>
      <c r="CG5" s="57"/>
      <c r="CH5" s="57" t="s">
        <v>41</v>
      </c>
      <c r="CI5" s="57"/>
      <c r="CJ5" s="57"/>
      <c r="CK5" s="57" t="s">
        <v>41</v>
      </c>
      <c r="CL5" s="57"/>
      <c r="CM5" s="57"/>
      <c r="CN5" s="57" t="s">
        <v>41</v>
      </c>
      <c r="CO5" s="57"/>
      <c r="CP5" s="57"/>
      <c r="CQ5" s="57" t="s">
        <v>41</v>
      </c>
      <c r="CR5" s="57"/>
      <c r="CS5" s="57"/>
      <c r="CT5" s="57" t="s">
        <v>41</v>
      </c>
      <c r="CU5" s="57"/>
      <c r="CV5" s="57"/>
      <c r="CW5" s="57" t="s">
        <v>41</v>
      </c>
      <c r="CX5" s="57"/>
      <c r="CY5" s="57"/>
      <c r="CZ5" s="57" t="s">
        <v>41</v>
      </c>
      <c r="DA5" s="57"/>
      <c r="DB5" s="57"/>
      <c r="DC5" s="57" t="s">
        <v>41</v>
      </c>
      <c r="DD5" s="57"/>
      <c r="DE5" s="57"/>
      <c r="DF5" s="57" t="s">
        <v>41</v>
      </c>
      <c r="DG5" s="57"/>
      <c r="DH5" s="57"/>
      <c r="DI5" s="57" t="s">
        <v>41</v>
      </c>
      <c r="DJ5" s="57"/>
      <c r="DK5" s="57"/>
      <c r="DL5" s="57" t="s">
        <v>41</v>
      </c>
      <c r="DM5" s="57"/>
      <c r="DN5" s="57"/>
      <c r="DO5" s="57" t="s">
        <v>41</v>
      </c>
      <c r="DP5" s="57"/>
      <c r="DQ5" s="57"/>
      <c r="DR5" s="57" t="s">
        <v>41</v>
      </c>
      <c r="DS5" s="50" t="s">
        <v>19</v>
      </c>
      <c r="DT5" s="50" t="s">
        <v>45</v>
      </c>
      <c r="DU5" s="50" t="s">
        <v>41</v>
      </c>
      <c r="DV5" s="57"/>
      <c r="DW5" s="57"/>
      <c r="DX5" s="57"/>
      <c r="DY5" s="61"/>
      <c r="DZ5" s="57"/>
      <c r="EA5" s="57"/>
      <c r="EB5" s="57"/>
      <c r="EC5" s="57"/>
      <c r="ED5" s="57"/>
      <c r="EE5" s="57"/>
      <c r="EF5" s="57"/>
      <c r="EG5" s="57"/>
      <c r="EH5" s="57"/>
      <c r="EI5" s="57"/>
      <c r="EJ5" s="57"/>
      <c r="EK5" s="57"/>
      <c r="EL5" s="62"/>
      <c r="EM5" s="62"/>
      <c r="EN5" s="62"/>
      <c r="EO5" s="62"/>
      <c r="EP5" s="62"/>
      <c r="EQ5" s="62"/>
      <c r="ER5" s="62"/>
      <c r="ES5" s="62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4"/>
      <c r="FQ5" s="64"/>
      <c r="FR5" s="64"/>
      <c r="FS5" s="64"/>
      <c r="FT5" s="64"/>
      <c r="FU5" s="64"/>
      <c r="FV5" s="64"/>
    </row>
    <row r="6" spans="1:178" s="79" customFormat="1" x14ac:dyDescent="0.25">
      <c r="A6" s="67">
        <f>+BaseloadMarkets!A6</f>
        <v>36678</v>
      </c>
      <c r="B6" s="67" t="str">
        <f>+BaseloadMarkets!B6</f>
        <v>Thu</v>
      </c>
      <c r="C6" s="68">
        <f>4969+20</f>
        <v>4989</v>
      </c>
      <c r="D6" s="68">
        <f>20+4969</f>
        <v>4989</v>
      </c>
      <c r="E6" s="71">
        <f t="shared" ref="E6:E34" si="0">D6-C6</f>
        <v>0</v>
      </c>
      <c r="F6" s="68"/>
      <c r="G6" s="68"/>
      <c r="H6" s="71">
        <f t="shared" ref="H6:H34" si="1">G6-F6</f>
        <v>0</v>
      </c>
      <c r="I6" s="68"/>
      <c r="J6" s="68"/>
      <c r="K6" s="71">
        <f t="shared" ref="K6:K30" si="2">J6-I6</f>
        <v>0</v>
      </c>
      <c r="L6" s="68"/>
      <c r="M6" s="68"/>
      <c r="N6" s="71">
        <f t="shared" ref="N6:N30" si="3">M6-L6</f>
        <v>0</v>
      </c>
      <c r="O6" s="68"/>
      <c r="P6" s="68"/>
      <c r="Q6" s="71">
        <f t="shared" ref="Q6:Q30" si="4">P6-O6</f>
        <v>0</v>
      </c>
      <c r="R6" s="68"/>
      <c r="S6" s="68"/>
      <c r="T6" s="71">
        <f t="shared" ref="T6:T30" si="5">S6-R6</f>
        <v>0</v>
      </c>
      <c r="U6" s="68"/>
      <c r="V6" s="68"/>
      <c r="W6" s="71">
        <f t="shared" ref="W6:W30" si="6">V6-U6</f>
        <v>0</v>
      </c>
      <c r="X6" s="68"/>
      <c r="Y6" s="68"/>
      <c r="Z6" s="71">
        <f t="shared" ref="Z6:Z34" si="7">Y6-X6</f>
        <v>0</v>
      </c>
      <c r="AA6" s="68"/>
      <c r="AB6" s="68"/>
      <c r="AC6" s="71">
        <f t="shared" ref="AC6:AC34" si="8">AB6-AA6</f>
        <v>0</v>
      </c>
      <c r="AD6" s="68"/>
      <c r="AE6" s="68"/>
      <c r="AF6" s="71">
        <f t="shared" ref="AF6:AF34" si="9">AE6-AD6</f>
        <v>0</v>
      </c>
      <c r="AG6" s="68"/>
      <c r="AH6" s="68"/>
      <c r="AI6" s="71">
        <f t="shared" ref="AI6:AI34" si="10">AH6-AG6</f>
        <v>0</v>
      </c>
      <c r="AJ6" s="68"/>
      <c r="AK6" s="68"/>
      <c r="AL6" s="71">
        <f t="shared" ref="AL6:AL34" si="11">AK6-AJ6</f>
        <v>0</v>
      </c>
      <c r="AM6" s="68"/>
      <c r="AN6" s="68"/>
      <c r="AO6" s="71">
        <f t="shared" ref="AO6:AO34" si="12">AN6-AM6</f>
        <v>0</v>
      </c>
      <c r="AP6" s="68"/>
      <c r="AQ6" s="68"/>
      <c r="AR6" s="71">
        <f t="shared" ref="AR6:AR34" si="13">AQ6-AP6</f>
        <v>0</v>
      </c>
      <c r="AS6" s="68"/>
      <c r="AT6" s="68"/>
      <c r="AU6" s="71">
        <f t="shared" ref="AU6:AU34" si="14">AT6-AS6</f>
        <v>0</v>
      </c>
      <c r="AV6" s="68"/>
      <c r="AW6" s="68"/>
      <c r="AX6" s="71">
        <f t="shared" ref="AX6:AX34" si="15">AW6-AV6</f>
        <v>0</v>
      </c>
      <c r="AY6" s="68"/>
      <c r="AZ6" s="68"/>
      <c r="BA6" s="71">
        <f t="shared" ref="BA6:BA34" si="16">AZ6-AY6</f>
        <v>0</v>
      </c>
      <c r="BB6" s="68"/>
      <c r="BC6" s="68"/>
      <c r="BD6" s="71">
        <f t="shared" ref="BD6:BD34" si="17">BC6-BB6</f>
        <v>0</v>
      </c>
      <c r="BE6" s="68"/>
      <c r="BF6" s="68"/>
      <c r="BG6" s="71">
        <f t="shared" ref="BG6:BG34" si="18">BF6-BE6</f>
        <v>0</v>
      </c>
      <c r="BH6" s="68"/>
      <c r="BI6" s="68"/>
      <c r="BJ6" s="71">
        <f t="shared" ref="BJ6:BJ34" si="19">BI6-BH6</f>
        <v>0</v>
      </c>
      <c r="BK6" s="68"/>
      <c r="BL6" s="68"/>
      <c r="BM6" s="71">
        <f t="shared" ref="BM6:BM34" si="20">BL6-BK6</f>
        <v>0</v>
      </c>
      <c r="BN6" s="68"/>
      <c r="BO6" s="68"/>
      <c r="BP6" s="71">
        <f t="shared" ref="BP6:BP34" si="21">BO6-BN6</f>
        <v>0</v>
      </c>
      <c r="BQ6" s="68"/>
      <c r="BR6" s="68"/>
      <c r="BS6" s="71">
        <f t="shared" ref="BS6:BS34" si="22">BR6-BQ6</f>
        <v>0</v>
      </c>
      <c r="BT6" s="68"/>
      <c r="BU6" s="68"/>
      <c r="BV6" s="71">
        <f t="shared" ref="BV6:BV34" si="23">BU6-BT6</f>
        <v>0</v>
      </c>
      <c r="BW6" s="68"/>
      <c r="BX6" s="68"/>
      <c r="BY6" s="71">
        <f t="shared" ref="BY6:BY34" si="24">BX6-BW6</f>
        <v>0</v>
      </c>
      <c r="BZ6" s="68"/>
      <c r="CA6" s="68"/>
      <c r="CB6" s="71">
        <f t="shared" ref="CB6:CB34" si="25">CA6-BZ6</f>
        <v>0</v>
      </c>
      <c r="CC6" s="68"/>
      <c r="CD6" s="68"/>
      <c r="CE6" s="71">
        <f t="shared" ref="CE6:CE34" si="26">CD6-CC6</f>
        <v>0</v>
      </c>
      <c r="CF6" s="68"/>
      <c r="CG6" s="68"/>
      <c r="CH6" s="71">
        <f t="shared" ref="CH6:CH34" si="27">CG6-CF6</f>
        <v>0</v>
      </c>
      <c r="CI6" s="68"/>
      <c r="CJ6" s="68"/>
      <c r="CK6" s="71">
        <f t="shared" ref="CK6:CK34" si="28">CJ6-CI6</f>
        <v>0</v>
      </c>
      <c r="CL6" s="68"/>
      <c r="CM6" s="68"/>
      <c r="CN6" s="71">
        <f t="shared" ref="CN6:CN34" si="29">CM6-CL6</f>
        <v>0</v>
      </c>
      <c r="CO6" s="68"/>
      <c r="CP6" s="68"/>
      <c r="CQ6" s="71">
        <f t="shared" ref="CQ6:CQ34" si="30">CP6-CO6</f>
        <v>0</v>
      </c>
      <c r="CR6" s="68"/>
      <c r="CS6" s="68"/>
      <c r="CT6" s="71">
        <f t="shared" ref="CT6:CT34" si="31">CS6-CR6</f>
        <v>0</v>
      </c>
      <c r="CU6" s="68"/>
      <c r="CV6" s="68"/>
      <c r="CW6" s="71">
        <f t="shared" ref="CW6:CW34" si="32">CV6-CU6</f>
        <v>0</v>
      </c>
      <c r="CX6" s="68"/>
      <c r="CY6" s="68"/>
      <c r="CZ6" s="71">
        <f t="shared" ref="CZ6:CZ34" si="33">CY6-CX6</f>
        <v>0</v>
      </c>
      <c r="DA6" s="68"/>
      <c r="DB6" s="68"/>
      <c r="DC6" s="71">
        <f t="shared" ref="DC6:DC34" si="34">DB6-DA6</f>
        <v>0</v>
      </c>
      <c r="DD6" s="68"/>
      <c r="DE6" s="68"/>
      <c r="DF6" s="71">
        <f t="shared" ref="DF6:DF34" si="35">DE6-DD6</f>
        <v>0</v>
      </c>
      <c r="DG6" s="68"/>
      <c r="DH6" s="68"/>
      <c r="DI6" s="71">
        <f t="shared" ref="DI6:DI34" si="36">DH6-DG6</f>
        <v>0</v>
      </c>
      <c r="DJ6" s="68"/>
      <c r="DK6" s="68"/>
      <c r="DL6" s="71">
        <f t="shared" ref="DL6:DL34" si="37">DK6-DJ6</f>
        <v>0</v>
      </c>
      <c r="DM6" s="68"/>
      <c r="DN6" s="68"/>
      <c r="DO6" s="71">
        <f t="shared" ref="DO6:DO34" si="38">DN6-DM6</f>
        <v>0</v>
      </c>
      <c r="DP6" s="68"/>
      <c r="DQ6" s="68"/>
      <c r="DR6" s="71">
        <f t="shared" ref="DR6:DR34" si="39">DQ6-DP6</f>
        <v>0</v>
      </c>
      <c r="DS6" s="71">
        <f t="shared" ref="DS6:DS11" si="40">+C6+F6+I6+L6+O6+R6+U6+X6+AA6+AD6+AG6+AJ6+AM6+AP6+AS6+AV6+AY6+BB6+BE6+BH6+BK6+BN6+BQ6+BT6+BW6+BZ6+CC6+CF6+CI6+CL6+CO6+CR6+CU6+CX6+DA6+DD6+DG6+DJ6+DM6+DP6</f>
        <v>4989</v>
      </c>
      <c r="DT6" s="71">
        <f t="shared" ref="DT6:DT11" si="41">+D6+G6+J6+M6+P6+S6+V6+Y6+AB6+AE6+AH6+AK6+AN6+AQ6+AT6+AW6+AZ6+BC6+BF6+BI6+BL6+BO6+BR6+BU6+BX6+CA6+CD6+CG6+CJ6+CM6+CP6+CS6+CV6+CY6+DB6+DE6+DH6+DK6+DN6+DQ6</f>
        <v>4989</v>
      </c>
      <c r="DU6" s="71">
        <f t="shared" ref="DU6:DU11" si="42">DT6-DS6</f>
        <v>0</v>
      </c>
      <c r="DV6" s="68"/>
      <c r="DW6" s="68"/>
      <c r="DX6" s="71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76"/>
      <c r="EM6" s="76"/>
      <c r="EN6" s="76"/>
      <c r="EO6" s="76"/>
      <c r="EP6" s="76"/>
      <c r="EQ6" s="76"/>
      <c r="ER6" s="76"/>
      <c r="ES6" s="76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8"/>
      <c r="FQ6" s="78"/>
      <c r="FR6" s="78"/>
      <c r="FS6" s="78"/>
      <c r="FT6" s="78"/>
      <c r="FU6" s="78"/>
      <c r="FV6" s="78"/>
    </row>
    <row r="7" spans="1:178" s="79" customFormat="1" x14ac:dyDescent="0.25">
      <c r="A7" s="67">
        <f>+BaseloadMarkets!A7</f>
        <v>36679</v>
      </c>
      <c r="B7" s="67" t="str">
        <f>+BaseloadMarkets!B7</f>
        <v>Fri</v>
      </c>
      <c r="C7" s="68"/>
      <c r="D7" s="68"/>
      <c r="E7" s="71">
        <f t="shared" si="0"/>
        <v>0</v>
      </c>
      <c r="F7" s="68"/>
      <c r="G7" s="68"/>
      <c r="H7" s="71">
        <f t="shared" si="1"/>
        <v>0</v>
      </c>
      <c r="I7" s="68"/>
      <c r="J7" s="68"/>
      <c r="K7" s="71">
        <f t="shared" si="2"/>
        <v>0</v>
      </c>
      <c r="L7" s="68"/>
      <c r="M7" s="68"/>
      <c r="N7" s="71">
        <f t="shared" si="3"/>
        <v>0</v>
      </c>
      <c r="O7" s="68"/>
      <c r="P7" s="68"/>
      <c r="Q7" s="71">
        <f t="shared" si="4"/>
        <v>0</v>
      </c>
      <c r="R7" s="68"/>
      <c r="S7" s="68"/>
      <c r="T7" s="71">
        <f t="shared" si="5"/>
        <v>0</v>
      </c>
      <c r="U7" s="68"/>
      <c r="V7" s="68"/>
      <c r="W7" s="71">
        <f t="shared" si="6"/>
        <v>0</v>
      </c>
      <c r="X7" s="68"/>
      <c r="Y7" s="68"/>
      <c r="Z7" s="71">
        <f t="shared" si="7"/>
        <v>0</v>
      </c>
      <c r="AA7" s="68"/>
      <c r="AB7" s="68"/>
      <c r="AC7" s="71">
        <f t="shared" si="8"/>
        <v>0</v>
      </c>
      <c r="AD7" s="68"/>
      <c r="AE7" s="68"/>
      <c r="AF7" s="71">
        <f t="shared" si="9"/>
        <v>0</v>
      </c>
      <c r="AG7" s="68"/>
      <c r="AH7" s="68"/>
      <c r="AI7" s="71">
        <f t="shared" si="10"/>
        <v>0</v>
      </c>
      <c r="AJ7" s="68"/>
      <c r="AK7" s="68"/>
      <c r="AL7" s="71">
        <f t="shared" si="11"/>
        <v>0</v>
      </c>
      <c r="AM7" s="68"/>
      <c r="AN7" s="68"/>
      <c r="AO7" s="71">
        <f t="shared" si="12"/>
        <v>0</v>
      </c>
      <c r="AP7" s="68"/>
      <c r="AQ7" s="68"/>
      <c r="AR7" s="71">
        <f t="shared" si="13"/>
        <v>0</v>
      </c>
      <c r="AS7" s="68"/>
      <c r="AT7" s="68"/>
      <c r="AU7" s="71">
        <f t="shared" si="14"/>
        <v>0</v>
      </c>
      <c r="AV7" s="68"/>
      <c r="AW7" s="68"/>
      <c r="AX7" s="71">
        <f t="shared" si="15"/>
        <v>0</v>
      </c>
      <c r="AY7" s="68"/>
      <c r="AZ7" s="68"/>
      <c r="BA7" s="71">
        <f t="shared" si="16"/>
        <v>0</v>
      </c>
      <c r="BB7" s="68"/>
      <c r="BC7" s="68"/>
      <c r="BD7" s="71">
        <f t="shared" si="17"/>
        <v>0</v>
      </c>
      <c r="BE7" s="68"/>
      <c r="BF7" s="68"/>
      <c r="BG7" s="71">
        <f t="shared" si="18"/>
        <v>0</v>
      </c>
      <c r="BH7" s="68"/>
      <c r="BI7" s="68"/>
      <c r="BJ7" s="71">
        <f t="shared" si="19"/>
        <v>0</v>
      </c>
      <c r="BK7" s="68"/>
      <c r="BL7" s="68"/>
      <c r="BM7" s="71">
        <f t="shared" si="20"/>
        <v>0</v>
      </c>
      <c r="BN7" s="68"/>
      <c r="BO7" s="68"/>
      <c r="BP7" s="71">
        <f t="shared" si="21"/>
        <v>0</v>
      </c>
      <c r="BQ7" s="68"/>
      <c r="BR7" s="68"/>
      <c r="BS7" s="71">
        <f t="shared" si="22"/>
        <v>0</v>
      </c>
      <c r="BT7" s="68"/>
      <c r="BU7" s="68"/>
      <c r="BV7" s="71">
        <f t="shared" si="23"/>
        <v>0</v>
      </c>
      <c r="BW7" s="68"/>
      <c r="BX7" s="68"/>
      <c r="BY7" s="71">
        <f t="shared" si="24"/>
        <v>0</v>
      </c>
      <c r="BZ7" s="68"/>
      <c r="CA7" s="68"/>
      <c r="CB7" s="71">
        <f t="shared" si="25"/>
        <v>0</v>
      </c>
      <c r="CC7" s="68"/>
      <c r="CD7" s="68"/>
      <c r="CE7" s="71">
        <f t="shared" si="26"/>
        <v>0</v>
      </c>
      <c r="CF7" s="68"/>
      <c r="CG7" s="68"/>
      <c r="CH7" s="71">
        <f t="shared" si="27"/>
        <v>0</v>
      </c>
      <c r="CI7" s="68"/>
      <c r="CJ7" s="68"/>
      <c r="CK7" s="71">
        <f t="shared" si="28"/>
        <v>0</v>
      </c>
      <c r="CL7" s="68"/>
      <c r="CM7" s="68"/>
      <c r="CN7" s="71">
        <f t="shared" si="29"/>
        <v>0</v>
      </c>
      <c r="CO7" s="68"/>
      <c r="CP7" s="68"/>
      <c r="CQ7" s="71">
        <f t="shared" si="30"/>
        <v>0</v>
      </c>
      <c r="CR7" s="68"/>
      <c r="CS7" s="68"/>
      <c r="CT7" s="71">
        <f t="shared" si="31"/>
        <v>0</v>
      </c>
      <c r="CU7" s="68"/>
      <c r="CV7" s="68"/>
      <c r="CW7" s="71">
        <f t="shared" si="32"/>
        <v>0</v>
      </c>
      <c r="CX7" s="68"/>
      <c r="CY7" s="68"/>
      <c r="CZ7" s="71">
        <f t="shared" si="33"/>
        <v>0</v>
      </c>
      <c r="DA7" s="68"/>
      <c r="DB7" s="68"/>
      <c r="DC7" s="71">
        <f t="shared" si="34"/>
        <v>0</v>
      </c>
      <c r="DD7" s="68"/>
      <c r="DE7" s="68"/>
      <c r="DF7" s="71">
        <f t="shared" si="35"/>
        <v>0</v>
      </c>
      <c r="DG7" s="68"/>
      <c r="DH7" s="68"/>
      <c r="DI7" s="71">
        <f t="shared" si="36"/>
        <v>0</v>
      </c>
      <c r="DJ7" s="68"/>
      <c r="DK7" s="68"/>
      <c r="DL7" s="71">
        <f t="shared" si="37"/>
        <v>0</v>
      </c>
      <c r="DM7" s="68"/>
      <c r="DN7" s="68"/>
      <c r="DO7" s="71">
        <f t="shared" si="38"/>
        <v>0</v>
      </c>
      <c r="DP7" s="68"/>
      <c r="DQ7" s="68"/>
      <c r="DR7" s="71">
        <f t="shared" si="39"/>
        <v>0</v>
      </c>
      <c r="DS7" s="71">
        <f t="shared" si="40"/>
        <v>0</v>
      </c>
      <c r="DT7" s="71">
        <f t="shared" si="41"/>
        <v>0</v>
      </c>
      <c r="DU7" s="71">
        <f t="shared" si="42"/>
        <v>0</v>
      </c>
      <c r="DV7" s="68"/>
      <c r="DW7" s="68"/>
      <c r="DX7" s="71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76"/>
      <c r="EM7" s="76"/>
      <c r="EN7" s="76"/>
      <c r="EO7" s="76"/>
      <c r="EP7" s="76"/>
      <c r="EQ7" s="76"/>
      <c r="ER7" s="76"/>
      <c r="ES7" s="76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8"/>
      <c r="FQ7" s="78"/>
      <c r="FR7" s="78"/>
      <c r="FS7" s="78"/>
      <c r="FT7" s="78"/>
      <c r="FU7" s="78"/>
      <c r="FV7" s="78"/>
    </row>
    <row r="8" spans="1:178" x14ac:dyDescent="0.25">
      <c r="A8" s="67">
        <f>+BaseloadMarkets!A8</f>
        <v>36680</v>
      </c>
      <c r="B8" s="67" t="str">
        <f>+BaseloadMarkets!B8</f>
        <v>Sat</v>
      </c>
      <c r="C8" s="68"/>
      <c r="D8" s="68"/>
      <c r="E8" s="71">
        <f t="shared" si="0"/>
        <v>0</v>
      </c>
      <c r="F8" s="68">
        <v>22000</v>
      </c>
      <c r="G8" s="68">
        <v>22000</v>
      </c>
      <c r="H8" s="71">
        <f t="shared" si="1"/>
        <v>0</v>
      </c>
      <c r="I8" s="68">
        <v>40000</v>
      </c>
      <c r="J8" s="68">
        <v>40000</v>
      </c>
      <c r="K8" s="71">
        <f t="shared" si="2"/>
        <v>0</v>
      </c>
      <c r="L8" s="68"/>
      <c r="M8" s="68"/>
      <c r="N8" s="71">
        <f t="shared" si="3"/>
        <v>0</v>
      </c>
      <c r="O8" s="68"/>
      <c r="P8" s="68"/>
      <c r="Q8" s="71">
        <f t="shared" si="4"/>
        <v>0</v>
      </c>
      <c r="R8" s="68"/>
      <c r="S8" s="68"/>
      <c r="T8" s="71">
        <f t="shared" si="5"/>
        <v>0</v>
      </c>
      <c r="U8" s="68"/>
      <c r="V8" s="68"/>
      <c r="W8" s="71">
        <f t="shared" si="6"/>
        <v>0</v>
      </c>
      <c r="X8" s="68"/>
      <c r="Y8" s="68"/>
      <c r="Z8" s="71">
        <f t="shared" si="7"/>
        <v>0</v>
      </c>
      <c r="AA8" s="68"/>
      <c r="AB8" s="68"/>
      <c r="AC8" s="71">
        <f t="shared" si="8"/>
        <v>0</v>
      </c>
      <c r="AD8" s="68"/>
      <c r="AE8" s="68"/>
      <c r="AF8" s="71">
        <f t="shared" si="9"/>
        <v>0</v>
      </c>
      <c r="AG8" s="68"/>
      <c r="AH8" s="68"/>
      <c r="AI8" s="71">
        <f t="shared" si="10"/>
        <v>0</v>
      </c>
      <c r="AJ8" s="68"/>
      <c r="AK8" s="68"/>
      <c r="AL8" s="71">
        <f t="shared" si="11"/>
        <v>0</v>
      </c>
      <c r="AM8" s="68"/>
      <c r="AN8" s="68"/>
      <c r="AO8" s="71">
        <f t="shared" si="12"/>
        <v>0</v>
      </c>
      <c r="AP8" s="68"/>
      <c r="AQ8" s="68"/>
      <c r="AR8" s="71">
        <f t="shared" si="13"/>
        <v>0</v>
      </c>
      <c r="AS8" s="68"/>
      <c r="AT8" s="68"/>
      <c r="AU8" s="71">
        <f t="shared" si="14"/>
        <v>0</v>
      </c>
      <c r="AV8" s="68"/>
      <c r="AW8" s="68"/>
      <c r="AX8" s="71">
        <f t="shared" si="15"/>
        <v>0</v>
      </c>
      <c r="AY8" s="68"/>
      <c r="AZ8" s="68"/>
      <c r="BA8" s="71">
        <f t="shared" si="16"/>
        <v>0</v>
      </c>
      <c r="BB8" s="68"/>
      <c r="BC8" s="68"/>
      <c r="BD8" s="71">
        <f t="shared" si="17"/>
        <v>0</v>
      </c>
      <c r="BE8" s="68"/>
      <c r="BF8" s="68"/>
      <c r="BG8" s="71">
        <f t="shared" si="18"/>
        <v>0</v>
      </c>
      <c r="BH8" s="68"/>
      <c r="BI8" s="68"/>
      <c r="BJ8" s="71">
        <f t="shared" si="19"/>
        <v>0</v>
      </c>
      <c r="BK8" s="68"/>
      <c r="BL8" s="68"/>
      <c r="BM8" s="71">
        <f t="shared" si="20"/>
        <v>0</v>
      </c>
      <c r="BN8" s="68"/>
      <c r="BO8" s="68"/>
      <c r="BP8" s="71">
        <f t="shared" si="21"/>
        <v>0</v>
      </c>
      <c r="BQ8" s="68"/>
      <c r="BR8" s="68"/>
      <c r="BS8" s="71">
        <f t="shared" si="22"/>
        <v>0</v>
      </c>
      <c r="BT8" s="68"/>
      <c r="BU8" s="68"/>
      <c r="BV8" s="71">
        <f t="shared" si="23"/>
        <v>0</v>
      </c>
      <c r="BW8" s="68"/>
      <c r="BX8" s="68"/>
      <c r="BY8" s="71">
        <f t="shared" si="24"/>
        <v>0</v>
      </c>
      <c r="BZ8" s="68"/>
      <c r="CA8" s="68"/>
      <c r="CB8" s="71">
        <f t="shared" si="25"/>
        <v>0</v>
      </c>
      <c r="CC8" s="68"/>
      <c r="CD8" s="68"/>
      <c r="CE8" s="71">
        <f t="shared" si="26"/>
        <v>0</v>
      </c>
      <c r="CF8" s="68"/>
      <c r="CG8" s="68"/>
      <c r="CH8" s="71">
        <f t="shared" si="27"/>
        <v>0</v>
      </c>
      <c r="CI8" s="68"/>
      <c r="CJ8" s="68"/>
      <c r="CK8" s="71">
        <f t="shared" si="28"/>
        <v>0</v>
      </c>
      <c r="CL8" s="68"/>
      <c r="CM8" s="68"/>
      <c r="CN8" s="71">
        <f t="shared" si="29"/>
        <v>0</v>
      </c>
      <c r="CO8" s="68"/>
      <c r="CP8" s="68"/>
      <c r="CQ8" s="71">
        <f t="shared" si="30"/>
        <v>0</v>
      </c>
      <c r="CR8" s="68"/>
      <c r="CS8" s="68"/>
      <c r="CT8" s="71">
        <f t="shared" si="31"/>
        <v>0</v>
      </c>
      <c r="CU8" s="68"/>
      <c r="CV8" s="68"/>
      <c r="CW8" s="71">
        <f t="shared" si="32"/>
        <v>0</v>
      </c>
      <c r="CX8" s="68"/>
      <c r="CY8" s="68"/>
      <c r="CZ8" s="71">
        <f t="shared" si="33"/>
        <v>0</v>
      </c>
      <c r="DA8" s="68"/>
      <c r="DB8" s="68"/>
      <c r="DC8" s="71">
        <f t="shared" si="34"/>
        <v>0</v>
      </c>
      <c r="DD8" s="68"/>
      <c r="DE8" s="68"/>
      <c r="DF8" s="71">
        <f t="shared" si="35"/>
        <v>0</v>
      </c>
      <c r="DG8" s="68"/>
      <c r="DH8" s="68"/>
      <c r="DI8" s="71">
        <f t="shared" si="36"/>
        <v>0</v>
      </c>
      <c r="DJ8" s="68"/>
      <c r="DK8" s="68"/>
      <c r="DL8" s="71">
        <f t="shared" si="37"/>
        <v>0</v>
      </c>
      <c r="DM8" s="68"/>
      <c r="DN8" s="68"/>
      <c r="DO8" s="71">
        <f t="shared" si="38"/>
        <v>0</v>
      </c>
      <c r="DP8" s="68"/>
      <c r="DQ8" s="68"/>
      <c r="DR8" s="71">
        <f t="shared" si="39"/>
        <v>0</v>
      </c>
      <c r="DS8" s="71">
        <f t="shared" si="40"/>
        <v>62000</v>
      </c>
      <c r="DT8" s="71">
        <f t="shared" si="41"/>
        <v>62000</v>
      </c>
      <c r="DU8" s="71">
        <f t="shared" si="42"/>
        <v>0</v>
      </c>
      <c r="DV8" s="80"/>
      <c r="DW8" s="73"/>
      <c r="DX8" s="73"/>
      <c r="DY8" s="80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</row>
    <row r="9" spans="1:178" x14ac:dyDescent="0.25">
      <c r="A9" s="67">
        <f>+BaseloadMarkets!A9</f>
        <v>36681</v>
      </c>
      <c r="B9" s="67" t="str">
        <f>+BaseloadMarkets!B9</f>
        <v>Sun</v>
      </c>
      <c r="C9" s="68"/>
      <c r="D9" s="68"/>
      <c r="E9" s="71">
        <f t="shared" si="0"/>
        <v>0</v>
      </c>
      <c r="F9" s="68"/>
      <c r="G9" s="68"/>
      <c r="H9" s="71">
        <f t="shared" si="1"/>
        <v>0</v>
      </c>
      <c r="I9" s="68">
        <v>40000</v>
      </c>
      <c r="J9" s="68">
        <v>40000</v>
      </c>
      <c r="K9" s="71">
        <f t="shared" si="2"/>
        <v>0</v>
      </c>
      <c r="L9" s="68"/>
      <c r="M9" s="68"/>
      <c r="N9" s="71">
        <f t="shared" si="3"/>
        <v>0</v>
      </c>
      <c r="O9" s="68"/>
      <c r="P9" s="68"/>
      <c r="Q9" s="71">
        <f t="shared" si="4"/>
        <v>0</v>
      </c>
      <c r="R9" s="68"/>
      <c r="S9" s="68"/>
      <c r="T9" s="71">
        <f t="shared" si="5"/>
        <v>0</v>
      </c>
      <c r="U9" s="68"/>
      <c r="V9" s="68"/>
      <c r="W9" s="71">
        <f t="shared" si="6"/>
        <v>0</v>
      </c>
      <c r="X9" s="68"/>
      <c r="Y9" s="68"/>
      <c r="Z9" s="71">
        <f t="shared" si="7"/>
        <v>0</v>
      </c>
      <c r="AA9" s="68"/>
      <c r="AB9" s="68"/>
      <c r="AC9" s="71">
        <f t="shared" si="8"/>
        <v>0</v>
      </c>
      <c r="AD9" s="68"/>
      <c r="AE9" s="68"/>
      <c r="AF9" s="71">
        <f t="shared" si="9"/>
        <v>0</v>
      </c>
      <c r="AG9" s="68"/>
      <c r="AH9" s="68"/>
      <c r="AI9" s="71">
        <f t="shared" si="10"/>
        <v>0</v>
      </c>
      <c r="AJ9" s="68"/>
      <c r="AK9" s="68"/>
      <c r="AL9" s="71">
        <f t="shared" si="11"/>
        <v>0</v>
      </c>
      <c r="AM9" s="68"/>
      <c r="AN9" s="68"/>
      <c r="AO9" s="71">
        <f t="shared" si="12"/>
        <v>0</v>
      </c>
      <c r="AP9" s="68"/>
      <c r="AQ9" s="68"/>
      <c r="AR9" s="71">
        <f t="shared" si="13"/>
        <v>0</v>
      </c>
      <c r="AS9" s="68"/>
      <c r="AT9" s="68"/>
      <c r="AU9" s="71">
        <f t="shared" si="14"/>
        <v>0</v>
      </c>
      <c r="AV9" s="68"/>
      <c r="AW9" s="68"/>
      <c r="AX9" s="71">
        <f t="shared" si="15"/>
        <v>0</v>
      </c>
      <c r="AY9" s="68"/>
      <c r="AZ9" s="68"/>
      <c r="BA9" s="71">
        <f t="shared" si="16"/>
        <v>0</v>
      </c>
      <c r="BB9" s="68"/>
      <c r="BC9" s="68"/>
      <c r="BD9" s="71">
        <f t="shared" si="17"/>
        <v>0</v>
      </c>
      <c r="BE9" s="68"/>
      <c r="BF9" s="68"/>
      <c r="BG9" s="71">
        <f t="shared" si="18"/>
        <v>0</v>
      </c>
      <c r="BH9" s="68"/>
      <c r="BI9" s="68"/>
      <c r="BJ9" s="71">
        <f t="shared" si="19"/>
        <v>0</v>
      </c>
      <c r="BK9" s="68"/>
      <c r="BL9" s="68"/>
      <c r="BM9" s="71">
        <f t="shared" si="20"/>
        <v>0</v>
      </c>
      <c r="BN9" s="68"/>
      <c r="BO9" s="68"/>
      <c r="BP9" s="71">
        <f t="shared" si="21"/>
        <v>0</v>
      </c>
      <c r="BQ9" s="68"/>
      <c r="BR9" s="68"/>
      <c r="BS9" s="71">
        <f t="shared" si="22"/>
        <v>0</v>
      </c>
      <c r="BT9" s="68"/>
      <c r="BU9" s="68"/>
      <c r="BV9" s="71">
        <f t="shared" si="23"/>
        <v>0</v>
      </c>
      <c r="BW9" s="68"/>
      <c r="BX9" s="68"/>
      <c r="BY9" s="71">
        <f t="shared" si="24"/>
        <v>0</v>
      </c>
      <c r="BZ9" s="68"/>
      <c r="CA9" s="68"/>
      <c r="CB9" s="71">
        <f t="shared" si="25"/>
        <v>0</v>
      </c>
      <c r="CC9" s="68"/>
      <c r="CD9" s="68"/>
      <c r="CE9" s="71">
        <f t="shared" si="26"/>
        <v>0</v>
      </c>
      <c r="CF9" s="68"/>
      <c r="CG9" s="68"/>
      <c r="CH9" s="71">
        <f t="shared" si="27"/>
        <v>0</v>
      </c>
      <c r="CI9" s="68"/>
      <c r="CJ9" s="68"/>
      <c r="CK9" s="71">
        <f t="shared" si="28"/>
        <v>0</v>
      </c>
      <c r="CL9" s="68"/>
      <c r="CM9" s="68"/>
      <c r="CN9" s="71">
        <f t="shared" si="29"/>
        <v>0</v>
      </c>
      <c r="CO9" s="68"/>
      <c r="CP9" s="68"/>
      <c r="CQ9" s="71">
        <f t="shared" si="30"/>
        <v>0</v>
      </c>
      <c r="CR9" s="68"/>
      <c r="CS9" s="68"/>
      <c r="CT9" s="71">
        <f t="shared" si="31"/>
        <v>0</v>
      </c>
      <c r="CU9" s="68"/>
      <c r="CV9" s="68"/>
      <c r="CW9" s="71">
        <f t="shared" si="32"/>
        <v>0</v>
      </c>
      <c r="CX9" s="68"/>
      <c r="CY9" s="68"/>
      <c r="CZ9" s="71">
        <f t="shared" si="33"/>
        <v>0</v>
      </c>
      <c r="DA9" s="68"/>
      <c r="DB9" s="68"/>
      <c r="DC9" s="71">
        <f t="shared" si="34"/>
        <v>0</v>
      </c>
      <c r="DD9" s="68"/>
      <c r="DE9" s="68"/>
      <c r="DF9" s="71">
        <f t="shared" si="35"/>
        <v>0</v>
      </c>
      <c r="DG9" s="68"/>
      <c r="DH9" s="68"/>
      <c r="DI9" s="71">
        <f t="shared" si="36"/>
        <v>0</v>
      </c>
      <c r="DJ9" s="68"/>
      <c r="DK9" s="68"/>
      <c r="DL9" s="71">
        <f t="shared" si="37"/>
        <v>0</v>
      </c>
      <c r="DM9" s="68"/>
      <c r="DN9" s="68"/>
      <c r="DO9" s="71">
        <f t="shared" si="38"/>
        <v>0</v>
      </c>
      <c r="DP9" s="68"/>
      <c r="DQ9" s="68"/>
      <c r="DR9" s="71">
        <f t="shared" si="39"/>
        <v>0</v>
      </c>
      <c r="DS9" s="71">
        <f t="shared" si="40"/>
        <v>40000</v>
      </c>
      <c r="DT9" s="71">
        <f t="shared" si="41"/>
        <v>40000</v>
      </c>
      <c r="DU9" s="71">
        <f t="shared" si="42"/>
        <v>0</v>
      </c>
      <c r="DV9" s="80"/>
      <c r="DW9" s="73"/>
      <c r="DX9" s="73"/>
      <c r="DY9" s="80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</row>
    <row r="10" spans="1:178" x14ac:dyDescent="0.25">
      <c r="A10" s="67">
        <f>+BaseloadMarkets!A10</f>
        <v>36682</v>
      </c>
      <c r="B10" s="67" t="str">
        <f>+BaseloadMarkets!B10</f>
        <v>Mon</v>
      </c>
      <c r="C10" s="68"/>
      <c r="D10" s="68"/>
      <c r="E10" s="71">
        <f t="shared" si="0"/>
        <v>0</v>
      </c>
      <c r="F10" s="68"/>
      <c r="G10" s="68"/>
      <c r="H10" s="71">
        <f t="shared" si="1"/>
        <v>0</v>
      </c>
      <c r="I10" s="68">
        <v>40000</v>
      </c>
      <c r="J10" s="68">
        <v>40000</v>
      </c>
      <c r="K10" s="71">
        <f t="shared" si="2"/>
        <v>0</v>
      </c>
      <c r="L10" s="68"/>
      <c r="M10" s="68"/>
      <c r="N10" s="71">
        <f t="shared" si="3"/>
        <v>0</v>
      </c>
      <c r="O10" s="68"/>
      <c r="P10" s="68"/>
      <c r="Q10" s="71">
        <f t="shared" si="4"/>
        <v>0</v>
      </c>
      <c r="R10" s="68"/>
      <c r="S10" s="68"/>
      <c r="T10" s="71">
        <f t="shared" si="5"/>
        <v>0</v>
      </c>
      <c r="U10" s="68"/>
      <c r="V10" s="68"/>
      <c r="W10" s="71">
        <f t="shared" si="6"/>
        <v>0</v>
      </c>
      <c r="X10" s="68"/>
      <c r="Y10" s="68"/>
      <c r="Z10" s="71">
        <f t="shared" si="7"/>
        <v>0</v>
      </c>
      <c r="AA10" s="68"/>
      <c r="AB10" s="68"/>
      <c r="AC10" s="71">
        <f t="shared" si="8"/>
        <v>0</v>
      </c>
      <c r="AD10" s="68"/>
      <c r="AE10" s="68"/>
      <c r="AF10" s="71">
        <f t="shared" si="9"/>
        <v>0</v>
      </c>
      <c r="AG10" s="68"/>
      <c r="AH10" s="68"/>
      <c r="AI10" s="71">
        <f t="shared" si="10"/>
        <v>0</v>
      </c>
      <c r="AJ10" s="68"/>
      <c r="AK10" s="68"/>
      <c r="AL10" s="71">
        <f t="shared" si="11"/>
        <v>0</v>
      </c>
      <c r="AM10" s="68"/>
      <c r="AN10" s="68"/>
      <c r="AO10" s="71">
        <f t="shared" si="12"/>
        <v>0</v>
      </c>
      <c r="AP10" s="68"/>
      <c r="AQ10" s="68"/>
      <c r="AR10" s="71">
        <f t="shared" si="13"/>
        <v>0</v>
      </c>
      <c r="AS10" s="68"/>
      <c r="AT10" s="68"/>
      <c r="AU10" s="71">
        <f t="shared" si="14"/>
        <v>0</v>
      </c>
      <c r="AV10" s="68"/>
      <c r="AW10" s="68"/>
      <c r="AX10" s="71">
        <f t="shared" si="15"/>
        <v>0</v>
      </c>
      <c r="AY10" s="68"/>
      <c r="AZ10" s="68"/>
      <c r="BA10" s="71">
        <f t="shared" si="16"/>
        <v>0</v>
      </c>
      <c r="BB10" s="68"/>
      <c r="BC10" s="68"/>
      <c r="BD10" s="71">
        <f t="shared" si="17"/>
        <v>0</v>
      </c>
      <c r="BE10" s="68"/>
      <c r="BF10" s="68"/>
      <c r="BG10" s="71">
        <f t="shared" si="18"/>
        <v>0</v>
      </c>
      <c r="BH10" s="68"/>
      <c r="BI10" s="68"/>
      <c r="BJ10" s="71">
        <f t="shared" si="19"/>
        <v>0</v>
      </c>
      <c r="BK10" s="68"/>
      <c r="BL10" s="68"/>
      <c r="BM10" s="71">
        <f t="shared" si="20"/>
        <v>0</v>
      </c>
      <c r="BN10" s="68"/>
      <c r="BO10" s="68"/>
      <c r="BP10" s="71">
        <f t="shared" si="21"/>
        <v>0</v>
      </c>
      <c r="BQ10" s="68"/>
      <c r="BR10" s="68"/>
      <c r="BS10" s="71">
        <f t="shared" si="22"/>
        <v>0</v>
      </c>
      <c r="BT10" s="68"/>
      <c r="BU10" s="68"/>
      <c r="BV10" s="71">
        <f t="shared" si="23"/>
        <v>0</v>
      </c>
      <c r="BW10" s="68"/>
      <c r="BX10" s="68"/>
      <c r="BY10" s="71">
        <f t="shared" si="24"/>
        <v>0</v>
      </c>
      <c r="BZ10" s="68"/>
      <c r="CA10" s="68"/>
      <c r="CB10" s="71">
        <f t="shared" si="25"/>
        <v>0</v>
      </c>
      <c r="CC10" s="68"/>
      <c r="CD10" s="68"/>
      <c r="CE10" s="71">
        <f t="shared" si="26"/>
        <v>0</v>
      </c>
      <c r="CF10" s="68"/>
      <c r="CG10" s="68"/>
      <c r="CH10" s="71">
        <f t="shared" si="27"/>
        <v>0</v>
      </c>
      <c r="CI10" s="68"/>
      <c r="CJ10" s="68"/>
      <c r="CK10" s="71">
        <f t="shared" si="28"/>
        <v>0</v>
      </c>
      <c r="CL10" s="68"/>
      <c r="CM10" s="68"/>
      <c r="CN10" s="71">
        <f t="shared" si="29"/>
        <v>0</v>
      </c>
      <c r="CO10" s="68"/>
      <c r="CP10" s="68"/>
      <c r="CQ10" s="71">
        <f t="shared" si="30"/>
        <v>0</v>
      </c>
      <c r="CR10" s="68"/>
      <c r="CS10" s="68"/>
      <c r="CT10" s="71">
        <f t="shared" si="31"/>
        <v>0</v>
      </c>
      <c r="CU10" s="68"/>
      <c r="CV10" s="68"/>
      <c r="CW10" s="71">
        <f t="shared" si="32"/>
        <v>0</v>
      </c>
      <c r="CX10" s="68"/>
      <c r="CY10" s="68"/>
      <c r="CZ10" s="71">
        <f t="shared" si="33"/>
        <v>0</v>
      </c>
      <c r="DA10" s="68"/>
      <c r="DB10" s="68"/>
      <c r="DC10" s="71">
        <f t="shared" si="34"/>
        <v>0</v>
      </c>
      <c r="DD10" s="68"/>
      <c r="DE10" s="68"/>
      <c r="DF10" s="71">
        <f t="shared" si="35"/>
        <v>0</v>
      </c>
      <c r="DG10" s="68"/>
      <c r="DH10" s="68"/>
      <c r="DI10" s="71">
        <f t="shared" si="36"/>
        <v>0</v>
      </c>
      <c r="DJ10" s="68"/>
      <c r="DK10" s="68"/>
      <c r="DL10" s="71">
        <f t="shared" si="37"/>
        <v>0</v>
      </c>
      <c r="DM10" s="68"/>
      <c r="DN10" s="68"/>
      <c r="DO10" s="71">
        <f t="shared" si="38"/>
        <v>0</v>
      </c>
      <c r="DP10" s="68"/>
      <c r="DQ10" s="68"/>
      <c r="DR10" s="71">
        <f t="shared" si="39"/>
        <v>0</v>
      </c>
      <c r="DS10" s="71">
        <f t="shared" si="40"/>
        <v>40000</v>
      </c>
      <c r="DT10" s="71">
        <f t="shared" si="41"/>
        <v>40000</v>
      </c>
      <c r="DU10" s="71">
        <f t="shared" si="42"/>
        <v>0</v>
      </c>
      <c r="DV10" s="80"/>
      <c r="DW10" s="73"/>
      <c r="DX10" s="73"/>
      <c r="DY10" s="80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</row>
    <row r="11" spans="1:178" x14ac:dyDescent="0.25">
      <c r="A11" s="67">
        <f>+BaseloadMarkets!A11</f>
        <v>36683</v>
      </c>
      <c r="B11" s="67" t="str">
        <f>+BaseloadMarkets!B11</f>
        <v>Tues</v>
      </c>
      <c r="C11" s="68"/>
      <c r="D11" s="68"/>
      <c r="E11" s="71">
        <f t="shared" si="0"/>
        <v>0</v>
      </c>
      <c r="F11" s="68"/>
      <c r="G11" s="68"/>
      <c r="H11" s="71">
        <f t="shared" si="1"/>
        <v>0</v>
      </c>
      <c r="I11" s="68"/>
      <c r="J11" s="68"/>
      <c r="K11" s="71">
        <f t="shared" si="2"/>
        <v>0</v>
      </c>
      <c r="L11" s="68"/>
      <c r="M11" s="68"/>
      <c r="N11" s="71">
        <f t="shared" si="3"/>
        <v>0</v>
      </c>
      <c r="O11" s="68"/>
      <c r="P11" s="68"/>
      <c r="Q11" s="71">
        <f t="shared" si="4"/>
        <v>0</v>
      </c>
      <c r="R11" s="68"/>
      <c r="S11" s="68"/>
      <c r="T11" s="71">
        <f t="shared" si="5"/>
        <v>0</v>
      </c>
      <c r="U11" s="68"/>
      <c r="V11" s="68"/>
      <c r="W11" s="71">
        <f t="shared" si="6"/>
        <v>0</v>
      </c>
      <c r="X11" s="68"/>
      <c r="Y11" s="68"/>
      <c r="Z11" s="71">
        <f t="shared" si="7"/>
        <v>0</v>
      </c>
      <c r="AA11" s="68"/>
      <c r="AB11" s="68"/>
      <c r="AC11" s="71">
        <f t="shared" si="8"/>
        <v>0</v>
      </c>
      <c r="AD11" s="68"/>
      <c r="AE11" s="68"/>
      <c r="AF11" s="71">
        <f t="shared" si="9"/>
        <v>0</v>
      </c>
      <c r="AG11" s="68"/>
      <c r="AH11" s="68"/>
      <c r="AI11" s="71">
        <f t="shared" si="10"/>
        <v>0</v>
      </c>
      <c r="AJ11" s="68"/>
      <c r="AK11" s="68"/>
      <c r="AL11" s="71">
        <f t="shared" si="11"/>
        <v>0</v>
      </c>
      <c r="AM11" s="68"/>
      <c r="AN11" s="68"/>
      <c r="AO11" s="71">
        <f t="shared" si="12"/>
        <v>0</v>
      </c>
      <c r="AP11" s="68"/>
      <c r="AQ11" s="68"/>
      <c r="AR11" s="71">
        <f t="shared" si="13"/>
        <v>0</v>
      </c>
      <c r="AS11" s="68"/>
      <c r="AT11" s="68"/>
      <c r="AU11" s="71">
        <f t="shared" si="14"/>
        <v>0</v>
      </c>
      <c r="AV11" s="68"/>
      <c r="AW11" s="68"/>
      <c r="AX11" s="71">
        <f t="shared" si="15"/>
        <v>0</v>
      </c>
      <c r="AY11" s="68"/>
      <c r="AZ11" s="68"/>
      <c r="BA11" s="71">
        <f t="shared" si="16"/>
        <v>0</v>
      </c>
      <c r="BB11" s="68"/>
      <c r="BC11" s="68"/>
      <c r="BD11" s="71">
        <f t="shared" si="17"/>
        <v>0</v>
      </c>
      <c r="BE11" s="68"/>
      <c r="BF11" s="68"/>
      <c r="BG11" s="71">
        <f t="shared" si="18"/>
        <v>0</v>
      </c>
      <c r="BH11" s="68"/>
      <c r="BI11" s="68"/>
      <c r="BJ11" s="71">
        <f t="shared" si="19"/>
        <v>0</v>
      </c>
      <c r="BK11" s="68"/>
      <c r="BL11" s="68"/>
      <c r="BM11" s="71">
        <f t="shared" si="20"/>
        <v>0</v>
      </c>
      <c r="BN11" s="68"/>
      <c r="BO11" s="68"/>
      <c r="BP11" s="71">
        <f t="shared" si="21"/>
        <v>0</v>
      </c>
      <c r="BQ11" s="68"/>
      <c r="BR11" s="68"/>
      <c r="BS11" s="71">
        <f t="shared" si="22"/>
        <v>0</v>
      </c>
      <c r="BT11" s="68"/>
      <c r="BU11" s="68"/>
      <c r="BV11" s="71">
        <f t="shared" si="23"/>
        <v>0</v>
      </c>
      <c r="BW11" s="68"/>
      <c r="BX11" s="68"/>
      <c r="BY11" s="71">
        <f t="shared" si="24"/>
        <v>0</v>
      </c>
      <c r="BZ11" s="68"/>
      <c r="CA11" s="68"/>
      <c r="CB11" s="71">
        <f t="shared" si="25"/>
        <v>0</v>
      </c>
      <c r="CC11" s="68"/>
      <c r="CD11" s="68"/>
      <c r="CE11" s="71">
        <f t="shared" si="26"/>
        <v>0</v>
      </c>
      <c r="CF11" s="68"/>
      <c r="CG11" s="68"/>
      <c r="CH11" s="71">
        <f t="shared" si="27"/>
        <v>0</v>
      </c>
      <c r="CI11" s="68"/>
      <c r="CJ11" s="68"/>
      <c r="CK11" s="71">
        <f t="shared" si="28"/>
        <v>0</v>
      </c>
      <c r="CL11" s="68"/>
      <c r="CM11" s="68"/>
      <c r="CN11" s="71">
        <f t="shared" si="29"/>
        <v>0</v>
      </c>
      <c r="CO11" s="68"/>
      <c r="CP11" s="68"/>
      <c r="CQ11" s="71">
        <f t="shared" si="30"/>
        <v>0</v>
      </c>
      <c r="CR11" s="68"/>
      <c r="CS11" s="68"/>
      <c r="CT11" s="71">
        <f t="shared" si="31"/>
        <v>0</v>
      </c>
      <c r="CU11" s="68"/>
      <c r="CV11" s="68"/>
      <c r="CW11" s="71">
        <f t="shared" si="32"/>
        <v>0</v>
      </c>
      <c r="CX11" s="68"/>
      <c r="CY11" s="68"/>
      <c r="CZ11" s="71">
        <f t="shared" si="33"/>
        <v>0</v>
      </c>
      <c r="DA11" s="68"/>
      <c r="DB11" s="68"/>
      <c r="DC11" s="71">
        <f t="shared" si="34"/>
        <v>0</v>
      </c>
      <c r="DD11" s="68"/>
      <c r="DE11" s="68"/>
      <c r="DF11" s="71">
        <f t="shared" si="35"/>
        <v>0</v>
      </c>
      <c r="DG11" s="68"/>
      <c r="DH11" s="68"/>
      <c r="DI11" s="71">
        <f t="shared" si="36"/>
        <v>0</v>
      </c>
      <c r="DJ11" s="68"/>
      <c r="DK11" s="68"/>
      <c r="DL11" s="71">
        <f t="shared" si="37"/>
        <v>0</v>
      </c>
      <c r="DM11" s="68"/>
      <c r="DN11" s="68"/>
      <c r="DO11" s="71">
        <f t="shared" si="38"/>
        <v>0</v>
      </c>
      <c r="DP11" s="68"/>
      <c r="DQ11" s="68"/>
      <c r="DR11" s="71">
        <f t="shared" si="39"/>
        <v>0</v>
      </c>
      <c r="DS11" s="71">
        <f t="shared" si="40"/>
        <v>0</v>
      </c>
      <c r="DT11" s="71">
        <f t="shared" si="41"/>
        <v>0</v>
      </c>
      <c r="DU11" s="71">
        <f t="shared" si="42"/>
        <v>0</v>
      </c>
      <c r="DV11" s="80"/>
      <c r="DW11" s="73"/>
      <c r="DX11" s="73"/>
      <c r="DY11" s="80"/>
      <c r="DZ11" s="73"/>
      <c r="EA11" s="73"/>
      <c r="EB11" s="73"/>
      <c r="EC11" s="73"/>
      <c r="ED11" s="73"/>
      <c r="EE11" s="73"/>
      <c r="EF11" s="73"/>
      <c r="EG11" s="73"/>
      <c r="EH11" s="73"/>
      <c r="EI11" s="73"/>
      <c r="EJ11" s="73"/>
      <c r="EK11" s="73"/>
    </row>
    <row r="12" spans="1:178" x14ac:dyDescent="0.25">
      <c r="A12" s="67">
        <f>+BaseloadMarkets!A12</f>
        <v>36684</v>
      </c>
      <c r="B12" s="67" t="str">
        <f>+BaseloadMarkets!B12</f>
        <v>Wed</v>
      </c>
      <c r="C12" s="68"/>
      <c r="D12" s="68"/>
      <c r="E12" s="71">
        <f t="shared" si="0"/>
        <v>0</v>
      </c>
      <c r="F12" s="68"/>
      <c r="G12" s="68"/>
      <c r="H12" s="71">
        <f t="shared" si="1"/>
        <v>0</v>
      </c>
      <c r="I12" s="68"/>
      <c r="J12" s="68"/>
      <c r="K12" s="71">
        <f t="shared" si="2"/>
        <v>0</v>
      </c>
      <c r="L12" s="68"/>
      <c r="M12" s="68"/>
      <c r="N12" s="71">
        <f t="shared" si="3"/>
        <v>0</v>
      </c>
      <c r="O12" s="68"/>
      <c r="P12" s="68"/>
      <c r="Q12" s="71">
        <f t="shared" si="4"/>
        <v>0</v>
      </c>
      <c r="R12" s="68"/>
      <c r="S12" s="68"/>
      <c r="T12" s="71">
        <f t="shared" si="5"/>
        <v>0</v>
      </c>
      <c r="U12" s="68"/>
      <c r="V12" s="68"/>
      <c r="W12" s="71">
        <f t="shared" si="6"/>
        <v>0</v>
      </c>
      <c r="X12" s="68"/>
      <c r="Y12" s="68"/>
      <c r="Z12" s="71">
        <f t="shared" si="7"/>
        <v>0</v>
      </c>
      <c r="AA12" s="68"/>
      <c r="AB12" s="68"/>
      <c r="AC12" s="71">
        <f t="shared" si="8"/>
        <v>0</v>
      </c>
      <c r="AD12" s="68"/>
      <c r="AE12" s="68"/>
      <c r="AF12" s="71">
        <f t="shared" si="9"/>
        <v>0</v>
      </c>
      <c r="AG12" s="68"/>
      <c r="AH12" s="68"/>
      <c r="AI12" s="71">
        <f t="shared" si="10"/>
        <v>0</v>
      </c>
      <c r="AJ12" s="68"/>
      <c r="AK12" s="68"/>
      <c r="AL12" s="71">
        <f t="shared" si="11"/>
        <v>0</v>
      </c>
      <c r="AM12" s="68"/>
      <c r="AN12" s="68"/>
      <c r="AO12" s="71">
        <f t="shared" si="12"/>
        <v>0</v>
      </c>
      <c r="AP12" s="68"/>
      <c r="AQ12" s="68"/>
      <c r="AR12" s="71">
        <f t="shared" si="13"/>
        <v>0</v>
      </c>
      <c r="AS12" s="68"/>
      <c r="AT12" s="68"/>
      <c r="AU12" s="71">
        <f t="shared" si="14"/>
        <v>0</v>
      </c>
      <c r="AV12" s="68"/>
      <c r="AW12" s="68"/>
      <c r="AX12" s="71">
        <f t="shared" si="15"/>
        <v>0</v>
      </c>
      <c r="AY12" s="68"/>
      <c r="AZ12" s="68"/>
      <c r="BA12" s="71">
        <f t="shared" si="16"/>
        <v>0</v>
      </c>
      <c r="BB12" s="68"/>
      <c r="BC12" s="68"/>
      <c r="BD12" s="71">
        <f t="shared" si="17"/>
        <v>0</v>
      </c>
      <c r="BE12" s="68"/>
      <c r="BF12" s="68"/>
      <c r="BG12" s="71">
        <f t="shared" si="18"/>
        <v>0</v>
      </c>
      <c r="BH12" s="68"/>
      <c r="BI12" s="68"/>
      <c r="BJ12" s="71">
        <f t="shared" si="19"/>
        <v>0</v>
      </c>
      <c r="BK12" s="68"/>
      <c r="BL12" s="68"/>
      <c r="BM12" s="71">
        <f t="shared" si="20"/>
        <v>0</v>
      </c>
      <c r="BN12" s="68"/>
      <c r="BO12" s="68"/>
      <c r="BP12" s="71">
        <f t="shared" si="21"/>
        <v>0</v>
      </c>
      <c r="BQ12" s="68"/>
      <c r="BR12" s="68"/>
      <c r="BS12" s="71">
        <f t="shared" si="22"/>
        <v>0</v>
      </c>
      <c r="BT12" s="68"/>
      <c r="BU12" s="68"/>
      <c r="BV12" s="71">
        <f t="shared" si="23"/>
        <v>0</v>
      </c>
      <c r="BW12" s="68"/>
      <c r="BX12" s="68"/>
      <c r="BY12" s="71">
        <f t="shared" si="24"/>
        <v>0</v>
      </c>
      <c r="BZ12" s="68"/>
      <c r="CA12" s="68"/>
      <c r="CB12" s="71">
        <f t="shared" si="25"/>
        <v>0</v>
      </c>
      <c r="CC12" s="68"/>
      <c r="CD12" s="68"/>
      <c r="CE12" s="71">
        <f t="shared" si="26"/>
        <v>0</v>
      </c>
      <c r="CF12" s="68"/>
      <c r="CG12" s="68"/>
      <c r="CH12" s="71">
        <f t="shared" si="27"/>
        <v>0</v>
      </c>
      <c r="CI12" s="68"/>
      <c r="CJ12" s="68"/>
      <c r="CK12" s="71">
        <f t="shared" si="28"/>
        <v>0</v>
      </c>
      <c r="CL12" s="68"/>
      <c r="CM12" s="68"/>
      <c r="CN12" s="71">
        <f t="shared" si="29"/>
        <v>0</v>
      </c>
      <c r="CO12" s="68"/>
      <c r="CP12" s="68"/>
      <c r="CQ12" s="71">
        <f t="shared" si="30"/>
        <v>0</v>
      </c>
      <c r="CR12" s="68"/>
      <c r="CS12" s="68"/>
      <c r="CT12" s="71">
        <f t="shared" si="31"/>
        <v>0</v>
      </c>
      <c r="CU12" s="68"/>
      <c r="CV12" s="68"/>
      <c r="CW12" s="71">
        <f t="shared" si="32"/>
        <v>0</v>
      </c>
      <c r="CX12" s="68"/>
      <c r="CY12" s="68"/>
      <c r="CZ12" s="71">
        <f t="shared" si="33"/>
        <v>0</v>
      </c>
      <c r="DA12" s="68"/>
      <c r="DB12" s="68"/>
      <c r="DC12" s="71">
        <f t="shared" si="34"/>
        <v>0</v>
      </c>
      <c r="DD12" s="68"/>
      <c r="DE12" s="68"/>
      <c r="DF12" s="71">
        <f t="shared" si="35"/>
        <v>0</v>
      </c>
      <c r="DG12" s="68"/>
      <c r="DH12" s="68"/>
      <c r="DI12" s="71">
        <f t="shared" si="36"/>
        <v>0</v>
      </c>
      <c r="DJ12" s="68"/>
      <c r="DK12" s="68"/>
      <c r="DL12" s="71">
        <f t="shared" si="37"/>
        <v>0</v>
      </c>
      <c r="DM12" s="68"/>
      <c r="DN12" s="68"/>
      <c r="DO12" s="71">
        <f t="shared" si="38"/>
        <v>0</v>
      </c>
      <c r="DP12" s="68"/>
      <c r="DQ12" s="68"/>
      <c r="DR12" s="71">
        <f t="shared" si="39"/>
        <v>0</v>
      </c>
      <c r="DS12" s="71">
        <f t="shared" ref="DS12:DS34" si="43">+C12+F12+I12+L12+O12+R12+U12+X12+AA12+AD12+AG12+AJ12+AM12+AP12+AS12+AV12+AY12+BB12+BE12+BH12+BK12+BN12+BQ12+BT12+BW12+BZ12+CC12+CF12+CI12+CL12+CO12+CR12+CU12+CX12+DA12+DD12+DG12+DJ12+DM12+DP12</f>
        <v>0</v>
      </c>
      <c r="DT12" s="71">
        <f t="shared" ref="DT12:DT34" si="44">+D12+G12+J12+M12+P12+S12+V12+Y12+AB12+AE12+AH12+AK12+AN12+AQ12+AT12+AW12+AZ12+BC12+BF12+BI12+BL12+BO12+BR12+BU12+BX12+CA12+CD12+CG12+CJ12+CM12+CP12+CS12+CV12+CY12+DB12+DE12+DH12+DK12+DN12+DQ12</f>
        <v>0</v>
      </c>
      <c r="DU12" s="71">
        <f t="shared" ref="DU12:DU34" si="45">DT12-DS12</f>
        <v>0</v>
      </c>
      <c r="DV12" s="80"/>
      <c r="DW12" s="73"/>
      <c r="DX12" s="73"/>
      <c r="DY12" s="80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</row>
    <row r="13" spans="1:178" x14ac:dyDescent="0.25">
      <c r="A13" s="67">
        <f>+BaseloadMarkets!A13</f>
        <v>36685</v>
      </c>
      <c r="B13" s="67" t="str">
        <f>+BaseloadMarkets!B13</f>
        <v>Thu</v>
      </c>
      <c r="C13" s="68"/>
      <c r="D13" s="68"/>
      <c r="E13" s="71">
        <f t="shared" si="0"/>
        <v>0</v>
      </c>
      <c r="F13" s="68"/>
      <c r="G13" s="68"/>
      <c r="H13" s="71">
        <f t="shared" si="1"/>
        <v>0</v>
      </c>
      <c r="I13" s="68"/>
      <c r="J13" s="68"/>
      <c r="K13" s="71">
        <f t="shared" si="2"/>
        <v>0</v>
      </c>
      <c r="L13" s="68">
        <v>30000</v>
      </c>
      <c r="M13" s="68">
        <v>30000</v>
      </c>
      <c r="N13" s="71">
        <f t="shared" si="3"/>
        <v>0</v>
      </c>
      <c r="O13" s="68">
        <v>10000</v>
      </c>
      <c r="P13" s="68">
        <v>10000</v>
      </c>
      <c r="Q13" s="71">
        <f t="shared" si="4"/>
        <v>0</v>
      </c>
      <c r="R13" s="68"/>
      <c r="S13" s="68"/>
      <c r="T13" s="71">
        <f t="shared" si="5"/>
        <v>0</v>
      </c>
      <c r="U13" s="68"/>
      <c r="V13" s="68"/>
      <c r="W13" s="71">
        <f t="shared" si="6"/>
        <v>0</v>
      </c>
      <c r="X13" s="68"/>
      <c r="Y13" s="68"/>
      <c r="Z13" s="71">
        <f t="shared" si="7"/>
        <v>0</v>
      </c>
      <c r="AA13" s="68"/>
      <c r="AB13" s="68"/>
      <c r="AC13" s="71">
        <f t="shared" si="8"/>
        <v>0</v>
      </c>
      <c r="AD13" s="68"/>
      <c r="AE13" s="68"/>
      <c r="AF13" s="71">
        <f t="shared" si="9"/>
        <v>0</v>
      </c>
      <c r="AG13" s="68"/>
      <c r="AH13" s="68"/>
      <c r="AI13" s="71">
        <f t="shared" si="10"/>
        <v>0</v>
      </c>
      <c r="AJ13" s="68"/>
      <c r="AK13" s="68"/>
      <c r="AL13" s="71">
        <f t="shared" si="11"/>
        <v>0</v>
      </c>
      <c r="AM13" s="68"/>
      <c r="AN13" s="68"/>
      <c r="AO13" s="71">
        <f t="shared" si="12"/>
        <v>0</v>
      </c>
      <c r="AP13" s="68"/>
      <c r="AQ13" s="68"/>
      <c r="AR13" s="71">
        <f t="shared" si="13"/>
        <v>0</v>
      </c>
      <c r="AS13" s="68"/>
      <c r="AT13" s="68"/>
      <c r="AU13" s="71">
        <f t="shared" si="14"/>
        <v>0</v>
      </c>
      <c r="AV13" s="68"/>
      <c r="AW13" s="68"/>
      <c r="AX13" s="71">
        <f t="shared" si="15"/>
        <v>0</v>
      </c>
      <c r="AY13" s="68"/>
      <c r="AZ13" s="68"/>
      <c r="BA13" s="71">
        <f t="shared" si="16"/>
        <v>0</v>
      </c>
      <c r="BB13" s="68"/>
      <c r="BC13" s="68"/>
      <c r="BD13" s="71">
        <f t="shared" si="17"/>
        <v>0</v>
      </c>
      <c r="BE13" s="68"/>
      <c r="BF13" s="68"/>
      <c r="BG13" s="71">
        <f t="shared" si="18"/>
        <v>0</v>
      </c>
      <c r="BH13" s="68"/>
      <c r="BI13" s="68"/>
      <c r="BJ13" s="71">
        <f t="shared" si="19"/>
        <v>0</v>
      </c>
      <c r="BK13" s="68"/>
      <c r="BL13" s="68"/>
      <c r="BM13" s="71">
        <f t="shared" si="20"/>
        <v>0</v>
      </c>
      <c r="BN13" s="68"/>
      <c r="BO13" s="68"/>
      <c r="BP13" s="71">
        <f t="shared" si="21"/>
        <v>0</v>
      </c>
      <c r="BQ13" s="68"/>
      <c r="BR13" s="68"/>
      <c r="BS13" s="71">
        <f t="shared" si="22"/>
        <v>0</v>
      </c>
      <c r="BT13" s="68"/>
      <c r="BU13" s="68"/>
      <c r="BV13" s="71">
        <f t="shared" si="23"/>
        <v>0</v>
      </c>
      <c r="BW13" s="68"/>
      <c r="BX13" s="68"/>
      <c r="BY13" s="71">
        <f t="shared" si="24"/>
        <v>0</v>
      </c>
      <c r="BZ13" s="68"/>
      <c r="CA13" s="68"/>
      <c r="CB13" s="71">
        <f t="shared" si="25"/>
        <v>0</v>
      </c>
      <c r="CC13" s="68"/>
      <c r="CD13" s="68"/>
      <c r="CE13" s="71">
        <f t="shared" si="26"/>
        <v>0</v>
      </c>
      <c r="CF13" s="68"/>
      <c r="CG13" s="68"/>
      <c r="CH13" s="71">
        <f t="shared" si="27"/>
        <v>0</v>
      </c>
      <c r="CI13" s="68"/>
      <c r="CJ13" s="68"/>
      <c r="CK13" s="71">
        <f t="shared" si="28"/>
        <v>0</v>
      </c>
      <c r="CL13" s="68"/>
      <c r="CM13" s="68"/>
      <c r="CN13" s="71">
        <f t="shared" si="29"/>
        <v>0</v>
      </c>
      <c r="CO13" s="68"/>
      <c r="CP13" s="68"/>
      <c r="CQ13" s="71">
        <f t="shared" si="30"/>
        <v>0</v>
      </c>
      <c r="CR13" s="68"/>
      <c r="CS13" s="68"/>
      <c r="CT13" s="71">
        <f t="shared" si="31"/>
        <v>0</v>
      </c>
      <c r="CU13" s="68"/>
      <c r="CV13" s="68"/>
      <c r="CW13" s="71">
        <f t="shared" si="32"/>
        <v>0</v>
      </c>
      <c r="CX13" s="68"/>
      <c r="CY13" s="68"/>
      <c r="CZ13" s="71">
        <f t="shared" si="33"/>
        <v>0</v>
      </c>
      <c r="DA13" s="68"/>
      <c r="DB13" s="68"/>
      <c r="DC13" s="71">
        <f t="shared" si="34"/>
        <v>0</v>
      </c>
      <c r="DD13" s="68"/>
      <c r="DE13" s="68"/>
      <c r="DF13" s="71">
        <f t="shared" si="35"/>
        <v>0</v>
      </c>
      <c r="DG13" s="68"/>
      <c r="DH13" s="68"/>
      <c r="DI13" s="71">
        <f t="shared" si="36"/>
        <v>0</v>
      </c>
      <c r="DJ13" s="68"/>
      <c r="DK13" s="68"/>
      <c r="DL13" s="71">
        <f t="shared" si="37"/>
        <v>0</v>
      </c>
      <c r="DM13" s="68"/>
      <c r="DN13" s="68"/>
      <c r="DO13" s="71">
        <f t="shared" si="38"/>
        <v>0</v>
      </c>
      <c r="DP13" s="68"/>
      <c r="DQ13" s="68"/>
      <c r="DR13" s="71">
        <f t="shared" si="39"/>
        <v>0</v>
      </c>
      <c r="DS13" s="71">
        <f t="shared" si="43"/>
        <v>40000</v>
      </c>
      <c r="DT13" s="71">
        <f t="shared" si="44"/>
        <v>40000</v>
      </c>
      <c r="DU13" s="71">
        <f t="shared" si="45"/>
        <v>0</v>
      </c>
      <c r="DV13" s="80"/>
      <c r="DW13" s="73"/>
      <c r="DX13" s="73"/>
      <c r="DY13" s="80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</row>
    <row r="14" spans="1:178" x14ac:dyDescent="0.25">
      <c r="A14" s="67">
        <f>+BaseloadMarkets!A14</f>
        <v>36686</v>
      </c>
      <c r="B14" s="67" t="str">
        <f>+BaseloadMarkets!B14</f>
        <v>Fri</v>
      </c>
      <c r="C14" s="68"/>
      <c r="D14" s="68"/>
      <c r="E14" s="71">
        <f t="shared" si="0"/>
        <v>0</v>
      </c>
      <c r="F14" s="68"/>
      <c r="G14" s="68"/>
      <c r="H14" s="71">
        <f t="shared" si="1"/>
        <v>0</v>
      </c>
      <c r="I14" s="68"/>
      <c r="J14" s="68"/>
      <c r="K14" s="71">
        <f t="shared" si="2"/>
        <v>0</v>
      </c>
      <c r="L14" s="68"/>
      <c r="M14" s="68"/>
      <c r="N14" s="71">
        <f t="shared" si="3"/>
        <v>0</v>
      </c>
      <c r="O14" s="68"/>
      <c r="P14" s="68"/>
      <c r="Q14" s="71">
        <f t="shared" si="4"/>
        <v>0</v>
      </c>
      <c r="R14" s="68"/>
      <c r="S14" s="68"/>
      <c r="T14" s="71">
        <f t="shared" si="5"/>
        <v>0</v>
      </c>
      <c r="U14" s="68"/>
      <c r="V14" s="68"/>
      <c r="W14" s="71">
        <f t="shared" si="6"/>
        <v>0</v>
      </c>
      <c r="X14" s="68"/>
      <c r="Y14" s="68"/>
      <c r="Z14" s="71">
        <f t="shared" si="7"/>
        <v>0</v>
      </c>
      <c r="AA14" s="68"/>
      <c r="AB14" s="68"/>
      <c r="AC14" s="71">
        <f t="shared" si="8"/>
        <v>0</v>
      </c>
      <c r="AD14" s="68"/>
      <c r="AE14" s="68"/>
      <c r="AF14" s="71">
        <f t="shared" si="9"/>
        <v>0</v>
      </c>
      <c r="AG14" s="68"/>
      <c r="AH14" s="68"/>
      <c r="AI14" s="71">
        <f t="shared" si="10"/>
        <v>0</v>
      </c>
      <c r="AJ14" s="68"/>
      <c r="AK14" s="68"/>
      <c r="AL14" s="71">
        <f t="shared" si="11"/>
        <v>0</v>
      </c>
      <c r="AM14" s="68"/>
      <c r="AN14" s="68"/>
      <c r="AO14" s="71">
        <f t="shared" si="12"/>
        <v>0</v>
      </c>
      <c r="AP14" s="68"/>
      <c r="AQ14" s="68"/>
      <c r="AR14" s="71">
        <f t="shared" si="13"/>
        <v>0</v>
      </c>
      <c r="AS14" s="68"/>
      <c r="AT14" s="68"/>
      <c r="AU14" s="71">
        <f t="shared" si="14"/>
        <v>0</v>
      </c>
      <c r="AV14" s="68"/>
      <c r="AW14" s="68"/>
      <c r="AX14" s="71">
        <f t="shared" si="15"/>
        <v>0</v>
      </c>
      <c r="AY14" s="68"/>
      <c r="AZ14" s="68"/>
      <c r="BA14" s="71">
        <f t="shared" si="16"/>
        <v>0</v>
      </c>
      <c r="BB14" s="68"/>
      <c r="BC14" s="68"/>
      <c r="BD14" s="71">
        <f t="shared" si="17"/>
        <v>0</v>
      </c>
      <c r="BE14" s="68"/>
      <c r="BF14" s="68"/>
      <c r="BG14" s="71">
        <f t="shared" si="18"/>
        <v>0</v>
      </c>
      <c r="BH14" s="68"/>
      <c r="BI14" s="68"/>
      <c r="BJ14" s="71">
        <f t="shared" si="19"/>
        <v>0</v>
      </c>
      <c r="BK14" s="68"/>
      <c r="BL14" s="68"/>
      <c r="BM14" s="71">
        <f t="shared" si="20"/>
        <v>0</v>
      </c>
      <c r="BN14" s="68"/>
      <c r="BO14" s="68"/>
      <c r="BP14" s="71">
        <f t="shared" si="21"/>
        <v>0</v>
      </c>
      <c r="BQ14" s="68"/>
      <c r="BR14" s="68"/>
      <c r="BS14" s="71">
        <f t="shared" si="22"/>
        <v>0</v>
      </c>
      <c r="BT14" s="68"/>
      <c r="BU14" s="68"/>
      <c r="BV14" s="71">
        <f t="shared" si="23"/>
        <v>0</v>
      </c>
      <c r="BW14" s="68"/>
      <c r="BX14" s="68"/>
      <c r="BY14" s="71">
        <f t="shared" si="24"/>
        <v>0</v>
      </c>
      <c r="BZ14" s="68"/>
      <c r="CA14" s="68"/>
      <c r="CB14" s="71">
        <f t="shared" si="25"/>
        <v>0</v>
      </c>
      <c r="CC14" s="68"/>
      <c r="CD14" s="68"/>
      <c r="CE14" s="71">
        <f t="shared" si="26"/>
        <v>0</v>
      </c>
      <c r="CF14" s="68"/>
      <c r="CG14" s="68"/>
      <c r="CH14" s="71">
        <f t="shared" si="27"/>
        <v>0</v>
      </c>
      <c r="CI14" s="68"/>
      <c r="CJ14" s="68"/>
      <c r="CK14" s="71">
        <f t="shared" si="28"/>
        <v>0</v>
      </c>
      <c r="CL14" s="68"/>
      <c r="CM14" s="68"/>
      <c r="CN14" s="71">
        <f t="shared" si="29"/>
        <v>0</v>
      </c>
      <c r="CO14" s="68"/>
      <c r="CP14" s="68"/>
      <c r="CQ14" s="71">
        <f t="shared" si="30"/>
        <v>0</v>
      </c>
      <c r="CR14" s="68"/>
      <c r="CS14" s="68"/>
      <c r="CT14" s="71">
        <f t="shared" si="31"/>
        <v>0</v>
      </c>
      <c r="CU14" s="68"/>
      <c r="CV14" s="68"/>
      <c r="CW14" s="71">
        <f t="shared" si="32"/>
        <v>0</v>
      </c>
      <c r="CX14" s="68"/>
      <c r="CY14" s="68"/>
      <c r="CZ14" s="71">
        <f t="shared" si="33"/>
        <v>0</v>
      </c>
      <c r="DA14" s="68"/>
      <c r="DB14" s="68"/>
      <c r="DC14" s="71">
        <f t="shared" si="34"/>
        <v>0</v>
      </c>
      <c r="DD14" s="68"/>
      <c r="DE14" s="68"/>
      <c r="DF14" s="71">
        <f t="shared" si="35"/>
        <v>0</v>
      </c>
      <c r="DG14" s="68"/>
      <c r="DH14" s="68"/>
      <c r="DI14" s="71">
        <f t="shared" si="36"/>
        <v>0</v>
      </c>
      <c r="DJ14" s="68"/>
      <c r="DK14" s="68"/>
      <c r="DL14" s="71">
        <f t="shared" si="37"/>
        <v>0</v>
      </c>
      <c r="DM14" s="68"/>
      <c r="DN14" s="68"/>
      <c r="DO14" s="71">
        <f t="shared" si="38"/>
        <v>0</v>
      </c>
      <c r="DP14" s="68"/>
      <c r="DQ14" s="68"/>
      <c r="DR14" s="71">
        <f t="shared" si="39"/>
        <v>0</v>
      </c>
      <c r="DS14" s="71">
        <f t="shared" si="43"/>
        <v>0</v>
      </c>
      <c r="DT14" s="71">
        <f t="shared" si="44"/>
        <v>0</v>
      </c>
      <c r="DU14" s="71">
        <f t="shared" si="45"/>
        <v>0</v>
      </c>
      <c r="DV14" s="80"/>
      <c r="DW14" s="73"/>
      <c r="DX14" s="73"/>
      <c r="DY14" s="80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</row>
    <row r="15" spans="1:178" x14ac:dyDescent="0.25">
      <c r="A15" s="67">
        <f>+BaseloadMarkets!A15</f>
        <v>36687</v>
      </c>
      <c r="B15" s="67" t="str">
        <f>+BaseloadMarkets!B15</f>
        <v>Sat</v>
      </c>
      <c r="C15" s="68"/>
      <c r="D15" s="68"/>
      <c r="E15" s="71">
        <f t="shared" si="0"/>
        <v>0</v>
      </c>
      <c r="F15" s="68"/>
      <c r="G15" s="68"/>
      <c r="H15" s="71">
        <f t="shared" si="1"/>
        <v>0</v>
      </c>
      <c r="I15" s="68"/>
      <c r="J15" s="68"/>
      <c r="K15" s="71">
        <f t="shared" si="2"/>
        <v>0</v>
      </c>
      <c r="L15" s="68">
        <f>26000+10000</f>
        <v>36000</v>
      </c>
      <c r="M15" s="68">
        <v>36000</v>
      </c>
      <c r="N15" s="71">
        <f t="shared" si="3"/>
        <v>0</v>
      </c>
      <c r="O15" s="68"/>
      <c r="P15" s="68"/>
      <c r="Q15" s="71">
        <f t="shared" si="4"/>
        <v>0</v>
      </c>
      <c r="R15" s="68">
        <v>3000</v>
      </c>
      <c r="S15" s="68">
        <v>3000</v>
      </c>
      <c r="T15" s="71">
        <f t="shared" si="5"/>
        <v>0</v>
      </c>
      <c r="U15" s="68">
        <v>2000</v>
      </c>
      <c r="V15" s="68">
        <v>2000</v>
      </c>
      <c r="W15" s="71">
        <f t="shared" si="6"/>
        <v>0</v>
      </c>
      <c r="X15" s="68"/>
      <c r="Y15" s="68"/>
      <c r="Z15" s="71">
        <f t="shared" si="7"/>
        <v>0</v>
      </c>
      <c r="AA15" s="68"/>
      <c r="AB15" s="68"/>
      <c r="AC15" s="71">
        <f t="shared" si="8"/>
        <v>0</v>
      </c>
      <c r="AD15" s="68"/>
      <c r="AE15" s="68"/>
      <c r="AF15" s="71">
        <f t="shared" si="9"/>
        <v>0</v>
      </c>
      <c r="AG15" s="68"/>
      <c r="AH15" s="68"/>
      <c r="AI15" s="71">
        <f t="shared" si="10"/>
        <v>0</v>
      </c>
      <c r="AJ15" s="68"/>
      <c r="AK15" s="68"/>
      <c r="AL15" s="71">
        <f t="shared" si="11"/>
        <v>0</v>
      </c>
      <c r="AM15" s="68"/>
      <c r="AN15" s="68"/>
      <c r="AO15" s="71">
        <f t="shared" si="12"/>
        <v>0</v>
      </c>
      <c r="AP15" s="68"/>
      <c r="AQ15" s="68"/>
      <c r="AR15" s="71">
        <f t="shared" si="13"/>
        <v>0</v>
      </c>
      <c r="AS15" s="68"/>
      <c r="AT15" s="68"/>
      <c r="AU15" s="71">
        <f t="shared" si="14"/>
        <v>0</v>
      </c>
      <c r="AV15" s="68"/>
      <c r="AW15" s="68"/>
      <c r="AX15" s="71">
        <f t="shared" si="15"/>
        <v>0</v>
      </c>
      <c r="AY15" s="68"/>
      <c r="AZ15" s="68"/>
      <c r="BA15" s="71">
        <f t="shared" si="16"/>
        <v>0</v>
      </c>
      <c r="BB15" s="68"/>
      <c r="BC15" s="68"/>
      <c r="BD15" s="71">
        <f t="shared" si="17"/>
        <v>0</v>
      </c>
      <c r="BE15" s="68"/>
      <c r="BF15" s="68"/>
      <c r="BG15" s="71">
        <f t="shared" si="18"/>
        <v>0</v>
      </c>
      <c r="BH15" s="68"/>
      <c r="BI15" s="68"/>
      <c r="BJ15" s="71">
        <f t="shared" si="19"/>
        <v>0</v>
      </c>
      <c r="BK15" s="68"/>
      <c r="BL15" s="68"/>
      <c r="BM15" s="71">
        <f t="shared" si="20"/>
        <v>0</v>
      </c>
      <c r="BN15" s="68"/>
      <c r="BO15" s="68"/>
      <c r="BP15" s="71">
        <f t="shared" si="21"/>
        <v>0</v>
      </c>
      <c r="BQ15" s="68"/>
      <c r="BR15" s="68"/>
      <c r="BS15" s="71">
        <f t="shared" si="22"/>
        <v>0</v>
      </c>
      <c r="BT15" s="68"/>
      <c r="BU15" s="68"/>
      <c r="BV15" s="71">
        <f t="shared" si="23"/>
        <v>0</v>
      </c>
      <c r="BW15" s="68"/>
      <c r="BX15" s="68"/>
      <c r="BY15" s="71">
        <f t="shared" si="24"/>
        <v>0</v>
      </c>
      <c r="BZ15" s="68"/>
      <c r="CA15" s="68"/>
      <c r="CB15" s="71">
        <f t="shared" si="25"/>
        <v>0</v>
      </c>
      <c r="CC15" s="68"/>
      <c r="CD15" s="68"/>
      <c r="CE15" s="71">
        <f t="shared" si="26"/>
        <v>0</v>
      </c>
      <c r="CF15" s="68"/>
      <c r="CG15" s="68"/>
      <c r="CH15" s="71">
        <f t="shared" si="27"/>
        <v>0</v>
      </c>
      <c r="CI15" s="68"/>
      <c r="CJ15" s="68"/>
      <c r="CK15" s="71">
        <f t="shared" si="28"/>
        <v>0</v>
      </c>
      <c r="CL15" s="68"/>
      <c r="CM15" s="68"/>
      <c r="CN15" s="71">
        <f t="shared" si="29"/>
        <v>0</v>
      </c>
      <c r="CO15" s="68"/>
      <c r="CP15" s="68"/>
      <c r="CQ15" s="71">
        <f t="shared" si="30"/>
        <v>0</v>
      </c>
      <c r="CR15" s="68"/>
      <c r="CS15" s="68"/>
      <c r="CT15" s="71">
        <f t="shared" si="31"/>
        <v>0</v>
      </c>
      <c r="CU15" s="68"/>
      <c r="CV15" s="68"/>
      <c r="CW15" s="71">
        <f t="shared" si="32"/>
        <v>0</v>
      </c>
      <c r="CX15" s="68"/>
      <c r="CY15" s="68"/>
      <c r="CZ15" s="71">
        <f t="shared" si="33"/>
        <v>0</v>
      </c>
      <c r="DA15" s="68"/>
      <c r="DB15" s="68"/>
      <c r="DC15" s="71">
        <f t="shared" si="34"/>
        <v>0</v>
      </c>
      <c r="DD15" s="68"/>
      <c r="DE15" s="68"/>
      <c r="DF15" s="71">
        <f t="shared" si="35"/>
        <v>0</v>
      </c>
      <c r="DG15" s="68"/>
      <c r="DH15" s="68"/>
      <c r="DI15" s="71">
        <f t="shared" si="36"/>
        <v>0</v>
      </c>
      <c r="DJ15" s="68"/>
      <c r="DK15" s="68"/>
      <c r="DL15" s="71">
        <f t="shared" si="37"/>
        <v>0</v>
      </c>
      <c r="DM15" s="68"/>
      <c r="DN15" s="68"/>
      <c r="DO15" s="71">
        <f t="shared" si="38"/>
        <v>0</v>
      </c>
      <c r="DP15" s="68"/>
      <c r="DQ15" s="68"/>
      <c r="DR15" s="71">
        <f t="shared" si="39"/>
        <v>0</v>
      </c>
      <c r="DS15" s="71">
        <f t="shared" si="43"/>
        <v>41000</v>
      </c>
      <c r="DT15" s="71">
        <f t="shared" si="44"/>
        <v>41000</v>
      </c>
      <c r="DU15" s="71">
        <f t="shared" si="45"/>
        <v>0</v>
      </c>
      <c r="DV15" s="80"/>
      <c r="DW15" s="73"/>
      <c r="DX15" s="73"/>
      <c r="DY15" s="80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</row>
    <row r="16" spans="1:178" x14ac:dyDescent="0.25">
      <c r="A16" s="67">
        <f>+BaseloadMarkets!A16</f>
        <v>36688</v>
      </c>
      <c r="B16" s="67" t="str">
        <f>+BaseloadMarkets!B16</f>
        <v>Sun</v>
      </c>
      <c r="C16" s="68"/>
      <c r="D16" s="68"/>
      <c r="E16" s="71">
        <f t="shared" si="0"/>
        <v>0</v>
      </c>
      <c r="F16" s="68"/>
      <c r="G16" s="68"/>
      <c r="H16" s="71">
        <f t="shared" si="1"/>
        <v>0</v>
      </c>
      <c r="I16" s="68"/>
      <c r="J16" s="68"/>
      <c r="K16" s="71">
        <f t="shared" si="2"/>
        <v>0</v>
      </c>
      <c r="L16" s="68">
        <f>26000+10000</f>
        <v>36000</v>
      </c>
      <c r="M16" s="68">
        <v>36000</v>
      </c>
      <c r="N16" s="71">
        <f t="shared" si="3"/>
        <v>0</v>
      </c>
      <c r="O16" s="68"/>
      <c r="P16" s="68"/>
      <c r="Q16" s="71">
        <f t="shared" si="4"/>
        <v>0</v>
      </c>
      <c r="R16" s="68">
        <v>2723</v>
      </c>
      <c r="S16" s="68">
        <v>2723</v>
      </c>
      <c r="T16" s="71">
        <f t="shared" si="5"/>
        <v>0</v>
      </c>
      <c r="U16" s="68">
        <v>2000</v>
      </c>
      <c r="V16" s="68">
        <v>2000</v>
      </c>
      <c r="W16" s="71">
        <f t="shared" si="6"/>
        <v>0</v>
      </c>
      <c r="X16" s="68"/>
      <c r="Y16" s="68"/>
      <c r="Z16" s="71">
        <f t="shared" si="7"/>
        <v>0</v>
      </c>
      <c r="AA16" s="68"/>
      <c r="AB16" s="68"/>
      <c r="AC16" s="71">
        <f t="shared" si="8"/>
        <v>0</v>
      </c>
      <c r="AD16" s="68"/>
      <c r="AE16" s="68"/>
      <c r="AF16" s="71">
        <f t="shared" si="9"/>
        <v>0</v>
      </c>
      <c r="AG16" s="68"/>
      <c r="AH16" s="68"/>
      <c r="AI16" s="71">
        <f t="shared" si="10"/>
        <v>0</v>
      </c>
      <c r="AJ16" s="68"/>
      <c r="AK16" s="68"/>
      <c r="AL16" s="71">
        <f t="shared" si="11"/>
        <v>0</v>
      </c>
      <c r="AM16" s="68"/>
      <c r="AN16" s="68"/>
      <c r="AO16" s="71">
        <f t="shared" si="12"/>
        <v>0</v>
      </c>
      <c r="AP16" s="68"/>
      <c r="AQ16" s="68"/>
      <c r="AR16" s="71">
        <f t="shared" si="13"/>
        <v>0</v>
      </c>
      <c r="AS16" s="68"/>
      <c r="AT16" s="68"/>
      <c r="AU16" s="71">
        <f t="shared" si="14"/>
        <v>0</v>
      </c>
      <c r="AV16" s="68"/>
      <c r="AW16" s="68"/>
      <c r="AX16" s="71">
        <f t="shared" si="15"/>
        <v>0</v>
      </c>
      <c r="AY16" s="68"/>
      <c r="AZ16" s="68"/>
      <c r="BA16" s="71">
        <f t="shared" si="16"/>
        <v>0</v>
      </c>
      <c r="BB16" s="68"/>
      <c r="BC16" s="68"/>
      <c r="BD16" s="71">
        <f t="shared" si="17"/>
        <v>0</v>
      </c>
      <c r="BE16" s="68"/>
      <c r="BF16" s="68"/>
      <c r="BG16" s="71">
        <f t="shared" si="18"/>
        <v>0</v>
      </c>
      <c r="BH16" s="68"/>
      <c r="BI16" s="68"/>
      <c r="BJ16" s="71">
        <f t="shared" si="19"/>
        <v>0</v>
      </c>
      <c r="BK16" s="68"/>
      <c r="BL16" s="68"/>
      <c r="BM16" s="71">
        <f t="shared" si="20"/>
        <v>0</v>
      </c>
      <c r="BN16" s="68"/>
      <c r="BO16" s="68"/>
      <c r="BP16" s="71">
        <f t="shared" si="21"/>
        <v>0</v>
      </c>
      <c r="BQ16" s="68"/>
      <c r="BR16" s="68"/>
      <c r="BS16" s="71">
        <f t="shared" si="22"/>
        <v>0</v>
      </c>
      <c r="BT16" s="68"/>
      <c r="BU16" s="68"/>
      <c r="BV16" s="71">
        <f t="shared" si="23"/>
        <v>0</v>
      </c>
      <c r="BW16" s="68"/>
      <c r="BX16" s="68"/>
      <c r="BY16" s="71">
        <f t="shared" si="24"/>
        <v>0</v>
      </c>
      <c r="BZ16" s="68"/>
      <c r="CA16" s="68"/>
      <c r="CB16" s="71">
        <f t="shared" si="25"/>
        <v>0</v>
      </c>
      <c r="CC16" s="68"/>
      <c r="CD16" s="68"/>
      <c r="CE16" s="71">
        <f t="shared" si="26"/>
        <v>0</v>
      </c>
      <c r="CF16" s="68"/>
      <c r="CG16" s="68"/>
      <c r="CH16" s="71">
        <f t="shared" si="27"/>
        <v>0</v>
      </c>
      <c r="CI16" s="68"/>
      <c r="CJ16" s="68"/>
      <c r="CK16" s="71">
        <f t="shared" si="28"/>
        <v>0</v>
      </c>
      <c r="CL16" s="68"/>
      <c r="CM16" s="68"/>
      <c r="CN16" s="71">
        <f t="shared" si="29"/>
        <v>0</v>
      </c>
      <c r="CO16" s="68"/>
      <c r="CP16" s="68"/>
      <c r="CQ16" s="71">
        <f t="shared" si="30"/>
        <v>0</v>
      </c>
      <c r="CR16" s="68"/>
      <c r="CS16" s="68"/>
      <c r="CT16" s="71">
        <f t="shared" si="31"/>
        <v>0</v>
      </c>
      <c r="CU16" s="68"/>
      <c r="CV16" s="68"/>
      <c r="CW16" s="71">
        <f t="shared" si="32"/>
        <v>0</v>
      </c>
      <c r="CX16" s="68"/>
      <c r="CY16" s="68"/>
      <c r="CZ16" s="71">
        <f t="shared" si="33"/>
        <v>0</v>
      </c>
      <c r="DA16" s="68"/>
      <c r="DB16" s="68"/>
      <c r="DC16" s="71">
        <f t="shared" si="34"/>
        <v>0</v>
      </c>
      <c r="DD16" s="68"/>
      <c r="DE16" s="68"/>
      <c r="DF16" s="71">
        <f t="shared" si="35"/>
        <v>0</v>
      </c>
      <c r="DG16" s="68"/>
      <c r="DH16" s="68"/>
      <c r="DI16" s="71">
        <f t="shared" si="36"/>
        <v>0</v>
      </c>
      <c r="DJ16" s="68"/>
      <c r="DK16" s="68"/>
      <c r="DL16" s="71">
        <f t="shared" si="37"/>
        <v>0</v>
      </c>
      <c r="DM16" s="68"/>
      <c r="DN16" s="68"/>
      <c r="DO16" s="71">
        <f t="shared" si="38"/>
        <v>0</v>
      </c>
      <c r="DP16" s="68"/>
      <c r="DQ16" s="68"/>
      <c r="DR16" s="71">
        <f t="shared" si="39"/>
        <v>0</v>
      </c>
      <c r="DS16" s="71">
        <f t="shared" si="43"/>
        <v>40723</v>
      </c>
      <c r="DT16" s="71">
        <f t="shared" si="44"/>
        <v>40723</v>
      </c>
      <c r="DU16" s="71">
        <f t="shared" si="45"/>
        <v>0</v>
      </c>
      <c r="DV16" s="80"/>
      <c r="DW16" s="73"/>
      <c r="DX16" s="73"/>
      <c r="DY16" s="80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</row>
    <row r="17" spans="1:141" x14ac:dyDescent="0.25">
      <c r="A17" s="67">
        <f>+BaseloadMarkets!A17</f>
        <v>36689</v>
      </c>
      <c r="B17" s="67" t="str">
        <f>+BaseloadMarkets!B17</f>
        <v>Mon</v>
      </c>
      <c r="C17" s="68"/>
      <c r="D17" s="68"/>
      <c r="E17" s="71">
        <f t="shared" si="0"/>
        <v>0</v>
      </c>
      <c r="F17" s="68"/>
      <c r="G17" s="68"/>
      <c r="H17" s="71">
        <f t="shared" si="1"/>
        <v>0</v>
      </c>
      <c r="I17" s="68"/>
      <c r="J17" s="68"/>
      <c r="K17" s="71">
        <f t="shared" si="2"/>
        <v>0</v>
      </c>
      <c r="L17" s="68">
        <f>26000+10000</f>
        <v>36000</v>
      </c>
      <c r="M17" s="68">
        <v>36000</v>
      </c>
      <c r="N17" s="71">
        <f t="shared" si="3"/>
        <v>0</v>
      </c>
      <c r="O17" s="68"/>
      <c r="P17" s="68"/>
      <c r="Q17" s="71">
        <f t="shared" si="4"/>
        <v>0</v>
      </c>
      <c r="R17" s="68">
        <v>3000</v>
      </c>
      <c r="S17" s="68">
        <v>3000</v>
      </c>
      <c r="T17" s="71">
        <f t="shared" si="5"/>
        <v>0</v>
      </c>
      <c r="U17" s="68">
        <v>2000</v>
      </c>
      <c r="V17" s="68">
        <v>2000</v>
      </c>
      <c r="W17" s="71">
        <f t="shared" si="6"/>
        <v>0</v>
      </c>
      <c r="X17" s="68"/>
      <c r="Y17" s="68"/>
      <c r="Z17" s="71">
        <f t="shared" si="7"/>
        <v>0</v>
      </c>
      <c r="AA17" s="68"/>
      <c r="AB17" s="68"/>
      <c r="AC17" s="71">
        <f t="shared" si="8"/>
        <v>0</v>
      </c>
      <c r="AD17" s="68"/>
      <c r="AE17" s="68"/>
      <c r="AF17" s="71">
        <f t="shared" si="9"/>
        <v>0</v>
      </c>
      <c r="AG17" s="68"/>
      <c r="AH17" s="68"/>
      <c r="AI17" s="71">
        <f t="shared" si="10"/>
        <v>0</v>
      </c>
      <c r="AJ17" s="68"/>
      <c r="AK17" s="68"/>
      <c r="AL17" s="71">
        <f t="shared" si="11"/>
        <v>0</v>
      </c>
      <c r="AM17" s="68"/>
      <c r="AN17" s="68"/>
      <c r="AO17" s="71">
        <f t="shared" si="12"/>
        <v>0</v>
      </c>
      <c r="AP17" s="68"/>
      <c r="AQ17" s="68"/>
      <c r="AR17" s="71">
        <f t="shared" si="13"/>
        <v>0</v>
      </c>
      <c r="AS17" s="68"/>
      <c r="AT17" s="68"/>
      <c r="AU17" s="71">
        <f t="shared" si="14"/>
        <v>0</v>
      </c>
      <c r="AV17" s="68"/>
      <c r="AW17" s="68"/>
      <c r="AX17" s="71">
        <f t="shared" si="15"/>
        <v>0</v>
      </c>
      <c r="AY17" s="68"/>
      <c r="AZ17" s="68"/>
      <c r="BA17" s="71">
        <f t="shared" si="16"/>
        <v>0</v>
      </c>
      <c r="BB17" s="68"/>
      <c r="BC17" s="68"/>
      <c r="BD17" s="71">
        <f t="shared" si="17"/>
        <v>0</v>
      </c>
      <c r="BE17" s="68"/>
      <c r="BF17" s="68"/>
      <c r="BG17" s="71">
        <f t="shared" si="18"/>
        <v>0</v>
      </c>
      <c r="BH17" s="68"/>
      <c r="BI17" s="68"/>
      <c r="BJ17" s="71">
        <f t="shared" si="19"/>
        <v>0</v>
      </c>
      <c r="BK17" s="68"/>
      <c r="BL17" s="68"/>
      <c r="BM17" s="71">
        <f t="shared" si="20"/>
        <v>0</v>
      </c>
      <c r="BN17" s="68"/>
      <c r="BO17" s="68"/>
      <c r="BP17" s="71">
        <f t="shared" si="21"/>
        <v>0</v>
      </c>
      <c r="BQ17" s="68"/>
      <c r="BR17" s="68"/>
      <c r="BS17" s="71">
        <f t="shared" si="22"/>
        <v>0</v>
      </c>
      <c r="BT17" s="68"/>
      <c r="BU17" s="68"/>
      <c r="BV17" s="71">
        <f t="shared" si="23"/>
        <v>0</v>
      </c>
      <c r="BW17" s="68"/>
      <c r="BX17" s="68"/>
      <c r="BY17" s="71">
        <f t="shared" si="24"/>
        <v>0</v>
      </c>
      <c r="BZ17" s="68"/>
      <c r="CA17" s="68"/>
      <c r="CB17" s="71">
        <f t="shared" si="25"/>
        <v>0</v>
      </c>
      <c r="CC17" s="68"/>
      <c r="CD17" s="68"/>
      <c r="CE17" s="71">
        <f t="shared" si="26"/>
        <v>0</v>
      </c>
      <c r="CF17" s="68"/>
      <c r="CG17" s="68"/>
      <c r="CH17" s="71">
        <f t="shared" si="27"/>
        <v>0</v>
      </c>
      <c r="CI17" s="68"/>
      <c r="CJ17" s="68"/>
      <c r="CK17" s="71">
        <f t="shared" si="28"/>
        <v>0</v>
      </c>
      <c r="CL17" s="68"/>
      <c r="CM17" s="68"/>
      <c r="CN17" s="71">
        <f t="shared" si="29"/>
        <v>0</v>
      </c>
      <c r="CO17" s="68"/>
      <c r="CP17" s="68"/>
      <c r="CQ17" s="71">
        <f t="shared" si="30"/>
        <v>0</v>
      </c>
      <c r="CR17" s="68"/>
      <c r="CS17" s="68"/>
      <c r="CT17" s="71">
        <f t="shared" si="31"/>
        <v>0</v>
      </c>
      <c r="CU17" s="68"/>
      <c r="CV17" s="68"/>
      <c r="CW17" s="71">
        <f t="shared" si="32"/>
        <v>0</v>
      </c>
      <c r="CX17" s="68"/>
      <c r="CY17" s="68"/>
      <c r="CZ17" s="71">
        <f t="shared" si="33"/>
        <v>0</v>
      </c>
      <c r="DA17" s="68"/>
      <c r="DB17" s="68"/>
      <c r="DC17" s="71">
        <f t="shared" si="34"/>
        <v>0</v>
      </c>
      <c r="DD17" s="68"/>
      <c r="DE17" s="68"/>
      <c r="DF17" s="71">
        <f t="shared" si="35"/>
        <v>0</v>
      </c>
      <c r="DG17" s="68"/>
      <c r="DH17" s="68"/>
      <c r="DI17" s="71">
        <f t="shared" si="36"/>
        <v>0</v>
      </c>
      <c r="DJ17" s="68"/>
      <c r="DK17" s="68"/>
      <c r="DL17" s="71">
        <f t="shared" si="37"/>
        <v>0</v>
      </c>
      <c r="DM17" s="68"/>
      <c r="DN17" s="68"/>
      <c r="DO17" s="71">
        <f t="shared" si="38"/>
        <v>0</v>
      </c>
      <c r="DP17" s="68"/>
      <c r="DQ17" s="68"/>
      <c r="DR17" s="71">
        <f t="shared" si="39"/>
        <v>0</v>
      </c>
      <c r="DS17" s="71">
        <f t="shared" si="43"/>
        <v>41000</v>
      </c>
      <c r="DT17" s="71">
        <f t="shared" si="44"/>
        <v>41000</v>
      </c>
      <c r="DU17" s="71">
        <f t="shared" si="45"/>
        <v>0</v>
      </c>
      <c r="DV17" s="80"/>
      <c r="DW17" s="73"/>
      <c r="DX17" s="73"/>
      <c r="DY17" s="80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</row>
    <row r="18" spans="1:141" x14ac:dyDescent="0.25">
      <c r="A18" s="67">
        <f>+BaseloadMarkets!A18</f>
        <v>36690</v>
      </c>
      <c r="B18" s="67" t="str">
        <f>+BaseloadMarkets!B18</f>
        <v>Tues</v>
      </c>
      <c r="C18" s="68"/>
      <c r="D18" s="68"/>
      <c r="E18" s="71">
        <f t="shared" si="0"/>
        <v>0</v>
      </c>
      <c r="F18" s="68"/>
      <c r="G18" s="68"/>
      <c r="H18" s="71">
        <f t="shared" si="1"/>
        <v>0</v>
      </c>
      <c r="I18" s="68"/>
      <c r="J18" s="68"/>
      <c r="K18" s="71">
        <f t="shared" si="2"/>
        <v>0</v>
      </c>
      <c r="L18" s="68">
        <v>30000</v>
      </c>
      <c r="M18" s="68">
        <v>30000</v>
      </c>
      <c r="N18" s="71">
        <f t="shared" si="3"/>
        <v>0</v>
      </c>
      <c r="O18" s="68"/>
      <c r="P18" s="68"/>
      <c r="Q18" s="71">
        <f t="shared" si="4"/>
        <v>0</v>
      </c>
      <c r="R18" s="68"/>
      <c r="S18" s="68"/>
      <c r="T18" s="71">
        <f t="shared" si="5"/>
        <v>0</v>
      </c>
      <c r="U18" s="68"/>
      <c r="V18" s="68"/>
      <c r="W18" s="71">
        <f t="shared" si="6"/>
        <v>0</v>
      </c>
      <c r="X18" s="68">
        <v>20000</v>
      </c>
      <c r="Y18" s="68">
        <v>20000</v>
      </c>
      <c r="Z18" s="71">
        <f t="shared" si="7"/>
        <v>0</v>
      </c>
      <c r="AA18" s="68">
        <v>14000</v>
      </c>
      <c r="AB18" s="68">
        <v>14000</v>
      </c>
      <c r="AC18" s="71">
        <f t="shared" si="8"/>
        <v>0</v>
      </c>
      <c r="AD18" s="68"/>
      <c r="AE18" s="68"/>
      <c r="AF18" s="71">
        <f t="shared" si="9"/>
        <v>0</v>
      </c>
      <c r="AG18" s="68"/>
      <c r="AH18" s="68"/>
      <c r="AI18" s="71">
        <f t="shared" si="10"/>
        <v>0</v>
      </c>
      <c r="AJ18" s="68"/>
      <c r="AK18" s="68"/>
      <c r="AL18" s="71">
        <f t="shared" si="11"/>
        <v>0</v>
      </c>
      <c r="AM18" s="68"/>
      <c r="AN18" s="68"/>
      <c r="AO18" s="71">
        <f t="shared" si="12"/>
        <v>0</v>
      </c>
      <c r="AP18" s="68"/>
      <c r="AQ18" s="68"/>
      <c r="AR18" s="71">
        <f t="shared" si="13"/>
        <v>0</v>
      </c>
      <c r="AS18" s="68"/>
      <c r="AT18" s="68"/>
      <c r="AU18" s="71">
        <f t="shared" si="14"/>
        <v>0</v>
      </c>
      <c r="AV18" s="68"/>
      <c r="AW18" s="68"/>
      <c r="AX18" s="71">
        <f t="shared" si="15"/>
        <v>0</v>
      </c>
      <c r="AY18" s="68"/>
      <c r="AZ18" s="68"/>
      <c r="BA18" s="71">
        <f t="shared" si="16"/>
        <v>0</v>
      </c>
      <c r="BB18" s="68"/>
      <c r="BC18" s="68"/>
      <c r="BD18" s="71">
        <f t="shared" si="17"/>
        <v>0</v>
      </c>
      <c r="BE18" s="68"/>
      <c r="BF18" s="68"/>
      <c r="BG18" s="71">
        <f t="shared" si="18"/>
        <v>0</v>
      </c>
      <c r="BH18" s="68"/>
      <c r="BI18" s="68"/>
      <c r="BJ18" s="71">
        <f t="shared" si="19"/>
        <v>0</v>
      </c>
      <c r="BK18" s="68"/>
      <c r="BL18" s="68"/>
      <c r="BM18" s="71">
        <f t="shared" si="20"/>
        <v>0</v>
      </c>
      <c r="BN18" s="68"/>
      <c r="BO18" s="68"/>
      <c r="BP18" s="71">
        <f t="shared" si="21"/>
        <v>0</v>
      </c>
      <c r="BQ18" s="68"/>
      <c r="BR18" s="68"/>
      <c r="BS18" s="71">
        <f t="shared" si="22"/>
        <v>0</v>
      </c>
      <c r="BT18" s="68"/>
      <c r="BU18" s="68"/>
      <c r="BV18" s="71">
        <f t="shared" si="23"/>
        <v>0</v>
      </c>
      <c r="BW18" s="68"/>
      <c r="BX18" s="68"/>
      <c r="BY18" s="71">
        <f t="shared" si="24"/>
        <v>0</v>
      </c>
      <c r="BZ18" s="68"/>
      <c r="CA18" s="68"/>
      <c r="CB18" s="71">
        <f t="shared" si="25"/>
        <v>0</v>
      </c>
      <c r="CC18" s="68"/>
      <c r="CD18" s="68"/>
      <c r="CE18" s="71">
        <f t="shared" si="26"/>
        <v>0</v>
      </c>
      <c r="CF18" s="68"/>
      <c r="CG18" s="68"/>
      <c r="CH18" s="71">
        <f t="shared" si="27"/>
        <v>0</v>
      </c>
      <c r="CI18" s="68"/>
      <c r="CJ18" s="68"/>
      <c r="CK18" s="71">
        <f t="shared" si="28"/>
        <v>0</v>
      </c>
      <c r="CL18" s="68"/>
      <c r="CM18" s="68"/>
      <c r="CN18" s="71">
        <f t="shared" si="29"/>
        <v>0</v>
      </c>
      <c r="CO18" s="68"/>
      <c r="CP18" s="68"/>
      <c r="CQ18" s="71">
        <f t="shared" si="30"/>
        <v>0</v>
      </c>
      <c r="CR18" s="68"/>
      <c r="CS18" s="68"/>
      <c r="CT18" s="71">
        <f t="shared" si="31"/>
        <v>0</v>
      </c>
      <c r="CU18" s="68"/>
      <c r="CV18" s="68"/>
      <c r="CW18" s="71">
        <f t="shared" si="32"/>
        <v>0</v>
      </c>
      <c r="CX18" s="68"/>
      <c r="CY18" s="68"/>
      <c r="CZ18" s="71">
        <f t="shared" si="33"/>
        <v>0</v>
      </c>
      <c r="DA18" s="68"/>
      <c r="DB18" s="68"/>
      <c r="DC18" s="71">
        <f t="shared" si="34"/>
        <v>0</v>
      </c>
      <c r="DD18" s="68"/>
      <c r="DE18" s="68"/>
      <c r="DF18" s="71">
        <f t="shared" si="35"/>
        <v>0</v>
      </c>
      <c r="DG18" s="68"/>
      <c r="DH18" s="68"/>
      <c r="DI18" s="71">
        <f t="shared" si="36"/>
        <v>0</v>
      </c>
      <c r="DJ18" s="68"/>
      <c r="DK18" s="68"/>
      <c r="DL18" s="71">
        <f t="shared" si="37"/>
        <v>0</v>
      </c>
      <c r="DM18" s="68"/>
      <c r="DN18" s="68"/>
      <c r="DO18" s="71">
        <f t="shared" si="38"/>
        <v>0</v>
      </c>
      <c r="DP18" s="68"/>
      <c r="DQ18" s="68"/>
      <c r="DR18" s="71">
        <f t="shared" si="39"/>
        <v>0</v>
      </c>
      <c r="DS18" s="71">
        <f t="shared" si="43"/>
        <v>64000</v>
      </c>
      <c r="DT18" s="71">
        <f t="shared" si="44"/>
        <v>64000</v>
      </c>
      <c r="DU18" s="71">
        <f t="shared" si="45"/>
        <v>0</v>
      </c>
      <c r="DV18" s="80"/>
      <c r="DW18" s="73"/>
      <c r="DX18" s="73"/>
      <c r="DY18" s="80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</row>
    <row r="19" spans="1:141" x14ac:dyDescent="0.25">
      <c r="A19" s="67">
        <f>+BaseloadMarkets!A19</f>
        <v>36691</v>
      </c>
      <c r="B19" s="67" t="str">
        <f>+BaseloadMarkets!B19</f>
        <v>Wed</v>
      </c>
      <c r="C19" s="68"/>
      <c r="D19" s="68"/>
      <c r="E19" s="71">
        <f t="shared" si="0"/>
        <v>0</v>
      </c>
      <c r="F19" s="68"/>
      <c r="G19" s="68"/>
      <c r="H19" s="71">
        <f t="shared" si="1"/>
        <v>0</v>
      </c>
      <c r="I19" s="68"/>
      <c r="J19" s="68"/>
      <c r="K19" s="71">
        <f t="shared" si="2"/>
        <v>0</v>
      </c>
      <c r="L19" s="68"/>
      <c r="M19" s="68"/>
      <c r="N19" s="71">
        <f t="shared" si="3"/>
        <v>0</v>
      </c>
      <c r="O19" s="68"/>
      <c r="P19" s="68"/>
      <c r="Q19" s="71">
        <f t="shared" si="4"/>
        <v>0</v>
      </c>
      <c r="R19" s="68"/>
      <c r="S19" s="68"/>
      <c r="T19" s="71">
        <f t="shared" si="5"/>
        <v>0</v>
      </c>
      <c r="U19" s="68"/>
      <c r="V19" s="68"/>
      <c r="W19" s="71">
        <f t="shared" si="6"/>
        <v>0</v>
      </c>
      <c r="X19" s="68"/>
      <c r="Y19" s="68"/>
      <c r="Z19" s="71">
        <f t="shared" si="7"/>
        <v>0</v>
      </c>
      <c r="AA19" s="68"/>
      <c r="AB19" s="68"/>
      <c r="AC19" s="71">
        <f t="shared" si="8"/>
        <v>0</v>
      </c>
      <c r="AD19" s="68">
        <v>80000</v>
      </c>
      <c r="AE19" s="68">
        <v>80000</v>
      </c>
      <c r="AF19" s="71">
        <f t="shared" si="9"/>
        <v>0</v>
      </c>
      <c r="AG19" s="68">
        <v>50000</v>
      </c>
      <c r="AH19" s="68">
        <v>50000</v>
      </c>
      <c r="AI19" s="71">
        <f t="shared" si="10"/>
        <v>0</v>
      </c>
      <c r="AJ19" s="68"/>
      <c r="AK19" s="68"/>
      <c r="AL19" s="71">
        <f t="shared" si="11"/>
        <v>0</v>
      </c>
      <c r="AM19" s="68"/>
      <c r="AN19" s="68"/>
      <c r="AO19" s="71">
        <f t="shared" si="12"/>
        <v>0</v>
      </c>
      <c r="AP19" s="68"/>
      <c r="AQ19" s="68"/>
      <c r="AR19" s="71">
        <f t="shared" si="13"/>
        <v>0</v>
      </c>
      <c r="AS19" s="68"/>
      <c r="AT19" s="68"/>
      <c r="AU19" s="71">
        <f t="shared" si="14"/>
        <v>0</v>
      </c>
      <c r="AV19" s="68"/>
      <c r="AW19" s="68"/>
      <c r="AX19" s="71">
        <f t="shared" si="15"/>
        <v>0</v>
      </c>
      <c r="AY19" s="68"/>
      <c r="AZ19" s="68"/>
      <c r="BA19" s="71">
        <f t="shared" si="16"/>
        <v>0</v>
      </c>
      <c r="BB19" s="68"/>
      <c r="BC19" s="68"/>
      <c r="BD19" s="71">
        <f t="shared" si="17"/>
        <v>0</v>
      </c>
      <c r="BE19" s="68"/>
      <c r="BF19" s="68"/>
      <c r="BG19" s="71">
        <f t="shared" si="18"/>
        <v>0</v>
      </c>
      <c r="BH19" s="68"/>
      <c r="BI19" s="68"/>
      <c r="BJ19" s="71">
        <f t="shared" si="19"/>
        <v>0</v>
      </c>
      <c r="BK19" s="68"/>
      <c r="BL19" s="68"/>
      <c r="BM19" s="71">
        <f t="shared" si="20"/>
        <v>0</v>
      </c>
      <c r="BN19" s="68"/>
      <c r="BO19" s="68"/>
      <c r="BP19" s="71">
        <f t="shared" si="21"/>
        <v>0</v>
      </c>
      <c r="BQ19" s="68"/>
      <c r="BR19" s="68"/>
      <c r="BS19" s="71">
        <f t="shared" si="22"/>
        <v>0</v>
      </c>
      <c r="BT19" s="68"/>
      <c r="BU19" s="68"/>
      <c r="BV19" s="71">
        <f t="shared" si="23"/>
        <v>0</v>
      </c>
      <c r="BW19" s="68"/>
      <c r="BX19" s="68"/>
      <c r="BY19" s="71">
        <f t="shared" si="24"/>
        <v>0</v>
      </c>
      <c r="BZ19" s="68"/>
      <c r="CA19" s="68"/>
      <c r="CB19" s="71">
        <f t="shared" si="25"/>
        <v>0</v>
      </c>
      <c r="CC19" s="68"/>
      <c r="CD19" s="68"/>
      <c r="CE19" s="71">
        <f t="shared" si="26"/>
        <v>0</v>
      </c>
      <c r="CF19" s="68"/>
      <c r="CG19" s="68"/>
      <c r="CH19" s="71">
        <f t="shared" si="27"/>
        <v>0</v>
      </c>
      <c r="CI19" s="68"/>
      <c r="CJ19" s="68"/>
      <c r="CK19" s="71">
        <f t="shared" si="28"/>
        <v>0</v>
      </c>
      <c r="CL19" s="68"/>
      <c r="CM19" s="68"/>
      <c r="CN19" s="71">
        <f t="shared" si="29"/>
        <v>0</v>
      </c>
      <c r="CO19" s="68"/>
      <c r="CP19" s="68"/>
      <c r="CQ19" s="71">
        <f t="shared" si="30"/>
        <v>0</v>
      </c>
      <c r="CR19" s="68"/>
      <c r="CS19" s="68"/>
      <c r="CT19" s="71">
        <f t="shared" si="31"/>
        <v>0</v>
      </c>
      <c r="CU19" s="68"/>
      <c r="CV19" s="68"/>
      <c r="CW19" s="71">
        <f t="shared" si="32"/>
        <v>0</v>
      </c>
      <c r="CX19" s="68"/>
      <c r="CY19" s="68"/>
      <c r="CZ19" s="71">
        <f t="shared" si="33"/>
        <v>0</v>
      </c>
      <c r="DA19" s="68"/>
      <c r="DB19" s="68"/>
      <c r="DC19" s="71">
        <f t="shared" si="34"/>
        <v>0</v>
      </c>
      <c r="DD19" s="68"/>
      <c r="DE19" s="68"/>
      <c r="DF19" s="71">
        <f t="shared" si="35"/>
        <v>0</v>
      </c>
      <c r="DG19" s="68"/>
      <c r="DH19" s="68"/>
      <c r="DI19" s="71">
        <f t="shared" si="36"/>
        <v>0</v>
      </c>
      <c r="DJ19" s="68"/>
      <c r="DK19" s="68"/>
      <c r="DL19" s="71">
        <f t="shared" si="37"/>
        <v>0</v>
      </c>
      <c r="DM19" s="68"/>
      <c r="DN19" s="68"/>
      <c r="DO19" s="71">
        <f t="shared" si="38"/>
        <v>0</v>
      </c>
      <c r="DP19" s="68"/>
      <c r="DQ19" s="68"/>
      <c r="DR19" s="71">
        <f t="shared" si="39"/>
        <v>0</v>
      </c>
      <c r="DS19" s="71">
        <f t="shared" si="43"/>
        <v>130000</v>
      </c>
      <c r="DT19" s="71">
        <f t="shared" si="44"/>
        <v>130000</v>
      </c>
      <c r="DU19" s="71">
        <f t="shared" si="45"/>
        <v>0</v>
      </c>
      <c r="DV19" s="80"/>
      <c r="DW19" s="73"/>
      <c r="DX19" s="73"/>
      <c r="DY19" s="80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</row>
    <row r="20" spans="1:141" x14ac:dyDescent="0.25">
      <c r="A20" s="67">
        <f>+BaseloadMarkets!A20</f>
        <v>36692</v>
      </c>
      <c r="B20" s="67" t="str">
        <f>+BaseloadMarkets!B20</f>
        <v>Thu</v>
      </c>
      <c r="C20" s="68"/>
      <c r="D20" s="68"/>
      <c r="E20" s="71">
        <f t="shared" si="0"/>
        <v>0</v>
      </c>
      <c r="F20" s="68"/>
      <c r="G20" s="68"/>
      <c r="H20" s="71">
        <f t="shared" si="1"/>
        <v>0</v>
      </c>
      <c r="I20" s="68"/>
      <c r="J20" s="68"/>
      <c r="K20" s="71">
        <f t="shared" si="2"/>
        <v>0</v>
      </c>
      <c r="L20" s="68"/>
      <c r="M20" s="68"/>
      <c r="N20" s="71">
        <f t="shared" si="3"/>
        <v>0</v>
      </c>
      <c r="O20" s="68"/>
      <c r="P20" s="68"/>
      <c r="Q20" s="71">
        <f t="shared" si="4"/>
        <v>0</v>
      </c>
      <c r="R20" s="68"/>
      <c r="S20" s="68"/>
      <c r="T20" s="71">
        <f t="shared" si="5"/>
        <v>0</v>
      </c>
      <c r="U20" s="68"/>
      <c r="V20" s="68"/>
      <c r="W20" s="71">
        <f t="shared" si="6"/>
        <v>0</v>
      </c>
      <c r="X20" s="68"/>
      <c r="Y20" s="68"/>
      <c r="Z20" s="71">
        <f t="shared" si="7"/>
        <v>0</v>
      </c>
      <c r="AA20" s="68"/>
      <c r="AB20" s="68"/>
      <c r="AC20" s="71">
        <f t="shared" si="8"/>
        <v>0</v>
      </c>
      <c r="AD20" s="68">
        <v>80000</v>
      </c>
      <c r="AE20" s="68">
        <v>80000</v>
      </c>
      <c r="AF20" s="71">
        <f t="shared" si="9"/>
        <v>0</v>
      </c>
      <c r="AG20" s="68">
        <v>50000</v>
      </c>
      <c r="AH20" s="68">
        <v>50000</v>
      </c>
      <c r="AI20" s="71">
        <f t="shared" si="10"/>
        <v>0</v>
      </c>
      <c r="AJ20" s="68"/>
      <c r="AK20" s="68"/>
      <c r="AL20" s="71">
        <f t="shared" si="11"/>
        <v>0</v>
      </c>
      <c r="AM20" s="68"/>
      <c r="AN20" s="68"/>
      <c r="AO20" s="71">
        <f t="shared" si="12"/>
        <v>0</v>
      </c>
      <c r="AP20" s="68"/>
      <c r="AQ20" s="68"/>
      <c r="AR20" s="71">
        <f t="shared" si="13"/>
        <v>0</v>
      </c>
      <c r="AS20" s="68"/>
      <c r="AT20" s="68"/>
      <c r="AU20" s="71">
        <f t="shared" si="14"/>
        <v>0</v>
      </c>
      <c r="AV20" s="68"/>
      <c r="AW20" s="68"/>
      <c r="AX20" s="71">
        <f t="shared" si="15"/>
        <v>0</v>
      </c>
      <c r="AY20" s="68"/>
      <c r="AZ20" s="68"/>
      <c r="BA20" s="71">
        <f t="shared" si="16"/>
        <v>0</v>
      </c>
      <c r="BB20" s="68"/>
      <c r="BC20" s="68"/>
      <c r="BD20" s="71">
        <f t="shared" si="17"/>
        <v>0</v>
      </c>
      <c r="BE20" s="68"/>
      <c r="BF20" s="68"/>
      <c r="BG20" s="71">
        <f t="shared" si="18"/>
        <v>0</v>
      </c>
      <c r="BH20" s="68"/>
      <c r="BI20" s="68"/>
      <c r="BJ20" s="71">
        <f t="shared" si="19"/>
        <v>0</v>
      </c>
      <c r="BK20" s="68"/>
      <c r="BL20" s="68"/>
      <c r="BM20" s="71">
        <f t="shared" si="20"/>
        <v>0</v>
      </c>
      <c r="BN20" s="68"/>
      <c r="BO20" s="68"/>
      <c r="BP20" s="71">
        <f t="shared" si="21"/>
        <v>0</v>
      </c>
      <c r="BQ20" s="68"/>
      <c r="BR20" s="68"/>
      <c r="BS20" s="71">
        <f t="shared" si="22"/>
        <v>0</v>
      </c>
      <c r="BT20" s="68"/>
      <c r="BU20" s="68"/>
      <c r="BV20" s="71">
        <f t="shared" si="23"/>
        <v>0</v>
      </c>
      <c r="BW20" s="68"/>
      <c r="BX20" s="68"/>
      <c r="BY20" s="71">
        <f t="shared" si="24"/>
        <v>0</v>
      </c>
      <c r="BZ20" s="68"/>
      <c r="CA20" s="68"/>
      <c r="CB20" s="71">
        <f t="shared" si="25"/>
        <v>0</v>
      </c>
      <c r="CC20" s="68"/>
      <c r="CD20" s="68"/>
      <c r="CE20" s="71">
        <f t="shared" si="26"/>
        <v>0</v>
      </c>
      <c r="CF20" s="68"/>
      <c r="CG20" s="68"/>
      <c r="CH20" s="71">
        <f t="shared" si="27"/>
        <v>0</v>
      </c>
      <c r="CI20" s="68"/>
      <c r="CJ20" s="68"/>
      <c r="CK20" s="71">
        <f t="shared" si="28"/>
        <v>0</v>
      </c>
      <c r="CL20" s="68"/>
      <c r="CM20" s="68"/>
      <c r="CN20" s="71">
        <f t="shared" si="29"/>
        <v>0</v>
      </c>
      <c r="CO20" s="68"/>
      <c r="CP20" s="68"/>
      <c r="CQ20" s="71">
        <f t="shared" si="30"/>
        <v>0</v>
      </c>
      <c r="CR20" s="68"/>
      <c r="CS20" s="68"/>
      <c r="CT20" s="71">
        <f t="shared" si="31"/>
        <v>0</v>
      </c>
      <c r="CU20" s="68"/>
      <c r="CV20" s="68"/>
      <c r="CW20" s="71">
        <f t="shared" si="32"/>
        <v>0</v>
      </c>
      <c r="CX20" s="68"/>
      <c r="CY20" s="68"/>
      <c r="CZ20" s="71">
        <f t="shared" si="33"/>
        <v>0</v>
      </c>
      <c r="DA20" s="68"/>
      <c r="DB20" s="68"/>
      <c r="DC20" s="71">
        <f t="shared" si="34"/>
        <v>0</v>
      </c>
      <c r="DD20" s="68"/>
      <c r="DE20" s="68"/>
      <c r="DF20" s="71">
        <f t="shared" si="35"/>
        <v>0</v>
      </c>
      <c r="DG20" s="68"/>
      <c r="DH20" s="68"/>
      <c r="DI20" s="71">
        <f t="shared" si="36"/>
        <v>0</v>
      </c>
      <c r="DJ20" s="68"/>
      <c r="DK20" s="68"/>
      <c r="DL20" s="71">
        <f t="shared" si="37"/>
        <v>0</v>
      </c>
      <c r="DM20" s="68"/>
      <c r="DN20" s="68"/>
      <c r="DO20" s="71">
        <f t="shared" si="38"/>
        <v>0</v>
      </c>
      <c r="DP20" s="68"/>
      <c r="DQ20" s="68"/>
      <c r="DR20" s="71">
        <f t="shared" si="39"/>
        <v>0</v>
      </c>
      <c r="DS20" s="71">
        <f t="shared" si="43"/>
        <v>130000</v>
      </c>
      <c r="DT20" s="71">
        <f t="shared" si="44"/>
        <v>130000</v>
      </c>
      <c r="DU20" s="71">
        <f t="shared" si="45"/>
        <v>0</v>
      </c>
      <c r="DV20" s="80"/>
      <c r="DW20" s="73"/>
      <c r="DX20" s="73"/>
      <c r="DY20" s="80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</row>
    <row r="21" spans="1:141" x14ac:dyDescent="0.25">
      <c r="A21" s="67">
        <f>+BaseloadMarkets!A21</f>
        <v>36693</v>
      </c>
      <c r="B21" s="67" t="str">
        <f>+BaseloadMarkets!B21</f>
        <v>Fri</v>
      </c>
      <c r="C21" s="68"/>
      <c r="D21" s="68"/>
      <c r="E21" s="71">
        <f t="shared" si="0"/>
        <v>0</v>
      </c>
      <c r="F21" s="68"/>
      <c r="G21" s="68"/>
      <c r="H21" s="71">
        <f t="shared" si="1"/>
        <v>0</v>
      </c>
      <c r="I21" s="68"/>
      <c r="J21" s="68"/>
      <c r="K21" s="71">
        <f t="shared" si="2"/>
        <v>0</v>
      </c>
      <c r="L21" s="68"/>
      <c r="M21" s="68"/>
      <c r="N21" s="71">
        <f t="shared" si="3"/>
        <v>0</v>
      </c>
      <c r="O21" s="68"/>
      <c r="P21" s="68"/>
      <c r="Q21" s="71">
        <f t="shared" si="4"/>
        <v>0</v>
      </c>
      <c r="R21" s="68"/>
      <c r="S21" s="68"/>
      <c r="T21" s="71">
        <f t="shared" si="5"/>
        <v>0</v>
      </c>
      <c r="U21" s="68"/>
      <c r="V21" s="68"/>
      <c r="W21" s="71">
        <f t="shared" si="6"/>
        <v>0</v>
      </c>
      <c r="X21" s="68"/>
      <c r="Y21" s="68"/>
      <c r="Z21" s="71">
        <f t="shared" si="7"/>
        <v>0</v>
      </c>
      <c r="AA21" s="68"/>
      <c r="AB21" s="68"/>
      <c r="AC21" s="71">
        <f t="shared" si="8"/>
        <v>0</v>
      </c>
      <c r="AD21" s="68">
        <v>80000</v>
      </c>
      <c r="AE21" s="68">
        <v>80000</v>
      </c>
      <c r="AF21" s="71">
        <f t="shared" si="9"/>
        <v>0</v>
      </c>
      <c r="AG21" s="68">
        <v>48137</v>
      </c>
      <c r="AH21" s="68">
        <f>50000-5000+3137</f>
        <v>48137</v>
      </c>
      <c r="AI21" s="71">
        <f t="shared" si="10"/>
        <v>0</v>
      </c>
      <c r="AJ21" s="68"/>
      <c r="AK21" s="68"/>
      <c r="AL21" s="71">
        <f t="shared" si="11"/>
        <v>0</v>
      </c>
      <c r="AM21" s="68"/>
      <c r="AN21" s="68"/>
      <c r="AO21" s="71">
        <f t="shared" si="12"/>
        <v>0</v>
      </c>
      <c r="AP21" s="68"/>
      <c r="AQ21" s="68"/>
      <c r="AR21" s="71">
        <f t="shared" si="13"/>
        <v>0</v>
      </c>
      <c r="AS21" s="68"/>
      <c r="AT21" s="68"/>
      <c r="AU21" s="71">
        <f t="shared" si="14"/>
        <v>0</v>
      </c>
      <c r="AV21" s="68"/>
      <c r="AW21" s="68"/>
      <c r="AX21" s="71">
        <f t="shared" si="15"/>
        <v>0</v>
      </c>
      <c r="AY21" s="68"/>
      <c r="AZ21" s="68"/>
      <c r="BA21" s="71">
        <f t="shared" si="16"/>
        <v>0</v>
      </c>
      <c r="BB21" s="68"/>
      <c r="BC21" s="68"/>
      <c r="BD21" s="71">
        <f t="shared" si="17"/>
        <v>0</v>
      </c>
      <c r="BE21" s="68"/>
      <c r="BF21" s="68"/>
      <c r="BG21" s="71">
        <f t="shared" si="18"/>
        <v>0</v>
      </c>
      <c r="BH21" s="68"/>
      <c r="BI21" s="68"/>
      <c r="BJ21" s="71">
        <f t="shared" si="19"/>
        <v>0</v>
      </c>
      <c r="BK21" s="68"/>
      <c r="BL21" s="68"/>
      <c r="BM21" s="71">
        <f t="shared" si="20"/>
        <v>0</v>
      </c>
      <c r="BN21" s="68"/>
      <c r="BO21" s="68"/>
      <c r="BP21" s="71">
        <f t="shared" si="21"/>
        <v>0</v>
      </c>
      <c r="BQ21" s="68"/>
      <c r="BR21" s="68"/>
      <c r="BS21" s="71">
        <f t="shared" si="22"/>
        <v>0</v>
      </c>
      <c r="BT21" s="68"/>
      <c r="BU21" s="68"/>
      <c r="BV21" s="71">
        <f t="shared" si="23"/>
        <v>0</v>
      </c>
      <c r="BW21" s="68"/>
      <c r="BX21" s="68"/>
      <c r="BY21" s="71">
        <f t="shared" si="24"/>
        <v>0</v>
      </c>
      <c r="BZ21" s="68"/>
      <c r="CA21" s="68"/>
      <c r="CB21" s="71">
        <f t="shared" si="25"/>
        <v>0</v>
      </c>
      <c r="CC21" s="68"/>
      <c r="CD21" s="68"/>
      <c r="CE21" s="71">
        <f t="shared" si="26"/>
        <v>0</v>
      </c>
      <c r="CF21" s="68"/>
      <c r="CG21" s="68"/>
      <c r="CH21" s="71">
        <f t="shared" si="27"/>
        <v>0</v>
      </c>
      <c r="CI21" s="68"/>
      <c r="CJ21" s="68"/>
      <c r="CK21" s="71">
        <f t="shared" si="28"/>
        <v>0</v>
      </c>
      <c r="CL21" s="68"/>
      <c r="CM21" s="68"/>
      <c r="CN21" s="71">
        <f t="shared" si="29"/>
        <v>0</v>
      </c>
      <c r="CO21" s="68"/>
      <c r="CP21" s="68"/>
      <c r="CQ21" s="71">
        <f t="shared" si="30"/>
        <v>0</v>
      </c>
      <c r="CR21" s="68"/>
      <c r="CS21" s="68"/>
      <c r="CT21" s="71">
        <f t="shared" si="31"/>
        <v>0</v>
      </c>
      <c r="CU21" s="68"/>
      <c r="CV21" s="68"/>
      <c r="CW21" s="71">
        <f t="shared" si="32"/>
        <v>0</v>
      </c>
      <c r="CX21" s="68"/>
      <c r="CY21" s="68"/>
      <c r="CZ21" s="71">
        <f t="shared" si="33"/>
        <v>0</v>
      </c>
      <c r="DA21" s="68"/>
      <c r="DB21" s="68"/>
      <c r="DC21" s="71">
        <f t="shared" si="34"/>
        <v>0</v>
      </c>
      <c r="DD21" s="68"/>
      <c r="DE21" s="68"/>
      <c r="DF21" s="71">
        <f t="shared" si="35"/>
        <v>0</v>
      </c>
      <c r="DG21" s="68"/>
      <c r="DH21" s="68"/>
      <c r="DI21" s="71">
        <f t="shared" si="36"/>
        <v>0</v>
      </c>
      <c r="DJ21" s="68"/>
      <c r="DK21" s="68"/>
      <c r="DL21" s="71">
        <f t="shared" si="37"/>
        <v>0</v>
      </c>
      <c r="DM21" s="68"/>
      <c r="DN21" s="68"/>
      <c r="DO21" s="71">
        <f t="shared" si="38"/>
        <v>0</v>
      </c>
      <c r="DP21" s="68"/>
      <c r="DQ21" s="68"/>
      <c r="DR21" s="71">
        <f t="shared" si="39"/>
        <v>0</v>
      </c>
      <c r="DS21" s="71">
        <f t="shared" si="43"/>
        <v>128137</v>
      </c>
      <c r="DT21" s="71">
        <f t="shared" si="44"/>
        <v>128137</v>
      </c>
      <c r="DU21" s="71">
        <f t="shared" si="45"/>
        <v>0</v>
      </c>
      <c r="DV21" s="80"/>
      <c r="DW21" s="73"/>
      <c r="DX21" s="73"/>
      <c r="DY21" s="80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</row>
    <row r="22" spans="1:141" x14ac:dyDescent="0.25">
      <c r="A22" s="67">
        <f>+BaseloadMarkets!A22</f>
        <v>36694</v>
      </c>
      <c r="B22" s="67" t="str">
        <f>+BaseloadMarkets!B22</f>
        <v>Sat</v>
      </c>
      <c r="C22" s="68"/>
      <c r="D22" s="68"/>
      <c r="E22" s="71">
        <f t="shared" si="0"/>
        <v>0</v>
      </c>
      <c r="F22" s="68"/>
      <c r="G22" s="68"/>
      <c r="H22" s="71">
        <f t="shared" si="1"/>
        <v>0</v>
      </c>
      <c r="I22" s="68"/>
      <c r="J22" s="68"/>
      <c r="K22" s="71">
        <f t="shared" si="2"/>
        <v>0</v>
      </c>
      <c r="L22" s="68"/>
      <c r="M22" s="68"/>
      <c r="N22" s="71">
        <f t="shared" si="3"/>
        <v>0</v>
      </c>
      <c r="O22" s="68"/>
      <c r="P22" s="68"/>
      <c r="Q22" s="71">
        <f t="shared" si="4"/>
        <v>0</v>
      </c>
      <c r="R22" s="68"/>
      <c r="S22" s="68"/>
      <c r="T22" s="71">
        <f t="shared" si="5"/>
        <v>0</v>
      </c>
      <c r="U22" s="68"/>
      <c r="V22" s="68"/>
      <c r="W22" s="71">
        <f t="shared" si="6"/>
        <v>0</v>
      </c>
      <c r="X22" s="68"/>
      <c r="Y22" s="68"/>
      <c r="Z22" s="71">
        <f t="shared" si="7"/>
        <v>0</v>
      </c>
      <c r="AA22" s="68"/>
      <c r="AB22" s="68"/>
      <c r="AC22" s="71">
        <f t="shared" si="8"/>
        <v>0</v>
      </c>
      <c r="AD22" s="68">
        <v>42000</v>
      </c>
      <c r="AE22" s="68">
        <v>42000</v>
      </c>
      <c r="AF22" s="71">
        <f t="shared" si="9"/>
        <v>0</v>
      </c>
      <c r="AG22" s="68">
        <v>50000</v>
      </c>
      <c r="AH22" s="68">
        <v>49314</v>
      </c>
      <c r="AI22" s="71">
        <f t="shared" si="10"/>
        <v>-686</v>
      </c>
      <c r="AJ22" s="68">
        <v>10000</v>
      </c>
      <c r="AK22" s="68">
        <v>10000</v>
      </c>
      <c r="AL22" s="71">
        <f t="shared" si="11"/>
        <v>0</v>
      </c>
      <c r="AM22" s="68">
        <v>40000</v>
      </c>
      <c r="AN22" s="68">
        <v>40000</v>
      </c>
      <c r="AO22" s="71">
        <f t="shared" si="12"/>
        <v>0</v>
      </c>
      <c r="AP22" s="68"/>
      <c r="AQ22" s="68"/>
      <c r="AR22" s="71">
        <f t="shared" si="13"/>
        <v>0</v>
      </c>
      <c r="AS22" s="68"/>
      <c r="AT22" s="68"/>
      <c r="AU22" s="71">
        <f t="shared" si="14"/>
        <v>0</v>
      </c>
      <c r="AV22" s="68"/>
      <c r="AW22" s="68"/>
      <c r="AX22" s="71">
        <f t="shared" si="15"/>
        <v>0</v>
      </c>
      <c r="AY22" s="68"/>
      <c r="AZ22" s="68"/>
      <c r="BA22" s="71">
        <f t="shared" si="16"/>
        <v>0</v>
      </c>
      <c r="BB22" s="68"/>
      <c r="BC22" s="68"/>
      <c r="BD22" s="71">
        <f t="shared" si="17"/>
        <v>0</v>
      </c>
      <c r="BE22" s="68"/>
      <c r="BF22" s="68"/>
      <c r="BG22" s="71">
        <f t="shared" si="18"/>
        <v>0</v>
      </c>
      <c r="BH22" s="68"/>
      <c r="BI22" s="68"/>
      <c r="BJ22" s="71">
        <f t="shared" si="19"/>
        <v>0</v>
      </c>
      <c r="BK22" s="68"/>
      <c r="BL22" s="68"/>
      <c r="BM22" s="71">
        <f t="shared" si="20"/>
        <v>0</v>
      </c>
      <c r="BN22" s="68"/>
      <c r="BO22" s="68"/>
      <c r="BP22" s="71">
        <f t="shared" si="21"/>
        <v>0</v>
      </c>
      <c r="BQ22" s="68"/>
      <c r="BR22" s="68"/>
      <c r="BS22" s="71">
        <f t="shared" si="22"/>
        <v>0</v>
      </c>
      <c r="BT22" s="68"/>
      <c r="BU22" s="68"/>
      <c r="BV22" s="71">
        <f t="shared" si="23"/>
        <v>0</v>
      </c>
      <c r="BW22" s="68"/>
      <c r="BX22" s="68"/>
      <c r="BY22" s="71">
        <f t="shared" si="24"/>
        <v>0</v>
      </c>
      <c r="BZ22" s="68"/>
      <c r="CA22" s="68"/>
      <c r="CB22" s="71">
        <f t="shared" si="25"/>
        <v>0</v>
      </c>
      <c r="CC22" s="68"/>
      <c r="CD22" s="68"/>
      <c r="CE22" s="71">
        <f t="shared" si="26"/>
        <v>0</v>
      </c>
      <c r="CF22" s="68"/>
      <c r="CG22" s="68"/>
      <c r="CH22" s="71">
        <f t="shared" si="27"/>
        <v>0</v>
      </c>
      <c r="CI22" s="68"/>
      <c r="CJ22" s="68"/>
      <c r="CK22" s="71">
        <f t="shared" si="28"/>
        <v>0</v>
      </c>
      <c r="CL22" s="68"/>
      <c r="CM22" s="68"/>
      <c r="CN22" s="71">
        <f t="shared" si="29"/>
        <v>0</v>
      </c>
      <c r="CO22" s="68"/>
      <c r="CP22" s="68"/>
      <c r="CQ22" s="71">
        <f t="shared" si="30"/>
        <v>0</v>
      </c>
      <c r="CR22" s="68"/>
      <c r="CS22" s="68"/>
      <c r="CT22" s="71">
        <f t="shared" si="31"/>
        <v>0</v>
      </c>
      <c r="CU22" s="68"/>
      <c r="CV22" s="68"/>
      <c r="CW22" s="71">
        <f t="shared" si="32"/>
        <v>0</v>
      </c>
      <c r="CX22" s="68"/>
      <c r="CY22" s="68"/>
      <c r="CZ22" s="71">
        <f t="shared" si="33"/>
        <v>0</v>
      </c>
      <c r="DA22" s="68"/>
      <c r="DB22" s="68"/>
      <c r="DC22" s="71">
        <f t="shared" si="34"/>
        <v>0</v>
      </c>
      <c r="DD22" s="68"/>
      <c r="DE22" s="68"/>
      <c r="DF22" s="71">
        <f t="shared" si="35"/>
        <v>0</v>
      </c>
      <c r="DG22" s="68"/>
      <c r="DH22" s="68"/>
      <c r="DI22" s="71">
        <f t="shared" si="36"/>
        <v>0</v>
      </c>
      <c r="DJ22" s="68"/>
      <c r="DK22" s="68"/>
      <c r="DL22" s="71">
        <f t="shared" si="37"/>
        <v>0</v>
      </c>
      <c r="DM22" s="68"/>
      <c r="DN22" s="68"/>
      <c r="DO22" s="71">
        <f t="shared" si="38"/>
        <v>0</v>
      </c>
      <c r="DP22" s="68"/>
      <c r="DQ22" s="68"/>
      <c r="DR22" s="71">
        <f t="shared" si="39"/>
        <v>0</v>
      </c>
      <c r="DS22" s="71">
        <f t="shared" si="43"/>
        <v>142000</v>
      </c>
      <c r="DT22" s="71">
        <f t="shared" si="44"/>
        <v>141314</v>
      </c>
      <c r="DU22" s="71">
        <f t="shared" si="45"/>
        <v>-686</v>
      </c>
      <c r="DV22" s="80"/>
      <c r="DW22" s="73"/>
      <c r="DX22" s="73"/>
      <c r="DY22" s="80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</row>
    <row r="23" spans="1:141" x14ac:dyDescent="0.25">
      <c r="A23" s="67">
        <f>+BaseloadMarkets!A23</f>
        <v>36695</v>
      </c>
      <c r="B23" s="67" t="str">
        <f>+BaseloadMarkets!B23</f>
        <v>Sun</v>
      </c>
      <c r="C23" s="68"/>
      <c r="D23" s="68"/>
      <c r="E23" s="71">
        <f t="shared" si="0"/>
        <v>0</v>
      </c>
      <c r="F23" s="68"/>
      <c r="G23" s="68"/>
      <c r="H23" s="71">
        <f t="shared" si="1"/>
        <v>0</v>
      </c>
      <c r="I23" s="68"/>
      <c r="J23" s="68"/>
      <c r="K23" s="71">
        <f t="shared" si="2"/>
        <v>0</v>
      </c>
      <c r="L23" s="68"/>
      <c r="M23" s="68"/>
      <c r="N23" s="71">
        <f t="shared" si="3"/>
        <v>0</v>
      </c>
      <c r="O23" s="68"/>
      <c r="P23" s="68"/>
      <c r="Q23" s="71">
        <f t="shared" si="4"/>
        <v>0</v>
      </c>
      <c r="R23" s="68"/>
      <c r="S23" s="68"/>
      <c r="T23" s="71">
        <f t="shared" si="5"/>
        <v>0</v>
      </c>
      <c r="U23" s="68"/>
      <c r="V23" s="68"/>
      <c r="W23" s="71">
        <f t="shared" si="6"/>
        <v>0</v>
      </c>
      <c r="X23" s="68"/>
      <c r="Y23" s="68"/>
      <c r="Z23" s="71">
        <f t="shared" si="7"/>
        <v>0</v>
      </c>
      <c r="AA23" s="68"/>
      <c r="AB23" s="68"/>
      <c r="AC23" s="71">
        <f t="shared" si="8"/>
        <v>0</v>
      </c>
      <c r="AD23" s="68">
        <v>42000</v>
      </c>
      <c r="AE23" s="68">
        <v>42000</v>
      </c>
      <c r="AF23" s="71">
        <f t="shared" si="9"/>
        <v>0</v>
      </c>
      <c r="AG23" s="68">
        <v>50000</v>
      </c>
      <c r="AH23" s="68">
        <f>50000-10000+8323</f>
        <v>48323</v>
      </c>
      <c r="AI23" s="71">
        <f t="shared" si="10"/>
        <v>-1677</v>
      </c>
      <c r="AJ23" s="68">
        <v>10000</v>
      </c>
      <c r="AK23" s="68">
        <v>10000</v>
      </c>
      <c r="AL23" s="71">
        <f t="shared" si="11"/>
        <v>0</v>
      </c>
      <c r="AM23" s="68">
        <v>40000</v>
      </c>
      <c r="AN23" s="68">
        <v>40000</v>
      </c>
      <c r="AO23" s="71">
        <f t="shared" si="12"/>
        <v>0</v>
      </c>
      <c r="AP23" s="68"/>
      <c r="AQ23" s="68"/>
      <c r="AR23" s="71">
        <f t="shared" si="13"/>
        <v>0</v>
      </c>
      <c r="AS23" s="68"/>
      <c r="AT23" s="68"/>
      <c r="AU23" s="71">
        <f t="shared" si="14"/>
        <v>0</v>
      </c>
      <c r="AV23" s="68"/>
      <c r="AW23" s="68"/>
      <c r="AX23" s="71">
        <f t="shared" si="15"/>
        <v>0</v>
      </c>
      <c r="AY23" s="68"/>
      <c r="AZ23" s="68"/>
      <c r="BA23" s="71">
        <f t="shared" si="16"/>
        <v>0</v>
      </c>
      <c r="BB23" s="68"/>
      <c r="BC23" s="68"/>
      <c r="BD23" s="71">
        <f t="shared" si="17"/>
        <v>0</v>
      </c>
      <c r="BE23" s="68"/>
      <c r="BF23" s="68"/>
      <c r="BG23" s="71">
        <f t="shared" si="18"/>
        <v>0</v>
      </c>
      <c r="BH23" s="68"/>
      <c r="BI23" s="68"/>
      <c r="BJ23" s="71">
        <f t="shared" si="19"/>
        <v>0</v>
      </c>
      <c r="BK23" s="68"/>
      <c r="BL23" s="68"/>
      <c r="BM23" s="71">
        <f t="shared" si="20"/>
        <v>0</v>
      </c>
      <c r="BN23" s="68"/>
      <c r="BO23" s="68"/>
      <c r="BP23" s="71">
        <f t="shared" si="21"/>
        <v>0</v>
      </c>
      <c r="BQ23" s="68"/>
      <c r="BR23" s="68"/>
      <c r="BS23" s="71">
        <f t="shared" si="22"/>
        <v>0</v>
      </c>
      <c r="BT23" s="68"/>
      <c r="BU23" s="68"/>
      <c r="BV23" s="71">
        <f t="shared" si="23"/>
        <v>0</v>
      </c>
      <c r="BW23" s="68"/>
      <c r="BX23" s="68"/>
      <c r="BY23" s="71">
        <f t="shared" si="24"/>
        <v>0</v>
      </c>
      <c r="BZ23" s="68"/>
      <c r="CA23" s="68"/>
      <c r="CB23" s="71">
        <f t="shared" si="25"/>
        <v>0</v>
      </c>
      <c r="CC23" s="68"/>
      <c r="CD23" s="68"/>
      <c r="CE23" s="71">
        <f t="shared" si="26"/>
        <v>0</v>
      </c>
      <c r="CF23" s="68"/>
      <c r="CG23" s="68"/>
      <c r="CH23" s="71">
        <f t="shared" si="27"/>
        <v>0</v>
      </c>
      <c r="CI23" s="68"/>
      <c r="CJ23" s="68"/>
      <c r="CK23" s="71">
        <f t="shared" si="28"/>
        <v>0</v>
      </c>
      <c r="CL23" s="68"/>
      <c r="CM23" s="68"/>
      <c r="CN23" s="71">
        <f t="shared" si="29"/>
        <v>0</v>
      </c>
      <c r="CO23" s="68"/>
      <c r="CP23" s="68"/>
      <c r="CQ23" s="71">
        <f t="shared" si="30"/>
        <v>0</v>
      </c>
      <c r="CR23" s="68"/>
      <c r="CS23" s="68"/>
      <c r="CT23" s="71">
        <f t="shared" si="31"/>
        <v>0</v>
      </c>
      <c r="CU23" s="68"/>
      <c r="CV23" s="68"/>
      <c r="CW23" s="71">
        <f t="shared" si="32"/>
        <v>0</v>
      </c>
      <c r="CX23" s="68"/>
      <c r="CY23" s="68"/>
      <c r="CZ23" s="71">
        <f t="shared" si="33"/>
        <v>0</v>
      </c>
      <c r="DA23" s="68"/>
      <c r="DB23" s="68"/>
      <c r="DC23" s="71">
        <f t="shared" si="34"/>
        <v>0</v>
      </c>
      <c r="DD23" s="68"/>
      <c r="DE23" s="68"/>
      <c r="DF23" s="71">
        <f t="shared" si="35"/>
        <v>0</v>
      </c>
      <c r="DG23" s="68"/>
      <c r="DH23" s="68"/>
      <c r="DI23" s="71">
        <f t="shared" si="36"/>
        <v>0</v>
      </c>
      <c r="DJ23" s="68"/>
      <c r="DK23" s="68"/>
      <c r="DL23" s="71">
        <f t="shared" si="37"/>
        <v>0</v>
      </c>
      <c r="DM23" s="68"/>
      <c r="DN23" s="68"/>
      <c r="DO23" s="71">
        <f t="shared" si="38"/>
        <v>0</v>
      </c>
      <c r="DP23" s="68"/>
      <c r="DQ23" s="68"/>
      <c r="DR23" s="71">
        <f t="shared" si="39"/>
        <v>0</v>
      </c>
      <c r="DS23" s="71">
        <f t="shared" si="43"/>
        <v>142000</v>
      </c>
      <c r="DT23" s="71">
        <f t="shared" si="44"/>
        <v>140323</v>
      </c>
      <c r="DU23" s="71">
        <f t="shared" si="45"/>
        <v>-1677</v>
      </c>
      <c r="DV23" s="80"/>
      <c r="DW23" s="73"/>
      <c r="DX23" s="73"/>
      <c r="DY23" s="80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</row>
    <row r="24" spans="1:141" x14ac:dyDescent="0.25">
      <c r="A24" s="67">
        <f>+BaseloadMarkets!A24</f>
        <v>36696</v>
      </c>
      <c r="B24" s="67" t="str">
        <f>+BaseloadMarkets!B24</f>
        <v>Mon</v>
      </c>
      <c r="C24" s="68"/>
      <c r="D24" s="68"/>
      <c r="E24" s="71">
        <f t="shared" si="0"/>
        <v>0</v>
      </c>
      <c r="F24" s="68"/>
      <c r="G24" s="68"/>
      <c r="H24" s="71">
        <f t="shared" si="1"/>
        <v>0</v>
      </c>
      <c r="I24" s="68"/>
      <c r="J24" s="68"/>
      <c r="K24" s="71">
        <f t="shared" si="2"/>
        <v>0</v>
      </c>
      <c r="L24" s="68"/>
      <c r="M24" s="68"/>
      <c r="N24" s="71">
        <f t="shared" si="3"/>
        <v>0</v>
      </c>
      <c r="O24" s="68"/>
      <c r="P24" s="68"/>
      <c r="Q24" s="71">
        <f t="shared" si="4"/>
        <v>0</v>
      </c>
      <c r="R24" s="68"/>
      <c r="S24" s="68"/>
      <c r="T24" s="71">
        <f t="shared" si="5"/>
        <v>0</v>
      </c>
      <c r="U24" s="68"/>
      <c r="V24" s="68"/>
      <c r="W24" s="71">
        <f t="shared" si="6"/>
        <v>0</v>
      </c>
      <c r="X24" s="68"/>
      <c r="Y24" s="68"/>
      <c r="Z24" s="71">
        <f t="shared" si="7"/>
        <v>0</v>
      </c>
      <c r="AA24" s="68"/>
      <c r="AB24" s="68"/>
      <c r="AC24" s="71">
        <f t="shared" si="8"/>
        <v>0</v>
      </c>
      <c r="AD24" s="68">
        <v>42000</v>
      </c>
      <c r="AE24" s="68">
        <v>42000</v>
      </c>
      <c r="AF24" s="71">
        <f t="shared" si="9"/>
        <v>0</v>
      </c>
      <c r="AG24" s="68">
        <v>50000</v>
      </c>
      <c r="AH24" s="68">
        <f>50000-10000+8185</f>
        <v>48185</v>
      </c>
      <c r="AI24" s="71">
        <f t="shared" si="10"/>
        <v>-1815</v>
      </c>
      <c r="AJ24" s="68">
        <v>10000</v>
      </c>
      <c r="AK24" s="68">
        <v>10000</v>
      </c>
      <c r="AL24" s="71">
        <f t="shared" si="11"/>
        <v>0</v>
      </c>
      <c r="AM24" s="68">
        <v>40000</v>
      </c>
      <c r="AN24" s="68">
        <v>40000</v>
      </c>
      <c r="AO24" s="71">
        <f t="shared" si="12"/>
        <v>0</v>
      </c>
      <c r="AP24" s="68"/>
      <c r="AQ24" s="68"/>
      <c r="AR24" s="71">
        <f t="shared" si="13"/>
        <v>0</v>
      </c>
      <c r="AS24" s="68"/>
      <c r="AT24" s="68"/>
      <c r="AU24" s="71">
        <f t="shared" si="14"/>
        <v>0</v>
      </c>
      <c r="AV24" s="68"/>
      <c r="AW24" s="68"/>
      <c r="AX24" s="71">
        <f t="shared" si="15"/>
        <v>0</v>
      </c>
      <c r="AY24" s="68"/>
      <c r="AZ24" s="68"/>
      <c r="BA24" s="71">
        <f t="shared" si="16"/>
        <v>0</v>
      </c>
      <c r="BB24" s="68"/>
      <c r="BC24" s="68"/>
      <c r="BD24" s="71">
        <f t="shared" si="17"/>
        <v>0</v>
      </c>
      <c r="BE24" s="68"/>
      <c r="BF24" s="68"/>
      <c r="BG24" s="71">
        <f t="shared" si="18"/>
        <v>0</v>
      </c>
      <c r="BH24" s="68"/>
      <c r="BI24" s="68"/>
      <c r="BJ24" s="71">
        <f t="shared" si="19"/>
        <v>0</v>
      </c>
      <c r="BK24" s="68"/>
      <c r="BL24" s="68"/>
      <c r="BM24" s="71">
        <f t="shared" si="20"/>
        <v>0</v>
      </c>
      <c r="BN24" s="68"/>
      <c r="BO24" s="68"/>
      <c r="BP24" s="71">
        <f t="shared" si="21"/>
        <v>0</v>
      </c>
      <c r="BQ24" s="68"/>
      <c r="BR24" s="68"/>
      <c r="BS24" s="71">
        <f t="shared" si="22"/>
        <v>0</v>
      </c>
      <c r="BT24" s="68"/>
      <c r="BU24" s="68"/>
      <c r="BV24" s="71">
        <f t="shared" si="23"/>
        <v>0</v>
      </c>
      <c r="BW24" s="68"/>
      <c r="BX24" s="68"/>
      <c r="BY24" s="71">
        <f t="shared" si="24"/>
        <v>0</v>
      </c>
      <c r="BZ24" s="68"/>
      <c r="CA24" s="68"/>
      <c r="CB24" s="71">
        <f t="shared" si="25"/>
        <v>0</v>
      </c>
      <c r="CC24" s="68"/>
      <c r="CD24" s="68"/>
      <c r="CE24" s="71">
        <f t="shared" si="26"/>
        <v>0</v>
      </c>
      <c r="CF24" s="68"/>
      <c r="CG24" s="68"/>
      <c r="CH24" s="71">
        <f t="shared" si="27"/>
        <v>0</v>
      </c>
      <c r="CI24" s="68"/>
      <c r="CJ24" s="68"/>
      <c r="CK24" s="71">
        <f t="shared" si="28"/>
        <v>0</v>
      </c>
      <c r="CL24" s="68"/>
      <c r="CM24" s="68"/>
      <c r="CN24" s="71">
        <f t="shared" si="29"/>
        <v>0</v>
      </c>
      <c r="CO24" s="68"/>
      <c r="CP24" s="68"/>
      <c r="CQ24" s="71">
        <f t="shared" si="30"/>
        <v>0</v>
      </c>
      <c r="CR24" s="68"/>
      <c r="CS24" s="68"/>
      <c r="CT24" s="71">
        <f t="shared" si="31"/>
        <v>0</v>
      </c>
      <c r="CU24" s="68"/>
      <c r="CV24" s="68"/>
      <c r="CW24" s="71">
        <f t="shared" si="32"/>
        <v>0</v>
      </c>
      <c r="CX24" s="68"/>
      <c r="CY24" s="68"/>
      <c r="CZ24" s="71">
        <f t="shared" si="33"/>
        <v>0</v>
      </c>
      <c r="DA24" s="68"/>
      <c r="DB24" s="68"/>
      <c r="DC24" s="71">
        <f t="shared" si="34"/>
        <v>0</v>
      </c>
      <c r="DD24" s="68"/>
      <c r="DE24" s="68"/>
      <c r="DF24" s="71">
        <f t="shared" si="35"/>
        <v>0</v>
      </c>
      <c r="DG24" s="68"/>
      <c r="DH24" s="68"/>
      <c r="DI24" s="71">
        <f t="shared" si="36"/>
        <v>0</v>
      </c>
      <c r="DJ24" s="68"/>
      <c r="DK24" s="68"/>
      <c r="DL24" s="71">
        <f t="shared" si="37"/>
        <v>0</v>
      </c>
      <c r="DM24" s="68"/>
      <c r="DN24" s="68"/>
      <c r="DO24" s="71">
        <f t="shared" si="38"/>
        <v>0</v>
      </c>
      <c r="DP24" s="68"/>
      <c r="DQ24" s="68"/>
      <c r="DR24" s="71">
        <f t="shared" si="39"/>
        <v>0</v>
      </c>
      <c r="DS24" s="71">
        <f t="shared" si="43"/>
        <v>142000</v>
      </c>
      <c r="DT24" s="71">
        <f t="shared" si="44"/>
        <v>140185</v>
      </c>
      <c r="DU24" s="71">
        <f t="shared" si="45"/>
        <v>-1815</v>
      </c>
      <c r="DV24" s="80"/>
      <c r="DW24" s="73"/>
      <c r="DX24" s="73"/>
      <c r="DY24" s="80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</row>
    <row r="25" spans="1:141" x14ac:dyDescent="0.25">
      <c r="A25" s="67">
        <f>+BaseloadMarkets!A25</f>
        <v>36697</v>
      </c>
      <c r="B25" s="67" t="str">
        <f>+BaseloadMarkets!B25</f>
        <v>Tues</v>
      </c>
      <c r="C25" s="68"/>
      <c r="D25" s="68"/>
      <c r="E25" s="71">
        <f t="shared" si="0"/>
        <v>0</v>
      </c>
      <c r="F25" s="68"/>
      <c r="G25" s="68"/>
      <c r="H25" s="71">
        <f t="shared" si="1"/>
        <v>0</v>
      </c>
      <c r="I25" s="68"/>
      <c r="J25" s="68"/>
      <c r="K25" s="71">
        <f t="shared" si="2"/>
        <v>0</v>
      </c>
      <c r="L25" s="68"/>
      <c r="M25" s="68"/>
      <c r="N25" s="71">
        <f t="shared" si="3"/>
        <v>0</v>
      </c>
      <c r="O25" s="68"/>
      <c r="P25" s="68"/>
      <c r="Q25" s="71">
        <f t="shared" si="4"/>
        <v>0</v>
      </c>
      <c r="R25" s="68"/>
      <c r="S25" s="68"/>
      <c r="T25" s="71">
        <f t="shared" si="5"/>
        <v>0</v>
      </c>
      <c r="U25" s="68"/>
      <c r="V25" s="68"/>
      <c r="W25" s="71">
        <f t="shared" si="6"/>
        <v>0</v>
      </c>
      <c r="X25" s="68"/>
      <c r="Y25" s="68"/>
      <c r="Z25" s="71">
        <f t="shared" si="7"/>
        <v>0</v>
      </c>
      <c r="AA25" s="68"/>
      <c r="AB25" s="68"/>
      <c r="AC25" s="71">
        <f t="shared" si="8"/>
        <v>0</v>
      </c>
      <c r="AD25" s="68">
        <v>80000</v>
      </c>
      <c r="AE25" s="68">
        <v>80000</v>
      </c>
      <c r="AF25" s="71">
        <f t="shared" si="9"/>
        <v>0</v>
      </c>
      <c r="AG25" s="68"/>
      <c r="AH25" s="68"/>
      <c r="AI25" s="71">
        <f t="shared" si="10"/>
        <v>0</v>
      </c>
      <c r="AJ25" s="68"/>
      <c r="AK25" s="68"/>
      <c r="AL25" s="71">
        <f t="shared" si="11"/>
        <v>0</v>
      </c>
      <c r="AM25" s="68">
        <v>50000</v>
      </c>
      <c r="AN25" s="68">
        <f>50000-10000+3500+4954</f>
        <v>48454</v>
      </c>
      <c r="AO25" s="71">
        <f t="shared" si="12"/>
        <v>-1546</v>
      </c>
      <c r="AP25" s="68"/>
      <c r="AQ25" s="68"/>
      <c r="AR25" s="71">
        <f t="shared" si="13"/>
        <v>0</v>
      </c>
      <c r="AS25" s="68"/>
      <c r="AT25" s="68"/>
      <c r="AU25" s="71">
        <f t="shared" si="14"/>
        <v>0</v>
      </c>
      <c r="AV25" s="68"/>
      <c r="AW25" s="68"/>
      <c r="AX25" s="71">
        <f t="shared" si="15"/>
        <v>0</v>
      </c>
      <c r="AY25" s="68"/>
      <c r="AZ25" s="68"/>
      <c r="BA25" s="71">
        <f t="shared" si="16"/>
        <v>0</v>
      </c>
      <c r="BB25" s="68"/>
      <c r="BC25" s="68"/>
      <c r="BD25" s="71">
        <f t="shared" si="17"/>
        <v>0</v>
      </c>
      <c r="BE25" s="68"/>
      <c r="BF25" s="68"/>
      <c r="BG25" s="71">
        <f t="shared" si="18"/>
        <v>0</v>
      </c>
      <c r="BH25" s="68"/>
      <c r="BI25" s="68"/>
      <c r="BJ25" s="71">
        <f t="shared" si="19"/>
        <v>0</v>
      </c>
      <c r="BK25" s="68"/>
      <c r="BL25" s="68"/>
      <c r="BM25" s="71">
        <f t="shared" si="20"/>
        <v>0</v>
      </c>
      <c r="BN25" s="68"/>
      <c r="BO25" s="68"/>
      <c r="BP25" s="71">
        <f t="shared" si="21"/>
        <v>0</v>
      </c>
      <c r="BQ25" s="68"/>
      <c r="BR25" s="68"/>
      <c r="BS25" s="71">
        <f t="shared" si="22"/>
        <v>0</v>
      </c>
      <c r="BT25" s="68"/>
      <c r="BU25" s="68"/>
      <c r="BV25" s="71">
        <f t="shared" si="23"/>
        <v>0</v>
      </c>
      <c r="BW25" s="68"/>
      <c r="BX25" s="68"/>
      <c r="BY25" s="71">
        <f t="shared" si="24"/>
        <v>0</v>
      </c>
      <c r="BZ25" s="68"/>
      <c r="CA25" s="68"/>
      <c r="CB25" s="71">
        <f t="shared" si="25"/>
        <v>0</v>
      </c>
      <c r="CC25" s="68"/>
      <c r="CD25" s="68"/>
      <c r="CE25" s="71">
        <f t="shared" si="26"/>
        <v>0</v>
      </c>
      <c r="CF25" s="68"/>
      <c r="CG25" s="68"/>
      <c r="CH25" s="71">
        <f t="shared" si="27"/>
        <v>0</v>
      </c>
      <c r="CI25" s="68"/>
      <c r="CJ25" s="68"/>
      <c r="CK25" s="71">
        <f t="shared" si="28"/>
        <v>0</v>
      </c>
      <c r="CL25" s="68"/>
      <c r="CM25" s="68"/>
      <c r="CN25" s="71">
        <f t="shared" si="29"/>
        <v>0</v>
      </c>
      <c r="CO25" s="68"/>
      <c r="CP25" s="68"/>
      <c r="CQ25" s="71">
        <f t="shared" si="30"/>
        <v>0</v>
      </c>
      <c r="CR25" s="68"/>
      <c r="CS25" s="68"/>
      <c r="CT25" s="71">
        <f t="shared" si="31"/>
        <v>0</v>
      </c>
      <c r="CU25" s="68"/>
      <c r="CV25" s="68"/>
      <c r="CW25" s="71">
        <f t="shared" si="32"/>
        <v>0</v>
      </c>
      <c r="CX25" s="68"/>
      <c r="CY25" s="68"/>
      <c r="CZ25" s="71">
        <f t="shared" si="33"/>
        <v>0</v>
      </c>
      <c r="DA25" s="68"/>
      <c r="DB25" s="68"/>
      <c r="DC25" s="71">
        <f t="shared" si="34"/>
        <v>0</v>
      </c>
      <c r="DD25" s="68"/>
      <c r="DE25" s="68"/>
      <c r="DF25" s="71">
        <f t="shared" si="35"/>
        <v>0</v>
      </c>
      <c r="DG25" s="68"/>
      <c r="DH25" s="68"/>
      <c r="DI25" s="71">
        <f t="shared" si="36"/>
        <v>0</v>
      </c>
      <c r="DJ25" s="68"/>
      <c r="DK25" s="68"/>
      <c r="DL25" s="71">
        <f t="shared" si="37"/>
        <v>0</v>
      </c>
      <c r="DM25" s="68"/>
      <c r="DN25" s="68"/>
      <c r="DO25" s="71">
        <f t="shared" si="38"/>
        <v>0</v>
      </c>
      <c r="DP25" s="68"/>
      <c r="DQ25" s="68"/>
      <c r="DR25" s="71">
        <f t="shared" si="39"/>
        <v>0</v>
      </c>
      <c r="DS25" s="71">
        <f t="shared" si="43"/>
        <v>130000</v>
      </c>
      <c r="DT25" s="71">
        <f t="shared" si="44"/>
        <v>128454</v>
      </c>
      <c r="DU25" s="71">
        <f t="shared" si="45"/>
        <v>-1546</v>
      </c>
      <c r="DV25" s="80"/>
      <c r="DW25" s="73"/>
      <c r="DX25" s="73"/>
      <c r="DY25" s="80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</row>
    <row r="26" spans="1:141" x14ac:dyDescent="0.25">
      <c r="A26" s="67">
        <f>+BaseloadMarkets!A26</f>
        <v>36698</v>
      </c>
      <c r="B26" s="67" t="str">
        <f>+BaseloadMarkets!B26</f>
        <v>Wed</v>
      </c>
      <c r="C26" s="68"/>
      <c r="D26" s="68"/>
      <c r="E26" s="71">
        <f t="shared" si="0"/>
        <v>0</v>
      </c>
      <c r="F26" s="68"/>
      <c r="G26" s="68"/>
      <c r="H26" s="71">
        <f t="shared" si="1"/>
        <v>0</v>
      </c>
      <c r="I26" s="68"/>
      <c r="J26" s="68"/>
      <c r="K26" s="71">
        <f t="shared" si="2"/>
        <v>0</v>
      </c>
      <c r="L26" s="68"/>
      <c r="M26" s="68"/>
      <c r="N26" s="71">
        <f t="shared" si="3"/>
        <v>0</v>
      </c>
      <c r="O26" s="68"/>
      <c r="P26" s="68"/>
      <c r="Q26" s="71">
        <f t="shared" si="4"/>
        <v>0</v>
      </c>
      <c r="R26" s="68"/>
      <c r="S26" s="68"/>
      <c r="T26" s="71">
        <f t="shared" si="5"/>
        <v>0</v>
      </c>
      <c r="U26" s="68"/>
      <c r="V26" s="68"/>
      <c r="W26" s="71">
        <f t="shared" si="6"/>
        <v>0</v>
      </c>
      <c r="X26" s="68"/>
      <c r="Y26" s="68"/>
      <c r="Z26" s="71">
        <f t="shared" si="7"/>
        <v>0</v>
      </c>
      <c r="AA26" s="68"/>
      <c r="AB26" s="68"/>
      <c r="AC26" s="71">
        <f t="shared" si="8"/>
        <v>0</v>
      </c>
      <c r="AD26" s="68">
        <v>104341</v>
      </c>
      <c r="AE26" s="68">
        <v>104341</v>
      </c>
      <c r="AF26" s="71">
        <f t="shared" si="9"/>
        <v>0</v>
      </c>
      <c r="AG26" s="68">
        <v>50000</v>
      </c>
      <c r="AH26" s="68">
        <v>50000</v>
      </c>
      <c r="AI26" s="71">
        <f t="shared" si="10"/>
        <v>0</v>
      </c>
      <c r="AJ26" s="68"/>
      <c r="AK26" s="68"/>
      <c r="AL26" s="71">
        <f t="shared" si="11"/>
        <v>0</v>
      </c>
      <c r="AM26" s="68">
        <v>80000</v>
      </c>
      <c r="AN26" s="68">
        <f>80000-10000+7100</f>
        <v>77100</v>
      </c>
      <c r="AO26" s="71">
        <f t="shared" si="12"/>
        <v>-2900</v>
      </c>
      <c r="AP26" s="68">
        <v>10000</v>
      </c>
      <c r="AQ26" s="68">
        <v>10000</v>
      </c>
      <c r="AR26" s="71">
        <f t="shared" si="13"/>
        <v>0</v>
      </c>
      <c r="AS26" s="68"/>
      <c r="AT26" s="68"/>
      <c r="AU26" s="71">
        <f t="shared" si="14"/>
        <v>0</v>
      </c>
      <c r="AV26" s="68"/>
      <c r="AW26" s="68"/>
      <c r="AX26" s="71">
        <f t="shared" si="15"/>
        <v>0</v>
      </c>
      <c r="AY26" s="68"/>
      <c r="AZ26" s="68"/>
      <c r="BA26" s="71">
        <f t="shared" si="16"/>
        <v>0</v>
      </c>
      <c r="BB26" s="68"/>
      <c r="BC26" s="68"/>
      <c r="BD26" s="71">
        <f t="shared" si="17"/>
        <v>0</v>
      </c>
      <c r="BE26" s="68"/>
      <c r="BF26" s="68"/>
      <c r="BG26" s="71">
        <f t="shared" si="18"/>
        <v>0</v>
      </c>
      <c r="BH26" s="68"/>
      <c r="BI26" s="68"/>
      <c r="BJ26" s="71">
        <f t="shared" si="19"/>
        <v>0</v>
      </c>
      <c r="BK26" s="68"/>
      <c r="BL26" s="68"/>
      <c r="BM26" s="71">
        <f t="shared" si="20"/>
        <v>0</v>
      </c>
      <c r="BN26" s="68"/>
      <c r="BO26" s="68"/>
      <c r="BP26" s="71">
        <f t="shared" si="21"/>
        <v>0</v>
      </c>
      <c r="BQ26" s="68"/>
      <c r="BR26" s="68"/>
      <c r="BS26" s="71">
        <f t="shared" si="22"/>
        <v>0</v>
      </c>
      <c r="BT26" s="68"/>
      <c r="BU26" s="68"/>
      <c r="BV26" s="71">
        <f t="shared" si="23"/>
        <v>0</v>
      </c>
      <c r="BW26" s="68"/>
      <c r="BX26" s="68"/>
      <c r="BY26" s="71">
        <f t="shared" si="24"/>
        <v>0</v>
      </c>
      <c r="BZ26" s="68"/>
      <c r="CA26" s="68"/>
      <c r="CB26" s="71">
        <f t="shared" si="25"/>
        <v>0</v>
      </c>
      <c r="CC26" s="68"/>
      <c r="CD26" s="68"/>
      <c r="CE26" s="71">
        <f t="shared" si="26"/>
        <v>0</v>
      </c>
      <c r="CF26" s="68"/>
      <c r="CG26" s="68"/>
      <c r="CH26" s="71">
        <f t="shared" si="27"/>
        <v>0</v>
      </c>
      <c r="CI26" s="68"/>
      <c r="CJ26" s="68"/>
      <c r="CK26" s="71">
        <f t="shared" si="28"/>
        <v>0</v>
      </c>
      <c r="CL26" s="68"/>
      <c r="CM26" s="68"/>
      <c r="CN26" s="71">
        <f t="shared" si="29"/>
        <v>0</v>
      </c>
      <c r="CO26" s="68"/>
      <c r="CP26" s="68"/>
      <c r="CQ26" s="71">
        <f t="shared" si="30"/>
        <v>0</v>
      </c>
      <c r="CR26" s="68"/>
      <c r="CS26" s="68"/>
      <c r="CT26" s="71">
        <f t="shared" si="31"/>
        <v>0</v>
      </c>
      <c r="CU26" s="68"/>
      <c r="CV26" s="68"/>
      <c r="CW26" s="71">
        <f t="shared" si="32"/>
        <v>0</v>
      </c>
      <c r="CX26" s="68"/>
      <c r="CY26" s="68"/>
      <c r="CZ26" s="71">
        <f t="shared" si="33"/>
        <v>0</v>
      </c>
      <c r="DA26" s="68"/>
      <c r="DB26" s="68"/>
      <c r="DC26" s="71">
        <f t="shared" si="34"/>
        <v>0</v>
      </c>
      <c r="DD26" s="68"/>
      <c r="DE26" s="68"/>
      <c r="DF26" s="71">
        <f t="shared" si="35"/>
        <v>0</v>
      </c>
      <c r="DG26" s="68"/>
      <c r="DH26" s="68"/>
      <c r="DI26" s="71">
        <f t="shared" si="36"/>
        <v>0</v>
      </c>
      <c r="DJ26" s="68"/>
      <c r="DK26" s="68"/>
      <c r="DL26" s="71">
        <f t="shared" si="37"/>
        <v>0</v>
      </c>
      <c r="DM26" s="68"/>
      <c r="DN26" s="68"/>
      <c r="DO26" s="71">
        <f t="shared" si="38"/>
        <v>0</v>
      </c>
      <c r="DP26" s="68"/>
      <c r="DQ26" s="68"/>
      <c r="DR26" s="71">
        <f t="shared" si="39"/>
        <v>0</v>
      </c>
      <c r="DS26" s="71">
        <f t="shared" si="43"/>
        <v>244341</v>
      </c>
      <c r="DT26" s="71">
        <f t="shared" si="44"/>
        <v>241441</v>
      </c>
      <c r="DU26" s="71">
        <f t="shared" si="45"/>
        <v>-2900</v>
      </c>
      <c r="DV26" s="80"/>
      <c r="DW26" s="73"/>
      <c r="DX26" s="73"/>
      <c r="DY26" s="80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</row>
    <row r="27" spans="1:141" x14ac:dyDescent="0.25">
      <c r="A27" s="67">
        <f>+BaseloadMarkets!A27</f>
        <v>36699</v>
      </c>
      <c r="B27" s="67" t="str">
        <f>+BaseloadMarkets!B27</f>
        <v>Thu</v>
      </c>
      <c r="C27" s="68"/>
      <c r="D27" s="68"/>
      <c r="E27" s="71">
        <f t="shared" si="0"/>
        <v>0</v>
      </c>
      <c r="F27" s="68"/>
      <c r="G27" s="68"/>
      <c r="H27" s="71">
        <f t="shared" si="1"/>
        <v>0</v>
      </c>
      <c r="I27" s="68"/>
      <c r="J27" s="68"/>
      <c r="K27" s="71">
        <f t="shared" si="2"/>
        <v>0</v>
      </c>
      <c r="L27" s="68"/>
      <c r="M27" s="68"/>
      <c r="N27" s="71">
        <f t="shared" si="3"/>
        <v>0</v>
      </c>
      <c r="O27" s="68"/>
      <c r="P27" s="68"/>
      <c r="Q27" s="71">
        <f t="shared" si="4"/>
        <v>0</v>
      </c>
      <c r="R27" s="68"/>
      <c r="S27" s="68"/>
      <c r="T27" s="71">
        <f t="shared" si="5"/>
        <v>0</v>
      </c>
      <c r="U27" s="68"/>
      <c r="V27" s="68"/>
      <c r="W27" s="71">
        <f t="shared" si="6"/>
        <v>0</v>
      </c>
      <c r="X27" s="68"/>
      <c r="Y27" s="68"/>
      <c r="Z27" s="71">
        <f t="shared" si="7"/>
        <v>0</v>
      </c>
      <c r="AA27" s="68"/>
      <c r="AB27" s="68"/>
      <c r="AC27" s="71">
        <f t="shared" si="8"/>
        <v>0</v>
      </c>
      <c r="AD27" s="68">
        <v>62000</v>
      </c>
      <c r="AE27" s="68">
        <v>62000</v>
      </c>
      <c r="AF27" s="71">
        <f t="shared" si="9"/>
        <v>0</v>
      </c>
      <c r="AG27" s="68">
        <v>90000</v>
      </c>
      <c r="AH27" s="68">
        <f>90000-2</f>
        <v>89998</v>
      </c>
      <c r="AI27" s="71">
        <f t="shared" si="10"/>
        <v>-2</v>
      </c>
      <c r="AJ27" s="68"/>
      <c r="AK27" s="68"/>
      <c r="AL27" s="71">
        <f t="shared" si="11"/>
        <v>0</v>
      </c>
      <c r="AM27" s="68">
        <f>112000+30000+50000</f>
        <v>192000</v>
      </c>
      <c r="AN27" s="68">
        <f>192000-10000+6635</f>
        <v>188635</v>
      </c>
      <c r="AO27" s="71">
        <f t="shared" si="12"/>
        <v>-3365</v>
      </c>
      <c r="AP27" s="68"/>
      <c r="AQ27" s="68"/>
      <c r="AR27" s="71">
        <f t="shared" si="13"/>
        <v>0</v>
      </c>
      <c r="AS27" s="68">
        <v>5000</v>
      </c>
      <c r="AT27" s="68">
        <v>5000</v>
      </c>
      <c r="AU27" s="71">
        <f t="shared" si="14"/>
        <v>0</v>
      </c>
      <c r="AV27" s="68">
        <v>10000</v>
      </c>
      <c r="AW27" s="68">
        <f>2732+1821</f>
        <v>4553</v>
      </c>
      <c r="AX27" s="71">
        <f t="shared" si="15"/>
        <v>-5447</v>
      </c>
      <c r="AY27" s="68"/>
      <c r="AZ27" s="68"/>
      <c r="BA27" s="71">
        <f t="shared" si="16"/>
        <v>0</v>
      </c>
      <c r="BB27" s="68"/>
      <c r="BC27" s="68"/>
      <c r="BD27" s="71">
        <f t="shared" si="17"/>
        <v>0</v>
      </c>
      <c r="BE27" s="68"/>
      <c r="BF27" s="68"/>
      <c r="BG27" s="71">
        <f t="shared" si="18"/>
        <v>0</v>
      </c>
      <c r="BH27" s="68"/>
      <c r="BI27" s="68"/>
      <c r="BJ27" s="71">
        <f t="shared" si="19"/>
        <v>0</v>
      </c>
      <c r="BK27" s="68"/>
      <c r="BL27" s="68"/>
      <c r="BM27" s="71">
        <f t="shared" si="20"/>
        <v>0</v>
      </c>
      <c r="BN27" s="68"/>
      <c r="BO27" s="68"/>
      <c r="BP27" s="71">
        <f t="shared" si="21"/>
        <v>0</v>
      </c>
      <c r="BQ27" s="68"/>
      <c r="BR27" s="68"/>
      <c r="BS27" s="71">
        <f t="shared" si="22"/>
        <v>0</v>
      </c>
      <c r="BT27" s="68"/>
      <c r="BU27" s="68"/>
      <c r="BV27" s="71">
        <f t="shared" si="23"/>
        <v>0</v>
      </c>
      <c r="BW27" s="68"/>
      <c r="BX27" s="68"/>
      <c r="BY27" s="71">
        <f t="shared" si="24"/>
        <v>0</v>
      </c>
      <c r="BZ27" s="68"/>
      <c r="CA27" s="68"/>
      <c r="CB27" s="71">
        <f t="shared" si="25"/>
        <v>0</v>
      </c>
      <c r="CC27" s="68"/>
      <c r="CD27" s="68"/>
      <c r="CE27" s="71">
        <f t="shared" si="26"/>
        <v>0</v>
      </c>
      <c r="CF27" s="68"/>
      <c r="CG27" s="68"/>
      <c r="CH27" s="71">
        <f t="shared" si="27"/>
        <v>0</v>
      </c>
      <c r="CI27" s="68"/>
      <c r="CJ27" s="68"/>
      <c r="CK27" s="71">
        <f t="shared" si="28"/>
        <v>0</v>
      </c>
      <c r="CL27" s="68"/>
      <c r="CM27" s="68"/>
      <c r="CN27" s="71">
        <f t="shared" si="29"/>
        <v>0</v>
      </c>
      <c r="CO27" s="68"/>
      <c r="CP27" s="68"/>
      <c r="CQ27" s="71">
        <f t="shared" si="30"/>
        <v>0</v>
      </c>
      <c r="CR27" s="68"/>
      <c r="CS27" s="68"/>
      <c r="CT27" s="71">
        <f t="shared" si="31"/>
        <v>0</v>
      </c>
      <c r="CU27" s="68"/>
      <c r="CV27" s="68"/>
      <c r="CW27" s="71">
        <f t="shared" si="32"/>
        <v>0</v>
      </c>
      <c r="CX27" s="68"/>
      <c r="CY27" s="68"/>
      <c r="CZ27" s="71">
        <f t="shared" si="33"/>
        <v>0</v>
      </c>
      <c r="DA27" s="68"/>
      <c r="DB27" s="68"/>
      <c r="DC27" s="71">
        <f t="shared" si="34"/>
        <v>0</v>
      </c>
      <c r="DD27" s="68"/>
      <c r="DE27" s="68"/>
      <c r="DF27" s="71">
        <f t="shared" si="35"/>
        <v>0</v>
      </c>
      <c r="DG27" s="68"/>
      <c r="DH27" s="68"/>
      <c r="DI27" s="71">
        <f t="shared" si="36"/>
        <v>0</v>
      </c>
      <c r="DJ27" s="68"/>
      <c r="DK27" s="68"/>
      <c r="DL27" s="71">
        <f t="shared" si="37"/>
        <v>0</v>
      </c>
      <c r="DM27" s="68"/>
      <c r="DN27" s="68"/>
      <c r="DO27" s="71">
        <f t="shared" si="38"/>
        <v>0</v>
      </c>
      <c r="DP27" s="68"/>
      <c r="DQ27" s="68"/>
      <c r="DR27" s="71">
        <f t="shared" si="39"/>
        <v>0</v>
      </c>
      <c r="DS27" s="71">
        <f t="shared" si="43"/>
        <v>359000</v>
      </c>
      <c r="DT27" s="71">
        <f t="shared" si="44"/>
        <v>350186</v>
      </c>
      <c r="DU27" s="71">
        <f t="shared" si="45"/>
        <v>-8814</v>
      </c>
      <c r="DV27" s="80"/>
      <c r="DW27" s="73"/>
      <c r="DX27" s="73"/>
      <c r="DY27" s="80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</row>
    <row r="28" spans="1:141" x14ac:dyDescent="0.25">
      <c r="A28" s="67">
        <f>+BaseloadMarkets!A28</f>
        <v>36700</v>
      </c>
      <c r="B28" s="67" t="str">
        <f>+BaseloadMarkets!B28</f>
        <v>Fri</v>
      </c>
      <c r="C28" s="68"/>
      <c r="D28" s="68"/>
      <c r="E28" s="71">
        <f t="shared" si="0"/>
        <v>0</v>
      </c>
      <c r="F28" s="68"/>
      <c r="G28" s="68"/>
      <c r="H28" s="71">
        <f t="shared" si="1"/>
        <v>0</v>
      </c>
      <c r="I28" s="68"/>
      <c r="J28" s="68"/>
      <c r="K28" s="71">
        <f t="shared" si="2"/>
        <v>0</v>
      </c>
      <c r="L28" s="68"/>
      <c r="M28" s="68"/>
      <c r="N28" s="71">
        <f t="shared" si="3"/>
        <v>0</v>
      </c>
      <c r="O28" s="68"/>
      <c r="P28" s="68"/>
      <c r="Q28" s="71">
        <f t="shared" si="4"/>
        <v>0</v>
      </c>
      <c r="R28" s="68"/>
      <c r="S28" s="68"/>
      <c r="T28" s="71">
        <f t="shared" si="5"/>
        <v>0</v>
      </c>
      <c r="U28" s="68"/>
      <c r="V28" s="68"/>
      <c r="W28" s="71">
        <f t="shared" si="6"/>
        <v>0</v>
      </c>
      <c r="X28" s="68"/>
      <c r="Y28" s="68"/>
      <c r="Z28" s="71">
        <f t="shared" si="7"/>
        <v>0</v>
      </c>
      <c r="AA28" s="68"/>
      <c r="AB28" s="68"/>
      <c r="AC28" s="71">
        <f t="shared" si="8"/>
        <v>0</v>
      </c>
      <c r="AD28" s="68">
        <v>35000</v>
      </c>
      <c r="AE28" s="68">
        <v>35000</v>
      </c>
      <c r="AF28" s="71">
        <f t="shared" si="9"/>
        <v>0</v>
      </c>
      <c r="AG28" s="68"/>
      <c r="AH28" s="68"/>
      <c r="AI28" s="71">
        <f t="shared" si="10"/>
        <v>0</v>
      </c>
      <c r="AJ28" s="68"/>
      <c r="AK28" s="68"/>
      <c r="AL28" s="71">
        <f t="shared" si="11"/>
        <v>0</v>
      </c>
      <c r="AM28" s="68">
        <f>145000+80000</f>
        <v>225000</v>
      </c>
      <c r="AN28" s="68">
        <f>225000-10000+6251</f>
        <v>221251</v>
      </c>
      <c r="AO28" s="71">
        <f t="shared" si="12"/>
        <v>-3749</v>
      </c>
      <c r="AP28" s="68"/>
      <c r="AQ28" s="68"/>
      <c r="AR28" s="71">
        <f t="shared" si="13"/>
        <v>0</v>
      </c>
      <c r="AS28" s="68">
        <v>15000</v>
      </c>
      <c r="AT28" s="68">
        <v>15000</v>
      </c>
      <c r="AU28" s="71">
        <f t="shared" si="14"/>
        <v>0</v>
      </c>
      <c r="AV28" s="68"/>
      <c r="AW28" s="68"/>
      <c r="AX28" s="71">
        <f t="shared" si="15"/>
        <v>0</v>
      </c>
      <c r="AY28" s="68"/>
      <c r="AZ28" s="68"/>
      <c r="BA28" s="71">
        <f t="shared" si="16"/>
        <v>0</v>
      </c>
      <c r="BB28" s="68"/>
      <c r="BC28" s="68"/>
      <c r="BD28" s="71">
        <f t="shared" si="17"/>
        <v>0</v>
      </c>
      <c r="BE28" s="68"/>
      <c r="BF28" s="68"/>
      <c r="BG28" s="71">
        <f t="shared" si="18"/>
        <v>0</v>
      </c>
      <c r="BH28" s="68"/>
      <c r="BI28" s="68"/>
      <c r="BJ28" s="71">
        <f t="shared" si="19"/>
        <v>0</v>
      </c>
      <c r="BK28" s="68"/>
      <c r="BL28" s="68"/>
      <c r="BM28" s="71">
        <f t="shared" si="20"/>
        <v>0</v>
      </c>
      <c r="BN28" s="68"/>
      <c r="BO28" s="68"/>
      <c r="BP28" s="71">
        <f t="shared" si="21"/>
        <v>0</v>
      </c>
      <c r="BQ28" s="68"/>
      <c r="BR28" s="68"/>
      <c r="BS28" s="71">
        <f t="shared" si="22"/>
        <v>0</v>
      </c>
      <c r="BT28" s="68"/>
      <c r="BU28" s="68"/>
      <c r="BV28" s="71">
        <f t="shared" si="23"/>
        <v>0</v>
      </c>
      <c r="BW28" s="68"/>
      <c r="BX28" s="68"/>
      <c r="BY28" s="71">
        <f t="shared" si="24"/>
        <v>0</v>
      </c>
      <c r="BZ28" s="68"/>
      <c r="CA28" s="68"/>
      <c r="CB28" s="71">
        <f t="shared" si="25"/>
        <v>0</v>
      </c>
      <c r="CC28" s="68"/>
      <c r="CD28" s="68"/>
      <c r="CE28" s="71">
        <f t="shared" si="26"/>
        <v>0</v>
      </c>
      <c r="CF28" s="68"/>
      <c r="CG28" s="68"/>
      <c r="CH28" s="71">
        <f t="shared" si="27"/>
        <v>0</v>
      </c>
      <c r="CI28" s="68"/>
      <c r="CJ28" s="68"/>
      <c r="CK28" s="71">
        <f t="shared" si="28"/>
        <v>0</v>
      </c>
      <c r="CL28" s="68"/>
      <c r="CM28" s="68"/>
      <c r="CN28" s="71">
        <f t="shared" si="29"/>
        <v>0</v>
      </c>
      <c r="CO28" s="68"/>
      <c r="CP28" s="68"/>
      <c r="CQ28" s="71">
        <f t="shared" si="30"/>
        <v>0</v>
      </c>
      <c r="CR28" s="68"/>
      <c r="CS28" s="68"/>
      <c r="CT28" s="71">
        <f t="shared" si="31"/>
        <v>0</v>
      </c>
      <c r="CU28" s="68"/>
      <c r="CV28" s="68"/>
      <c r="CW28" s="71">
        <f t="shared" si="32"/>
        <v>0</v>
      </c>
      <c r="CX28" s="68"/>
      <c r="CY28" s="68"/>
      <c r="CZ28" s="71">
        <f t="shared" si="33"/>
        <v>0</v>
      </c>
      <c r="DA28" s="68"/>
      <c r="DB28" s="68"/>
      <c r="DC28" s="71">
        <f t="shared" si="34"/>
        <v>0</v>
      </c>
      <c r="DD28" s="68"/>
      <c r="DE28" s="68"/>
      <c r="DF28" s="71">
        <f t="shared" si="35"/>
        <v>0</v>
      </c>
      <c r="DG28" s="68"/>
      <c r="DH28" s="68"/>
      <c r="DI28" s="71">
        <f t="shared" si="36"/>
        <v>0</v>
      </c>
      <c r="DJ28" s="68"/>
      <c r="DK28" s="68"/>
      <c r="DL28" s="71">
        <f t="shared" si="37"/>
        <v>0</v>
      </c>
      <c r="DM28" s="68"/>
      <c r="DN28" s="68"/>
      <c r="DO28" s="71">
        <f t="shared" si="38"/>
        <v>0</v>
      </c>
      <c r="DP28" s="68"/>
      <c r="DQ28" s="68"/>
      <c r="DR28" s="71">
        <f t="shared" si="39"/>
        <v>0</v>
      </c>
      <c r="DS28" s="71">
        <f t="shared" si="43"/>
        <v>275000</v>
      </c>
      <c r="DT28" s="71">
        <f t="shared" si="44"/>
        <v>271251</v>
      </c>
      <c r="DU28" s="71">
        <f t="shared" si="45"/>
        <v>-3749</v>
      </c>
      <c r="DV28" s="80"/>
      <c r="DW28" s="73"/>
      <c r="DX28" s="73"/>
      <c r="DY28" s="80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</row>
    <row r="29" spans="1:141" x14ac:dyDescent="0.25">
      <c r="A29" s="67">
        <f>+BaseloadMarkets!A29</f>
        <v>36701</v>
      </c>
      <c r="B29" s="67" t="str">
        <f>+BaseloadMarkets!B29</f>
        <v>Sat</v>
      </c>
      <c r="C29" s="68"/>
      <c r="D29" s="68"/>
      <c r="E29" s="71">
        <f t="shared" si="0"/>
        <v>0</v>
      </c>
      <c r="F29" s="68"/>
      <c r="G29" s="68"/>
      <c r="H29" s="71">
        <f t="shared" si="1"/>
        <v>0</v>
      </c>
      <c r="I29" s="68"/>
      <c r="J29" s="68"/>
      <c r="K29" s="71">
        <f t="shared" si="2"/>
        <v>0</v>
      </c>
      <c r="L29" s="68"/>
      <c r="M29" s="68"/>
      <c r="N29" s="71">
        <f t="shared" si="3"/>
        <v>0</v>
      </c>
      <c r="O29" s="68"/>
      <c r="P29" s="68"/>
      <c r="Q29" s="71">
        <f t="shared" si="4"/>
        <v>0</v>
      </c>
      <c r="R29" s="68"/>
      <c r="S29" s="68"/>
      <c r="T29" s="71">
        <f t="shared" si="5"/>
        <v>0</v>
      </c>
      <c r="U29" s="68"/>
      <c r="V29" s="68"/>
      <c r="W29" s="71">
        <f t="shared" si="6"/>
        <v>0</v>
      </c>
      <c r="X29" s="68"/>
      <c r="Y29" s="68"/>
      <c r="Z29" s="71">
        <f t="shared" si="7"/>
        <v>0</v>
      </c>
      <c r="AA29" s="68"/>
      <c r="AB29" s="68"/>
      <c r="AC29" s="71">
        <f t="shared" si="8"/>
        <v>0</v>
      </c>
      <c r="AD29" s="68"/>
      <c r="AE29" s="68"/>
      <c r="AF29" s="71">
        <f t="shared" si="9"/>
        <v>0</v>
      </c>
      <c r="AG29" s="68">
        <v>50000</v>
      </c>
      <c r="AH29" s="68">
        <v>50000</v>
      </c>
      <c r="AI29" s="71">
        <f t="shared" si="10"/>
        <v>0</v>
      </c>
      <c r="AJ29" s="68"/>
      <c r="AK29" s="68"/>
      <c r="AL29" s="71">
        <f t="shared" si="11"/>
        <v>0</v>
      </c>
      <c r="AM29" s="68">
        <f>15000+59000</f>
        <v>74000</v>
      </c>
      <c r="AN29" s="68">
        <f>74000-10000+6111</f>
        <v>70111</v>
      </c>
      <c r="AO29" s="71">
        <f t="shared" si="12"/>
        <v>-3889</v>
      </c>
      <c r="AP29" s="68"/>
      <c r="AQ29" s="68"/>
      <c r="AR29" s="71">
        <f t="shared" si="13"/>
        <v>0</v>
      </c>
      <c r="AS29" s="68">
        <v>15000</v>
      </c>
      <c r="AT29" s="68">
        <v>15000</v>
      </c>
      <c r="AU29" s="71">
        <f t="shared" si="14"/>
        <v>0</v>
      </c>
      <c r="AV29" s="68">
        <v>1815</v>
      </c>
      <c r="AW29" s="68">
        <v>1815</v>
      </c>
      <c r="AX29" s="71">
        <f t="shared" si="15"/>
        <v>0</v>
      </c>
      <c r="AY29" s="68"/>
      <c r="AZ29" s="68"/>
      <c r="BA29" s="71">
        <f t="shared" si="16"/>
        <v>0</v>
      </c>
      <c r="BB29" s="68"/>
      <c r="BC29" s="68"/>
      <c r="BD29" s="71">
        <f t="shared" si="17"/>
        <v>0</v>
      </c>
      <c r="BE29" s="68"/>
      <c r="BF29" s="68"/>
      <c r="BG29" s="71">
        <f t="shared" si="18"/>
        <v>0</v>
      </c>
      <c r="BH29" s="68"/>
      <c r="BI29" s="68"/>
      <c r="BJ29" s="71">
        <f t="shared" si="19"/>
        <v>0</v>
      </c>
      <c r="BK29" s="68"/>
      <c r="BL29" s="68"/>
      <c r="BM29" s="71">
        <f t="shared" si="20"/>
        <v>0</v>
      </c>
      <c r="BN29" s="68"/>
      <c r="BO29" s="68"/>
      <c r="BP29" s="71">
        <f t="shared" si="21"/>
        <v>0</v>
      </c>
      <c r="BQ29" s="68"/>
      <c r="BR29" s="68"/>
      <c r="BS29" s="71">
        <f t="shared" si="22"/>
        <v>0</v>
      </c>
      <c r="BT29" s="68"/>
      <c r="BU29" s="68"/>
      <c r="BV29" s="71">
        <f t="shared" si="23"/>
        <v>0</v>
      </c>
      <c r="BW29" s="68"/>
      <c r="BX29" s="68"/>
      <c r="BY29" s="71">
        <f t="shared" si="24"/>
        <v>0</v>
      </c>
      <c r="BZ29" s="68"/>
      <c r="CA29" s="68"/>
      <c r="CB29" s="71">
        <f t="shared" si="25"/>
        <v>0</v>
      </c>
      <c r="CC29" s="68"/>
      <c r="CD29" s="68"/>
      <c r="CE29" s="71">
        <f t="shared" si="26"/>
        <v>0</v>
      </c>
      <c r="CF29" s="68"/>
      <c r="CG29" s="68"/>
      <c r="CH29" s="71">
        <f t="shared" si="27"/>
        <v>0</v>
      </c>
      <c r="CI29" s="68"/>
      <c r="CJ29" s="68"/>
      <c r="CK29" s="71">
        <f t="shared" si="28"/>
        <v>0</v>
      </c>
      <c r="CL29" s="68"/>
      <c r="CM29" s="68"/>
      <c r="CN29" s="71">
        <f t="shared" si="29"/>
        <v>0</v>
      </c>
      <c r="CO29" s="68"/>
      <c r="CP29" s="68"/>
      <c r="CQ29" s="71">
        <f t="shared" si="30"/>
        <v>0</v>
      </c>
      <c r="CR29" s="68"/>
      <c r="CS29" s="68"/>
      <c r="CT29" s="71">
        <f t="shared" si="31"/>
        <v>0</v>
      </c>
      <c r="CU29" s="68"/>
      <c r="CV29" s="68"/>
      <c r="CW29" s="71">
        <f t="shared" si="32"/>
        <v>0</v>
      </c>
      <c r="CX29" s="68"/>
      <c r="CY29" s="68"/>
      <c r="CZ29" s="71">
        <f t="shared" si="33"/>
        <v>0</v>
      </c>
      <c r="DA29" s="68"/>
      <c r="DB29" s="68"/>
      <c r="DC29" s="71">
        <f t="shared" si="34"/>
        <v>0</v>
      </c>
      <c r="DD29" s="68"/>
      <c r="DE29" s="68"/>
      <c r="DF29" s="71">
        <f t="shared" si="35"/>
        <v>0</v>
      </c>
      <c r="DG29" s="68"/>
      <c r="DH29" s="68"/>
      <c r="DI29" s="71">
        <f t="shared" si="36"/>
        <v>0</v>
      </c>
      <c r="DJ29" s="68"/>
      <c r="DK29" s="68"/>
      <c r="DL29" s="71">
        <f t="shared" si="37"/>
        <v>0</v>
      </c>
      <c r="DM29" s="68"/>
      <c r="DN29" s="68"/>
      <c r="DO29" s="71">
        <f t="shared" si="38"/>
        <v>0</v>
      </c>
      <c r="DP29" s="68"/>
      <c r="DQ29" s="68"/>
      <c r="DR29" s="71">
        <f t="shared" si="39"/>
        <v>0</v>
      </c>
      <c r="DS29" s="71">
        <f t="shared" si="43"/>
        <v>140815</v>
      </c>
      <c r="DT29" s="71">
        <f t="shared" si="44"/>
        <v>136926</v>
      </c>
      <c r="DU29" s="71">
        <f t="shared" si="45"/>
        <v>-3889</v>
      </c>
      <c r="DV29" s="80"/>
      <c r="DW29" s="73"/>
      <c r="DX29" s="73"/>
      <c r="DY29" s="80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</row>
    <row r="30" spans="1:141" x14ac:dyDescent="0.25">
      <c r="A30" s="67">
        <f>+BaseloadMarkets!A30</f>
        <v>36702</v>
      </c>
      <c r="B30" s="67" t="str">
        <f>+BaseloadMarkets!B30</f>
        <v>Sun</v>
      </c>
      <c r="C30" s="68"/>
      <c r="D30" s="68"/>
      <c r="E30" s="71">
        <f t="shared" si="0"/>
        <v>0</v>
      </c>
      <c r="F30" s="68"/>
      <c r="G30" s="68"/>
      <c r="H30" s="71">
        <f t="shared" si="1"/>
        <v>0</v>
      </c>
      <c r="I30" s="68"/>
      <c r="J30" s="68"/>
      <c r="K30" s="71">
        <f t="shared" si="2"/>
        <v>0</v>
      </c>
      <c r="L30" s="68"/>
      <c r="M30" s="68"/>
      <c r="N30" s="71">
        <f t="shared" si="3"/>
        <v>0</v>
      </c>
      <c r="O30" s="68"/>
      <c r="P30" s="68"/>
      <c r="Q30" s="71">
        <f t="shared" si="4"/>
        <v>0</v>
      </c>
      <c r="R30" s="68"/>
      <c r="S30" s="68"/>
      <c r="T30" s="71">
        <f t="shared" si="5"/>
        <v>0</v>
      </c>
      <c r="U30" s="68"/>
      <c r="V30" s="68"/>
      <c r="W30" s="71">
        <f t="shared" si="6"/>
        <v>0</v>
      </c>
      <c r="X30" s="68"/>
      <c r="Y30" s="68"/>
      <c r="Z30" s="71">
        <f t="shared" si="7"/>
        <v>0</v>
      </c>
      <c r="AA30" s="68"/>
      <c r="AB30" s="68"/>
      <c r="AC30" s="71">
        <f t="shared" si="8"/>
        <v>0</v>
      </c>
      <c r="AD30" s="68"/>
      <c r="AE30" s="68"/>
      <c r="AF30" s="71">
        <f t="shared" si="9"/>
        <v>0</v>
      </c>
      <c r="AG30" s="68">
        <v>50000</v>
      </c>
      <c r="AH30" s="68">
        <v>50000</v>
      </c>
      <c r="AI30" s="71">
        <f t="shared" si="10"/>
        <v>0</v>
      </c>
      <c r="AJ30" s="68"/>
      <c r="AK30" s="68"/>
      <c r="AL30" s="71">
        <f t="shared" si="11"/>
        <v>0</v>
      </c>
      <c r="AM30" s="68">
        <f>15000+59000</f>
        <v>74000</v>
      </c>
      <c r="AN30" s="68">
        <f>74000-10000+6000</f>
        <v>70000</v>
      </c>
      <c r="AO30" s="71">
        <f t="shared" si="12"/>
        <v>-4000</v>
      </c>
      <c r="AP30" s="68"/>
      <c r="AQ30" s="68"/>
      <c r="AR30" s="71">
        <f t="shared" si="13"/>
        <v>0</v>
      </c>
      <c r="AS30" s="68">
        <v>15000</v>
      </c>
      <c r="AT30" s="68">
        <v>15000</v>
      </c>
      <c r="AU30" s="71">
        <f t="shared" si="14"/>
        <v>0</v>
      </c>
      <c r="AV30" s="68">
        <v>1815</v>
      </c>
      <c r="AW30" s="68">
        <v>1815</v>
      </c>
      <c r="AX30" s="71">
        <f t="shared" si="15"/>
        <v>0</v>
      </c>
      <c r="AY30" s="68"/>
      <c r="AZ30" s="68"/>
      <c r="BA30" s="71">
        <f t="shared" si="16"/>
        <v>0</v>
      </c>
      <c r="BB30" s="68"/>
      <c r="BC30" s="68"/>
      <c r="BD30" s="71">
        <f t="shared" si="17"/>
        <v>0</v>
      </c>
      <c r="BE30" s="68"/>
      <c r="BF30" s="68"/>
      <c r="BG30" s="71">
        <f t="shared" si="18"/>
        <v>0</v>
      </c>
      <c r="BH30" s="68"/>
      <c r="BI30" s="68"/>
      <c r="BJ30" s="71">
        <f t="shared" si="19"/>
        <v>0</v>
      </c>
      <c r="BK30" s="68"/>
      <c r="BL30" s="68"/>
      <c r="BM30" s="71">
        <f t="shared" si="20"/>
        <v>0</v>
      </c>
      <c r="BN30" s="68"/>
      <c r="BO30" s="68"/>
      <c r="BP30" s="71">
        <f t="shared" si="21"/>
        <v>0</v>
      </c>
      <c r="BQ30" s="68"/>
      <c r="BR30" s="68"/>
      <c r="BS30" s="71">
        <f t="shared" si="22"/>
        <v>0</v>
      </c>
      <c r="BT30" s="68"/>
      <c r="BU30" s="68"/>
      <c r="BV30" s="71">
        <f t="shared" si="23"/>
        <v>0</v>
      </c>
      <c r="BW30" s="68"/>
      <c r="BX30" s="68"/>
      <c r="BY30" s="71">
        <f t="shared" si="24"/>
        <v>0</v>
      </c>
      <c r="BZ30" s="68"/>
      <c r="CA30" s="68"/>
      <c r="CB30" s="71">
        <f t="shared" si="25"/>
        <v>0</v>
      </c>
      <c r="CC30" s="68"/>
      <c r="CD30" s="68"/>
      <c r="CE30" s="71">
        <f t="shared" si="26"/>
        <v>0</v>
      </c>
      <c r="CF30" s="68"/>
      <c r="CG30" s="68"/>
      <c r="CH30" s="71">
        <f t="shared" si="27"/>
        <v>0</v>
      </c>
      <c r="CI30" s="68"/>
      <c r="CJ30" s="68"/>
      <c r="CK30" s="71">
        <f t="shared" si="28"/>
        <v>0</v>
      </c>
      <c r="CL30" s="68"/>
      <c r="CM30" s="68"/>
      <c r="CN30" s="71">
        <f t="shared" si="29"/>
        <v>0</v>
      </c>
      <c r="CO30" s="68"/>
      <c r="CP30" s="68"/>
      <c r="CQ30" s="71">
        <f t="shared" si="30"/>
        <v>0</v>
      </c>
      <c r="CR30" s="68"/>
      <c r="CS30" s="68"/>
      <c r="CT30" s="71">
        <f t="shared" si="31"/>
        <v>0</v>
      </c>
      <c r="CU30" s="68"/>
      <c r="CV30" s="68"/>
      <c r="CW30" s="71">
        <f t="shared" si="32"/>
        <v>0</v>
      </c>
      <c r="CX30" s="68"/>
      <c r="CY30" s="68"/>
      <c r="CZ30" s="71">
        <f t="shared" si="33"/>
        <v>0</v>
      </c>
      <c r="DA30" s="68"/>
      <c r="DB30" s="68"/>
      <c r="DC30" s="71">
        <f t="shared" si="34"/>
        <v>0</v>
      </c>
      <c r="DD30" s="68"/>
      <c r="DE30" s="68"/>
      <c r="DF30" s="71">
        <f t="shared" si="35"/>
        <v>0</v>
      </c>
      <c r="DG30" s="68"/>
      <c r="DH30" s="68"/>
      <c r="DI30" s="71">
        <f t="shared" si="36"/>
        <v>0</v>
      </c>
      <c r="DJ30" s="68"/>
      <c r="DK30" s="68"/>
      <c r="DL30" s="71">
        <f t="shared" si="37"/>
        <v>0</v>
      </c>
      <c r="DM30" s="68"/>
      <c r="DN30" s="68"/>
      <c r="DO30" s="71">
        <f t="shared" si="38"/>
        <v>0</v>
      </c>
      <c r="DP30" s="68"/>
      <c r="DQ30" s="68"/>
      <c r="DR30" s="71">
        <f t="shared" si="39"/>
        <v>0</v>
      </c>
      <c r="DS30" s="71">
        <f t="shared" si="43"/>
        <v>140815</v>
      </c>
      <c r="DT30" s="71">
        <f t="shared" si="44"/>
        <v>136815</v>
      </c>
      <c r="DU30" s="71">
        <f t="shared" si="45"/>
        <v>-4000</v>
      </c>
      <c r="DV30" s="80"/>
      <c r="DW30" s="73"/>
      <c r="DX30" s="73"/>
      <c r="DY30" s="80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</row>
    <row r="31" spans="1:141" x14ac:dyDescent="0.25">
      <c r="A31" s="67">
        <f>+BaseloadMarkets!A31</f>
        <v>36703</v>
      </c>
      <c r="B31" s="67" t="str">
        <f>+BaseloadMarkets!B31</f>
        <v>Mon</v>
      </c>
      <c r="C31" s="68"/>
      <c r="D31" s="68"/>
      <c r="E31" s="71">
        <f t="shared" si="0"/>
        <v>0</v>
      </c>
      <c r="F31" s="68"/>
      <c r="G31" s="68"/>
      <c r="H31" s="71">
        <f t="shared" si="1"/>
        <v>0</v>
      </c>
      <c r="I31" s="68"/>
      <c r="J31" s="68"/>
      <c r="K31" s="71">
        <f>J31-I31</f>
        <v>0</v>
      </c>
      <c r="L31" s="68"/>
      <c r="M31" s="68"/>
      <c r="N31" s="71">
        <f>M31-L31</f>
        <v>0</v>
      </c>
      <c r="O31" s="68"/>
      <c r="P31" s="68"/>
      <c r="Q31" s="71">
        <f>P31-O31</f>
        <v>0</v>
      </c>
      <c r="R31" s="68"/>
      <c r="S31" s="68"/>
      <c r="T31" s="71">
        <f>S31-R31</f>
        <v>0</v>
      </c>
      <c r="U31" s="68"/>
      <c r="V31" s="68"/>
      <c r="W31" s="71">
        <f>V31-U31</f>
        <v>0</v>
      </c>
      <c r="X31" s="68"/>
      <c r="Y31" s="68"/>
      <c r="Z31" s="71">
        <f t="shared" si="7"/>
        <v>0</v>
      </c>
      <c r="AA31" s="68"/>
      <c r="AB31" s="68"/>
      <c r="AC31" s="71">
        <f t="shared" si="8"/>
        <v>0</v>
      </c>
      <c r="AD31" s="68"/>
      <c r="AE31" s="68"/>
      <c r="AF31" s="71">
        <f t="shared" si="9"/>
        <v>0</v>
      </c>
      <c r="AG31" s="68">
        <v>50000</v>
      </c>
      <c r="AH31" s="68">
        <v>50000</v>
      </c>
      <c r="AI31" s="71">
        <f t="shared" si="10"/>
        <v>0</v>
      </c>
      <c r="AJ31" s="68"/>
      <c r="AK31" s="68"/>
      <c r="AL31" s="71">
        <f t="shared" si="11"/>
        <v>0</v>
      </c>
      <c r="AM31" s="68">
        <f>15000+59000</f>
        <v>74000</v>
      </c>
      <c r="AN31" s="68">
        <f>74000-10000+5634</f>
        <v>69634</v>
      </c>
      <c r="AO31" s="71">
        <f t="shared" si="12"/>
        <v>-4366</v>
      </c>
      <c r="AP31" s="68"/>
      <c r="AQ31" s="68"/>
      <c r="AR31" s="71">
        <f t="shared" si="13"/>
        <v>0</v>
      </c>
      <c r="AS31" s="68">
        <v>15000</v>
      </c>
      <c r="AT31" s="68">
        <v>15000</v>
      </c>
      <c r="AU31" s="71">
        <f t="shared" si="14"/>
        <v>0</v>
      </c>
      <c r="AV31" s="68">
        <v>1815</v>
      </c>
      <c r="AW31" s="68">
        <v>1815</v>
      </c>
      <c r="AX31" s="71">
        <f t="shared" si="15"/>
        <v>0</v>
      </c>
      <c r="AY31" s="68"/>
      <c r="AZ31" s="68"/>
      <c r="BA31" s="71">
        <f t="shared" si="16"/>
        <v>0</v>
      </c>
      <c r="BB31" s="68"/>
      <c r="BC31" s="68"/>
      <c r="BD31" s="71">
        <f t="shared" si="17"/>
        <v>0</v>
      </c>
      <c r="BE31" s="68"/>
      <c r="BF31" s="68"/>
      <c r="BG31" s="71">
        <f t="shared" si="18"/>
        <v>0</v>
      </c>
      <c r="BH31" s="68"/>
      <c r="BI31" s="68"/>
      <c r="BJ31" s="71">
        <f t="shared" si="19"/>
        <v>0</v>
      </c>
      <c r="BK31" s="68"/>
      <c r="BL31" s="68"/>
      <c r="BM31" s="71">
        <f t="shared" si="20"/>
        <v>0</v>
      </c>
      <c r="BN31" s="68"/>
      <c r="BO31" s="68"/>
      <c r="BP31" s="71">
        <f t="shared" si="21"/>
        <v>0</v>
      </c>
      <c r="BQ31" s="68"/>
      <c r="BR31" s="68"/>
      <c r="BS31" s="71">
        <f t="shared" si="22"/>
        <v>0</v>
      </c>
      <c r="BT31" s="68"/>
      <c r="BU31" s="68"/>
      <c r="BV31" s="71">
        <f t="shared" si="23"/>
        <v>0</v>
      </c>
      <c r="BW31" s="68"/>
      <c r="BX31" s="68"/>
      <c r="BY31" s="71">
        <f t="shared" si="24"/>
        <v>0</v>
      </c>
      <c r="BZ31" s="68"/>
      <c r="CA31" s="68"/>
      <c r="CB31" s="71">
        <f t="shared" si="25"/>
        <v>0</v>
      </c>
      <c r="CC31" s="68"/>
      <c r="CD31" s="68"/>
      <c r="CE31" s="71">
        <f t="shared" si="26"/>
        <v>0</v>
      </c>
      <c r="CF31" s="68"/>
      <c r="CG31" s="68"/>
      <c r="CH31" s="71">
        <f t="shared" si="27"/>
        <v>0</v>
      </c>
      <c r="CI31" s="68"/>
      <c r="CJ31" s="68"/>
      <c r="CK31" s="71">
        <f t="shared" si="28"/>
        <v>0</v>
      </c>
      <c r="CL31" s="68"/>
      <c r="CM31" s="68"/>
      <c r="CN31" s="71">
        <f t="shared" si="29"/>
        <v>0</v>
      </c>
      <c r="CO31" s="68"/>
      <c r="CP31" s="68"/>
      <c r="CQ31" s="71">
        <f t="shared" si="30"/>
        <v>0</v>
      </c>
      <c r="CR31" s="68"/>
      <c r="CS31" s="68"/>
      <c r="CT31" s="71">
        <f t="shared" si="31"/>
        <v>0</v>
      </c>
      <c r="CU31" s="68"/>
      <c r="CV31" s="68"/>
      <c r="CW31" s="71">
        <f t="shared" si="32"/>
        <v>0</v>
      </c>
      <c r="CX31" s="68"/>
      <c r="CY31" s="68"/>
      <c r="CZ31" s="71">
        <f t="shared" si="33"/>
        <v>0</v>
      </c>
      <c r="DA31" s="68"/>
      <c r="DB31" s="68"/>
      <c r="DC31" s="71">
        <f t="shared" si="34"/>
        <v>0</v>
      </c>
      <c r="DD31" s="68"/>
      <c r="DE31" s="68"/>
      <c r="DF31" s="71">
        <f t="shared" si="35"/>
        <v>0</v>
      </c>
      <c r="DG31" s="68"/>
      <c r="DH31" s="68"/>
      <c r="DI31" s="71">
        <f t="shared" si="36"/>
        <v>0</v>
      </c>
      <c r="DJ31" s="68"/>
      <c r="DK31" s="68"/>
      <c r="DL31" s="71">
        <f t="shared" si="37"/>
        <v>0</v>
      </c>
      <c r="DM31" s="68"/>
      <c r="DN31" s="68"/>
      <c r="DO31" s="71">
        <f t="shared" si="38"/>
        <v>0</v>
      </c>
      <c r="DP31" s="68"/>
      <c r="DQ31" s="68"/>
      <c r="DR31" s="71">
        <f t="shared" si="39"/>
        <v>0</v>
      </c>
      <c r="DS31" s="71">
        <f t="shared" si="43"/>
        <v>140815</v>
      </c>
      <c r="DT31" s="71">
        <f t="shared" si="44"/>
        <v>136449</v>
      </c>
      <c r="DU31" s="71">
        <f t="shared" si="45"/>
        <v>-4366</v>
      </c>
      <c r="DV31" s="80"/>
      <c r="DW31" s="73"/>
      <c r="DX31" s="73"/>
      <c r="DY31" s="80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</row>
    <row r="32" spans="1:141" x14ac:dyDescent="0.25">
      <c r="A32" s="67">
        <f>+BaseloadMarkets!A32</f>
        <v>36704</v>
      </c>
      <c r="B32" s="67" t="str">
        <f>+BaseloadMarkets!B32</f>
        <v>Tues</v>
      </c>
      <c r="C32" s="68"/>
      <c r="D32" s="68"/>
      <c r="E32" s="71">
        <f t="shared" si="0"/>
        <v>0</v>
      </c>
      <c r="F32" s="68"/>
      <c r="G32" s="68"/>
      <c r="H32" s="71">
        <f t="shared" si="1"/>
        <v>0</v>
      </c>
      <c r="I32" s="68"/>
      <c r="J32" s="68"/>
      <c r="K32" s="71">
        <f>J32-I32</f>
        <v>0</v>
      </c>
      <c r="L32" s="68"/>
      <c r="M32" s="68"/>
      <c r="N32" s="71">
        <f>M32-L32</f>
        <v>0</v>
      </c>
      <c r="O32" s="68"/>
      <c r="P32" s="68"/>
      <c r="Q32" s="71">
        <f>P32-O32</f>
        <v>0</v>
      </c>
      <c r="R32" s="68"/>
      <c r="S32" s="68"/>
      <c r="T32" s="71">
        <f>S32-R32</f>
        <v>0</v>
      </c>
      <c r="U32" s="68"/>
      <c r="V32" s="68"/>
      <c r="W32" s="71">
        <f>V32-U32</f>
        <v>0</v>
      </c>
      <c r="X32" s="68"/>
      <c r="Y32" s="68"/>
      <c r="Z32" s="71">
        <f t="shared" si="7"/>
        <v>0</v>
      </c>
      <c r="AA32" s="68"/>
      <c r="AB32" s="68"/>
      <c r="AC32" s="71">
        <f t="shared" si="8"/>
        <v>0</v>
      </c>
      <c r="AD32" s="68"/>
      <c r="AE32" s="68"/>
      <c r="AF32" s="71">
        <f t="shared" si="9"/>
        <v>0</v>
      </c>
      <c r="AG32" s="68"/>
      <c r="AH32" s="68"/>
      <c r="AI32" s="71">
        <f t="shared" si="10"/>
        <v>0</v>
      </c>
      <c r="AJ32" s="68"/>
      <c r="AK32" s="68"/>
      <c r="AL32" s="71">
        <f t="shared" si="11"/>
        <v>0</v>
      </c>
      <c r="AM32" s="68">
        <f>135000+50000+15000</f>
        <v>200000</v>
      </c>
      <c r="AN32" s="68">
        <f>200000-10000+5451+4549</f>
        <v>200000</v>
      </c>
      <c r="AO32" s="71">
        <f t="shared" si="12"/>
        <v>0</v>
      </c>
      <c r="AP32" s="68"/>
      <c r="AQ32" s="68"/>
      <c r="AR32" s="71">
        <f t="shared" si="13"/>
        <v>0</v>
      </c>
      <c r="AS32" s="68">
        <v>15000</v>
      </c>
      <c r="AT32" s="68">
        <v>15000</v>
      </c>
      <c r="AU32" s="71">
        <f t="shared" si="14"/>
        <v>0</v>
      </c>
      <c r="AV32" s="68"/>
      <c r="AW32" s="68"/>
      <c r="AX32" s="71">
        <f t="shared" si="15"/>
        <v>0</v>
      </c>
      <c r="AY32" s="68"/>
      <c r="AZ32" s="68"/>
      <c r="BA32" s="71">
        <f t="shared" si="16"/>
        <v>0</v>
      </c>
      <c r="BB32" s="68"/>
      <c r="BC32" s="68"/>
      <c r="BD32" s="71">
        <f t="shared" si="17"/>
        <v>0</v>
      </c>
      <c r="BE32" s="68"/>
      <c r="BF32" s="68"/>
      <c r="BG32" s="71">
        <f t="shared" si="18"/>
        <v>0</v>
      </c>
      <c r="BH32" s="68"/>
      <c r="BI32" s="68"/>
      <c r="BJ32" s="71">
        <f t="shared" si="19"/>
        <v>0</v>
      </c>
      <c r="BK32" s="68"/>
      <c r="BL32" s="68"/>
      <c r="BM32" s="71">
        <f t="shared" si="20"/>
        <v>0</v>
      </c>
      <c r="BN32" s="68"/>
      <c r="BO32" s="68"/>
      <c r="BP32" s="71">
        <f t="shared" si="21"/>
        <v>0</v>
      </c>
      <c r="BQ32" s="68"/>
      <c r="BR32" s="68"/>
      <c r="BS32" s="71">
        <f t="shared" si="22"/>
        <v>0</v>
      </c>
      <c r="BT32" s="68"/>
      <c r="BU32" s="68"/>
      <c r="BV32" s="71">
        <f t="shared" si="23"/>
        <v>0</v>
      </c>
      <c r="BW32" s="68"/>
      <c r="BX32" s="68"/>
      <c r="BY32" s="71">
        <f t="shared" si="24"/>
        <v>0</v>
      </c>
      <c r="BZ32" s="68"/>
      <c r="CA32" s="68"/>
      <c r="CB32" s="71">
        <f t="shared" si="25"/>
        <v>0</v>
      </c>
      <c r="CC32" s="68"/>
      <c r="CD32" s="68"/>
      <c r="CE32" s="71">
        <f t="shared" si="26"/>
        <v>0</v>
      </c>
      <c r="CF32" s="68"/>
      <c r="CG32" s="68"/>
      <c r="CH32" s="71">
        <f t="shared" si="27"/>
        <v>0</v>
      </c>
      <c r="CI32" s="68"/>
      <c r="CJ32" s="68"/>
      <c r="CK32" s="71">
        <f t="shared" si="28"/>
        <v>0</v>
      </c>
      <c r="CL32" s="68"/>
      <c r="CM32" s="68"/>
      <c r="CN32" s="71">
        <f t="shared" si="29"/>
        <v>0</v>
      </c>
      <c r="CO32" s="68"/>
      <c r="CP32" s="68"/>
      <c r="CQ32" s="71">
        <f t="shared" si="30"/>
        <v>0</v>
      </c>
      <c r="CR32" s="68"/>
      <c r="CS32" s="68"/>
      <c r="CT32" s="71">
        <f t="shared" si="31"/>
        <v>0</v>
      </c>
      <c r="CU32" s="68"/>
      <c r="CV32" s="68"/>
      <c r="CW32" s="71">
        <f t="shared" si="32"/>
        <v>0</v>
      </c>
      <c r="CX32" s="68"/>
      <c r="CY32" s="68"/>
      <c r="CZ32" s="71">
        <f t="shared" si="33"/>
        <v>0</v>
      </c>
      <c r="DA32" s="68"/>
      <c r="DB32" s="68"/>
      <c r="DC32" s="71">
        <f t="shared" si="34"/>
        <v>0</v>
      </c>
      <c r="DD32" s="68"/>
      <c r="DE32" s="68"/>
      <c r="DF32" s="71">
        <f t="shared" si="35"/>
        <v>0</v>
      </c>
      <c r="DG32" s="68"/>
      <c r="DH32" s="68"/>
      <c r="DI32" s="71">
        <f t="shared" si="36"/>
        <v>0</v>
      </c>
      <c r="DJ32" s="68"/>
      <c r="DK32" s="68"/>
      <c r="DL32" s="71">
        <f t="shared" si="37"/>
        <v>0</v>
      </c>
      <c r="DM32" s="68"/>
      <c r="DN32" s="68"/>
      <c r="DO32" s="71">
        <f t="shared" si="38"/>
        <v>0</v>
      </c>
      <c r="DP32" s="68"/>
      <c r="DQ32" s="68"/>
      <c r="DR32" s="71">
        <f t="shared" si="39"/>
        <v>0</v>
      </c>
      <c r="DS32" s="71">
        <f t="shared" si="43"/>
        <v>215000</v>
      </c>
      <c r="DT32" s="71">
        <f t="shared" si="44"/>
        <v>215000</v>
      </c>
      <c r="DU32" s="71">
        <f t="shared" si="45"/>
        <v>0</v>
      </c>
      <c r="DV32" s="80"/>
      <c r="DW32" s="73"/>
      <c r="DX32" s="73"/>
      <c r="DY32" s="80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</row>
    <row r="33" spans="1:178" x14ac:dyDescent="0.25">
      <c r="A33" s="67">
        <f>+BaseloadMarkets!A33</f>
        <v>36705</v>
      </c>
      <c r="B33" s="67" t="str">
        <f>+BaseloadMarkets!B33</f>
        <v>Wed</v>
      </c>
      <c r="C33" s="68"/>
      <c r="D33" s="68"/>
      <c r="E33" s="71">
        <f t="shared" si="0"/>
        <v>0</v>
      </c>
      <c r="F33" s="68"/>
      <c r="G33" s="68"/>
      <c r="H33" s="71">
        <f t="shared" si="1"/>
        <v>0</v>
      </c>
      <c r="I33" s="68"/>
      <c r="J33" s="68"/>
      <c r="K33" s="71">
        <f>J33-I33</f>
        <v>0</v>
      </c>
      <c r="L33" s="68"/>
      <c r="M33" s="68"/>
      <c r="N33" s="71">
        <f>M33-L33</f>
        <v>0</v>
      </c>
      <c r="O33" s="68"/>
      <c r="P33" s="68"/>
      <c r="Q33" s="71">
        <f>P33-O33</f>
        <v>0</v>
      </c>
      <c r="R33" s="68"/>
      <c r="S33" s="68"/>
      <c r="T33" s="71">
        <f>S33-R33</f>
        <v>0</v>
      </c>
      <c r="U33" s="68"/>
      <c r="V33" s="68"/>
      <c r="W33" s="71">
        <f>V33-U33</f>
        <v>0</v>
      </c>
      <c r="X33" s="68"/>
      <c r="Y33" s="68"/>
      <c r="Z33" s="71">
        <f t="shared" si="7"/>
        <v>0</v>
      </c>
      <c r="AA33" s="68"/>
      <c r="AB33" s="68"/>
      <c r="AC33" s="71">
        <f t="shared" si="8"/>
        <v>0</v>
      </c>
      <c r="AD33" s="68"/>
      <c r="AE33" s="68"/>
      <c r="AF33" s="71">
        <f t="shared" si="9"/>
        <v>0</v>
      </c>
      <c r="AG33" s="68"/>
      <c r="AH33" s="68"/>
      <c r="AI33" s="71">
        <f t="shared" si="10"/>
        <v>0</v>
      </c>
      <c r="AJ33" s="68"/>
      <c r="AK33" s="68"/>
      <c r="AL33" s="71">
        <f t="shared" si="11"/>
        <v>0</v>
      </c>
      <c r="AM33" s="68">
        <f>19585+30000+50000</f>
        <v>99585</v>
      </c>
      <c r="AN33" s="68">
        <f>99585</f>
        <v>99585</v>
      </c>
      <c r="AO33" s="71">
        <f t="shared" si="12"/>
        <v>0</v>
      </c>
      <c r="AP33" s="68"/>
      <c r="AQ33" s="68"/>
      <c r="AR33" s="71">
        <f t="shared" si="13"/>
        <v>0</v>
      </c>
      <c r="AS33" s="68">
        <v>15000</v>
      </c>
      <c r="AT33" s="68">
        <v>15000</v>
      </c>
      <c r="AU33" s="71">
        <f t="shared" si="14"/>
        <v>0</v>
      </c>
      <c r="AV33" s="68"/>
      <c r="AW33" s="68"/>
      <c r="AX33" s="71">
        <f t="shared" si="15"/>
        <v>0</v>
      </c>
      <c r="AY33" s="68"/>
      <c r="AZ33" s="68"/>
      <c r="BA33" s="71">
        <f t="shared" si="16"/>
        <v>0</v>
      </c>
      <c r="BB33" s="68"/>
      <c r="BC33" s="68"/>
      <c r="BD33" s="71">
        <f t="shared" si="17"/>
        <v>0</v>
      </c>
      <c r="BE33" s="68"/>
      <c r="BF33" s="68"/>
      <c r="BG33" s="71">
        <f t="shared" si="18"/>
        <v>0</v>
      </c>
      <c r="BH33" s="68"/>
      <c r="BI33" s="68"/>
      <c r="BJ33" s="71">
        <f t="shared" si="19"/>
        <v>0</v>
      </c>
      <c r="BK33" s="68"/>
      <c r="BL33" s="68"/>
      <c r="BM33" s="71">
        <f t="shared" si="20"/>
        <v>0</v>
      </c>
      <c r="BN33" s="68"/>
      <c r="BO33" s="68"/>
      <c r="BP33" s="71">
        <f t="shared" si="21"/>
        <v>0</v>
      </c>
      <c r="BQ33" s="68"/>
      <c r="BR33" s="68"/>
      <c r="BS33" s="71">
        <f t="shared" si="22"/>
        <v>0</v>
      </c>
      <c r="BT33" s="68"/>
      <c r="BU33" s="68"/>
      <c r="BV33" s="71">
        <f t="shared" si="23"/>
        <v>0</v>
      </c>
      <c r="BW33" s="68"/>
      <c r="BX33" s="68"/>
      <c r="BY33" s="71">
        <f t="shared" si="24"/>
        <v>0</v>
      </c>
      <c r="BZ33" s="68"/>
      <c r="CA33" s="68"/>
      <c r="CB33" s="71">
        <f t="shared" si="25"/>
        <v>0</v>
      </c>
      <c r="CC33" s="68"/>
      <c r="CD33" s="68"/>
      <c r="CE33" s="71">
        <f t="shared" si="26"/>
        <v>0</v>
      </c>
      <c r="CF33" s="68"/>
      <c r="CG33" s="68"/>
      <c r="CH33" s="71">
        <f t="shared" si="27"/>
        <v>0</v>
      </c>
      <c r="CI33" s="68"/>
      <c r="CJ33" s="68"/>
      <c r="CK33" s="71">
        <f t="shared" si="28"/>
        <v>0</v>
      </c>
      <c r="CL33" s="68"/>
      <c r="CM33" s="68"/>
      <c r="CN33" s="71">
        <f t="shared" si="29"/>
        <v>0</v>
      </c>
      <c r="CO33" s="68"/>
      <c r="CP33" s="68"/>
      <c r="CQ33" s="71">
        <f t="shared" si="30"/>
        <v>0</v>
      </c>
      <c r="CR33" s="68"/>
      <c r="CS33" s="68"/>
      <c r="CT33" s="71">
        <f t="shared" si="31"/>
        <v>0</v>
      </c>
      <c r="CU33" s="68"/>
      <c r="CV33" s="68"/>
      <c r="CW33" s="71">
        <f t="shared" si="32"/>
        <v>0</v>
      </c>
      <c r="CX33" s="68"/>
      <c r="CY33" s="68"/>
      <c r="CZ33" s="71">
        <f t="shared" si="33"/>
        <v>0</v>
      </c>
      <c r="DA33" s="68"/>
      <c r="DB33" s="68"/>
      <c r="DC33" s="71">
        <f t="shared" si="34"/>
        <v>0</v>
      </c>
      <c r="DD33" s="68"/>
      <c r="DE33" s="68"/>
      <c r="DF33" s="71">
        <f t="shared" si="35"/>
        <v>0</v>
      </c>
      <c r="DG33" s="68"/>
      <c r="DH33" s="68"/>
      <c r="DI33" s="71">
        <f t="shared" si="36"/>
        <v>0</v>
      </c>
      <c r="DJ33" s="68"/>
      <c r="DK33" s="68"/>
      <c r="DL33" s="71">
        <f t="shared" si="37"/>
        <v>0</v>
      </c>
      <c r="DM33" s="68"/>
      <c r="DN33" s="68"/>
      <c r="DO33" s="71">
        <f t="shared" si="38"/>
        <v>0</v>
      </c>
      <c r="DP33" s="68"/>
      <c r="DQ33" s="68"/>
      <c r="DR33" s="71">
        <f t="shared" si="39"/>
        <v>0</v>
      </c>
      <c r="DS33" s="71">
        <f t="shared" si="43"/>
        <v>114585</v>
      </c>
      <c r="DT33" s="71">
        <f t="shared" si="44"/>
        <v>114585</v>
      </c>
      <c r="DU33" s="71">
        <f t="shared" si="45"/>
        <v>0</v>
      </c>
      <c r="DV33" s="80"/>
      <c r="DW33" s="73"/>
      <c r="DX33" s="73"/>
      <c r="DY33" s="80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</row>
    <row r="34" spans="1:178" x14ac:dyDescent="0.25">
      <c r="A34" s="67">
        <f>+BaseloadMarkets!A34</f>
        <v>36706</v>
      </c>
      <c r="B34" s="67" t="str">
        <f>+BaseloadMarkets!B34</f>
        <v>Thu</v>
      </c>
      <c r="C34" s="68"/>
      <c r="D34" s="68"/>
      <c r="E34" s="71">
        <f t="shared" si="0"/>
        <v>0</v>
      </c>
      <c r="F34" s="68"/>
      <c r="G34" s="68"/>
      <c r="H34" s="71">
        <f t="shared" si="1"/>
        <v>0</v>
      </c>
      <c r="I34" s="68"/>
      <c r="J34" s="68"/>
      <c r="K34" s="71">
        <f>J34-I34</f>
        <v>0</v>
      </c>
      <c r="L34" s="68"/>
      <c r="M34" s="68"/>
      <c r="N34" s="71">
        <f>M34-L34</f>
        <v>0</v>
      </c>
      <c r="O34" s="68"/>
      <c r="P34" s="68"/>
      <c r="Q34" s="71">
        <f>P34-O34</f>
        <v>0</v>
      </c>
      <c r="R34" s="68"/>
      <c r="S34" s="68"/>
      <c r="T34" s="71">
        <f>S34-R34</f>
        <v>0</v>
      </c>
      <c r="U34" s="68"/>
      <c r="V34" s="68"/>
      <c r="W34" s="71">
        <f>V34-U34</f>
        <v>0</v>
      </c>
      <c r="X34" s="68"/>
      <c r="Y34" s="68"/>
      <c r="Z34" s="71">
        <f t="shared" si="7"/>
        <v>0</v>
      </c>
      <c r="AA34" s="68"/>
      <c r="AB34" s="68"/>
      <c r="AC34" s="71">
        <f t="shared" si="8"/>
        <v>0</v>
      </c>
      <c r="AD34" s="68"/>
      <c r="AE34" s="68"/>
      <c r="AF34" s="71">
        <f t="shared" si="9"/>
        <v>0</v>
      </c>
      <c r="AG34" s="68">
        <v>100000</v>
      </c>
      <c r="AH34" s="68">
        <v>100000</v>
      </c>
      <c r="AI34" s="71">
        <f t="shared" si="10"/>
        <v>0</v>
      </c>
      <c r="AJ34" s="68"/>
      <c r="AK34" s="68"/>
      <c r="AL34" s="71">
        <f t="shared" si="11"/>
        <v>0</v>
      </c>
      <c r="AM34" s="68">
        <f>50000+15000+12000+19000</f>
        <v>96000</v>
      </c>
      <c r="AN34" s="68">
        <v>96000</v>
      </c>
      <c r="AO34" s="71">
        <f t="shared" si="12"/>
        <v>0</v>
      </c>
      <c r="AP34" s="68"/>
      <c r="AQ34" s="68"/>
      <c r="AR34" s="71">
        <f t="shared" si="13"/>
        <v>0</v>
      </c>
      <c r="AS34" s="68">
        <v>15000</v>
      </c>
      <c r="AT34" s="68">
        <v>15000</v>
      </c>
      <c r="AU34" s="71">
        <f t="shared" si="14"/>
        <v>0</v>
      </c>
      <c r="AV34" s="68"/>
      <c r="AW34" s="68"/>
      <c r="AX34" s="71">
        <f t="shared" si="15"/>
        <v>0</v>
      </c>
      <c r="AY34" s="68">
        <v>10000</v>
      </c>
      <c r="AZ34" s="68">
        <v>10000</v>
      </c>
      <c r="BA34" s="71">
        <f t="shared" si="16"/>
        <v>0</v>
      </c>
      <c r="BB34" s="68"/>
      <c r="BC34" s="68"/>
      <c r="BD34" s="71">
        <f t="shared" si="17"/>
        <v>0</v>
      </c>
      <c r="BE34" s="68"/>
      <c r="BF34" s="68"/>
      <c r="BG34" s="71">
        <f t="shared" si="18"/>
        <v>0</v>
      </c>
      <c r="BH34" s="68"/>
      <c r="BI34" s="68"/>
      <c r="BJ34" s="71">
        <f t="shared" si="19"/>
        <v>0</v>
      </c>
      <c r="BK34" s="68"/>
      <c r="BL34" s="68"/>
      <c r="BM34" s="71">
        <f t="shared" si="20"/>
        <v>0</v>
      </c>
      <c r="BN34" s="68"/>
      <c r="BO34" s="68"/>
      <c r="BP34" s="71">
        <f t="shared" si="21"/>
        <v>0</v>
      </c>
      <c r="BQ34" s="68"/>
      <c r="BR34" s="68"/>
      <c r="BS34" s="71">
        <f t="shared" si="22"/>
        <v>0</v>
      </c>
      <c r="BT34" s="68"/>
      <c r="BU34" s="68"/>
      <c r="BV34" s="71">
        <f t="shared" si="23"/>
        <v>0</v>
      </c>
      <c r="BW34" s="68"/>
      <c r="BX34" s="68"/>
      <c r="BY34" s="71">
        <f t="shared" si="24"/>
        <v>0</v>
      </c>
      <c r="BZ34" s="68"/>
      <c r="CA34" s="68"/>
      <c r="CB34" s="71">
        <f t="shared" si="25"/>
        <v>0</v>
      </c>
      <c r="CC34" s="68"/>
      <c r="CD34" s="68"/>
      <c r="CE34" s="71">
        <f t="shared" si="26"/>
        <v>0</v>
      </c>
      <c r="CF34" s="68"/>
      <c r="CG34" s="68"/>
      <c r="CH34" s="71">
        <f t="shared" si="27"/>
        <v>0</v>
      </c>
      <c r="CI34" s="68"/>
      <c r="CJ34" s="68"/>
      <c r="CK34" s="71">
        <f t="shared" si="28"/>
        <v>0</v>
      </c>
      <c r="CL34" s="68"/>
      <c r="CM34" s="68"/>
      <c r="CN34" s="71">
        <f t="shared" si="29"/>
        <v>0</v>
      </c>
      <c r="CO34" s="68"/>
      <c r="CP34" s="68"/>
      <c r="CQ34" s="71">
        <f t="shared" si="30"/>
        <v>0</v>
      </c>
      <c r="CR34" s="68"/>
      <c r="CS34" s="68"/>
      <c r="CT34" s="71">
        <f t="shared" si="31"/>
        <v>0</v>
      </c>
      <c r="CU34" s="68"/>
      <c r="CV34" s="68"/>
      <c r="CW34" s="71">
        <f t="shared" si="32"/>
        <v>0</v>
      </c>
      <c r="CX34" s="68"/>
      <c r="CY34" s="68"/>
      <c r="CZ34" s="71">
        <f t="shared" si="33"/>
        <v>0</v>
      </c>
      <c r="DA34" s="68"/>
      <c r="DB34" s="68"/>
      <c r="DC34" s="71">
        <f t="shared" si="34"/>
        <v>0</v>
      </c>
      <c r="DD34" s="68"/>
      <c r="DE34" s="68"/>
      <c r="DF34" s="71">
        <f t="shared" si="35"/>
        <v>0</v>
      </c>
      <c r="DG34" s="68"/>
      <c r="DH34" s="68"/>
      <c r="DI34" s="71">
        <f t="shared" si="36"/>
        <v>0</v>
      </c>
      <c r="DJ34" s="68"/>
      <c r="DK34" s="68"/>
      <c r="DL34" s="71">
        <f t="shared" si="37"/>
        <v>0</v>
      </c>
      <c r="DM34" s="68"/>
      <c r="DN34" s="68"/>
      <c r="DO34" s="71">
        <f t="shared" si="38"/>
        <v>0</v>
      </c>
      <c r="DP34" s="68"/>
      <c r="DQ34" s="68"/>
      <c r="DR34" s="71">
        <f t="shared" si="39"/>
        <v>0</v>
      </c>
      <c r="DS34" s="71">
        <f t="shared" si="43"/>
        <v>221000</v>
      </c>
      <c r="DT34" s="71">
        <f t="shared" si="44"/>
        <v>221000</v>
      </c>
      <c r="DU34" s="71">
        <f t="shared" si="45"/>
        <v>0</v>
      </c>
      <c r="DV34" s="80"/>
      <c r="DW34" s="73"/>
      <c r="DX34" s="73"/>
      <c r="DY34" s="80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</row>
    <row r="35" spans="1:178" x14ac:dyDescent="0.25">
      <c r="A35" s="67">
        <f>+BaseloadMarkets!A35</f>
        <v>36707</v>
      </c>
      <c r="B35" s="67" t="str">
        <f>+BaseloadMarkets!B35</f>
        <v>Fri</v>
      </c>
      <c r="C35" s="68"/>
      <c r="D35" s="68"/>
      <c r="E35" s="71">
        <f>D35-C35</f>
        <v>0</v>
      </c>
      <c r="F35" s="68"/>
      <c r="G35" s="68"/>
      <c r="H35" s="71">
        <f>G35-F35</f>
        <v>0</v>
      </c>
      <c r="I35" s="68"/>
      <c r="J35" s="68"/>
      <c r="K35" s="71">
        <f>J35-I35</f>
        <v>0</v>
      </c>
      <c r="L35" s="68"/>
      <c r="M35" s="68"/>
      <c r="N35" s="71">
        <f>M35-L35</f>
        <v>0</v>
      </c>
      <c r="O35" s="68"/>
      <c r="P35" s="68"/>
      <c r="Q35" s="71">
        <f>P35-O35</f>
        <v>0</v>
      </c>
      <c r="R35" s="68"/>
      <c r="S35" s="68"/>
      <c r="T35" s="71">
        <f>S35-R35</f>
        <v>0</v>
      </c>
      <c r="U35" s="68"/>
      <c r="V35" s="68"/>
      <c r="W35" s="71">
        <f>V35-U35</f>
        <v>0</v>
      </c>
      <c r="X35" s="68"/>
      <c r="Y35" s="68"/>
      <c r="Z35" s="71">
        <f>Y35-X35</f>
        <v>0</v>
      </c>
      <c r="AA35" s="68"/>
      <c r="AB35" s="68"/>
      <c r="AC35" s="71">
        <f>AB35-AA35</f>
        <v>0</v>
      </c>
      <c r="AD35" s="68"/>
      <c r="AE35" s="68"/>
      <c r="AF35" s="71">
        <f>AE35-AD35</f>
        <v>0</v>
      </c>
      <c r="AG35" s="68">
        <v>20000</v>
      </c>
      <c r="AH35" s="68">
        <v>20000</v>
      </c>
      <c r="AI35" s="71">
        <f>AH35-AG35</f>
        <v>0</v>
      </c>
      <c r="AJ35" s="68"/>
      <c r="AK35" s="68"/>
      <c r="AL35" s="71">
        <f>AK35-AJ35</f>
        <v>0</v>
      </c>
      <c r="AM35" s="68">
        <f>50000+15000+19000</f>
        <v>84000</v>
      </c>
      <c r="AN35" s="68">
        <f>47160+15000+19000</f>
        <v>81160</v>
      </c>
      <c r="AO35" s="71">
        <f>AN35-AM35</f>
        <v>-2840</v>
      </c>
      <c r="AP35" s="68"/>
      <c r="AQ35" s="68"/>
      <c r="AR35" s="71">
        <f>AQ35-AP35</f>
        <v>0</v>
      </c>
      <c r="AS35" s="68">
        <v>15000</v>
      </c>
      <c r="AT35" s="68">
        <v>15000</v>
      </c>
      <c r="AU35" s="71">
        <f>AT35-AS35</f>
        <v>0</v>
      </c>
      <c r="AV35" s="68"/>
      <c r="AW35" s="68"/>
      <c r="AX35" s="71">
        <f>AW35-AV35</f>
        <v>0</v>
      </c>
      <c r="AY35" s="68"/>
      <c r="AZ35" s="68"/>
      <c r="BA35" s="71">
        <f>AZ35-AY35</f>
        <v>0</v>
      </c>
      <c r="BB35" s="68"/>
      <c r="BC35" s="68"/>
      <c r="BD35" s="71">
        <f>BC35-BB35</f>
        <v>0</v>
      </c>
      <c r="BE35" s="68"/>
      <c r="BF35" s="68"/>
      <c r="BG35" s="71">
        <f>BF35-BE35</f>
        <v>0</v>
      </c>
      <c r="BH35" s="68"/>
      <c r="BI35" s="68"/>
      <c r="BJ35" s="71">
        <f>BI35-BH35</f>
        <v>0</v>
      </c>
      <c r="BK35" s="68"/>
      <c r="BL35" s="68"/>
      <c r="BM35" s="71">
        <f>BL35-BK35</f>
        <v>0</v>
      </c>
      <c r="BN35" s="68"/>
      <c r="BO35" s="68"/>
      <c r="BP35" s="71">
        <f>BO35-BN35</f>
        <v>0</v>
      </c>
      <c r="BQ35" s="68"/>
      <c r="BR35" s="68"/>
      <c r="BS35" s="71">
        <f>BR35-BQ35</f>
        <v>0</v>
      </c>
      <c r="BT35" s="68"/>
      <c r="BU35" s="68"/>
      <c r="BV35" s="71">
        <f>BU35-BT35</f>
        <v>0</v>
      </c>
      <c r="BW35" s="68"/>
      <c r="BX35" s="68"/>
      <c r="BY35" s="71">
        <f>BX35-BW35</f>
        <v>0</v>
      </c>
      <c r="BZ35" s="68"/>
      <c r="CA35" s="68"/>
      <c r="CB35" s="71">
        <f>CA35-BZ35</f>
        <v>0</v>
      </c>
      <c r="CC35" s="68"/>
      <c r="CD35" s="68"/>
      <c r="CE35" s="71">
        <f>CD35-CC35</f>
        <v>0</v>
      </c>
      <c r="CF35" s="68"/>
      <c r="CG35" s="68"/>
      <c r="CH35" s="71">
        <f>CG35-CF35</f>
        <v>0</v>
      </c>
      <c r="CI35" s="68"/>
      <c r="CJ35" s="68"/>
      <c r="CK35" s="71">
        <f>CJ35-CI35</f>
        <v>0</v>
      </c>
      <c r="CL35" s="68"/>
      <c r="CM35" s="68"/>
      <c r="CN35" s="71">
        <f>CM35-CL35</f>
        <v>0</v>
      </c>
      <c r="CO35" s="68"/>
      <c r="CP35" s="68"/>
      <c r="CQ35" s="71">
        <f>CP35-CO35</f>
        <v>0</v>
      </c>
      <c r="CR35" s="68"/>
      <c r="CS35" s="68"/>
      <c r="CT35" s="71">
        <f>CS35-CR35</f>
        <v>0</v>
      </c>
      <c r="CU35" s="68"/>
      <c r="CV35" s="68"/>
      <c r="CW35" s="71">
        <f>CV35-CU35</f>
        <v>0</v>
      </c>
      <c r="CX35" s="68"/>
      <c r="CY35" s="68"/>
      <c r="CZ35" s="71">
        <f>CY35-CX35</f>
        <v>0</v>
      </c>
      <c r="DA35" s="68"/>
      <c r="DB35" s="68"/>
      <c r="DC35" s="71">
        <f>DB35-DA35</f>
        <v>0</v>
      </c>
      <c r="DD35" s="68"/>
      <c r="DE35" s="68"/>
      <c r="DF35" s="71">
        <f>DE35-DD35</f>
        <v>0</v>
      </c>
      <c r="DG35" s="68"/>
      <c r="DH35" s="68"/>
      <c r="DI35" s="71">
        <f>DH35-DG35</f>
        <v>0</v>
      </c>
      <c r="DJ35" s="68"/>
      <c r="DK35" s="68"/>
      <c r="DL35" s="71">
        <f>DK35-DJ35</f>
        <v>0</v>
      </c>
      <c r="DM35" s="68"/>
      <c r="DN35" s="68"/>
      <c r="DO35" s="71">
        <f>DN35-DM35</f>
        <v>0</v>
      </c>
      <c r="DP35" s="68"/>
      <c r="DQ35" s="68"/>
      <c r="DR35" s="71">
        <f>DQ35-DP35</f>
        <v>0</v>
      </c>
      <c r="DS35" s="71">
        <f>+C35+F35+I35+L35+O35+R35+U35+X35+AA35+AD35+AG35+AJ35+AM35+AP35+AS35+AV35+AY35+BB35+BE35+BH35+BK35+BN35+BQ35+BT35+BW35+BZ35+CC35+CF35+CI35+CL35+CO35+CR35+CU35+CX35+DA35+DD35+DG35+DJ35+DM35+DP35</f>
        <v>119000</v>
      </c>
      <c r="DT35" s="71">
        <f>+D35+G35+J35+M35+P35+S35+V35+Y35+AB35+AE35+AH35+AK35+AN35+AQ35+AT35+AW35+AZ35+BC35+BF35+BI35+BL35+BO35+BR35+BU35+BX35+CA35+CD35+CG35+CJ35+CM35+CP35+CS35+CV35+CY35+DB35+DE35+DH35+DK35+DN35+DQ35</f>
        <v>116160</v>
      </c>
      <c r="DU35" s="71">
        <f>DT35-DS35</f>
        <v>-2840</v>
      </c>
      <c r="DV35" s="80"/>
      <c r="DW35" s="73"/>
      <c r="DX35" s="73"/>
      <c r="DY35" s="80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</row>
    <row r="36" spans="1:178" x14ac:dyDescent="0.25">
      <c r="A36" s="67"/>
      <c r="B36" s="67"/>
      <c r="C36" s="68"/>
      <c r="D36" s="68"/>
      <c r="E36" s="71"/>
      <c r="F36" s="68"/>
      <c r="G36" s="68"/>
      <c r="H36" s="71"/>
      <c r="I36" s="68"/>
      <c r="J36" s="68"/>
      <c r="K36" s="71"/>
      <c r="L36" s="68"/>
      <c r="M36" s="68"/>
      <c r="N36" s="71"/>
      <c r="O36" s="68"/>
      <c r="P36" s="68"/>
      <c r="Q36" s="71"/>
      <c r="R36" s="68"/>
      <c r="S36" s="68"/>
      <c r="T36" s="71"/>
      <c r="U36" s="68"/>
      <c r="V36" s="68"/>
      <c r="W36" s="71"/>
      <c r="X36" s="68"/>
      <c r="Y36" s="68"/>
      <c r="Z36" s="71"/>
      <c r="AA36" s="68"/>
      <c r="AB36" s="68"/>
      <c r="AC36" s="71"/>
      <c r="AD36" s="68"/>
      <c r="AE36" s="68"/>
      <c r="AF36" s="71"/>
      <c r="AG36" s="68"/>
      <c r="AH36" s="68"/>
      <c r="AI36" s="71"/>
      <c r="AJ36" s="68"/>
      <c r="AK36" s="68"/>
      <c r="AL36" s="71"/>
      <c r="AM36" s="68"/>
      <c r="AN36" s="68"/>
      <c r="AO36" s="71"/>
      <c r="AP36" s="68"/>
      <c r="AQ36" s="68"/>
      <c r="AR36" s="71"/>
      <c r="AS36" s="68"/>
      <c r="AT36" s="68"/>
      <c r="AU36" s="71"/>
      <c r="AV36" s="68"/>
      <c r="AW36" s="68"/>
      <c r="AX36" s="71"/>
      <c r="AY36" s="68"/>
      <c r="AZ36" s="68"/>
      <c r="BA36" s="71"/>
      <c r="BB36" s="68"/>
      <c r="BC36" s="68"/>
      <c r="BD36" s="71"/>
      <c r="BE36" s="68"/>
      <c r="BF36" s="68"/>
      <c r="BG36" s="71"/>
      <c r="BH36" s="68"/>
      <c r="BI36" s="68"/>
      <c r="BJ36" s="71"/>
      <c r="BK36" s="68"/>
      <c r="BL36" s="68"/>
      <c r="BM36" s="71"/>
      <c r="BN36" s="68"/>
      <c r="BO36" s="68"/>
      <c r="BP36" s="71"/>
      <c r="BQ36" s="68"/>
      <c r="BR36" s="68"/>
      <c r="BS36" s="71"/>
      <c r="BT36" s="68"/>
      <c r="BU36" s="68"/>
      <c r="BV36" s="71"/>
      <c r="BW36" s="68"/>
      <c r="BX36" s="68"/>
      <c r="BY36" s="71"/>
      <c r="BZ36" s="68"/>
      <c r="CA36" s="68"/>
      <c r="CB36" s="71"/>
      <c r="CC36" s="68"/>
      <c r="CD36" s="68"/>
      <c r="CE36" s="71"/>
      <c r="CF36" s="68"/>
      <c r="CG36" s="68"/>
      <c r="CH36" s="71"/>
      <c r="CI36" s="68"/>
      <c r="CJ36" s="68"/>
      <c r="CK36" s="71"/>
      <c r="CL36" s="68"/>
      <c r="CM36" s="68"/>
      <c r="CN36" s="71"/>
      <c r="CO36" s="68"/>
      <c r="CP36" s="68"/>
      <c r="CQ36" s="71"/>
      <c r="CR36" s="68"/>
      <c r="CS36" s="68"/>
      <c r="CT36" s="71"/>
      <c r="CU36" s="68"/>
      <c r="CV36" s="68"/>
      <c r="CW36" s="71"/>
      <c r="CX36" s="68"/>
      <c r="CY36" s="68"/>
      <c r="CZ36" s="71"/>
      <c r="DA36" s="68"/>
      <c r="DB36" s="68"/>
      <c r="DC36" s="71"/>
      <c r="DD36" s="68"/>
      <c r="DE36" s="68"/>
      <c r="DF36" s="71"/>
      <c r="DG36" s="68"/>
      <c r="DH36" s="68"/>
      <c r="DI36" s="71"/>
      <c r="DJ36" s="68"/>
      <c r="DK36" s="68"/>
      <c r="DL36" s="71"/>
      <c r="DM36" s="68"/>
      <c r="DN36" s="68"/>
      <c r="DO36" s="71"/>
      <c r="DP36" s="68"/>
      <c r="DQ36" s="68"/>
      <c r="DR36" s="71"/>
      <c r="DS36" s="71"/>
      <c r="DT36" s="71"/>
      <c r="DU36" s="71"/>
      <c r="DV36" s="80"/>
      <c r="DW36" s="73"/>
      <c r="DX36" s="73"/>
      <c r="DY36" s="80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</row>
    <row r="37" spans="1:178" s="85" customFormat="1" x14ac:dyDescent="0.25">
      <c r="A37" s="81" t="s">
        <v>17</v>
      </c>
      <c r="B37" s="28"/>
      <c r="C37" s="19">
        <f t="shared" ref="C37:H37" si="46">SUM(C6:C36)</f>
        <v>4989</v>
      </c>
      <c r="D37" s="19">
        <f t="shared" si="46"/>
        <v>4989</v>
      </c>
      <c r="E37" s="19">
        <f t="shared" si="46"/>
        <v>0</v>
      </c>
      <c r="F37" s="19">
        <f>SUM(F6:F36)</f>
        <v>22000</v>
      </c>
      <c r="G37" s="19">
        <f>SUM(G6:G36)</f>
        <v>22000</v>
      </c>
      <c r="H37" s="19">
        <f t="shared" si="46"/>
        <v>0</v>
      </c>
      <c r="I37" s="19">
        <f>SUM(I6:I36)</f>
        <v>120000</v>
      </c>
      <c r="J37" s="19">
        <f>SUM(J6:J36)</f>
        <v>120000</v>
      </c>
      <c r="K37" s="84">
        <f>SUM(K10:K36)</f>
        <v>0</v>
      </c>
      <c r="L37" s="19">
        <f>SUM(L6:L36)</f>
        <v>168000</v>
      </c>
      <c r="M37" s="19">
        <f>SUM(M6:M36)</f>
        <v>168000</v>
      </c>
      <c r="N37" s="84">
        <f t="shared" ref="N37:AQ37" si="47">SUM(N6:N36)</f>
        <v>0</v>
      </c>
      <c r="O37" s="19">
        <f>SUM(O6:O36)</f>
        <v>10000</v>
      </c>
      <c r="P37" s="19">
        <f>SUM(P6:P36)</f>
        <v>10000</v>
      </c>
      <c r="Q37" s="84">
        <f t="shared" si="47"/>
        <v>0</v>
      </c>
      <c r="R37" s="19">
        <f>SUM(R6:R36)</f>
        <v>8723</v>
      </c>
      <c r="S37" s="19">
        <f>SUM(S6:S36)</f>
        <v>8723</v>
      </c>
      <c r="T37" s="84">
        <f t="shared" si="47"/>
        <v>0</v>
      </c>
      <c r="U37" s="19">
        <f>SUM(U6:U36)</f>
        <v>6000</v>
      </c>
      <c r="V37" s="19">
        <f>SUM(V6:V36)</f>
        <v>6000</v>
      </c>
      <c r="W37" s="84">
        <f t="shared" si="47"/>
        <v>0</v>
      </c>
      <c r="X37" s="19">
        <f>SUM(X6:X36)</f>
        <v>20000</v>
      </c>
      <c r="Y37" s="19">
        <f>SUM(Y6:Y36)</f>
        <v>20000</v>
      </c>
      <c r="Z37" s="84">
        <f t="shared" si="47"/>
        <v>0</v>
      </c>
      <c r="AA37" s="19">
        <f>SUM(AA6:AA36)</f>
        <v>14000</v>
      </c>
      <c r="AB37" s="19">
        <f>SUM(AB6:AB36)</f>
        <v>14000</v>
      </c>
      <c r="AC37" s="84">
        <f t="shared" si="47"/>
        <v>0</v>
      </c>
      <c r="AD37" s="19">
        <f>SUM(AD6:AD36)</f>
        <v>647341</v>
      </c>
      <c r="AE37" s="19">
        <f>SUM(AE6:AE36)</f>
        <v>647341</v>
      </c>
      <c r="AF37" s="84">
        <f t="shared" si="47"/>
        <v>0</v>
      </c>
      <c r="AG37" s="19">
        <f>SUM(AG6:AG36)</f>
        <v>708137</v>
      </c>
      <c r="AH37" s="19">
        <f>SUM(AH6:AH36)</f>
        <v>703957</v>
      </c>
      <c r="AI37" s="84">
        <f t="shared" si="47"/>
        <v>-4180</v>
      </c>
      <c r="AJ37" s="19">
        <f t="shared" si="47"/>
        <v>30000</v>
      </c>
      <c r="AK37" s="19">
        <f t="shared" si="47"/>
        <v>30000</v>
      </c>
      <c r="AL37" s="84">
        <f t="shared" si="47"/>
        <v>0</v>
      </c>
      <c r="AM37" s="19">
        <f t="shared" si="47"/>
        <v>1368585</v>
      </c>
      <c r="AN37" s="19">
        <f t="shared" si="47"/>
        <v>1341930</v>
      </c>
      <c r="AO37" s="84">
        <f t="shared" si="47"/>
        <v>-26655</v>
      </c>
      <c r="AP37" s="19">
        <f t="shared" si="47"/>
        <v>10000</v>
      </c>
      <c r="AQ37" s="19">
        <f t="shared" si="47"/>
        <v>10000</v>
      </c>
      <c r="AR37" s="84">
        <f t="shared" ref="AR37:BU37" si="48">SUM(AR6:AR36)</f>
        <v>0</v>
      </c>
      <c r="AS37" s="19">
        <f t="shared" si="48"/>
        <v>125000</v>
      </c>
      <c r="AT37" s="19">
        <f t="shared" si="48"/>
        <v>125000</v>
      </c>
      <c r="AU37" s="84">
        <f t="shared" si="48"/>
        <v>0</v>
      </c>
      <c r="AV37" s="19">
        <f t="shared" si="48"/>
        <v>15445</v>
      </c>
      <c r="AW37" s="19">
        <f t="shared" si="48"/>
        <v>9998</v>
      </c>
      <c r="AX37" s="84">
        <f t="shared" si="48"/>
        <v>-5447</v>
      </c>
      <c r="AY37" s="19">
        <f t="shared" si="48"/>
        <v>10000</v>
      </c>
      <c r="AZ37" s="19">
        <f t="shared" si="48"/>
        <v>10000</v>
      </c>
      <c r="BA37" s="84">
        <f t="shared" si="48"/>
        <v>0</v>
      </c>
      <c r="BB37" s="19">
        <f t="shared" si="48"/>
        <v>0</v>
      </c>
      <c r="BC37" s="19">
        <f t="shared" si="48"/>
        <v>0</v>
      </c>
      <c r="BD37" s="84">
        <f t="shared" si="48"/>
        <v>0</v>
      </c>
      <c r="BE37" s="19">
        <f t="shared" si="48"/>
        <v>0</v>
      </c>
      <c r="BF37" s="19">
        <f t="shared" si="48"/>
        <v>0</v>
      </c>
      <c r="BG37" s="19">
        <f t="shared" si="48"/>
        <v>0</v>
      </c>
      <c r="BH37" s="19">
        <f t="shared" si="48"/>
        <v>0</v>
      </c>
      <c r="BI37" s="19">
        <f t="shared" si="48"/>
        <v>0</v>
      </c>
      <c r="BJ37" s="84">
        <f t="shared" si="48"/>
        <v>0</v>
      </c>
      <c r="BK37" s="19">
        <f t="shared" si="48"/>
        <v>0</v>
      </c>
      <c r="BL37" s="19">
        <f t="shared" si="48"/>
        <v>0</v>
      </c>
      <c r="BM37" s="84">
        <f t="shared" si="48"/>
        <v>0</v>
      </c>
      <c r="BN37" s="19">
        <f t="shared" si="48"/>
        <v>0</v>
      </c>
      <c r="BO37" s="19">
        <f t="shared" si="48"/>
        <v>0</v>
      </c>
      <c r="BP37" s="84">
        <f t="shared" si="48"/>
        <v>0</v>
      </c>
      <c r="BQ37" s="19">
        <f t="shared" si="48"/>
        <v>0</v>
      </c>
      <c r="BR37" s="19">
        <f t="shared" si="48"/>
        <v>0</v>
      </c>
      <c r="BS37" s="84">
        <f t="shared" si="48"/>
        <v>0</v>
      </c>
      <c r="BT37" s="19">
        <f t="shared" si="48"/>
        <v>0</v>
      </c>
      <c r="BU37" s="19">
        <f t="shared" si="48"/>
        <v>0</v>
      </c>
      <c r="BV37" s="84">
        <f t="shared" ref="BV37:DA37" si="49">SUM(BV6:BV36)</f>
        <v>0</v>
      </c>
      <c r="BW37" s="19">
        <f>SUM(BW6:BW36)</f>
        <v>0</v>
      </c>
      <c r="BX37" s="19">
        <f>SUM(BX6:BX36)</f>
        <v>0</v>
      </c>
      <c r="BY37" s="84">
        <f t="shared" si="49"/>
        <v>0</v>
      </c>
      <c r="BZ37" s="19">
        <f>SUM(BZ6:BZ36)</f>
        <v>0</v>
      </c>
      <c r="CA37" s="19">
        <f>SUM(CA6:CA36)</f>
        <v>0</v>
      </c>
      <c r="CB37" s="84">
        <f t="shared" si="49"/>
        <v>0</v>
      </c>
      <c r="CC37" s="19">
        <f>SUM(CC6:CC36)</f>
        <v>0</v>
      </c>
      <c r="CD37" s="19">
        <f>SUM(CD6:CD36)</f>
        <v>0</v>
      </c>
      <c r="CE37" s="84">
        <f t="shared" si="49"/>
        <v>0</v>
      </c>
      <c r="CF37" s="19">
        <f>SUM(CF6:CF36)</f>
        <v>0</v>
      </c>
      <c r="CG37" s="19">
        <f>SUM(CG6:CG36)</f>
        <v>0</v>
      </c>
      <c r="CH37" s="84">
        <f t="shared" si="49"/>
        <v>0</v>
      </c>
      <c r="CI37" s="19">
        <f>SUM(CI6:CI36)</f>
        <v>0</v>
      </c>
      <c r="CJ37" s="19">
        <f>SUM(CJ6:CJ36)</f>
        <v>0</v>
      </c>
      <c r="CK37" s="84">
        <f t="shared" si="49"/>
        <v>0</v>
      </c>
      <c r="CL37" s="19">
        <f>SUM(CL6:CL36)</f>
        <v>0</v>
      </c>
      <c r="CM37" s="19">
        <f>SUM(CM6:CM36)</f>
        <v>0</v>
      </c>
      <c r="CN37" s="84">
        <f t="shared" si="49"/>
        <v>0</v>
      </c>
      <c r="CO37" s="19">
        <f t="shared" si="49"/>
        <v>0</v>
      </c>
      <c r="CP37" s="19">
        <f t="shared" si="49"/>
        <v>0</v>
      </c>
      <c r="CQ37" s="84">
        <f t="shared" si="49"/>
        <v>0</v>
      </c>
      <c r="CR37" s="19">
        <f t="shared" si="49"/>
        <v>0</v>
      </c>
      <c r="CS37" s="19">
        <f t="shared" si="49"/>
        <v>0</v>
      </c>
      <c r="CT37" s="84">
        <f t="shared" si="49"/>
        <v>0</v>
      </c>
      <c r="CU37" s="19">
        <f t="shared" si="49"/>
        <v>0</v>
      </c>
      <c r="CV37" s="19">
        <f t="shared" si="49"/>
        <v>0</v>
      </c>
      <c r="CW37" s="84">
        <f t="shared" si="49"/>
        <v>0</v>
      </c>
      <c r="CX37" s="19">
        <f t="shared" si="49"/>
        <v>0</v>
      </c>
      <c r="CY37" s="19">
        <f t="shared" si="49"/>
        <v>0</v>
      </c>
      <c r="CZ37" s="84">
        <f t="shared" si="49"/>
        <v>0</v>
      </c>
      <c r="DA37" s="19">
        <f t="shared" si="49"/>
        <v>0</v>
      </c>
      <c r="DB37" s="19">
        <f t="shared" ref="DB37:DU37" si="50">SUM(DB6:DB36)</f>
        <v>0</v>
      </c>
      <c r="DC37" s="84">
        <f t="shared" si="50"/>
        <v>0</v>
      </c>
      <c r="DD37" s="19">
        <f t="shared" si="50"/>
        <v>0</v>
      </c>
      <c r="DE37" s="19">
        <f t="shared" si="50"/>
        <v>0</v>
      </c>
      <c r="DF37" s="84">
        <f t="shared" si="50"/>
        <v>0</v>
      </c>
      <c r="DG37" s="19">
        <f t="shared" si="50"/>
        <v>0</v>
      </c>
      <c r="DH37" s="19">
        <f t="shared" si="50"/>
        <v>0</v>
      </c>
      <c r="DI37" s="84">
        <f t="shared" si="50"/>
        <v>0</v>
      </c>
      <c r="DJ37" s="19">
        <f t="shared" si="50"/>
        <v>0</v>
      </c>
      <c r="DK37" s="19">
        <f t="shared" si="50"/>
        <v>0</v>
      </c>
      <c r="DL37" s="84">
        <f t="shared" si="50"/>
        <v>0</v>
      </c>
      <c r="DM37" s="19">
        <f t="shared" si="50"/>
        <v>0</v>
      </c>
      <c r="DN37" s="19">
        <f t="shared" si="50"/>
        <v>0</v>
      </c>
      <c r="DO37" s="84">
        <f t="shared" si="50"/>
        <v>0</v>
      </c>
      <c r="DP37" s="19">
        <f t="shared" si="50"/>
        <v>0</v>
      </c>
      <c r="DQ37" s="19">
        <f t="shared" si="50"/>
        <v>0</v>
      </c>
      <c r="DR37" s="84">
        <f t="shared" si="50"/>
        <v>0</v>
      </c>
      <c r="DS37" s="88">
        <f t="shared" si="50"/>
        <v>3288220</v>
      </c>
      <c r="DT37" s="84">
        <f t="shared" si="50"/>
        <v>3251938</v>
      </c>
      <c r="DU37" s="84">
        <f t="shared" si="50"/>
        <v>-36282</v>
      </c>
      <c r="DV37" s="19"/>
      <c r="DW37" s="19"/>
      <c r="DX37" s="19"/>
      <c r="DY37" s="8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90"/>
      <c r="EM37" s="90"/>
      <c r="EN37" s="90"/>
      <c r="EO37" s="90"/>
      <c r="EP37" s="90"/>
      <c r="EQ37" s="90"/>
      <c r="ER37" s="90"/>
      <c r="ES37" s="90"/>
      <c r="ET37" s="91"/>
      <c r="EU37" s="91"/>
      <c r="EV37" s="91"/>
      <c r="EW37" s="91"/>
      <c r="EX37" s="91"/>
      <c r="EY37" s="91"/>
      <c r="EZ37" s="91"/>
      <c r="FA37" s="91"/>
      <c r="FB37" s="91"/>
      <c r="FC37" s="91"/>
      <c r="FD37" s="91"/>
      <c r="FE37" s="91"/>
      <c r="FF37" s="91"/>
      <c r="FG37" s="91"/>
      <c r="FH37" s="91"/>
      <c r="FI37" s="91"/>
      <c r="FJ37" s="91"/>
      <c r="FK37" s="91"/>
      <c r="FL37" s="91"/>
      <c r="FM37" s="91"/>
      <c r="FN37" s="91"/>
      <c r="FO37" s="91"/>
      <c r="FP37" s="92"/>
      <c r="FQ37" s="92"/>
      <c r="FR37" s="92"/>
      <c r="FS37" s="92"/>
      <c r="FT37" s="92"/>
      <c r="FU37" s="92"/>
      <c r="FV37" s="92"/>
    </row>
    <row r="38" spans="1:178" s="99" customFormat="1" x14ac:dyDescent="0.25">
      <c r="A38" s="93"/>
      <c r="B38" s="28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36"/>
      <c r="AD38" s="96"/>
      <c r="AE38" s="96"/>
      <c r="AF38" s="36"/>
      <c r="AG38" s="96"/>
      <c r="AH38" s="96"/>
      <c r="AI38" s="36"/>
      <c r="AJ38" s="96"/>
      <c r="AK38" s="96"/>
      <c r="AL38" s="36"/>
      <c r="AM38" s="96"/>
      <c r="AN38" s="96"/>
      <c r="AO38" s="36"/>
      <c r="AP38" s="96"/>
      <c r="AQ38" s="96"/>
      <c r="AR38" s="36"/>
      <c r="AS38" s="96"/>
      <c r="AT38" s="96"/>
      <c r="AU38" s="36"/>
      <c r="AV38" s="96"/>
      <c r="AW38" s="96"/>
      <c r="AX38" s="96"/>
      <c r="AY38" s="96"/>
      <c r="AZ38" s="96"/>
      <c r="BA38" s="36"/>
      <c r="BB38" s="96"/>
      <c r="BC38" s="96"/>
      <c r="BD38" s="3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36"/>
      <c r="BZ38" s="96"/>
      <c r="CA38" s="96"/>
      <c r="CB38" s="36"/>
      <c r="CC38" s="96"/>
      <c r="CD38" s="96"/>
      <c r="CE38" s="36"/>
      <c r="CF38" s="96"/>
      <c r="CG38" s="96"/>
      <c r="CH38" s="36"/>
      <c r="CI38" s="96"/>
      <c r="CJ38" s="96"/>
      <c r="CK38" s="36"/>
      <c r="CL38" s="96"/>
      <c r="CM38" s="96"/>
      <c r="CN38" s="36"/>
      <c r="CO38" s="96"/>
      <c r="CP38" s="96"/>
      <c r="CQ38" s="36"/>
      <c r="CR38" s="96"/>
      <c r="CS38" s="96"/>
      <c r="CT38" s="36"/>
      <c r="CU38" s="96"/>
      <c r="CV38" s="96"/>
      <c r="CW38" s="36"/>
      <c r="CX38" s="96"/>
      <c r="CY38" s="96"/>
      <c r="CZ38" s="36"/>
      <c r="DA38" s="96"/>
      <c r="DB38" s="96"/>
      <c r="DC38" s="36"/>
      <c r="DD38" s="96"/>
      <c r="DE38" s="96"/>
      <c r="DF38" s="36"/>
      <c r="DG38" s="96"/>
      <c r="DH38" s="96"/>
      <c r="DI38" s="96"/>
      <c r="DJ38" s="96"/>
      <c r="DK38" s="96"/>
      <c r="DL38" s="36"/>
      <c r="DM38" s="96"/>
      <c r="DN38" s="96"/>
      <c r="DO38" s="36"/>
      <c r="DP38" s="96"/>
      <c r="DQ38" s="96"/>
      <c r="DR38" s="36"/>
      <c r="DS38" s="36"/>
      <c r="DT38" s="96"/>
      <c r="DU38" s="96"/>
      <c r="DV38" s="96"/>
      <c r="DW38" s="96"/>
      <c r="DX38" s="96"/>
      <c r="DY38" s="103"/>
      <c r="DZ38" s="96"/>
      <c r="EA38" s="96"/>
      <c r="EB38" s="96"/>
      <c r="EC38" s="96"/>
      <c r="ED38" s="96"/>
      <c r="EE38" s="96"/>
      <c r="EF38" s="96"/>
      <c r="EG38" s="96"/>
      <c r="EH38" s="96"/>
      <c r="EI38" s="96"/>
      <c r="EJ38" s="96"/>
      <c r="EK38" s="96"/>
      <c r="EL38" s="104"/>
      <c r="EM38" s="104"/>
      <c r="EN38" s="104"/>
      <c r="EO38" s="104"/>
      <c r="EP38" s="104"/>
      <c r="EQ38" s="104"/>
      <c r="ER38" s="104"/>
      <c r="ES38" s="104"/>
      <c r="ET38" s="105"/>
      <c r="EU38" s="105"/>
      <c r="EV38" s="105"/>
      <c r="EW38" s="105"/>
      <c r="EX38" s="105"/>
      <c r="EY38" s="105"/>
      <c r="EZ38" s="105"/>
      <c r="FA38" s="105"/>
      <c r="FB38" s="105"/>
      <c r="FC38" s="105"/>
      <c r="FD38" s="105"/>
      <c r="FE38" s="105"/>
      <c r="FF38" s="105"/>
      <c r="FG38" s="105"/>
      <c r="FH38" s="105"/>
      <c r="FI38" s="105"/>
      <c r="FJ38" s="105"/>
      <c r="FK38" s="105"/>
      <c r="FL38" s="105"/>
      <c r="FM38" s="105"/>
      <c r="FN38" s="105"/>
      <c r="FO38" s="105"/>
      <c r="FP38" s="106"/>
      <c r="FQ38" s="106"/>
      <c r="FR38" s="106"/>
      <c r="FS38" s="106"/>
      <c r="FT38" s="106"/>
      <c r="FU38" s="106"/>
      <c r="FV38" s="106"/>
    </row>
    <row r="39" spans="1:178" x14ac:dyDescent="0.25">
      <c r="A39" s="28"/>
      <c r="C39" s="97"/>
      <c r="F39" s="97"/>
      <c r="I39" s="97"/>
      <c r="L39" s="97"/>
      <c r="O39" s="97"/>
      <c r="R39" s="97"/>
      <c r="U39" s="97"/>
      <c r="X39" s="97"/>
      <c r="AA39" s="97"/>
      <c r="AD39" s="97"/>
      <c r="AG39" s="97"/>
      <c r="AJ39" s="97"/>
      <c r="AM39" s="97"/>
      <c r="AP39" s="97"/>
      <c r="AS39" s="97"/>
      <c r="AV39" s="97"/>
      <c r="AY39" s="97"/>
      <c r="BB39" s="97"/>
      <c r="BE39" s="97"/>
      <c r="BH39" s="97"/>
      <c r="BK39" s="97"/>
      <c r="BN39" s="97"/>
      <c r="BQ39" s="97"/>
      <c r="BT39" s="97"/>
      <c r="BW39" s="97"/>
      <c r="BZ39" s="97"/>
      <c r="CC39" s="97"/>
      <c r="CF39" s="97"/>
      <c r="CI39" s="97"/>
      <c r="CL39" s="97"/>
      <c r="CO39" s="97"/>
      <c r="CR39" s="97"/>
      <c r="CU39" s="97"/>
      <c r="CX39" s="97"/>
      <c r="DA39" s="97"/>
      <c r="DD39" s="97"/>
      <c r="DG39" s="97"/>
      <c r="DJ39" s="97"/>
      <c r="DM39" s="97"/>
      <c r="DP39" s="97"/>
      <c r="DS39" s="36"/>
    </row>
    <row r="40" spans="1:178" x14ac:dyDescent="0.25">
      <c r="A40" s="28"/>
      <c r="C40" s="97"/>
      <c r="F40" s="97"/>
      <c r="I40" s="97"/>
      <c r="L40" s="97"/>
      <c r="O40" s="97"/>
      <c r="R40" s="97"/>
      <c r="U40" s="97"/>
      <c r="X40" s="97"/>
      <c r="AA40" s="97"/>
      <c r="AD40" s="97"/>
      <c r="AG40" s="97"/>
      <c r="AJ40" s="97"/>
      <c r="AM40" s="97"/>
      <c r="AP40" s="97"/>
      <c r="AS40" s="97"/>
      <c r="AV40" s="97"/>
      <c r="AY40" s="97"/>
      <c r="BB40" s="97"/>
      <c r="BE40" s="97"/>
      <c r="BH40" s="97"/>
      <c r="BK40" s="97"/>
      <c r="BN40" s="97"/>
      <c r="BQ40" s="97"/>
      <c r="BT40" s="97"/>
      <c r="BW40" s="97"/>
      <c r="BZ40" s="97"/>
      <c r="CC40" s="97"/>
      <c r="CF40" s="97"/>
      <c r="CI40" s="97"/>
      <c r="CL40" s="97"/>
      <c r="CO40" s="97"/>
      <c r="CR40" s="97"/>
      <c r="CU40" s="97"/>
      <c r="CX40" s="97"/>
      <c r="DA40" s="97"/>
      <c r="DD40" s="97"/>
      <c r="DG40" s="97"/>
      <c r="DJ40" s="97"/>
      <c r="DM40" s="97"/>
      <c r="DP40" s="97"/>
      <c r="DS40" s="36"/>
    </row>
    <row r="41" spans="1:178" x14ac:dyDescent="0.25">
      <c r="A41" s="28"/>
      <c r="C41" s="97"/>
      <c r="F41" s="97"/>
      <c r="I41" s="97"/>
      <c r="L41" s="97"/>
      <c r="O41" s="97"/>
      <c r="R41" s="97"/>
      <c r="U41" s="97"/>
      <c r="X41" s="97"/>
      <c r="AA41" s="97"/>
      <c r="AD41" s="97"/>
      <c r="AG41" s="97"/>
      <c r="AJ41" s="97"/>
      <c r="AM41" s="97"/>
      <c r="AP41" s="97"/>
      <c r="AS41" s="97"/>
      <c r="AV41" s="97"/>
      <c r="AY41" s="97"/>
      <c r="BB41" s="97"/>
      <c r="BE41" s="97"/>
      <c r="BH41" s="97"/>
      <c r="BK41" s="97"/>
      <c r="BN41" s="97"/>
      <c r="BQ41" s="97"/>
      <c r="BT41" s="97"/>
      <c r="BW41" s="97"/>
      <c r="BZ41" s="97"/>
      <c r="CC41" s="97"/>
      <c r="CF41" s="97"/>
      <c r="CI41" s="97"/>
      <c r="CL41" s="97"/>
      <c r="CO41" s="97"/>
      <c r="CR41" s="97"/>
      <c r="CU41" s="97"/>
      <c r="CX41" s="97"/>
      <c r="DA41" s="97"/>
      <c r="DD41" s="97"/>
      <c r="DG41" s="97"/>
      <c r="DJ41" s="97"/>
      <c r="DM41" s="97"/>
      <c r="DP41" s="97"/>
    </row>
    <row r="42" spans="1:178" x14ac:dyDescent="0.25">
      <c r="A42" s="28"/>
      <c r="C42" s="97"/>
      <c r="F42" s="97"/>
      <c r="I42" s="97"/>
      <c r="L42" s="97"/>
      <c r="O42" s="97"/>
      <c r="R42" s="97"/>
      <c r="U42" s="97"/>
      <c r="X42" s="97"/>
      <c r="AA42" s="97"/>
      <c r="AD42" s="97"/>
      <c r="AG42" s="97"/>
      <c r="AJ42" s="97"/>
      <c r="AM42" s="97"/>
      <c r="AP42" s="97"/>
      <c r="AS42" s="97"/>
      <c r="AV42" s="97"/>
      <c r="AY42" s="97"/>
      <c r="BB42" s="97"/>
      <c r="BE42" s="97"/>
      <c r="BH42" s="97"/>
      <c r="BK42" s="97"/>
      <c r="BN42" s="97"/>
      <c r="BQ42" s="97"/>
      <c r="BT42" s="97"/>
      <c r="BW42" s="97"/>
      <c r="BZ42" s="97"/>
      <c r="CC42" s="97"/>
      <c r="CF42" s="97"/>
      <c r="CI42" s="97"/>
      <c r="CL42" s="97"/>
      <c r="CO42" s="97"/>
      <c r="CR42" s="97"/>
      <c r="CU42" s="97"/>
      <c r="CX42" s="97"/>
      <c r="DA42" s="97"/>
      <c r="DD42" s="97"/>
      <c r="DG42" s="97"/>
      <c r="DJ42" s="97"/>
      <c r="DM42" s="97"/>
      <c r="DP42" s="97"/>
    </row>
    <row r="43" spans="1:178" x14ac:dyDescent="0.25">
      <c r="A43" s="28"/>
      <c r="C43" s="97"/>
      <c r="F43" s="97"/>
      <c r="I43" s="97"/>
      <c r="L43" s="97"/>
      <c r="O43" s="97"/>
      <c r="R43" s="97"/>
      <c r="U43" s="97"/>
      <c r="X43" s="97"/>
      <c r="AA43" s="97"/>
      <c r="AD43" s="97"/>
      <c r="AG43" s="97"/>
      <c r="AJ43" s="97"/>
      <c r="AM43" s="97"/>
      <c r="AP43" s="97"/>
      <c r="AS43" s="97"/>
      <c r="AV43" s="97"/>
      <c r="AY43" s="97"/>
      <c r="BB43" s="97"/>
      <c r="BE43" s="97"/>
      <c r="BH43" s="97"/>
      <c r="BK43" s="97"/>
      <c r="BN43" s="97"/>
      <c r="BQ43" s="97"/>
      <c r="BT43" s="97"/>
      <c r="BW43" s="97"/>
      <c r="BZ43" s="97"/>
      <c r="CC43" s="97"/>
      <c r="CF43" s="97"/>
      <c r="CI43" s="97"/>
      <c r="CL43" s="97"/>
      <c r="CO43" s="97"/>
      <c r="CR43" s="97"/>
      <c r="CU43" s="97"/>
      <c r="CX43" s="97"/>
      <c r="DA43" s="97"/>
      <c r="DD43" s="97"/>
      <c r="DG43" s="97"/>
      <c r="DJ43" s="97"/>
      <c r="DM43" s="97"/>
      <c r="DP43" s="97"/>
    </row>
    <row r="44" spans="1:178" customFormat="1" x14ac:dyDescent="0.25"/>
    <row r="45" spans="1:178" x14ac:dyDescent="0.25">
      <c r="A45" s="28"/>
    </row>
    <row r="46" spans="1:178" x14ac:dyDescent="0.25">
      <c r="A46" s="28"/>
    </row>
    <row r="47" spans="1:178" x14ac:dyDescent="0.25">
      <c r="A47" s="28"/>
    </row>
    <row r="48" spans="1:178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</sheetData>
  <printOptions horizontalCentered="1" verticalCentered="1" gridLines="1" gridLinesSet="0"/>
  <pageMargins left="0" right="0" top="0" bottom="0" header="0" footer="0"/>
  <pageSetup orientation="portrait" horizontalDpi="4294967293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:IK515"/>
  <sheetViews>
    <sheetView zoomScale="90" workbookViewId="0">
      <pane xSplit="2" ySplit="5" topLeftCell="EP6" activePane="bottomRight" state="frozen"/>
      <selection activeCell="C6" sqref="C6"/>
      <selection pane="topRight" activeCell="C6" sqref="C6"/>
      <selection pane="bottomLeft" activeCell="C6" sqref="C6"/>
      <selection pane="bottomRight" activeCell="EU23" sqref="EU23"/>
    </sheetView>
  </sheetViews>
  <sheetFormatPr defaultColWidth="15.109375" defaultRowHeight="13.2" x14ac:dyDescent="0.25"/>
  <cols>
    <col min="1" max="1" width="15.109375" style="109" customWidth="1"/>
    <col min="2" max="2" width="15.109375" style="28" customWidth="1"/>
    <col min="3" max="3" width="18.109375" style="31" customWidth="1"/>
    <col min="4" max="5" width="15.109375" style="31" customWidth="1"/>
    <col min="6" max="6" width="18.109375" style="31" customWidth="1"/>
    <col min="7" max="8" width="15.109375" style="31" customWidth="1"/>
    <col min="9" max="9" width="18.109375" style="31" customWidth="1"/>
    <col min="10" max="11" width="15.109375" style="31" customWidth="1"/>
    <col min="12" max="12" width="18.109375" style="31" customWidth="1"/>
    <col min="13" max="14" width="15.109375" style="31" customWidth="1"/>
    <col min="15" max="15" width="18.109375" style="31" customWidth="1"/>
    <col min="16" max="17" width="15.109375" style="31" customWidth="1"/>
    <col min="18" max="18" width="18.109375" style="31" customWidth="1"/>
    <col min="19" max="20" width="15.109375" style="31" customWidth="1"/>
    <col min="21" max="21" width="18.109375" style="31" customWidth="1"/>
    <col min="22" max="23" width="15.109375" style="31" customWidth="1"/>
    <col min="24" max="24" width="18.109375" style="31" customWidth="1"/>
    <col min="25" max="26" width="15.109375" style="31" customWidth="1"/>
    <col min="27" max="27" width="18.109375" style="31" customWidth="1"/>
    <col min="28" max="29" width="15.109375" style="31" customWidth="1"/>
    <col min="30" max="30" width="18.109375" style="31" customWidth="1"/>
    <col min="31" max="32" width="15.109375" style="31" customWidth="1"/>
    <col min="33" max="33" width="18.109375" style="31" customWidth="1"/>
    <col min="34" max="35" width="15.109375" style="31" customWidth="1"/>
    <col min="36" max="36" width="18.109375" style="31" customWidth="1"/>
    <col min="37" max="38" width="15.109375" style="31" customWidth="1"/>
    <col min="39" max="39" width="18.109375" style="31" customWidth="1"/>
    <col min="40" max="41" width="15.109375" style="31" customWidth="1"/>
    <col min="42" max="42" width="18.109375" style="31" customWidth="1"/>
    <col min="43" max="44" width="15.109375" style="31" customWidth="1"/>
    <col min="45" max="45" width="18.109375" style="31" customWidth="1"/>
    <col min="46" max="47" width="15.109375" style="31" customWidth="1"/>
    <col min="48" max="48" width="18.109375" style="31" customWidth="1"/>
    <col min="49" max="50" width="15.109375" style="31" customWidth="1"/>
    <col min="51" max="51" width="18.109375" style="31" customWidth="1"/>
    <col min="52" max="53" width="15.109375" style="31" customWidth="1"/>
    <col min="54" max="54" width="18.109375" style="31" customWidth="1"/>
    <col min="55" max="56" width="15.109375" style="31" customWidth="1"/>
    <col min="57" max="57" width="18.109375" style="31" customWidth="1"/>
    <col min="58" max="59" width="15.109375" style="31" customWidth="1"/>
    <col min="60" max="60" width="18.109375" style="31" customWidth="1"/>
    <col min="61" max="62" width="15.109375" style="31" customWidth="1"/>
    <col min="63" max="63" width="18.109375" style="31" customWidth="1"/>
    <col min="64" max="65" width="15.109375" style="31" customWidth="1"/>
    <col min="66" max="66" width="18.109375" style="31" customWidth="1"/>
    <col min="67" max="68" width="15.109375" style="31" customWidth="1"/>
    <col min="69" max="69" width="18.109375" style="31" customWidth="1"/>
    <col min="70" max="71" width="15.109375" style="31" customWidth="1"/>
    <col min="72" max="72" width="18.109375" style="31" customWidth="1"/>
    <col min="73" max="74" width="15.109375" style="31" customWidth="1"/>
    <col min="75" max="75" width="18.109375" style="31" customWidth="1"/>
    <col min="76" max="77" width="15.109375" style="31" customWidth="1"/>
    <col min="78" max="78" width="18.109375" style="31" customWidth="1"/>
    <col min="79" max="80" width="15.109375" style="31" customWidth="1"/>
    <col min="81" max="81" width="18.109375" style="31" customWidth="1"/>
    <col min="82" max="83" width="15.109375" style="31" customWidth="1"/>
    <col min="84" max="84" width="18.109375" style="31" customWidth="1"/>
    <col min="85" max="86" width="15.109375" style="31" customWidth="1"/>
    <col min="87" max="87" width="18.109375" style="31" customWidth="1"/>
    <col min="88" max="89" width="15.109375" style="31" customWidth="1"/>
    <col min="90" max="90" width="18.109375" style="31" customWidth="1"/>
    <col min="91" max="92" width="15.109375" style="31" customWidth="1"/>
    <col min="93" max="93" width="18.109375" style="31" customWidth="1"/>
    <col min="94" max="95" width="15.109375" style="31" customWidth="1"/>
    <col min="96" max="96" width="18.109375" style="31" customWidth="1"/>
    <col min="97" max="98" width="15.109375" style="31" customWidth="1"/>
    <col min="99" max="99" width="18.109375" style="31" customWidth="1"/>
    <col min="100" max="101" width="15.109375" style="31" customWidth="1"/>
    <col min="102" max="102" width="18.109375" style="31" customWidth="1"/>
    <col min="103" max="104" width="15.109375" style="31" customWidth="1"/>
    <col min="105" max="105" width="18.109375" style="31" customWidth="1"/>
    <col min="106" max="107" width="15.109375" style="31" customWidth="1"/>
    <col min="108" max="108" width="18.109375" style="31" customWidth="1"/>
    <col min="109" max="110" width="15.109375" style="31" customWidth="1"/>
    <col min="111" max="111" width="18.109375" style="31" customWidth="1"/>
    <col min="112" max="113" width="15.109375" style="31" customWidth="1"/>
    <col min="114" max="114" width="18.109375" style="31" customWidth="1"/>
    <col min="115" max="116" width="15.109375" style="31" customWidth="1"/>
    <col min="117" max="117" width="18.109375" style="31" customWidth="1"/>
    <col min="118" max="119" width="15.109375" style="31" customWidth="1"/>
    <col min="120" max="120" width="18.109375" style="31" customWidth="1"/>
    <col min="121" max="122" width="15.109375" style="31" customWidth="1"/>
    <col min="123" max="123" width="18.109375" style="31" customWidth="1"/>
    <col min="124" max="125" width="15.109375" style="31" customWidth="1"/>
    <col min="126" max="126" width="18.109375" style="31" customWidth="1"/>
    <col min="127" max="128" width="15.109375" style="31" customWidth="1"/>
    <col min="129" max="129" width="18.109375" style="31" customWidth="1"/>
    <col min="130" max="131" width="15.109375" style="31" customWidth="1"/>
    <col min="132" max="132" width="18.109375" style="31" customWidth="1"/>
    <col min="133" max="134" width="15.109375" style="31" customWidth="1"/>
    <col min="135" max="135" width="18.109375" style="31" customWidth="1"/>
    <col min="136" max="137" width="15.109375" style="31" customWidth="1"/>
    <col min="138" max="138" width="18.109375" style="31" customWidth="1"/>
    <col min="139" max="140" width="15.109375" style="31" customWidth="1"/>
    <col min="141" max="141" width="18.109375" style="31" customWidth="1"/>
    <col min="142" max="143" width="15.109375" style="31" customWidth="1"/>
    <col min="144" max="144" width="18.109375" style="31" customWidth="1"/>
    <col min="145" max="146" width="15.109375" style="31" customWidth="1"/>
    <col min="147" max="147" width="15.109375" style="37" customWidth="1"/>
    <col min="148" max="150" width="15.109375" style="36" customWidth="1"/>
    <col min="151" max="152" width="15.109375" style="31" customWidth="1"/>
    <col min="153" max="153" width="15.109375" style="37" customWidth="1"/>
    <col min="154" max="165" width="15.109375" style="31" customWidth="1"/>
    <col min="166" max="173" width="15.109375" style="38" customWidth="1"/>
    <col min="174" max="195" width="15.109375" style="39" customWidth="1"/>
    <col min="196" max="202" width="15.109375" style="40" customWidth="1"/>
    <col min="203" max="16384" width="15.109375" style="17"/>
  </cols>
  <sheetData>
    <row r="1" spans="1:202" s="415" customFormat="1" x14ac:dyDescent="0.25">
      <c r="A1" s="417" t="s">
        <v>19</v>
      </c>
      <c r="B1" s="373">
        <f>+BaseloadMarkets!B1</f>
        <v>36678</v>
      </c>
      <c r="C1" s="414" t="s">
        <v>232</v>
      </c>
      <c r="D1" s="414"/>
      <c r="E1" s="416"/>
      <c r="F1" s="414">
        <v>4.29</v>
      </c>
      <c r="G1" s="414"/>
      <c r="H1" s="416"/>
      <c r="I1" s="414">
        <v>4.42</v>
      </c>
      <c r="J1" s="414"/>
      <c r="K1" s="416"/>
      <c r="L1" s="414" t="s">
        <v>231</v>
      </c>
      <c r="M1" s="414"/>
      <c r="N1" s="416"/>
      <c r="O1" s="414" t="s">
        <v>237</v>
      </c>
      <c r="P1" s="414"/>
      <c r="Q1" s="416"/>
      <c r="R1" s="414">
        <v>4.2699999999999996</v>
      </c>
      <c r="S1" s="414"/>
      <c r="T1" s="416"/>
      <c r="U1" s="414">
        <v>4.29</v>
      </c>
      <c r="V1" s="414"/>
      <c r="W1" s="416"/>
      <c r="X1" s="414">
        <v>4.37</v>
      </c>
      <c r="Y1" s="414"/>
      <c r="Z1" s="416"/>
      <c r="AA1" s="414"/>
      <c r="AB1" s="414"/>
      <c r="AC1" s="416"/>
      <c r="AD1" s="414"/>
      <c r="AE1" s="414"/>
      <c r="AF1" s="416"/>
      <c r="AG1" s="414"/>
      <c r="AH1" s="414"/>
      <c r="AI1" s="416"/>
      <c r="AJ1" s="414"/>
      <c r="AK1" s="414"/>
      <c r="AL1" s="416"/>
      <c r="AM1" s="414"/>
      <c r="AN1" s="414"/>
      <c r="AO1" s="416"/>
      <c r="AP1" s="414"/>
      <c r="AQ1" s="414"/>
      <c r="AR1" s="416"/>
      <c r="AS1" s="414"/>
      <c r="AT1" s="414"/>
      <c r="AU1" s="416"/>
      <c r="AV1" s="414"/>
      <c r="AW1" s="414"/>
      <c r="AX1" s="416"/>
      <c r="AY1" s="414"/>
      <c r="AZ1" s="414"/>
      <c r="BA1" s="416"/>
      <c r="BB1" s="414"/>
      <c r="BC1" s="414"/>
      <c r="BD1" s="416"/>
      <c r="BE1" s="414"/>
      <c r="BF1" s="414"/>
      <c r="BG1" s="416"/>
      <c r="BH1" s="414"/>
      <c r="BI1" s="414"/>
      <c r="BJ1" s="416"/>
      <c r="BK1" s="414"/>
      <c r="BL1" s="414"/>
      <c r="BM1" s="416"/>
      <c r="BN1" s="414"/>
      <c r="BO1" s="414"/>
      <c r="BP1" s="416"/>
      <c r="BQ1" s="414"/>
      <c r="BR1" s="414"/>
      <c r="BS1" s="416"/>
      <c r="BT1" s="414"/>
      <c r="BU1" s="414"/>
      <c r="BV1" s="416"/>
      <c r="BW1" s="414"/>
      <c r="BX1" s="414"/>
      <c r="BY1" s="416"/>
      <c r="BZ1" s="414"/>
      <c r="CA1" s="414"/>
      <c r="CB1" s="416"/>
      <c r="CC1" s="414"/>
      <c r="CD1" s="414"/>
      <c r="CE1" s="416"/>
      <c r="CF1" s="414"/>
      <c r="CG1" s="414"/>
      <c r="CH1" s="416"/>
      <c r="CI1" s="414"/>
      <c r="CJ1" s="414"/>
      <c r="CK1" s="416"/>
      <c r="CL1" s="414"/>
      <c r="CM1" s="414"/>
      <c r="CN1" s="416"/>
      <c r="CO1" s="414"/>
      <c r="CP1" s="414"/>
      <c r="CQ1" s="416"/>
      <c r="CR1" s="414"/>
      <c r="CS1" s="414"/>
      <c r="CT1" s="416"/>
      <c r="CU1" s="414"/>
      <c r="CV1" s="414"/>
      <c r="CW1" s="416"/>
      <c r="CX1" s="414"/>
      <c r="CY1" s="414"/>
      <c r="CZ1" s="416"/>
      <c r="DA1" s="414"/>
      <c r="DB1" s="414"/>
      <c r="DC1" s="416"/>
      <c r="DD1" s="414"/>
      <c r="DE1" s="414"/>
      <c r="DF1" s="416"/>
      <c r="DG1" s="414"/>
      <c r="DH1" s="414"/>
      <c r="DI1" s="416"/>
      <c r="DJ1" s="414"/>
      <c r="DK1" s="414"/>
      <c r="DL1" s="416"/>
      <c r="DM1" s="414"/>
      <c r="DN1" s="414"/>
      <c r="DO1" s="416"/>
      <c r="DP1" s="414"/>
      <c r="DQ1" s="414"/>
      <c r="DR1" s="416"/>
      <c r="DS1" s="414"/>
      <c r="DT1" s="414"/>
      <c r="DU1" s="416"/>
      <c r="DV1" s="414"/>
      <c r="DW1" s="414"/>
      <c r="DX1" s="416"/>
      <c r="DY1" s="414"/>
      <c r="DZ1" s="414"/>
      <c r="EA1" s="416"/>
      <c r="EB1" s="414"/>
      <c r="EC1" s="414"/>
      <c r="ED1" s="416"/>
      <c r="EE1" s="414"/>
      <c r="EF1" s="414"/>
      <c r="EG1" s="416"/>
      <c r="EH1" s="414"/>
      <c r="EI1" s="414"/>
      <c r="EJ1" s="416"/>
      <c r="EK1" s="414"/>
      <c r="EL1" s="414"/>
      <c r="EM1" s="416"/>
      <c r="EN1" s="414"/>
      <c r="EO1" s="414"/>
      <c r="EP1" s="416"/>
      <c r="EQ1" s="418"/>
      <c r="ER1" s="418"/>
      <c r="ES1" s="418"/>
      <c r="ET1" s="418"/>
      <c r="EU1" s="416"/>
      <c r="EV1" s="416"/>
      <c r="EW1" s="419"/>
      <c r="EX1" s="416"/>
      <c r="EY1" s="416"/>
      <c r="EZ1" s="416"/>
      <c r="FA1" s="416"/>
      <c r="FB1" s="416"/>
      <c r="FC1" s="416"/>
      <c r="FD1" s="416"/>
      <c r="FE1" s="416"/>
      <c r="FF1" s="416"/>
      <c r="FG1" s="416"/>
      <c r="FH1" s="416"/>
      <c r="FI1" s="416"/>
    </row>
    <row r="2" spans="1:202" s="1" customFormat="1" ht="12.75" customHeight="1" x14ac:dyDescent="0.25">
      <c r="A2" s="5" t="s">
        <v>8</v>
      </c>
      <c r="B2" s="5"/>
      <c r="C2" s="35" t="s">
        <v>246</v>
      </c>
      <c r="D2" s="35"/>
      <c r="E2" s="35"/>
      <c r="F2" s="35">
        <v>279208</v>
      </c>
      <c r="G2" s="35"/>
      <c r="H2" s="35"/>
      <c r="I2" s="35">
        <v>281502</v>
      </c>
      <c r="J2" s="35"/>
      <c r="K2" s="35"/>
      <c r="L2" s="35" t="s">
        <v>247</v>
      </c>
      <c r="M2" s="35"/>
      <c r="N2" s="35"/>
      <c r="O2" s="35">
        <v>277814</v>
      </c>
      <c r="P2" s="35"/>
      <c r="Q2" s="35"/>
      <c r="R2" s="35">
        <v>278815</v>
      </c>
      <c r="S2" s="35"/>
      <c r="T2" s="35"/>
      <c r="U2" s="35">
        <v>280175</v>
      </c>
      <c r="V2" s="35"/>
      <c r="W2" s="35"/>
      <c r="X2" s="35">
        <v>281339</v>
      </c>
      <c r="Y2" s="35"/>
      <c r="Z2" s="35"/>
      <c r="AA2" s="35"/>
      <c r="AB2" s="35"/>
      <c r="AC2" s="35"/>
      <c r="AD2" s="35"/>
      <c r="AE2" s="35"/>
      <c r="AF2" s="35"/>
      <c r="AG2" s="35" t="s">
        <v>264</v>
      </c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49"/>
      <c r="ET2" s="50"/>
      <c r="EU2" s="35"/>
      <c r="EV2" s="35"/>
      <c r="EW2" s="51"/>
      <c r="EX2" s="35" t="s">
        <v>10</v>
      </c>
      <c r="EY2" s="35" t="s">
        <v>10</v>
      </c>
      <c r="EZ2" s="35"/>
      <c r="FA2" s="35" t="s">
        <v>10</v>
      </c>
      <c r="FB2" s="35" t="s">
        <v>10</v>
      </c>
      <c r="FC2" s="35"/>
      <c r="FD2" s="35"/>
      <c r="FE2" s="35"/>
      <c r="FF2" s="35"/>
      <c r="FG2" s="35"/>
      <c r="FH2" s="35"/>
      <c r="FI2" s="35"/>
      <c r="FJ2" s="52"/>
      <c r="FK2" s="52"/>
      <c r="FL2" s="52"/>
      <c r="FM2" s="52"/>
      <c r="FN2" s="52"/>
      <c r="FO2" s="52"/>
      <c r="FP2" s="52"/>
      <c r="FQ2" s="52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4"/>
      <c r="GO2" s="54"/>
      <c r="GP2" s="54"/>
      <c r="GQ2" s="54"/>
      <c r="GR2" s="54"/>
      <c r="GS2" s="54"/>
      <c r="GT2" s="54"/>
    </row>
    <row r="3" spans="1:202" s="428" customFormat="1" ht="12.75" customHeight="1" x14ac:dyDescent="0.25">
      <c r="A3" s="425"/>
      <c r="B3" s="425"/>
      <c r="C3" s="45" t="s">
        <v>228</v>
      </c>
      <c r="D3" s="45"/>
      <c r="E3" s="45"/>
      <c r="F3" s="45" t="s">
        <v>228</v>
      </c>
      <c r="G3" s="45"/>
      <c r="H3" s="45"/>
      <c r="I3" s="45" t="s">
        <v>228</v>
      </c>
      <c r="J3" s="45"/>
      <c r="K3" s="45"/>
      <c r="L3" s="45" t="s">
        <v>228</v>
      </c>
      <c r="M3" s="45"/>
      <c r="N3" s="45"/>
      <c r="O3" s="45" t="s">
        <v>228</v>
      </c>
      <c r="P3" s="45"/>
      <c r="Q3" s="45"/>
      <c r="R3" s="45" t="s">
        <v>228</v>
      </c>
      <c r="S3" s="45"/>
      <c r="T3" s="45"/>
      <c r="U3" s="45" t="s">
        <v>228</v>
      </c>
      <c r="V3" s="45"/>
      <c r="W3" s="45"/>
      <c r="X3" s="45" t="s">
        <v>228</v>
      </c>
      <c r="Y3" s="45"/>
      <c r="Z3" s="45"/>
      <c r="AA3" s="45"/>
      <c r="AB3" s="45"/>
      <c r="AC3" s="45"/>
      <c r="AD3" s="45"/>
      <c r="AE3" s="45"/>
      <c r="AF3" s="45"/>
      <c r="AG3" s="45" t="s">
        <v>216</v>
      </c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27"/>
      <c r="ET3" s="429"/>
      <c r="EU3" s="45"/>
      <c r="EV3" s="35" t="s">
        <v>10</v>
      </c>
      <c r="EW3" s="35" t="s">
        <v>10</v>
      </c>
      <c r="EX3" s="45" t="s">
        <v>228</v>
      </c>
      <c r="EY3" s="45" t="s">
        <v>228</v>
      </c>
      <c r="EZ3" s="45"/>
      <c r="FA3" s="45" t="s">
        <v>216</v>
      </c>
      <c r="FB3" s="45" t="s">
        <v>216</v>
      </c>
      <c r="FC3" s="45"/>
      <c r="FD3" s="45"/>
      <c r="FE3" s="45"/>
      <c r="FF3" s="45"/>
      <c r="FG3" s="45"/>
      <c r="FH3" s="45"/>
      <c r="FI3" s="45"/>
      <c r="FJ3" s="430"/>
      <c r="FK3" s="430"/>
      <c r="FL3" s="430"/>
      <c r="FM3" s="430"/>
      <c r="FN3" s="430"/>
      <c r="FO3" s="430"/>
      <c r="FP3" s="430"/>
      <c r="FQ3" s="430"/>
      <c r="FR3" s="431"/>
      <c r="FS3" s="431"/>
      <c r="FT3" s="431"/>
      <c r="FU3" s="431"/>
      <c r="FV3" s="431"/>
      <c r="FW3" s="431"/>
      <c r="FX3" s="431"/>
      <c r="FY3" s="431"/>
      <c r="FZ3" s="431"/>
      <c r="GA3" s="431"/>
      <c r="GB3" s="431"/>
      <c r="GC3" s="431"/>
      <c r="GD3" s="431"/>
      <c r="GE3" s="431"/>
      <c r="GF3" s="431"/>
      <c r="GG3" s="431"/>
      <c r="GH3" s="431"/>
      <c r="GI3" s="431"/>
      <c r="GJ3" s="431"/>
      <c r="GK3" s="431"/>
      <c r="GL3" s="431"/>
      <c r="GM3" s="431"/>
      <c r="GN3" s="432"/>
      <c r="GO3" s="432"/>
      <c r="GP3" s="432"/>
      <c r="GQ3" s="432"/>
      <c r="GR3" s="432"/>
      <c r="GS3" s="432"/>
      <c r="GT3" s="432"/>
    </row>
    <row r="4" spans="1:202" s="1" customFormat="1" ht="12.75" customHeight="1" x14ac:dyDescent="0.25">
      <c r="A4" s="5" t="s">
        <v>28</v>
      </c>
      <c r="B4" s="5" t="s">
        <v>29</v>
      </c>
      <c r="C4" s="35" t="s">
        <v>219</v>
      </c>
      <c r="D4" s="35"/>
      <c r="E4" s="35" t="s">
        <v>31</v>
      </c>
      <c r="F4" s="35" t="s">
        <v>178</v>
      </c>
      <c r="G4" s="35"/>
      <c r="H4" s="35" t="s">
        <v>31</v>
      </c>
      <c r="I4" s="35" t="s">
        <v>178</v>
      </c>
      <c r="J4" s="35"/>
      <c r="K4" s="35" t="s">
        <v>31</v>
      </c>
      <c r="L4" s="35" t="s">
        <v>211</v>
      </c>
      <c r="M4" s="35"/>
      <c r="N4" s="35" t="s">
        <v>31</v>
      </c>
      <c r="O4" s="35" t="s">
        <v>12</v>
      </c>
      <c r="P4" s="35"/>
      <c r="Q4" s="35" t="s">
        <v>31</v>
      </c>
      <c r="R4" s="35" t="s">
        <v>184</v>
      </c>
      <c r="S4" s="35"/>
      <c r="T4" s="35" t="s">
        <v>31</v>
      </c>
      <c r="U4" s="35" t="s">
        <v>212</v>
      </c>
      <c r="V4" s="35"/>
      <c r="W4" s="35" t="s">
        <v>31</v>
      </c>
      <c r="X4" s="35" t="s">
        <v>212</v>
      </c>
      <c r="Y4" s="35"/>
      <c r="Z4" s="35" t="s">
        <v>31</v>
      </c>
      <c r="AA4" s="35"/>
      <c r="AB4" s="35"/>
      <c r="AC4" s="35" t="s">
        <v>31</v>
      </c>
      <c r="AD4" s="35"/>
      <c r="AE4" s="35"/>
      <c r="AF4" s="35" t="s">
        <v>31</v>
      </c>
      <c r="AG4" s="35"/>
      <c r="AH4" s="35"/>
      <c r="AI4" s="35" t="s">
        <v>31</v>
      </c>
      <c r="AJ4" s="35"/>
      <c r="AK4" s="35"/>
      <c r="AL4" s="35" t="s">
        <v>31</v>
      </c>
      <c r="AM4" s="35"/>
      <c r="AN4" s="35"/>
      <c r="AO4" s="35" t="s">
        <v>31</v>
      </c>
      <c r="AP4" s="35"/>
      <c r="AQ4" s="35"/>
      <c r="AR4" s="35" t="s">
        <v>31</v>
      </c>
      <c r="AS4" s="35"/>
      <c r="AT4" s="35"/>
      <c r="AU4" s="35" t="s">
        <v>31</v>
      </c>
      <c r="AV4" s="35"/>
      <c r="AW4" s="35"/>
      <c r="AX4" s="35" t="s">
        <v>31</v>
      </c>
      <c r="AY4" s="35"/>
      <c r="AZ4" s="35"/>
      <c r="BA4" s="35" t="s">
        <v>31</v>
      </c>
      <c r="BB4" s="35"/>
      <c r="BC4" s="35"/>
      <c r="BD4" s="35" t="s">
        <v>31</v>
      </c>
      <c r="BE4" s="35"/>
      <c r="BF4" s="35"/>
      <c r="BG4" s="35" t="s">
        <v>31</v>
      </c>
      <c r="BH4" s="35"/>
      <c r="BI4" s="35"/>
      <c r="BJ4" s="35" t="s">
        <v>31</v>
      </c>
      <c r="BK4" s="35"/>
      <c r="BL4" s="35"/>
      <c r="BM4" s="35" t="s">
        <v>31</v>
      </c>
      <c r="BN4" s="35"/>
      <c r="BO4" s="35"/>
      <c r="BP4" s="35" t="s">
        <v>31</v>
      </c>
      <c r="BQ4" s="35"/>
      <c r="BR4" s="35"/>
      <c r="BS4" s="35" t="s">
        <v>31</v>
      </c>
      <c r="BT4" s="35"/>
      <c r="BU4" s="35"/>
      <c r="BV4" s="35" t="s">
        <v>31</v>
      </c>
      <c r="BW4" s="35"/>
      <c r="BX4" s="35"/>
      <c r="BY4" s="35" t="s">
        <v>31</v>
      </c>
      <c r="BZ4" s="35"/>
      <c r="CA4" s="35"/>
      <c r="CB4" s="35" t="s">
        <v>31</v>
      </c>
      <c r="CC4" s="35"/>
      <c r="CD4" s="35"/>
      <c r="CE4" s="35" t="s">
        <v>31</v>
      </c>
      <c r="CF4" s="35"/>
      <c r="CG4" s="35"/>
      <c r="CH4" s="35" t="s">
        <v>31</v>
      </c>
      <c r="CI4" s="35"/>
      <c r="CJ4" s="35"/>
      <c r="CK4" s="35" t="s">
        <v>31</v>
      </c>
      <c r="CL4" s="35"/>
      <c r="CM4" s="35"/>
      <c r="CN4" s="35" t="s">
        <v>31</v>
      </c>
      <c r="CO4" s="35"/>
      <c r="CP4" s="35"/>
      <c r="CQ4" s="35" t="s">
        <v>31</v>
      </c>
      <c r="CR4" s="35"/>
      <c r="CS4" s="35"/>
      <c r="CT4" s="35" t="s">
        <v>31</v>
      </c>
      <c r="CU4" s="35"/>
      <c r="CV4" s="35"/>
      <c r="CW4" s="35" t="s">
        <v>31</v>
      </c>
      <c r="CX4" s="35"/>
      <c r="CY4" s="35"/>
      <c r="CZ4" s="35" t="s">
        <v>31</v>
      </c>
      <c r="DA4" s="35"/>
      <c r="DB4" s="35"/>
      <c r="DC4" s="35" t="s">
        <v>31</v>
      </c>
      <c r="DD4" s="35"/>
      <c r="DE4" s="35"/>
      <c r="DF4" s="35" t="s">
        <v>31</v>
      </c>
      <c r="DG4" s="35"/>
      <c r="DH4" s="35"/>
      <c r="DI4" s="35" t="s">
        <v>31</v>
      </c>
      <c r="DJ4" s="35"/>
      <c r="DK4" s="35"/>
      <c r="DL4" s="35" t="s">
        <v>31</v>
      </c>
      <c r="DM4" s="35"/>
      <c r="DN4" s="35"/>
      <c r="DO4" s="35" t="s">
        <v>31</v>
      </c>
      <c r="DP4" s="35"/>
      <c r="DQ4" s="35"/>
      <c r="DR4" s="35" t="s">
        <v>31</v>
      </c>
      <c r="DS4" s="35"/>
      <c r="DT4" s="35"/>
      <c r="DU4" s="35" t="s">
        <v>31</v>
      </c>
      <c r="DV4" s="35"/>
      <c r="DW4" s="35"/>
      <c r="DX4" s="35" t="s">
        <v>31</v>
      </c>
      <c r="DY4" s="35"/>
      <c r="DZ4" s="35"/>
      <c r="EA4" s="35" t="s">
        <v>31</v>
      </c>
      <c r="EB4" s="35"/>
      <c r="EC4" s="35"/>
      <c r="ED4" s="35" t="s">
        <v>31</v>
      </c>
      <c r="EE4" s="35"/>
      <c r="EF4" s="35"/>
      <c r="EG4" s="35" t="s">
        <v>31</v>
      </c>
      <c r="EH4" s="35"/>
      <c r="EI4" s="35"/>
      <c r="EJ4" s="35" t="s">
        <v>31</v>
      </c>
      <c r="EK4" s="35"/>
      <c r="EL4" s="35"/>
      <c r="EM4" s="35" t="s">
        <v>31</v>
      </c>
      <c r="EN4" s="35"/>
      <c r="EO4" s="35"/>
      <c r="EP4" s="35" t="s">
        <v>31</v>
      </c>
      <c r="EQ4" s="5" t="s">
        <v>10</v>
      </c>
      <c r="ER4" s="2" t="s">
        <v>10</v>
      </c>
      <c r="ET4" s="50" t="s">
        <v>173</v>
      </c>
      <c r="EU4" s="35"/>
      <c r="EV4" s="35" t="s">
        <v>228</v>
      </c>
      <c r="EW4" s="35" t="s">
        <v>228</v>
      </c>
      <c r="EX4" s="35" t="s">
        <v>31</v>
      </c>
      <c r="EY4" s="35" t="s">
        <v>32</v>
      </c>
      <c r="EZ4" s="35"/>
      <c r="FA4" s="35" t="s">
        <v>31</v>
      </c>
      <c r="FB4" s="35" t="s">
        <v>32</v>
      </c>
      <c r="FC4" s="35"/>
      <c r="FD4" s="35"/>
      <c r="FE4" s="35"/>
      <c r="FF4" s="35"/>
      <c r="FG4" s="35"/>
      <c r="FH4" s="35"/>
      <c r="FI4" s="35"/>
      <c r="FJ4" s="52"/>
      <c r="FK4" s="52"/>
      <c r="FL4" s="52"/>
      <c r="FM4" s="52"/>
      <c r="FN4" s="52"/>
      <c r="FO4" s="52"/>
      <c r="FP4" s="52"/>
      <c r="FQ4" s="52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4"/>
      <c r="GO4" s="54"/>
      <c r="GP4" s="54"/>
      <c r="GQ4" s="54"/>
      <c r="GR4" s="54"/>
      <c r="GS4" s="54"/>
      <c r="GT4" s="54"/>
    </row>
    <row r="5" spans="1:202" s="65" customFormat="1" ht="12.75" customHeight="1" x14ac:dyDescent="0.25">
      <c r="A5" s="5" t="s">
        <v>11</v>
      </c>
      <c r="B5" s="5" t="s">
        <v>37</v>
      </c>
      <c r="C5" s="57" t="s">
        <v>15</v>
      </c>
      <c r="D5" s="57"/>
      <c r="E5" s="57" t="s">
        <v>41</v>
      </c>
      <c r="F5" s="57" t="s">
        <v>15</v>
      </c>
      <c r="G5" s="57"/>
      <c r="H5" s="57" t="s">
        <v>41</v>
      </c>
      <c r="I5" s="57" t="s">
        <v>15</v>
      </c>
      <c r="J5" s="57"/>
      <c r="K5" s="57" t="s">
        <v>41</v>
      </c>
      <c r="L5" s="57" t="s">
        <v>15</v>
      </c>
      <c r="M5" s="57"/>
      <c r="N5" s="57" t="s">
        <v>41</v>
      </c>
      <c r="O5" s="57" t="s">
        <v>15</v>
      </c>
      <c r="P5" s="57"/>
      <c r="Q5" s="57" t="s">
        <v>41</v>
      </c>
      <c r="R5" s="57" t="s">
        <v>15</v>
      </c>
      <c r="S5" s="57"/>
      <c r="T5" s="57" t="s">
        <v>41</v>
      </c>
      <c r="U5" s="57" t="s">
        <v>15</v>
      </c>
      <c r="V5" s="57"/>
      <c r="W5" s="57" t="s">
        <v>41</v>
      </c>
      <c r="X5" s="57" t="s">
        <v>15</v>
      </c>
      <c r="Y5" s="57"/>
      <c r="Z5" s="57" t="s">
        <v>41</v>
      </c>
      <c r="AA5" s="57"/>
      <c r="AB5" s="57"/>
      <c r="AC5" s="57" t="s">
        <v>41</v>
      </c>
      <c r="AD5" s="57"/>
      <c r="AE5" s="57"/>
      <c r="AF5" s="57" t="s">
        <v>41</v>
      </c>
      <c r="AG5" s="57"/>
      <c r="AH5" s="57"/>
      <c r="AI5" s="57" t="s">
        <v>41</v>
      </c>
      <c r="AJ5" s="57"/>
      <c r="AK5" s="57"/>
      <c r="AL5" s="57" t="s">
        <v>41</v>
      </c>
      <c r="AM5" s="57"/>
      <c r="AN5" s="57"/>
      <c r="AO5" s="57" t="s">
        <v>41</v>
      </c>
      <c r="AP5" s="57"/>
      <c r="AQ5" s="57"/>
      <c r="AR5" s="57" t="s">
        <v>41</v>
      </c>
      <c r="AS5" s="57"/>
      <c r="AT5" s="57"/>
      <c r="AU5" s="57" t="s">
        <v>41</v>
      </c>
      <c r="AV5" s="57"/>
      <c r="AW5" s="57"/>
      <c r="AX5" s="57" t="s">
        <v>41</v>
      </c>
      <c r="AY5" s="57"/>
      <c r="AZ5" s="57"/>
      <c r="BA5" s="57" t="s">
        <v>41</v>
      </c>
      <c r="BB5" s="57"/>
      <c r="BC5" s="57"/>
      <c r="BD5" s="57" t="s">
        <v>41</v>
      </c>
      <c r="BE5" s="57"/>
      <c r="BF5" s="57"/>
      <c r="BG5" s="57" t="s">
        <v>41</v>
      </c>
      <c r="BH5" s="57"/>
      <c r="BI5" s="57"/>
      <c r="BJ5" s="57" t="s">
        <v>41</v>
      </c>
      <c r="BK5" s="57"/>
      <c r="BL5" s="57"/>
      <c r="BM5" s="57" t="s">
        <v>41</v>
      </c>
      <c r="BN5" s="57"/>
      <c r="BO5" s="57"/>
      <c r="BP5" s="57" t="s">
        <v>41</v>
      </c>
      <c r="BQ5" s="57"/>
      <c r="BR5" s="57"/>
      <c r="BS5" s="57" t="s">
        <v>41</v>
      </c>
      <c r="BT5" s="57"/>
      <c r="BU5" s="57"/>
      <c r="BV5" s="57" t="s">
        <v>41</v>
      </c>
      <c r="BW5" s="57"/>
      <c r="BX5" s="57"/>
      <c r="BY5" s="57" t="s">
        <v>41</v>
      </c>
      <c r="BZ5" s="57"/>
      <c r="CA5" s="57"/>
      <c r="CB5" s="57" t="s">
        <v>41</v>
      </c>
      <c r="CC5" s="57"/>
      <c r="CD5" s="57"/>
      <c r="CE5" s="57" t="s">
        <v>41</v>
      </c>
      <c r="CF5" s="57"/>
      <c r="CG5" s="57"/>
      <c r="CH5" s="57" t="s">
        <v>41</v>
      </c>
      <c r="CI5" s="57"/>
      <c r="CJ5" s="57"/>
      <c r="CK5" s="57" t="s">
        <v>41</v>
      </c>
      <c r="CL5" s="57"/>
      <c r="CM5" s="57"/>
      <c r="CN5" s="57" t="s">
        <v>41</v>
      </c>
      <c r="CO5" s="57"/>
      <c r="CP5" s="57"/>
      <c r="CQ5" s="57" t="s">
        <v>41</v>
      </c>
      <c r="CR5" s="57"/>
      <c r="CS5" s="57"/>
      <c r="CT5" s="57" t="s">
        <v>41</v>
      </c>
      <c r="CU5" s="57"/>
      <c r="CV5" s="57"/>
      <c r="CW5" s="57" t="s">
        <v>41</v>
      </c>
      <c r="CX5" s="57"/>
      <c r="CY5" s="57"/>
      <c r="CZ5" s="57" t="s">
        <v>41</v>
      </c>
      <c r="DA5" s="57"/>
      <c r="DB5" s="57"/>
      <c r="DC5" s="57" t="s">
        <v>41</v>
      </c>
      <c r="DD5" s="57"/>
      <c r="DE5" s="57"/>
      <c r="DF5" s="57" t="s">
        <v>41</v>
      </c>
      <c r="DG5" s="57"/>
      <c r="DH5" s="57"/>
      <c r="DI5" s="57" t="s">
        <v>41</v>
      </c>
      <c r="DJ5" s="57"/>
      <c r="DK5" s="57"/>
      <c r="DL5" s="57" t="s">
        <v>41</v>
      </c>
      <c r="DM5" s="57"/>
      <c r="DN5" s="57"/>
      <c r="DO5" s="57" t="s">
        <v>41</v>
      </c>
      <c r="DP5" s="57"/>
      <c r="DQ5" s="57"/>
      <c r="DR5" s="57" t="s">
        <v>41</v>
      </c>
      <c r="DS5" s="57"/>
      <c r="DT5" s="57"/>
      <c r="DU5" s="57" t="s">
        <v>41</v>
      </c>
      <c r="DV5" s="57"/>
      <c r="DW5" s="57"/>
      <c r="DX5" s="57" t="s">
        <v>41</v>
      </c>
      <c r="DY5" s="57"/>
      <c r="DZ5" s="57"/>
      <c r="EA5" s="57" t="s">
        <v>41</v>
      </c>
      <c r="EB5" s="57"/>
      <c r="EC5" s="57"/>
      <c r="ED5" s="57" t="s">
        <v>41</v>
      </c>
      <c r="EE5" s="57"/>
      <c r="EF5" s="57"/>
      <c r="EG5" s="57" t="s">
        <v>41</v>
      </c>
      <c r="EH5" s="57"/>
      <c r="EI5" s="57"/>
      <c r="EJ5" s="57" t="s">
        <v>41</v>
      </c>
      <c r="EK5" s="57"/>
      <c r="EL5" s="57"/>
      <c r="EM5" s="57" t="s">
        <v>41</v>
      </c>
      <c r="EN5" s="57"/>
      <c r="EO5" s="57"/>
      <c r="EP5" s="57" t="s">
        <v>41</v>
      </c>
      <c r="EQ5" s="50" t="s">
        <v>19</v>
      </c>
      <c r="ER5" s="50" t="s">
        <v>45</v>
      </c>
      <c r="ES5" s="50" t="s">
        <v>41</v>
      </c>
      <c r="ET5" s="57" t="s">
        <v>41</v>
      </c>
      <c r="EU5" s="57"/>
      <c r="EV5" s="57" t="s">
        <v>168</v>
      </c>
      <c r="EW5" s="57" t="s">
        <v>167</v>
      </c>
      <c r="EX5" s="57" t="s">
        <v>164</v>
      </c>
      <c r="EY5" s="57" t="s">
        <v>164</v>
      </c>
      <c r="EZ5" s="57"/>
      <c r="FA5" s="57" t="s">
        <v>164</v>
      </c>
      <c r="FB5" s="57" t="s">
        <v>164</v>
      </c>
      <c r="FC5" s="57"/>
      <c r="FD5" s="57"/>
      <c r="FE5" s="57"/>
      <c r="FF5" s="57"/>
      <c r="FG5" s="57"/>
      <c r="FH5" s="57"/>
      <c r="FI5" s="57"/>
      <c r="FJ5" s="62"/>
      <c r="FK5" s="62"/>
      <c r="FL5" s="62"/>
      <c r="FM5" s="62"/>
      <c r="FN5" s="62"/>
      <c r="FO5" s="62"/>
      <c r="FP5" s="62"/>
      <c r="FQ5" s="62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4"/>
      <c r="GO5" s="64"/>
      <c r="GP5" s="64"/>
      <c r="GQ5" s="64"/>
      <c r="GR5" s="64"/>
      <c r="GS5" s="64"/>
      <c r="GT5" s="64"/>
    </row>
    <row r="6" spans="1:202" s="79" customFormat="1" x14ac:dyDescent="0.25">
      <c r="A6" s="67">
        <f>+BaseloadMarkets!A6</f>
        <v>36678</v>
      </c>
      <c r="B6" s="67" t="str">
        <f>+BaseloadMarkets!B6</f>
        <v>Thu</v>
      </c>
      <c r="C6" s="68">
        <f>5000+5000</f>
        <v>10000</v>
      </c>
      <c r="D6" s="68">
        <f>5000+5000</f>
        <v>10000</v>
      </c>
      <c r="E6" s="71">
        <f t="shared" ref="E6:E35" si="0">D6-C6</f>
        <v>0</v>
      </c>
      <c r="F6" s="68">
        <v>10000</v>
      </c>
      <c r="G6" s="68">
        <v>10000</v>
      </c>
      <c r="H6" s="71">
        <f t="shared" ref="H6:H35" si="1">G6-F6</f>
        <v>0</v>
      </c>
      <c r="I6" s="68">
        <v>10000</v>
      </c>
      <c r="J6" s="68">
        <v>10000</v>
      </c>
      <c r="K6" s="71">
        <f t="shared" ref="K6:K35" si="2">J6-I6</f>
        <v>0</v>
      </c>
      <c r="L6" s="68">
        <f>5000+5000</f>
        <v>10000</v>
      </c>
      <c r="M6" s="68">
        <f>5000+5000</f>
        <v>10000</v>
      </c>
      <c r="N6" s="71">
        <f t="shared" ref="N6:N35" si="3">M6-L6</f>
        <v>0</v>
      </c>
      <c r="O6" s="68">
        <v>5000</v>
      </c>
      <c r="P6" s="68">
        <v>1454</v>
      </c>
      <c r="Q6" s="71">
        <f t="shared" ref="Q6:Q35" si="4">P6-O6</f>
        <v>-3546</v>
      </c>
      <c r="R6" s="68">
        <v>5000</v>
      </c>
      <c r="S6" s="68">
        <v>5000</v>
      </c>
      <c r="T6" s="71">
        <f t="shared" ref="T6:T35" si="5">S6-R6</f>
        <v>0</v>
      </c>
      <c r="U6" s="68">
        <v>5000</v>
      </c>
      <c r="V6" s="68">
        <v>5000</v>
      </c>
      <c r="W6" s="71">
        <f t="shared" ref="W6:W35" si="6">V6-U6</f>
        <v>0</v>
      </c>
      <c r="X6" s="68">
        <v>10000</v>
      </c>
      <c r="Y6" s="68">
        <v>10000</v>
      </c>
      <c r="Z6" s="71">
        <f t="shared" ref="Z6:Z35" si="7">Y6-X6</f>
        <v>0</v>
      </c>
      <c r="AA6" s="68"/>
      <c r="AB6" s="68"/>
      <c r="AC6" s="71">
        <f t="shared" ref="AC6:AC35" si="8">AB6-AA6</f>
        <v>0</v>
      </c>
      <c r="AD6" s="68"/>
      <c r="AE6" s="68"/>
      <c r="AF6" s="71">
        <f t="shared" ref="AF6:AF35" si="9">AE6-AD6</f>
        <v>0</v>
      </c>
      <c r="AG6" s="68">
        <v>320000</v>
      </c>
      <c r="AH6" s="68">
        <v>320000</v>
      </c>
      <c r="AI6" s="71">
        <f t="shared" ref="AI6:AI35" si="10">AH6-AG6</f>
        <v>0</v>
      </c>
      <c r="AJ6" s="68"/>
      <c r="AK6" s="68"/>
      <c r="AL6" s="71">
        <f t="shared" ref="AL6:AL35" si="11">AK6-AJ6</f>
        <v>0</v>
      </c>
      <c r="AM6" s="68"/>
      <c r="AN6" s="68"/>
      <c r="AO6" s="71">
        <f t="shared" ref="AO6:AO35" si="12">AN6-AM6</f>
        <v>0</v>
      </c>
      <c r="AP6" s="68"/>
      <c r="AQ6" s="68"/>
      <c r="AR6" s="71">
        <f t="shared" ref="AR6:AR35" si="13">AQ6-AP6</f>
        <v>0</v>
      </c>
      <c r="AS6" s="68"/>
      <c r="AT6" s="68"/>
      <c r="AU6" s="71">
        <f t="shared" ref="AU6:AU35" si="14">AT6-AS6</f>
        <v>0</v>
      </c>
      <c r="AV6" s="68"/>
      <c r="AW6" s="68"/>
      <c r="AX6" s="71">
        <f t="shared" ref="AX6:AX35" si="15">AW6-AV6</f>
        <v>0</v>
      </c>
      <c r="AY6" s="68"/>
      <c r="AZ6" s="68"/>
      <c r="BA6" s="71">
        <f t="shared" ref="BA6:BA35" si="16">AZ6-AY6</f>
        <v>0</v>
      </c>
      <c r="BB6" s="68"/>
      <c r="BC6" s="68"/>
      <c r="BD6" s="71">
        <f t="shared" ref="BD6:BD35" si="17">BC6-BB6</f>
        <v>0</v>
      </c>
      <c r="BE6" s="68"/>
      <c r="BF6" s="68"/>
      <c r="BG6" s="71">
        <f t="shared" ref="BG6:BG35" si="18">BF6-BE6</f>
        <v>0</v>
      </c>
      <c r="BH6" s="68"/>
      <c r="BI6" s="68"/>
      <c r="BJ6" s="71">
        <f t="shared" ref="BJ6:BJ35" si="19">BI6-BH6</f>
        <v>0</v>
      </c>
      <c r="BK6" s="68"/>
      <c r="BL6" s="68"/>
      <c r="BM6" s="71">
        <f t="shared" ref="BM6:BM35" si="20">BL6-BK6</f>
        <v>0</v>
      </c>
      <c r="BN6" s="68"/>
      <c r="BO6" s="68"/>
      <c r="BP6" s="71">
        <f t="shared" ref="BP6:BP11" si="21">BO6-BN6</f>
        <v>0</v>
      </c>
      <c r="BQ6" s="68"/>
      <c r="BR6" s="68"/>
      <c r="BS6" s="71">
        <f t="shared" ref="BS6:BS35" si="22">BR6-BQ6</f>
        <v>0</v>
      </c>
      <c r="BT6" s="68"/>
      <c r="BU6" s="68"/>
      <c r="BV6" s="71">
        <f t="shared" ref="BV6:BV35" si="23">BU6-BT6</f>
        <v>0</v>
      </c>
      <c r="BW6" s="68"/>
      <c r="BX6" s="68"/>
      <c r="BY6" s="71">
        <f t="shared" ref="BY6:BY35" si="24">BX6-BW6</f>
        <v>0</v>
      </c>
      <c r="BZ6" s="68"/>
      <c r="CA6" s="68"/>
      <c r="CB6" s="71">
        <f t="shared" ref="CB6:CB35" si="25">CA6-BZ6</f>
        <v>0</v>
      </c>
      <c r="CC6" s="68"/>
      <c r="CD6" s="68"/>
      <c r="CE6" s="71">
        <f t="shared" ref="CE6:CE35" si="26">CD6-CC6</f>
        <v>0</v>
      </c>
      <c r="CF6" s="68"/>
      <c r="CG6" s="68"/>
      <c r="CH6" s="71">
        <f t="shared" ref="CH6:CH35" si="27">CG6-CF6</f>
        <v>0</v>
      </c>
      <c r="CI6" s="68"/>
      <c r="CJ6" s="68"/>
      <c r="CK6" s="71">
        <f t="shared" ref="CK6:CK35" si="28">CJ6-CI6</f>
        <v>0</v>
      </c>
      <c r="CL6" s="68"/>
      <c r="CM6" s="68"/>
      <c r="CN6" s="71">
        <f t="shared" ref="CN6:CN35" si="29">CM6-CL6</f>
        <v>0</v>
      </c>
      <c r="CO6" s="68"/>
      <c r="CP6" s="68"/>
      <c r="CQ6" s="71">
        <f t="shared" ref="CQ6:CQ35" si="30">CP6-CO6</f>
        <v>0</v>
      </c>
      <c r="CR6" s="68"/>
      <c r="CS6" s="68"/>
      <c r="CT6" s="71">
        <f t="shared" ref="CT6:CT35" si="31">CS6-CR6</f>
        <v>0</v>
      </c>
      <c r="CU6" s="68"/>
      <c r="CV6" s="68"/>
      <c r="CW6" s="71">
        <f t="shared" ref="CW6:CW35" si="32">CV6-CU6</f>
        <v>0</v>
      </c>
      <c r="CX6" s="68"/>
      <c r="CY6" s="68"/>
      <c r="CZ6" s="71">
        <f t="shared" ref="CZ6:CZ35" si="33">CY6-CX6</f>
        <v>0</v>
      </c>
      <c r="DA6" s="68"/>
      <c r="DB6" s="68"/>
      <c r="DC6" s="71">
        <f t="shared" ref="DC6:DC35" si="34">DB6-DA6</f>
        <v>0</v>
      </c>
      <c r="DD6" s="68"/>
      <c r="DE6" s="68"/>
      <c r="DF6" s="71">
        <f t="shared" ref="DF6:DF35" si="35">DE6-DD6</f>
        <v>0</v>
      </c>
      <c r="DG6" s="68"/>
      <c r="DH6" s="68"/>
      <c r="DI6" s="71">
        <f t="shared" ref="DI6:DI35" si="36">DH6-DG6</f>
        <v>0</v>
      </c>
      <c r="DJ6" s="68"/>
      <c r="DK6" s="68"/>
      <c r="DL6" s="71">
        <f t="shared" ref="DL6:DL35" si="37">DK6-DJ6</f>
        <v>0</v>
      </c>
      <c r="DM6" s="68"/>
      <c r="DN6" s="68"/>
      <c r="DO6" s="71">
        <f t="shared" ref="DO6:DO35" si="38">DN6-DM6</f>
        <v>0</v>
      </c>
      <c r="DP6" s="68"/>
      <c r="DQ6" s="68"/>
      <c r="DR6" s="71">
        <f t="shared" ref="DR6:DR12" si="39">DQ6-DP6</f>
        <v>0</v>
      </c>
      <c r="DS6" s="68"/>
      <c r="DT6" s="68"/>
      <c r="DU6" s="71">
        <f t="shared" ref="DU6:DU12" si="40">DT6-DS6</f>
        <v>0</v>
      </c>
      <c r="DV6" s="68"/>
      <c r="DW6" s="68"/>
      <c r="DX6" s="71">
        <f t="shared" ref="DX6:DX35" si="41">DW6-DV6</f>
        <v>0</v>
      </c>
      <c r="DY6" s="68"/>
      <c r="DZ6" s="68"/>
      <c r="EA6" s="71">
        <f t="shared" ref="EA6:EA12" si="42">DZ6-DY6</f>
        <v>0</v>
      </c>
      <c r="EB6" s="68"/>
      <c r="EC6" s="68"/>
      <c r="ED6" s="71">
        <f t="shared" ref="ED6:ED35" si="43">EC6-EB6</f>
        <v>0</v>
      </c>
      <c r="EE6" s="68"/>
      <c r="EF6" s="68"/>
      <c r="EG6" s="71">
        <f t="shared" ref="EG6:EG35" si="44">EF6-EE6</f>
        <v>0</v>
      </c>
      <c r="EH6" s="68"/>
      <c r="EI6" s="68"/>
      <c r="EJ6" s="71">
        <f t="shared" ref="EJ6:EJ35" si="45">EI6-EH6</f>
        <v>0</v>
      </c>
      <c r="EK6" s="68"/>
      <c r="EL6" s="68"/>
      <c r="EM6" s="71">
        <f t="shared" ref="EM6:EM35" si="46">EL6-EK6</f>
        <v>0</v>
      </c>
      <c r="EN6" s="68"/>
      <c r="EO6" s="68"/>
      <c r="EP6" s="71">
        <f t="shared" ref="EP6:EP35" si="47">EO6-EN6</f>
        <v>0</v>
      </c>
      <c r="EQ6" s="71">
        <f t="shared" ref="EQ6:EQ35" si="48">+C6+F6+I6+L6+O6+R6+U6+X6+AA6+AD6+AG6+AJ6+AM6+AP6+AS6+AV6+AY6+BB6+BE6+BH6+BK6+BN6+BQ6+BT6+BW6+BZ6+CC6+CF6+CI6+CL6+CO6+CR6+CU6+CX6+DA6+DD6+DG6+DJ6+DM6+DP6+DS6+DV6+DY6+EB6+EE6+EH6+EK6+EN6</f>
        <v>385000</v>
      </c>
      <c r="ER6" s="71">
        <f t="shared" ref="ER6:ER35" si="49">+D6+G6+J6+M6+P6+S6+V6+Y6+AB6+AE6+AH6+AK6+AN6+AQ6+AT6+AW6+AZ6+BC6+BF6+BI6+BL6+BO6+BR6+BU6+BX6+CA6+CD6+CG6+CJ6+CM6+CP6+CS6+CV6+CY6+DB6+DE6+DH6+DK6+DN6+DQ6+DT6+DW6+DZ6+EC6+EF6+EI6+EL6+EO6</f>
        <v>381454</v>
      </c>
      <c r="ES6" s="71">
        <f t="shared" ref="ES6:ES35" si="50">ER6-EQ6</f>
        <v>-3546</v>
      </c>
      <c r="ET6" s="68">
        <f>+ES6</f>
        <v>-3546</v>
      </c>
      <c r="EU6" s="68"/>
      <c r="EV6" s="71">
        <f>+EQ6-AG6</f>
        <v>65000</v>
      </c>
      <c r="EW6" s="71">
        <f t="shared" ref="EW6:EW35" si="51">+ER6-AH6</f>
        <v>61454</v>
      </c>
      <c r="EX6" s="68">
        <f>+EW6-EV6</f>
        <v>-3546</v>
      </c>
      <c r="EY6" s="68">
        <f>+EX6</f>
        <v>-3546</v>
      </c>
      <c r="EZ6" s="68"/>
      <c r="FA6" s="68">
        <f>+AI6</f>
        <v>0</v>
      </c>
      <c r="FB6" s="68">
        <f>+FA6</f>
        <v>0</v>
      </c>
      <c r="FC6" s="68"/>
      <c r="FD6" s="68"/>
      <c r="FE6" s="68"/>
      <c r="FF6" s="68"/>
      <c r="FG6" s="68"/>
      <c r="FH6" s="68"/>
      <c r="FI6" s="68"/>
      <c r="FJ6" s="76"/>
      <c r="FK6" s="76"/>
      <c r="FL6" s="76"/>
      <c r="FM6" s="76"/>
      <c r="FN6" s="76"/>
      <c r="FO6" s="76"/>
      <c r="FP6" s="76"/>
      <c r="FQ6" s="76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8"/>
      <c r="GO6" s="78"/>
      <c r="GP6" s="78"/>
      <c r="GQ6" s="78"/>
      <c r="GR6" s="78"/>
      <c r="GS6" s="78"/>
      <c r="GT6" s="78"/>
    </row>
    <row r="7" spans="1:202" s="79" customFormat="1" x14ac:dyDescent="0.25">
      <c r="A7" s="67">
        <f>+BaseloadMarkets!A7</f>
        <v>36679</v>
      </c>
      <c r="B7" s="67" t="str">
        <f>+BaseloadMarkets!B7</f>
        <v>Fri</v>
      </c>
      <c r="C7" s="68">
        <f t="shared" ref="C7:D35" si="52">5000+5000</f>
        <v>10000</v>
      </c>
      <c r="D7" s="68">
        <f t="shared" si="52"/>
        <v>10000</v>
      </c>
      <c r="E7" s="71">
        <f t="shared" si="0"/>
        <v>0</v>
      </c>
      <c r="F7" s="68">
        <v>10000</v>
      </c>
      <c r="G7" s="68">
        <v>10000</v>
      </c>
      <c r="H7" s="71">
        <f t="shared" si="1"/>
        <v>0</v>
      </c>
      <c r="I7" s="68">
        <v>10000</v>
      </c>
      <c r="J7" s="68">
        <v>10000</v>
      </c>
      <c r="K7" s="71">
        <f t="shared" si="2"/>
        <v>0</v>
      </c>
      <c r="L7" s="68">
        <f t="shared" ref="L7:M35" si="53">5000+5000</f>
        <v>10000</v>
      </c>
      <c r="M7" s="68">
        <f t="shared" si="53"/>
        <v>10000</v>
      </c>
      <c r="N7" s="71">
        <f t="shared" si="3"/>
        <v>0</v>
      </c>
      <c r="O7" s="68">
        <v>5000</v>
      </c>
      <c r="P7" s="68">
        <v>0</v>
      </c>
      <c r="Q7" s="71">
        <f t="shared" si="4"/>
        <v>-5000</v>
      </c>
      <c r="R7" s="68">
        <v>5000</v>
      </c>
      <c r="S7" s="68">
        <v>5000</v>
      </c>
      <c r="T7" s="71">
        <f t="shared" si="5"/>
        <v>0</v>
      </c>
      <c r="U7" s="68">
        <v>5000</v>
      </c>
      <c r="V7" s="68">
        <v>5000</v>
      </c>
      <c r="W7" s="71">
        <f t="shared" si="6"/>
        <v>0</v>
      </c>
      <c r="X7" s="68">
        <v>10000</v>
      </c>
      <c r="Y7" s="68">
        <v>10000</v>
      </c>
      <c r="Z7" s="71">
        <f t="shared" si="7"/>
        <v>0</v>
      </c>
      <c r="AA7" s="68"/>
      <c r="AB7" s="68"/>
      <c r="AC7" s="71">
        <f t="shared" si="8"/>
        <v>0</v>
      </c>
      <c r="AD7" s="68"/>
      <c r="AE7" s="68"/>
      <c r="AF7" s="71">
        <f t="shared" si="9"/>
        <v>0</v>
      </c>
      <c r="AG7" s="68">
        <v>345000</v>
      </c>
      <c r="AH7" s="68">
        <f>345000-10000+6098</f>
        <v>341098</v>
      </c>
      <c r="AI7" s="71">
        <f t="shared" si="10"/>
        <v>-3902</v>
      </c>
      <c r="AJ7" s="68"/>
      <c r="AK7" s="68"/>
      <c r="AL7" s="71">
        <f t="shared" si="11"/>
        <v>0</v>
      </c>
      <c r="AM7" s="68"/>
      <c r="AN7" s="68"/>
      <c r="AO7" s="71">
        <f t="shared" si="12"/>
        <v>0</v>
      </c>
      <c r="AP7" s="68"/>
      <c r="AQ7" s="68"/>
      <c r="AR7" s="71">
        <f t="shared" si="13"/>
        <v>0</v>
      </c>
      <c r="AS7" s="68"/>
      <c r="AT7" s="68"/>
      <c r="AU7" s="71">
        <f t="shared" si="14"/>
        <v>0</v>
      </c>
      <c r="AV7" s="68"/>
      <c r="AW7" s="68"/>
      <c r="AX7" s="71">
        <f t="shared" si="15"/>
        <v>0</v>
      </c>
      <c r="AY7" s="68"/>
      <c r="AZ7" s="68"/>
      <c r="BA7" s="71">
        <f t="shared" si="16"/>
        <v>0</v>
      </c>
      <c r="BB7" s="68"/>
      <c r="BC7" s="68"/>
      <c r="BD7" s="71">
        <f t="shared" si="17"/>
        <v>0</v>
      </c>
      <c r="BE7" s="68"/>
      <c r="BF7" s="68"/>
      <c r="BG7" s="71">
        <f t="shared" si="18"/>
        <v>0</v>
      </c>
      <c r="BH7" s="68"/>
      <c r="BI7" s="68"/>
      <c r="BJ7" s="71">
        <f t="shared" si="19"/>
        <v>0</v>
      </c>
      <c r="BK7" s="68"/>
      <c r="BL7" s="68"/>
      <c r="BM7" s="71">
        <f t="shared" si="20"/>
        <v>0</v>
      </c>
      <c r="BN7" s="68"/>
      <c r="BO7" s="68"/>
      <c r="BP7" s="71">
        <f t="shared" si="21"/>
        <v>0</v>
      </c>
      <c r="BQ7" s="68"/>
      <c r="BR7" s="68"/>
      <c r="BS7" s="71">
        <f t="shared" si="22"/>
        <v>0</v>
      </c>
      <c r="BT7" s="68"/>
      <c r="BU7" s="68"/>
      <c r="BV7" s="71">
        <f t="shared" si="23"/>
        <v>0</v>
      </c>
      <c r="BW7" s="68"/>
      <c r="BX7" s="68"/>
      <c r="BY7" s="71">
        <f t="shared" si="24"/>
        <v>0</v>
      </c>
      <c r="BZ7" s="68"/>
      <c r="CA7" s="68"/>
      <c r="CB7" s="71">
        <f t="shared" si="25"/>
        <v>0</v>
      </c>
      <c r="CC7" s="68"/>
      <c r="CD7" s="68"/>
      <c r="CE7" s="71">
        <f t="shared" si="26"/>
        <v>0</v>
      </c>
      <c r="CF7" s="68"/>
      <c r="CG7" s="68"/>
      <c r="CH7" s="71">
        <f t="shared" si="27"/>
        <v>0</v>
      </c>
      <c r="CI7" s="68"/>
      <c r="CJ7" s="68"/>
      <c r="CK7" s="71">
        <f t="shared" si="28"/>
        <v>0</v>
      </c>
      <c r="CL7" s="68"/>
      <c r="CM7" s="68"/>
      <c r="CN7" s="71">
        <f t="shared" si="29"/>
        <v>0</v>
      </c>
      <c r="CO7" s="68"/>
      <c r="CP7" s="68"/>
      <c r="CQ7" s="71">
        <f t="shared" si="30"/>
        <v>0</v>
      </c>
      <c r="CR7" s="68"/>
      <c r="CS7" s="68"/>
      <c r="CT7" s="71">
        <f t="shared" si="31"/>
        <v>0</v>
      </c>
      <c r="CU7" s="68"/>
      <c r="CV7" s="68"/>
      <c r="CW7" s="71">
        <f t="shared" si="32"/>
        <v>0</v>
      </c>
      <c r="CX7" s="68"/>
      <c r="CY7" s="68"/>
      <c r="CZ7" s="71">
        <f t="shared" si="33"/>
        <v>0</v>
      </c>
      <c r="DA7" s="68"/>
      <c r="DB7" s="68"/>
      <c r="DC7" s="71">
        <f t="shared" si="34"/>
        <v>0</v>
      </c>
      <c r="DD7" s="68"/>
      <c r="DE7" s="68"/>
      <c r="DF7" s="71">
        <f t="shared" si="35"/>
        <v>0</v>
      </c>
      <c r="DG7" s="68"/>
      <c r="DH7" s="68"/>
      <c r="DI7" s="71">
        <f t="shared" si="36"/>
        <v>0</v>
      </c>
      <c r="DJ7" s="68"/>
      <c r="DK7" s="68"/>
      <c r="DL7" s="71">
        <f t="shared" si="37"/>
        <v>0</v>
      </c>
      <c r="DM7" s="68"/>
      <c r="DN7" s="68"/>
      <c r="DO7" s="71">
        <f t="shared" si="38"/>
        <v>0</v>
      </c>
      <c r="DP7" s="68"/>
      <c r="DQ7" s="68"/>
      <c r="DR7" s="71">
        <f t="shared" si="39"/>
        <v>0</v>
      </c>
      <c r="DS7" s="68"/>
      <c r="DT7" s="68"/>
      <c r="DU7" s="71">
        <f t="shared" si="40"/>
        <v>0</v>
      </c>
      <c r="DV7" s="68"/>
      <c r="DW7" s="68"/>
      <c r="DX7" s="71">
        <f t="shared" si="41"/>
        <v>0</v>
      </c>
      <c r="DY7" s="68"/>
      <c r="DZ7" s="68"/>
      <c r="EA7" s="71">
        <f t="shared" si="42"/>
        <v>0</v>
      </c>
      <c r="EB7" s="68"/>
      <c r="EC7" s="68"/>
      <c r="ED7" s="71">
        <f t="shared" si="43"/>
        <v>0</v>
      </c>
      <c r="EE7" s="68"/>
      <c r="EF7" s="68"/>
      <c r="EG7" s="71">
        <f t="shared" si="44"/>
        <v>0</v>
      </c>
      <c r="EH7" s="68"/>
      <c r="EI7" s="68"/>
      <c r="EJ7" s="71">
        <f t="shared" si="45"/>
        <v>0</v>
      </c>
      <c r="EK7" s="68"/>
      <c r="EL7" s="68"/>
      <c r="EM7" s="71">
        <f t="shared" si="46"/>
        <v>0</v>
      </c>
      <c r="EN7" s="68"/>
      <c r="EO7" s="68"/>
      <c r="EP7" s="71">
        <f t="shared" si="47"/>
        <v>0</v>
      </c>
      <c r="EQ7" s="71">
        <f t="shared" si="48"/>
        <v>410000</v>
      </c>
      <c r="ER7" s="71">
        <f t="shared" si="49"/>
        <v>401098</v>
      </c>
      <c r="ES7" s="71">
        <f t="shared" si="50"/>
        <v>-8902</v>
      </c>
      <c r="ET7" s="68">
        <f>+ET6+ES7</f>
        <v>-12448</v>
      </c>
      <c r="EU7" s="68"/>
      <c r="EV7" s="71">
        <f t="shared" ref="EV7:EV35" si="54">+EQ7-AG7</f>
        <v>65000</v>
      </c>
      <c r="EW7" s="71">
        <f t="shared" si="51"/>
        <v>60000</v>
      </c>
      <c r="EX7" s="68">
        <f t="shared" ref="EX7:EX35" si="55">+EW7-EV7</f>
        <v>-5000</v>
      </c>
      <c r="EY7" s="68">
        <f>+EY6+EX7</f>
        <v>-8546</v>
      </c>
      <c r="EZ7" s="68"/>
      <c r="FA7" s="68">
        <f t="shared" ref="FA7:FA35" si="56">+AI7</f>
        <v>-3902</v>
      </c>
      <c r="FB7" s="68">
        <f>+FB6+FA7</f>
        <v>-3902</v>
      </c>
      <c r="FC7" s="68"/>
      <c r="FD7" s="68"/>
      <c r="FE7" s="68"/>
      <c r="FF7" s="68"/>
      <c r="FG7" s="68"/>
      <c r="FH7" s="68"/>
      <c r="FI7" s="68"/>
      <c r="FJ7" s="76"/>
      <c r="FK7" s="76"/>
      <c r="FL7" s="76"/>
      <c r="FM7" s="76"/>
      <c r="FN7" s="76"/>
      <c r="FO7" s="76"/>
      <c r="FP7" s="76"/>
      <c r="FQ7" s="76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  <c r="GH7" s="77"/>
      <c r="GI7" s="77"/>
      <c r="GJ7" s="77"/>
      <c r="GK7" s="77"/>
      <c r="GL7" s="77"/>
      <c r="GM7" s="77"/>
      <c r="GN7" s="78"/>
      <c r="GO7" s="78"/>
      <c r="GP7" s="78"/>
      <c r="GQ7" s="78"/>
      <c r="GR7" s="78"/>
      <c r="GS7" s="78"/>
      <c r="GT7" s="78"/>
    </row>
    <row r="8" spans="1:202" x14ac:dyDescent="0.25">
      <c r="A8" s="67">
        <f>+BaseloadMarkets!A8</f>
        <v>36680</v>
      </c>
      <c r="B8" s="67" t="str">
        <f>+BaseloadMarkets!B8</f>
        <v>Sat</v>
      </c>
      <c r="C8" s="68">
        <f t="shared" si="52"/>
        <v>10000</v>
      </c>
      <c r="D8" s="68">
        <f t="shared" si="52"/>
        <v>10000</v>
      </c>
      <c r="E8" s="71">
        <f t="shared" si="0"/>
        <v>0</v>
      </c>
      <c r="F8" s="68">
        <v>10000</v>
      </c>
      <c r="G8" s="68">
        <v>10000</v>
      </c>
      <c r="H8" s="71">
        <f t="shared" si="1"/>
        <v>0</v>
      </c>
      <c r="I8" s="68">
        <v>10000</v>
      </c>
      <c r="J8" s="68">
        <v>10000</v>
      </c>
      <c r="K8" s="71">
        <f t="shared" si="2"/>
        <v>0</v>
      </c>
      <c r="L8" s="68">
        <f t="shared" si="53"/>
        <v>10000</v>
      </c>
      <c r="M8" s="68">
        <f t="shared" si="53"/>
        <v>10000</v>
      </c>
      <c r="N8" s="71">
        <f t="shared" si="3"/>
        <v>0</v>
      </c>
      <c r="O8" s="68">
        <v>5000</v>
      </c>
      <c r="P8" s="68">
        <v>2002</v>
      </c>
      <c r="Q8" s="71">
        <f t="shared" si="4"/>
        <v>-2998</v>
      </c>
      <c r="R8" s="68">
        <v>5000</v>
      </c>
      <c r="S8" s="68">
        <v>5000</v>
      </c>
      <c r="T8" s="71">
        <f t="shared" si="5"/>
        <v>0</v>
      </c>
      <c r="U8" s="68">
        <v>5000</v>
      </c>
      <c r="V8" s="68">
        <v>5000</v>
      </c>
      <c r="W8" s="71">
        <f t="shared" si="6"/>
        <v>0</v>
      </c>
      <c r="X8" s="68">
        <v>10000</v>
      </c>
      <c r="Y8" s="68">
        <v>10000</v>
      </c>
      <c r="Z8" s="71">
        <f t="shared" si="7"/>
        <v>0</v>
      </c>
      <c r="AA8" s="68"/>
      <c r="AB8" s="68"/>
      <c r="AC8" s="71">
        <f t="shared" si="8"/>
        <v>0</v>
      </c>
      <c r="AD8" s="68"/>
      <c r="AE8" s="68"/>
      <c r="AF8" s="71">
        <f t="shared" si="9"/>
        <v>0</v>
      </c>
      <c r="AG8" s="68">
        <v>100000</v>
      </c>
      <c r="AH8" s="68">
        <v>100000</v>
      </c>
      <c r="AI8" s="71">
        <f t="shared" si="10"/>
        <v>0</v>
      </c>
      <c r="AJ8" s="68"/>
      <c r="AK8" s="68"/>
      <c r="AL8" s="71">
        <f t="shared" si="11"/>
        <v>0</v>
      </c>
      <c r="AM8" s="68"/>
      <c r="AN8" s="68"/>
      <c r="AO8" s="71">
        <f t="shared" si="12"/>
        <v>0</v>
      </c>
      <c r="AP8" s="68"/>
      <c r="AQ8" s="68"/>
      <c r="AR8" s="71">
        <f t="shared" si="13"/>
        <v>0</v>
      </c>
      <c r="AS8" s="68"/>
      <c r="AT8" s="68"/>
      <c r="AU8" s="71">
        <f t="shared" si="14"/>
        <v>0</v>
      </c>
      <c r="AV8" s="68"/>
      <c r="AW8" s="68"/>
      <c r="AX8" s="71">
        <f t="shared" si="15"/>
        <v>0</v>
      </c>
      <c r="AY8" s="68"/>
      <c r="AZ8" s="68"/>
      <c r="BA8" s="71">
        <f t="shared" si="16"/>
        <v>0</v>
      </c>
      <c r="BB8" s="68"/>
      <c r="BC8" s="68"/>
      <c r="BD8" s="71">
        <f t="shared" si="17"/>
        <v>0</v>
      </c>
      <c r="BE8" s="68"/>
      <c r="BF8" s="68"/>
      <c r="BG8" s="71">
        <f t="shared" si="18"/>
        <v>0</v>
      </c>
      <c r="BH8" s="68"/>
      <c r="BI8" s="68"/>
      <c r="BJ8" s="71">
        <f t="shared" si="19"/>
        <v>0</v>
      </c>
      <c r="BK8" s="68"/>
      <c r="BL8" s="68"/>
      <c r="BM8" s="71">
        <f t="shared" si="20"/>
        <v>0</v>
      </c>
      <c r="BN8" s="68"/>
      <c r="BO8" s="68"/>
      <c r="BP8" s="71">
        <f t="shared" si="21"/>
        <v>0</v>
      </c>
      <c r="BQ8" s="68"/>
      <c r="BR8" s="68"/>
      <c r="BS8" s="71">
        <f t="shared" si="22"/>
        <v>0</v>
      </c>
      <c r="BT8" s="68"/>
      <c r="BU8" s="68"/>
      <c r="BV8" s="71">
        <f t="shared" si="23"/>
        <v>0</v>
      </c>
      <c r="BW8" s="68"/>
      <c r="BX8" s="68"/>
      <c r="BY8" s="71">
        <f t="shared" si="24"/>
        <v>0</v>
      </c>
      <c r="BZ8" s="68"/>
      <c r="CA8" s="68"/>
      <c r="CB8" s="71">
        <f t="shared" si="25"/>
        <v>0</v>
      </c>
      <c r="CC8" s="68"/>
      <c r="CD8" s="68"/>
      <c r="CE8" s="71">
        <f t="shared" si="26"/>
        <v>0</v>
      </c>
      <c r="CF8" s="68"/>
      <c r="CG8" s="68"/>
      <c r="CH8" s="71">
        <f t="shared" si="27"/>
        <v>0</v>
      </c>
      <c r="CI8" s="68"/>
      <c r="CJ8" s="68"/>
      <c r="CK8" s="71">
        <f t="shared" si="28"/>
        <v>0</v>
      </c>
      <c r="CL8" s="68"/>
      <c r="CM8" s="68"/>
      <c r="CN8" s="71">
        <f t="shared" si="29"/>
        <v>0</v>
      </c>
      <c r="CO8" s="68"/>
      <c r="CP8" s="68"/>
      <c r="CQ8" s="71">
        <f t="shared" si="30"/>
        <v>0</v>
      </c>
      <c r="CR8" s="68"/>
      <c r="CS8" s="68"/>
      <c r="CT8" s="71">
        <f t="shared" si="31"/>
        <v>0</v>
      </c>
      <c r="CU8" s="68"/>
      <c r="CV8" s="68"/>
      <c r="CW8" s="71">
        <f t="shared" si="32"/>
        <v>0</v>
      </c>
      <c r="CX8" s="68"/>
      <c r="CY8" s="68"/>
      <c r="CZ8" s="71">
        <f t="shared" si="33"/>
        <v>0</v>
      </c>
      <c r="DA8" s="68"/>
      <c r="DB8" s="68"/>
      <c r="DC8" s="71">
        <f t="shared" si="34"/>
        <v>0</v>
      </c>
      <c r="DD8" s="68"/>
      <c r="DE8" s="68"/>
      <c r="DF8" s="71">
        <f t="shared" si="35"/>
        <v>0</v>
      </c>
      <c r="DG8" s="68"/>
      <c r="DH8" s="68"/>
      <c r="DI8" s="71">
        <f t="shared" si="36"/>
        <v>0</v>
      </c>
      <c r="DJ8" s="68"/>
      <c r="DK8" s="68"/>
      <c r="DL8" s="71">
        <f t="shared" si="37"/>
        <v>0</v>
      </c>
      <c r="DM8" s="68"/>
      <c r="DN8" s="68"/>
      <c r="DO8" s="71">
        <f t="shared" si="38"/>
        <v>0</v>
      </c>
      <c r="DP8" s="68"/>
      <c r="DQ8" s="68"/>
      <c r="DR8" s="71">
        <f t="shared" si="39"/>
        <v>0</v>
      </c>
      <c r="DS8" s="68"/>
      <c r="DT8" s="68"/>
      <c r="DU8" s="71">
        <f t="shared" si="40"/>
        <v>0</v>
      </c>
      <c r="DV8" s="68"/>
      <c r="DW8" s="68"/>
      <c r="DX8" s="71">
        <f t="shared" si="41"/>
        <v>0</v>
      </c>
      <c r="DY8" s="68"/>
      <c r="DZ8" s="68"/>
      <c r="EA8" s="71">
        <f t="shared" si="42"/>
        <v>0</v>
      </c>
      <c r="EB8" s="68"/>
      <c r="EC8" s="68"/>
      <c r="ED8" s="71">
        <f t="shared" si="43"/>
        <v>0</v>
      </c>
      <c r="EE8" s="68"/>
      <c r="EF8" s="68"/>
      <c r="EG8" s="71">
        <f t="shared" si="44"/>
        <v>0</v>
      </c>
      <c r="EH8" s="68"/>
      <c r="EI8" s="68"/>
      <c r="EJ8" s="71">
        <f t="shared" si="45"/>
        <v>0</v>
      </c>
      <c r="EK8" s="68"/>
      <c r="EL8" s="68"/>
      <c r="EM8" s="71">
        <f t="shared" si="46"/>
        <v>0</v>
      </c>
      <c r="EN8" s="68"/>
      <c r="EO8" s="68"/>
      <c r="EP8" s="71">
        <f t="shared" si="47"/>
        <v>0</v>
      </c>
      <c r="EQ8" s="71">
        <f t="shared" si="48"/>
        <v>165000</v>
      </c>
      <c r="ER8" s="71">
        <f t="shared" si="49"/>
        <v>162002</v>
      </c>
      <c r="ES8" s="71">
        <f t="shared" si="50"/>
        <v>-2998</v>
      </c>
      <c r="ET8" s="68">
        <f t="shared" ref="ET8:ET35" si="57">+ET7+ES8</f>
        <v>-15446</v>
      </c>
      <c r="EU8" s="73"/>
      <c r="EV8" s="71">
        <f t="shared" si="54"/>
        <v>65000</v>
      </c>
      <c r="EW8" s="71">
        <f t="shared" si="51"/>
        <v>62002</v>
      </c>
      <c r="EX8" s="68">
        <f t="shared" si="55"/>
        <v>-2998</v>
      </c>
      <c r="EY8" s="68">
        <f t="shared" ref="EY8:EY35" si="58">+EY7+EX8</f>
        <v>-11544</v>
      </c>
      <c r="EZ8" s="73"/>
      <c r="FA8" s="68">
        <f t="shared" si="56"/>
        <v>0</v>
      </c>
      <c r="FB8" s="68">
        <f t="shared" ref="FB8:FB35" si="59">+FB7+FA8</f>
        <v>-3902</v>
      </c>
      <c r="FC8" s="73"/>
      <c r="FD8" s="73"/>
      <c r="FE8" s="73"/>
      <c r="FF8" s="73"/>
      <c r="FG8" s="73"/>
      <c r="FH8" s="73"/>
      <c r="FI8" s="73"/>
    </row>
    <row r="9" spans="1:202" x14ac:dyDescent="0.25">
      <c r="A9" s="67">
        <f>+BaseloadMarkets!A9</f>
        <v>36681</v>
      </c>
      <c r="B9" s="67" t="str">
        <f>+BaseloadMarkets!B9</f>
        <v>Sun</v>
      </c>
      <c r="C9" s="68">
        <f t="shared" si="52"/>
        <v>10000</v>
      </c>
      <c r="D9" s="68">
        <f t="shared" si="52"/>
        <v>10000</v>
      </c>
      <c r="E9" s="71">
        <f t="shared" si="0"/>
        <v>0</v>
      </c>
      <c r="F9" s="68">
        <v>10000</v>
      </c>
      <c r="G9" s="68">
        <v>10000</v>
      </c>
      <c r="H9" s="71">
        <f t="shared" si="1"/>
        <v>0</v>
      </c>
      <c r="I9" s="68">
        <v>10000</v>
      </c>
      <c r="J9" s="68">
        <v>10000</v>
      </c>
      <c r="K9" s="71">
        <f t="shared" si="2"/>
        <v>0</v>
      </c>
      <c r="L9" s="68">
        <f t="shared" si="53"/>
        <v>10000</v>
      </c>
      <c r="M9" s="68">
        <f t="shared" si="53"/>
        <v>10000</v>
      </c>
      <c r="N9" s="71">
        <f t="shared" si="3"/>
        <v>0</v>
      </c>
      <c r="O9" s="68">
        <v>5000</v>
      </c>
      <c r="P9" s="68">
        <v>3659</v>
      </c>
      <c r="Q9" s="71">
        <f t="shared" si="4"/>
        <v>-1341</v>
      </c>
      <c r="R9" s="68">
        <v>5000</v>
      </c>
      <c r="S9" s="68">
        <v>5000</v>
      </c>
      <c r="T9" s="71">
        <f t="shared" si="5"/>
        <v>0</v>
      </c>
      <c r="U9" s="68">
        <v>5000</v>
      </c>
      <c r="V9" s="68">
        <v>5000</v>
      </c>
      <c r="W9" s="71">
        <f t="shared" si="6"/>
        <v>0</v>
      </c>
      <c r="X9" s="68">
        <v>10000</v>
      </c>
      <c r="Y9" s="68">
        <v>10000</v>
      </c>
      <c r="Z9" s="71">
        <f t="shared" si="7"/>
        <v>0</v>
      </c>
      <c r="AA9" s="68"/>
      <c r="AB9" s="68"/>
      <c r="AC9" s="71">
        <f t="shared" si="8"/>
        <v>0</v>
      </c>
      <c r="AD9" s="68"/>
      <c r="AE9" s="68"/>
      <c r="AF9" s="71">
        <f t="shared" si="9"/>
        <v>0</v>
      </c>
      <c r="AG9" s="68">
        <v>100000</v>
      </c>
      <c r="AH9" s="68">
        <v>100000</v>
      </c>
      <c r="AI9" s="71">
        <f t="shared" si="10"/>
        <v>0</v>
      </c>
      <c r="AJ9" s="68"/>
      <c r="AK9" s="68"/>
      <c r="AL9" s="71">
        <f t="shared" si="11"/>
        <v>0</v>
      </c>
      <c r="AM9" s="68"/>
      <c r="AN9" s="68"/>
      <c r="AO9" s="71">
        <f t="shared" si="12"/>
        <v>0</v>
      </c>
      <c r="AP9" s="68"/>
      <c r="AQ9" s="68"/>
      <c r="AR9" s="71">
        <f t="shared" si="13"/>
        <v>0</v>
      </c>
      <c r="AS9" s="68"/>
      <c r="AT9" s="68"/>
      <c r="AU9" s="71">
        <f t="shared" si="14"/>
        <v>0</v>
      </c>
      <c r="AV9" s="68"/>
      <c r="AW9" s="68"/>
      <c r="AX9" s="71">
        <f t="shared" si="15"/>
        <v>0</v>
      </c>
      <c r="AY9" s="68"/>
      <c r="AZ9" s="68"/>
      <c r="BA9" s="71">
        <f t="shared" si="16"/>
        <v>0</v>
      </c>
      <c r="BB9" s="68"/>
      <c r="BC9" s="68"/>
      <c r="BD9" s="71">
        <f t="shared" si="17"/>
        <v>0</v>
      </c>
      <c r="BE9" s="68"/>
      <c r="BF9" s="68"/>
      <c r="BG9" s="71">
        <f t="shared" si="18"/>
        <v>0</v>
      </c>
      <c r="BH9" s="68"/>
      <c r="BI9" s="68"/>
      <c r="BJ9" s="71">
        <f t="shared" si="19"/>
        <v>0</v>
      </c>
      <c r="BK9" s="68"/>
      <c r="BL9" s="68"/>
      <c r="BM9" s="71">
        <f t="shared" si="20"/>
        <v>0</v>
      </c>
      <c r="BN9" s="68"/>
      <c r="BO9" s="68"/>
      <c r="BP9" s="71">
        <f t="shared" si="21"/>
        <v>0</v>
      </c>
      <c r="BQ9" s="68"/>
      <c r="BR9" s="68"/>
      <c r="BS9" s="71">
        <f t="shared" si="22"/>
        <v>0</v>
      </c>
      <c r="BT9" s="68"/>
      <c r="BU9" s="68"/>
      <c r="BV9" s="71">
        <f t="shared" si="23"/>
        <v>0</v>
      </c>
      <c r="BW9" s="68"/>
      <c r="BX9" s="68"/>
      <c r="BY9" s="71">
        <f t="shared" si="24"/>
        <v>0</v>
      </c>
      <c r="BZ9" s="68"/>
      <c r="CA9" s="68"/>
      <c r="CB9" s="71">
        <f t="shared" si="25"/>
        <v>0</v>
      </c>
      <c r="CC9" s="68"/>
      <c r="CD9" s="68"/>
      <c r="CE9" s="71">
        <f t="shared" si="26"/>
        <v>0</v>
      </c>
      <c r="CF9" s="68"/>
      <c r="CG9" s="68"/>
      <c r="CH9" s="71">
        <f t="shared" si="27"/>
        <v>0</v>
      </c>
      <c r="CI9" s="68"/>
      <c r="CJ9" s="68"/>
      <c r="CK9" s="71">
        <f t="shared" si="28"/>
        <v>0</v>
      </c>
      <c r="CL9" s="68"/>
      <c r="CM9" s="68"/>
      <c r="CN9" s="71">
        <f t="shared" si="29"/>
        <v>0</v>
      </c>
      <c r="CO9" s="68"/>
      <c r="CP9" s="68"/>
      <c r="CQ9" s="71">
        <f t="shared" si="30"/>
        <v>0</v>
      </c>
      <c r="CR9" s="68"/>
      <c r="CS9" s="68"/>
      <c r="CT9" s="71">
        <f t="shared" si="31"/>
        <v>0</v>
      </c>
      <c r="CU9" s="68"/>
      <c r="CV9" s="68"/>
      <c r="CW9" s="71">
        <f t="shared" si="32"/>
        <v>0</v>
      </c>
      <c r="CX9" s="68"/>
      <c r="CY9" s="68"/>
      <c r="CZ9" s="71">
        <f t="shared" si="33"/>
        <v>0</v>
      </c>
      <c r="DA9" s="68"/>
      <c r="DB9" s="68"/>
      <c r="DC9" s="71">
        <f t="shared" si="34"/>
        <v>0</v>
      </c>
      <c r="DD9" s="68"/>
      <c r="DE9" s="68"/>
      <c r="DF9" s="71">
        <f t="shared" si="35"/>
        <v>0</v>
      </c>
      <c r="DG9" s="68"/>
      <c r="DH9" s="68"/>
      <c r="DI9" s="71">
        <f t="shared" si="36"/>
        <v>0</v>
      </c>
      <c r="DJ9" s="68"/>
      <c r="DK9" s="68"/>
      <c r="DL9" s="71">
        <f t="shared" si="37"/>
        <v>0</v>
      </c>
      <c r="DM9" s="68"/>
      <c r="DN9" s="68"/>
      <c r="DO9" s="71">
        <f t="shared" si="38"/>
        <v>0</v>
      </c>
      <c r="DP9" s="68"/>
      <c r="DQ9" s="68"/>
      <c r="DR9" s="71">
        <f t="shared" si="39"/>
        <v>0</v>
      </c>
      <c r="DS9" s="68"/>
      <c r="DT9" s="68"/>
      <c r="DU9" s="71">
        <f t="shared" si="40"/>
        <v>0</v>
      </c>
      <c r="DV9" s="68"/>
      <c r="DW9" s="68"/>
      <c r="DX9" s="71">
        <f t="shared" si="41"/>
        <v>0</v>
      </c>
      <c r="DY9" s="68"/>
      <c r="DZ9" s="68"/>
      <c r="EA9" s="71">
        <f t="shared" si="42"/>
        <v>0</v>
      </c>
      <c r="EB9" s="68"/>
      <c r="EC9" s="68"/>
      <c r="ED9" s="71">
        <f t="shared" si="43"/>
        <v>0</v>
      </c>
      <c r="EE9" s="68"/>
      <c r="EF9" s="68"/>
      <c r="EG9" s="71">
        <f t="shared" si="44"/>
        <v>0</v>
      </c>
      <c r="EH9" s="68"/>
      <c r="EI9" s="68"/>
      <c r="EJ9" s="71">
        <f t="shared" si="45"/>
        <v>0</v>
      </c>
      <c r="EK9" s="68"/>
      <c r="EL9" s="68"/>
      <c r="EM9" s="71">
        <f t="shared" si="46"/>
        <v>0</v>
      </c>
      <c r="EN9" s="68"/>
      <c r="EO9" s="68"/>
      <c r="EP9" s="71">
        <f t="shared" si="47"/>
        <v>0</v>
      </c>
      <c r="EQ9" s="71">
        <f t="shared" si="48"/>
        <v>165000</v>
      </c>
      <c r="ER9" s="71">
        <f t="shared" si="49"/>
        <v>163659</v>
      </c>
      <c r="ES9" s="71">
        <f t="shared" si="50"/>
        <v>-1341</v>
      </c>
      <c r="ET9" s="68">
        <f t="shared" si="57"/>
        <v>-16787</v>
      </c>
      <c r="EU9" s="73"/>
      <c r="EV9" s="71">
        <f t="shared" si="54"/>
        <v>65000</v>
      </c>
      <c r="EW9" s="71">
        <f t="shared" si="51"/>
        <v>63659</v>
      </c>
      <c r="EX9" s="68">
        <f t="shared" si="55"/>
        <v>-1341</v>
      </c>
      <c r="EY9" s="68">
        <f t="shared" si="58"/>
        <v>-12885</v>
      </c>
      <c r="EZ9" s="73"/>
      <c r="FA9" s="68">
        <f t="shared" si="56"/>
        <v>0</v>
      </c>
      <c r="FB9" s="68">
        <f t="shared" si="59"/>
        <v>-3902</v>
      </c>
      <c r="FC9" s="73"/>
      <c r="FD9" s="73"/>
      <c r="FE9" s="73"/>
      <c r="FF9" s="73"/>
      <c r="FG9" s="73"/>
      <c r="FH9" s="73"/>
      <c r="FI9" s="73"/>
    </row>
    <row r="10" spans="1:202" x14ac:dyDescent="0.25">
      <c r="A10" s="67">
        <f>+BaseloadMarkets!A10</f>
        <v>36682</v>
      </c>
      <c r="B10" s="67" t="str">
        <f>+BaseloadMarkets!B10</f>
        <v>Mon</v>
      </c>
      <c r="C10" s="68">
        <f t="shared" si="52"/>
        <v>10000</v>
      </c>
      <c r="D10" s="68">
        <f t="shared" si="52"/>
        <v>10000</v>
      </c>
      <c r="E10" s="71">
        <f t="shared" si="0"/>
        <v>0</v>
      </c>
      <c r="F10" s="68">
        <v>10000</v>
      </c>
      <c r="G10" s="68">
        <v>10000</v>
      </c>
      <c r="H10" s="71">
        <f t="shared" si="1"/>
        <v>0</v>
      </c>
      <c r="I10" s="68">
        <v>10000</v>
      </c>
      <c r="J10" s="68">
        <v>10000</v>
      </c>
      <c r="K10" s="71">
        <f t="shared" si="2"/>
        <v>0</v>
      </c>
      <c r="L10" s="68">
        <f t="shared" si="53"/>
        <v>10000</v>
      </c>
      <c r="M10" s="68">
        <f t="shared" si="53"/>
        <v>10000</v>
      </c>
      <c r="N10" s="71">
        <f t="shared" si="3"/>
        <v>0</v>
      </c>
      <c r="O10" s="68">
        <v>5000</v>
      </c>
      <c r="P10" s="68">
        <v>3653</v>
      </c>
      <c r="Q10" s="71">
        <f t="shared" si="4"/>
        <v>-1347</v>
      </c>
      <c r="R10" s="68">
        <v>5000</v>
      </c>
      <c r="S10" s="68">
        <v>5000</v>
      </c>
      <c r="T10" s="71">
        <f t="shared" si="5"/>
        <v>0</v>
      </c>
      <c r="U10" s="68">
        <v>5000</v>
      </c>
      <c r="V10" s="68">
        <v>5000</v>
      </c>
      <c r="W10" s="71">
        <f t="shared" si="6"/>
        <v>0</v>
      </c>
      <c r="X10" s="68">
        <v>10000</v>
      </c>
      <c r="Y10" s="68">
        <v>10000</v>
      </c>
      <c r="Z10" s="71">
        <f t="shared" si="7"/>
        <v>0</v>
      </c>
      <c r="AA10" s="68"/>
      <c r="AB10" s="68"/>
      <c r="AC10" s="71">
        <f t="shared" si="8"/>
        <v>0</v>
      </c>
      <c r="AD10" s="68"/>
      <c r="AE10" s="68"/>
      <c r="AF10" s="71">
        <f t="shared" si="9"/>
        <v>0</v>
      </c>
      <c r="AG10" s="68">
        <v>100000</v>
      </c>
      <c r="AH10" s="68">
        <v>100000</v>
      </c>
      <c r="AI10" s="71">
        <f t="shared" si="10"/>
        <v>0</v>
      </c>
      <c r="AJ10" s="68"/>
      <c r="AK10" s="68"/>
      <c r="AL10" s="71">
        <f t="shared" si="11"/>
        <v>0</v>
      </c>
      <c r="AM10" s="68"/>
      <c r="AN10" s="68"/>
      <c r="AO10" s="71">
        <f t="shared" si="12"/>
        <v>0</v>
      </c>
      <c r="AP10" s="68"/>
      <c r="AQ10" s="68"/>
      <c r="AR10" s="71">
        <f t="shared" si="13"/>
        <v>0</v>
      </c>
      <c r="AS10" s="68"/>
      <c r="AT10" s="68"/>
      <c r="AU10" s="71">
        <f t="shared" si="14"/>
        <v>0</v>
      </c>
      <c r="AV10" s="68"/>
      <c r="AW10" s="68"/>
      <c r="AX10" s="71">
        <f t="shared" si="15"/>
        <v>0</v>
      </c>
      <c r="AY10" s="68"/>
      <c r="AZ10" s="68"/>
      <c r="BA10" s="71">
        <f t="shared" si="16"/>
        <v>0</v>
      </c>
      <c r="BB10" s="68"/>
      <c r="BC10" s="68"/>
      <c r="BD10" s="71">
        <f t="shared" si="17"/>
        <v>0</v>
      </c>
      <c r="BE10" s="68"/>
      <c r="BF10" s="68"/>
      <c r="BG10" s="71">
        <f t="shared" si="18"/>
        <v>0</v>
      </c>
      <c r="BH10" s="68"/>
      <c r="BI10" s="68"/>
      <c r="BJ10" s="71">
        <f t="shared" si="19"/>
        <v>0</v>
      </c>
      <c r="BK10" s="68"/>
      <c r="BL10" s="68"/>
      <c r="BM10" s="71">
        <f t="shared" si="20"/>
        <v>0</v>
      </c>
      <c r="BN10" s="68"/>
      <c r="BO10" s="68"/>
      <c r="BP10" s="71">
        <f t="shared" si="21"/>
        <v>0</v>
      </c>
      <c r="BQ10" s="68"/>
      <c r="BR10" s="68"/>
      <c r="BS10" s="71">
        <f t="shared" si="22"/>
        <v>0</v>
      </c>
      <c r="BT10" s="68"/>
      <c r="BU10" s="68"/>
      <c r="BV10" s="71">
        <f t="shared" si="23"/>
        <v>0</v>
      </c>
      <c r="BW10" s="68"/>
      <c r="BX10" s="68"/>
      <c r="BY10" s="71">
        <f t="shared" si="24"/>
        <v>0</v>
      </c>
      <c r="BZ10" s="68"/>
      <c r="CA10" s="68"/>
      <c r="CB10" s="71">
        <f t="shared" si="25"/>
        <v>0</v>
      </c>
      <c r="CC10" s="68"/>
      <c r="CD10" s="68"/>
      <c r="CE10" s="71">
        <f t="shared" si="26"/>
        <v>0</v>
      </c>
      <c r="CF10" s="68"/>
      <c r="CG10" s="68"/>
      <c r="CH10" s="71">
        <f t="shared" si="27"/>
        <v>0</v>
      </c>
      <c r="CI10" s="68"/>
      <c r="CJ10" s="68"/>
      <c r="CK10" s="71">
        <f t="shared" si="28"/>
        <v>0</v>
      </c>
      <c r="CL10" s="68"/>
      <c r="CM10" s="68"/>
      <c r="CN10" s="71">
        <f t="shared" si="29"/>
        <v>0</v>
      </c>
      <c r="CO10" s="68"/>
      <c r="CP10" s="68"/>
      <c r="CQ10" s="71">
        <f t="shared" si="30"/>
        <v>0</v>
      </c>
      <c r="CR10" s="68"/>
      <c r="CS10" s="68"/>
      <c r="CT10" s="71">
        <f t="shared" si="31"/>
        <v>0</v>
      </c>
      <c r="CU10" s="68"/>
      <c r="CV10" s="68"/>
      <c r="CW10" s="71">
        <f t="shared" si="32"/>
        <v>0</v>
      </c>
      <c r="CX10" s="68"/>
      <c r="CY10" s="68"/>
      <c r="CZ10" s="71">
        <f t="shared" si="33"/>
        <v>0</v>
      </c>
      <c r="DA10" s="68"/>
      <c r="DB10" s="68"/>
      <c r="DC10" s="71">
        <f t="shared" si="34"/>
        <v>0</v>
      </c>
      <c r="DD10" s="68"/>
      <c r="DE10" s="68"/>
      <c r="DF10" s="71">
        <f t="shared" si="35"/>
        <v>0</v>
      </c>
      <c r="DG10" s="68"/>
      <c r="DH10" s="68"/>
      <c r="DI10" s="71">
        <f t="shared" si="36"/>
        <v>0</v>
      </c>
      <c r="DJ10" s="68"/>
      <c r="DK10" s="68"/>
      <c r="DL10" s="71">
        <f t="shared" si="37"/>
        <v>0</v>
      </c>
      <c r="DM10" s="68"/>
      <c r="DN10" s="68"/>
      <c r="DO10" s="71">
        <f t="shared" si="38"/>
        <v>0</v>
      </c>
      <c r="DP10" s="68"/>
      <c r="DQ10" s="68"/>
      <c r="DR10" s="71">
        <f t="shared" si="39"/>
        <v>0</v>
      </c>
      <c r="DS10" s="68"/>
      <c r="DT10" s="68"/>
      <c r="DU10" s="71">
        <f t="shared" si="40"/>
        <v>0</v>
      </c>
      <c r="DV10" s="68"/>
      <c r="DW10" s="68"/>
      <c r="DX10" s="71">
        <f t="shared" si="41"/>
        <v>0</v>
      </c>
      <c r="DY10" s="68"/>
      <c r="DZ10" s="68"/>
      <c r="EA10" s="71">
        <f t="shared" si="42"/>
        <v>0</v>
      </c>
      <c r="EB10" s="68"/>
      <c r="EC10" s="68"/>
      <c r="ED10" s="71">
        <f t="shared" si="43"/>
        <v>0</v>
      </c>
      <c r="EE10" s="68"/>
      <c r="EF10" s="68"/>
      <c r="EG10" s="71">
        <f t="shared" si="44"/>
        <v>0</v>
      </c>
      <c r="EH10" s="68"/>
      <c r="EI10" s="68"/>
      <c r="EJ10" s="71">
        <f t="shared" si="45"/>
        <v>0</v>
      </c>
      <c r="EK10" s="68"/>
      <c r="EL10" s="68"/>
      <c r="EM10" s="71">
        <f t="shared" si="46"/>
        <v>0</v>
      </c>
      <c r="EN10" s="68"/>
      <c r="EO10" s="68"/>
      <c r="EP10" s="71">
        <f t="shared" si="47"/>
        <v>0</v>
      </c>
      <c r="EQ10" s="71">
        <f t="shared" si="48"/>
        <v>165000</v>
      </c>
      <c r="ER10" s="71">
        <f t="shared" si="49"/>
        <v>163653</v>
      </c>
      <c r="ES10" s="71">
        <f t="shared" si="50"/>
        <v>-1347</v>
      </c>
      <c r="ET10" s="68">
        <f t="shared" si="57"/>
        <v>-18134</v>
      </c>
      <c r="EU10" s="73"/>
      <c r="EV10" s="71">
        <f t="shared" si="54"/>
        <v>65000</v>
      </c>
      <c r="EW10" s="71">
        <f t="shared" si="51"/>
        <v>63653</v>
      </c>
      <c r="EX10" s="68">
        <f t="shared" si="55"/>
        <v>-1347</v>
      </c>
      <c r="EY10" s="68">
        <f t="shared" si="58"/>
        <v>-14232</v>
      </c>
      <c r="EZ10" s="73"/>
      <c r="FA10" s="68">
        <f t="shared" si="56"/>
        <v>0</v>
      </c>
      <c r="FB10" s="68">
        <f t="shared" si="59"/>
        <v>-3902</v>
      </c>
      <c r="FC10" s="73"/>
      <c r="FD10" s="73"/>
      <c r="FE10" s="73"/>
      <c r="FF10" s="73"/>
      <c r="FG10" s="73"/>
      <c r="FH10" s="73"/>
      <c r="FI10" s="73"/>
    </row>
    <row r="11" spans="1:202" x14ac:dyDescent="0.25">
      <c r="A11" s="67">
        <f>+BaseloadMarkets!A11</f>
        <v>36683</v>
      </c>
      <c r="B11" s="67" t="str">
        <f>+BaseloadMarkets!B11</f>
        <v>Tues</v>
      </c>
      <c r="C11" s="68">
        <f t="shared" si="52"/>
        <v>10000</v>
      </c>
      <c r="D11" s="68">
        <f t="shared" si="52"/>
        <v>10000</v>
      </c>
      <c r="E11" s="71">
        <f t="shared" si="0"/>
        <v>0</v>
      </c>
      <c r="F11" s="68">
        <v>10000</v>
      </c>
      <c r="G11" s="68">
        <v>10000</v>
      </c>
      <c r="H11" s="71">
        <f t="shared" si="1"/>
        <v>0</v>
      </c>
      <c r="I11" s="68">
        <v>10000</v>
      </c>
      <c r="J11" s="68">
        <v>10000</v>
      </c>
      <c r="K11" s="71">
        <f t="shared" si="2"/>
        <v>0</v>
      </c>
      <c r="L11" s="68">
        <f t="shared" si="53"/>
        <v>10000</v>
      </c>
      <c r="M11" s="68">
        <f t="shared" si="53"/>
        <v>10000</v>
      </c>
      <c r="N11" s="71">
        <f t="shared" si="3"/>
        <v>0</v>
      </c>
      <c r="O11" s="68">
        <v>5000</v>
      </c>
      <c r="P11" s="68">
        <v>5000</v>
      </c>
      <c r="Q11" s="71">
        <f t="shared" si="4"/>
        <v>0</v>
      </c>
      <c r="R11" s="68">
        <v>5000</v>
      </c>
      <c r="S11" s="68">
        <v>5000</v>
      </c>
      <c r="T11" s="71">
        <f t="shared" si="5"/>
        <v>0</v>
      </c>
      <c r="U11" s="68">
        <v>5000</v>
      </c>
      <c r="V11" s="68">
        <v>5000</v>
      </c>
      <c r="W11" s="71">
        <f t="shared" si="6"/>
        <v>0</v>
      </c>
      <c r="X11" s="68">
        <v>10000</v>
      </c>
      <c r="Y11" s="68">
        <v>10000</v>
      </c>
      <c r="Z11" s="71">
        <f t="shared" si="7"/>
        <v>0</v>
      </c>
      <c r="AA11" s="68"/>
      <c r="AB11" s="68"/>
      <c r="AC11" s="71">
        <f t="shared" si="8"/>
        <v>0</v>
      </c>
      <c r="AD11" s="68"/>
      <c r="AE11" s="68"/>
      <c r="AF11" s="71">
        <f t="shared" si="9"/>
        <v>0</v>
      </c>
      <c r="AG11" s="68">
        <v>515000</v>
      </c>
      <c r="AH11" s="68">
        <v>501302</v>
      </c>
      <c r="AI11" s="71">
        <f t="shared" si="10"/>
        <v>-13698</v>
      </c>
      <c r="AJ11" s="68"/>
      <c r="AK11" s="68"/>
      <c r="AL11" s="71">
        <f t="shared" si="11"/>
        <v>0</v>
      </c>
      <c r="AM11" s="68"/>
      <c r="AN11" s="68"/>
      <c r="AO11" s="71">
        <f t="shared" si="12"/>
        <v>0</v>
      </c>
      <c r="AP11" s="68"/>
      <c r="AQ11" s="68"/>
      <c r="AR11" s="71">
        <f t="shared" si="13"/>
        <v>0</v>
      </c>
      <c r="AS11" s="68"/>
      <c r="AT11" s="68"/>
      <c r="AU11" s="71">
        <f t="shared" si="14"/>
        <v>0</v>
      </c>
      <c r="AV11" s="68"/>
      <c r="AW11" s="68"/>
      <c r="AX11" s="71">
        <f t="shared" si="15"/>
        <v>0</v>
      </c>
      <c r="AY11" s="68"/>
      <c r="AZ11" s="68"/>
      <c r="BA11" s="71">
        <f t="shared" si="16"/>
        <v>0</v>
      </c>
      <c r="BB11" s="68"/>
      <c r="BC11" s="68"/>
      <c r="BD11" s="71">
        <f t="shared" si="17"/>
        <v>0</v>
      </c>
      <c r="BE11" s="68"/>
      <c r="BF11" s="68"/>
      <c r="BG11" s="71">
        <f t="shared" si="18"/>
        <v>0</v>
      </c>
      <c r="BH11" s="68"/>
      <c r="BI11" s="68"/>
      <c r="BJ11" s="71">
        <f t="shared" si="19"/>
        <v>0</v>
      </c>
      <c r="BK11" s="68"/>
      <c r="BL11" s="68"/>
      <c r="BM11" s="71">
        <f t="shared" si="20"/>
        <v>0</v>
      </c>
      <c r="BN11" s="68"/>
      <c r="BO11" s="68"/>
      <c r="BP11" s="71">
        <f t="shared" si="21"/>
        <v>0</v>
      </c>
      <c r="BQ11" s="68"/>
      <c r="BR11" s="68"/>
      <c r="BS11" s="71">
        <f t="shared" si="22"/>
        <v>0</v>
      </c>
      <c r="BT11" s="68"/>
      <c r="BU11" s="68"/>
      <c r="BV11" s="71">
        <f t="shared" si="23"/>
        <v>0</v>
      </c>
      <c r="BW11" s="68"/>
      <c r="BX11" s="68"/>
      <c r="BY11" s="71">
        <f t="shared" si="24"/>
        <v>0</v>
      </c>
      <c r="BZ11" s="68"/>
      <c r="CA11" s="68"/>
      <c r="CB11" s="71">
        <f t="shared" si="25"/>
        <v>0</v>
      </c>
      <c r="CC11" s="68"/>
      <c r="CD11" s="68"/>
      <c r="CE11" s="71">
        <f t="shared" si="26"/>
        <v>0</v>
      </c>
      <c r="CF11" s="68"/>
      <c r="CG11" s="68"/>
      <c r="CH11" s="71">
        <f t="shared" si="27"/>
        <v>0</v>
      </c>
      <c r="CI11" s="68"/>
      <c r="CJ11" s="68"/>
      <c r="CK11" s="71">
        <f t="shared" si="28"/>
        <v>0</v>
      </c>
      <c r="CL11" s="68"/>
      <c r="CM11" s="68"/>
      <c r="CN11" s="71">
        <f t="shared" si="29"/>
        <v>0</v>
      </c>
      <c r="CO11" s="68"/>
      <c r="CP11" s="68"/>
      <c r="CQ11" s="71">
        <f t="shared" si="30"/>
        <v>0</v>
      </c>
      <c r="CR11" s="68"/>
      <c r="CS11" s="68"/>
      <c r="CT11" s="71">
        <f t="shared" si="31"/>
        <v>0</v>
      </c>
      <c r="CU11" s="68"/>
      <c r="CV11" s="68"/>
      <c r="CW11" s="71">
        <f t="shared" si="32"/>
        <v>0</v>
      </c>
      <c r="CX11" s="68"/>
      <c r="CY11" s="68"/>
      <c r="CZ11" s="71">
        <f t="shared" si="33"/>
        <v>0</v>
      </c>
      <c r="DA11" s="68"/>
      <c r="DB11" s="68"/>
      <c r="DC11" s="71">
        <f t="shared" si="34"/>
        <v>0</v>
      </c>
      <c r="DD11" s="68"/>
      <c r="DE11" s="68"/>
      <c r="DF11" s="71">
        <f t="shared" si="35"/>
        <v>0</v>
      </c>
      <c r="DG11" s="68"/>
      <c r="DH11" s="68"/>
      <c r="DI11" s="71">
        <f t="shared" si="36"/>
        <v>0</v>
      </c>
      <c r="DJ11" s="68"/>
      <c r="DK11" s="68"/>
      <c r="DL11" s="71">
        <f t="shared" si="37"/>
        <v>0</v>
      </c>
      <c r="DM11" s="68"/>
      <c r="DN11" s="68"/>
      <c r="DO11" s="71">
        <f t="shared" si="38"/>
        <v>0</v>
      </c>
      <c r="DP11" s="68"/>
      <c r="DQ11" s="68"/>
      <c r="DR11" s="71">
        <f t="shared" si="39"/>
        <v>0</v>
      </c>
      <c r="DS11" s="68"/>
      <c r="DT11" s="68"/>
      <c r="DU11" s="71">
        <f t="shared" si="40"/>
        <v>0</v>
      </c>
      <c r="DV11" s="68"/>
      <c r="DW11" s="68"/>
      <c r="DX11" s="71">
        <f t="shared" si="41"/>
        <v>0</v>
      </c>
      <c r="DY11" s="68"/>
      <c r="DZ11" s="68"/>
      <c r="EA11" s="71">
        <f t="shared" si="42"/>
        <v>0</v>
      </c>
      <c r="EB11" s="68"/>
      <c r="EC11" s="68"/>
      <c r="ED11" s="71">
        <f t="shared" si="43"/>
        <v>0</v>
      </c>
      <c r="EE11" s="68"/>
      <c r="EF11" s="68"/>
      <c r="EG11" s="71">
        <f t="shared" si="44"/>
        <v>0</v>
      </c>
      <c r="EH11" s="68"/>
      <c r="EI11" s="68"/>
      <c r="EJ11" s="71">
        <f t="shared" si="45"/>
        <v>0</v>
      </c>
      <c r="EK11" s="68"/>
      <c r="EL11" s="68"/>
      <c r="EM11" s="71">
        <f t="shared" si="46"/>
        <v>0</v>
      </c>
      <c r="EN11" s="68"/>
      <c r="EO11" s="68"/>
      <c r="EP11" s="71">
        <f t="shared" si="47"/>
        <v>0</v>
      </c>
      <c r="EQ11" s="71">
        <f t="shared" si="48"/>
        <v>580000</v>
      </c>
      <c r="ER11" s="71">
        <f t="shared" si="49"/>
        <v>566302</v>
      </c>
      <c r="ES11" s="71">
        <f t="shared" si="50"/>
        <v>-13698</v>
      </c>
      <c r="ET11" s="68">
        <f t="shared" si="57"/>
        <v>-31832</v>
      </c>
      <c r="EU11" s="73"/>
      <c r="EV11" s="71">
        <f t="shared" si="54"/>
        <v>65000</v>
      </c>
      <c r="EW11" s="71">
        <f t="shared" si="51"/>
        <v>65000</v>
      </c>
      <c r="EX11" s="68">
        <f t="shared" si="55"/>
        <v>0</v>
      </c>
      <c r="EY11" s="68">
        <f t="shared" si="58"/>
        <v>-14232</v>
      </c>
      <c r="EZ11" s="73"/>
      <c r="FA11" s="68">
        <f t="shared" si="56"/>
        <v>-13698</v>
      </c>
      <c r="FB11" s="68">
        <f t="shared" si="59"/>
        <v>-17600</v>
      </c>
      <c r="FC11" s="73"/>
      <c r="FD11" s="73"/>
      <c r="FE11" s="73"/>
      <c r="FF11" s="73"/>
      <c r="FG11" s="73"/>
      <c r="FH11" s="73"/>
      <c r="FI11" s="73"/>
    </row>
    <row r="12" spans="1:202" x14ac:dyDescent="0.25">
      <c r="A12" s="67">
        <f>+BaseloadMarkets!A12</f>
        <v>36684</v>
      </c>
      <c r="B12" s="67" t="str">
        <f>+BaseloadMarkets!B12</f>
        <v>Wed</v>
      </c>
      <c r="C12" s="68">
        <f t="shared" si="52"/>
        <v>10000</v>
      </c>
      <c r="D12" s="68">
        <f t="shared" si="52"/>
        <v>10000</v>
      </c>
      <c r="E12" s="71">
        <f t="shared" si="0"/>
        <v>0</v>
      </c>
      <c r="F12" s="68">
        <v>10000</v>
      </c>
      <c r="G12" s="68">
        <v>10000</v>
      </c>
      <c r="H12" s="71">
        <f t="shared" si="1"/>
        <v>0</v>
      </c>
      <c r="I12" s="68">
        <v>10000</v>
      </c>
      <c r="J12" s="68">
        <v>10000</v>
      </c>
      <c r="K12" s="71">
        <f t="shared" si="2"/>
        <v>0</v>
      </c>
      <c r="L12" s="68">
        <f t="shared" si="53"/>
        <v>10000</v>
      </c>
      <c r="M12" s="68">
        <f t="shared" si="53"/>
        <v>10000</v>
      </c>
      <c r="N12" s="71">
        <f t="shared" si="3"/>
        <v>0</v>
      </c>
      <c r="O12" s="68">
        <v>5000</v>
      </c>
      <c r="P12" s="68">
        <v>3230</v>
      </c>
      <c r="Q12" s="71">
        <f t="shared" si="4"/>
        <v>-1770</v>
      </c>
      <c r="R12" s="68">
        <v>5000</v>
      </c>
      <c r="S12" s="68">
        <v>5000</v>
      </c>
      <c r="T12" s="71">
        <f t="shared" si="5"/>
        <v>0</v>
      </c>
      <c r="U12" s="68">
        <v>5000</v>
      </c>
      <c r="V12" s="68">
        <v>5000</v>
      </c>
      <c r="W12" s="71">
        <f t="shared" si="6"/>
        <v>0</v>
      </c>
      <c r="X12" s="68">
        <v>10000</v>
      </c>
      <c r="Y12" s="68">
        <v>10000</v>
      </c>
      <c r="Z12" s="71">
        <f t="shared" si="7"/>
        <v>0</v>
      </c>
      <c r="AA12" s="68"/>
      <c r="AB12" s="68"/>
      <c r="AC12" s="71">
        <f t="shared" si="8"/>
        <v>0</v>
      </c>
      <c r="AD12" s="68"/>
      <c r="AE12" s="68"/>
      <c r="AF12" s="71">
        <f t="shared" si="9"/>
        <v>0</v>
      </c>
      <c r="AG12" s="68">
        <v>140000</v>
      </c>
      <c r="AH12" s="68">
        <v>140000</v>
      </c>
      <c r="AI12" s="71">
        <f t="shared" si="10"/>
        <v>0</v>
      </c>
      <c r="AJ12" s="68"/>
      <c r="AK12" s="68"/>
      <c r="AL12" s="71">
        <f t="shared" si="11"/>
        <v>0</v>
      </c>
      <c r="AM12" s="68"/>
      <c r="AN12" s="68"/>
      <c r="AO12" s="71">
        <f t="shared" si="12"/>
        <v>0</v>
      </c>
      <c r="AP12" s="68"/>
      <c r="AQ12" s="68"/>
      <c r="AR12" s="71">
        <f t="shared" si="13"/>
        <v>0</v>
      </c>
      <c r="AS12" s="68"/>
      <c r="AT12" s="68"/>
      <c r="AU12" s="71">
        <f t="shared" si="14"/>
        <v>0</v>
      </c>
      <c r="AV12" s="68"/>
      <c r="AW12" s="68"/>
      <c r="AX12" s="71">
        <f t="shared" si="15"/>
        <v>0</v>
      </c>
      <c r="AY12" s="68"/>
      <c r="AZ12" s="68"/>
      <c r="BA12" s="71">
        <f t="shared" si="16"/>
        <v>0</v>
      </c>
      <c r="BB12" s="68"/>
      <c r="BC12" s="68"/>
      <c r="BD12" s="71">
        <f t="shared" si="17"/>
        <v>0</v>
      </c>
      <c r="BE12" s="68"/>
      <c r="BF12" s="68"/>
      <c r="BG12" s="71">
        <f t="shared" si="18"/>
        <v>0</v>
      </c>
      <c r="BH12" s="68"/>
      <c r="BI12" s="68"/>
      <c r="BJ12" s="71">
        <f t="shared" si="19"/>
        <v>0</v>
      </c>
      <c r="BK12" s="68"/>
      <c r="BL12" s="68"/>
      <c r="BM12" s="71">
        <f t="shared" si="20"/>
        <v>0</v>
      </c>
      <c r="BN12" s="68"/>
      <c r="BO12" s="68"/>
      <c r="BP12" s="71">
        <f t="shared" ref="BP12:BP35" si="60">BO12-BN12</f>
        <v>0</v>
      </c>
      <c r="BQ12" s="68"/>
      <c r="BR12" s="68"/>
      <c r="BS12" s="71">
        <f t="shared" si="22"/>
        <v>0</v>
      </c>
      <c r="BT12" s="68"/>
      <c r="BU12" s="68"/>
      <c r="BV12" s="71">
        <f t="shared" si="23"/>
        <v>0</v>
      </c>
      <c r="BW12" s="68"/>
      <c r="BX12" s="68"/>
      <c r="BY12" s="71">
        <f t="shared" si="24"/>
        <v>0</v>
      </c>
      <c r="BZ12" s="68"/>
      <c r="CA12" s="68"/>
      <c r="CB12" s="71">
        <f t="shared" si="25"/>
        <v>0</v>
      </c>
      <c r="CC12" s="68"/>
      <c r="CD12" s="68"/>
      <c r="CE12" s="71">
        <f t="shared" si="26"/>
        <v>0</v>
      </c>
      <c r="CF12" s="68"/>
      <c r="CG12" s="68"/>
      <c r="CH12" s="71">
        <f t="shared" si="27"/>
        <v>0</v>
      </c>
      <c r="CI12" s="68"/>
      <c r="CJ12" s="68"/>
      <c r="CK12" s="71">
        <f t="shared" si="28"/>
        <v>0</v>
      </c>
      <c r="CL12" s="68"/>
      <c r="CM12" s="68"/>
      <c r="CN12" s="71">
        <f t="shared" si="29"/>
        <v>0</v>
      </c>
      <c r="CO12" s="68"/>
      <c r="CP12" s="68"/>
      <c r="CQ12" s="71">
        <f t="shared" si="30"/>
        <v>0</v>
      </c>
      <c r="CR12" s="68"/>
      <c r="CS12" s="68"/>
      <c r="CT12" s="71">
        <f t="shared" si="31"/>
        <v>0</v>
      </c>
      <c r="CU12" s="68"/>
      <c r="CV12" s="68"/>
      <c r="CW12" s="71">
        <f t="shared" si="32"/>
        <v>0</v>
      </c>
      <c r="CX12" s="68"/>
      <c r="CY12" s="68"/>
      <c r="CZ12" s="71">
        <f t="shared" si="33"/>
        <v>0</v>
      </c>
      <c r="DA12" s="68"/>
      <c r="DB12" s="68"/>
      <c r="DC12" s="71">
        <f t="shared" si="34"/>
        <v>0</v>
      </c>
      <c r="DD12" s="68"/>
      <c r="DE12" s="68"/>
      <c r="DF12" s="71">
        <f t="shared" si="35"/>
        <v>0</v>
      </c>
      <c r="DG12" s="68"/>
      <c r="DH12" s="68"/>
      <c r="DI12" s="71">
        <f t="shared" si="36"/>
        <v>0</v>
      </c>
      <c r="DJ12" s="68"/>
      <c r="DK12" s="68"/>
      <c r="DL12" s="71">
        <f t="shared" si="37"/>
        <v>0</v>
      </c>
      <c r="DM12" s="68"/>
      <c r="DN12" s="68"/>
      <c r="DO12" s="71">
        <f t="shared" si="38"/>
        <v>0</v>
      </c>
      <c r="DP12" s="68"/>
      <c r="DQ12" s="68"/>
      <c r="DR12" s="71">
        <f t="shared" si="39"/>
        <v>0</v>
      </c>
      <c r="DS12" s="68"/>
      <c r="DT12" s="68"/>
      <c r="DU12" s="71">
        <f t="shared" si="40"/>
        <v>0</v>
      </c>
      <c r="DV12" s="68"/>
      <c r="DW12" s="68"/>
      <c r="DX12" s="71">
        <f t="shared" si="41"/>
        <v>0</v>
      </c>
      <c r="DY12" s="68"/>
      <c r="DZ12" s="68"/>
      <c r="EA12" s="71">
        <f t="shared" si="42"/>
        <v>0</v>
      </c>
      <c r="EB12" s="68"/>
      <c r="EC12" s="68"/>
      <c r="ED12" s="71">
        <f t="shared" si="43"/>
        <v>0</v>
      </c>
      <c r="EE12" s="68"/>
      <c r="EF12" s="68"/>
      <c r="EG12" s="71">
        <f t="shared" si="44"/>
        <v>0</v>
      </c>
      <c r="EH12" s="68"/>
      <c r="EI12" s="68"/>
      <c r="EJ12" s="71">
        <f t="shared" si="45"/>
        <v>0</v>
      </c>
      <c r="EK12" s="68"/>
      <c r="EL12" s="68"/>
      <c r="EM12" s="71">
        <f t="shared" si="46"/>
        <v>0</v>
      </c>
      <c r="EN12" s="68"/>
      <c r="EO12" s="68"/>
      <c r="EP12" s="71">
        <f t="shared" si="47"/>
        <v>0</v>
      </c>
      <c r="EQ12" s="71">
        <f t="shared" si="48"/>
        <v>205000</v>
      </c>
      <c r="ER12" s="71">
        <f t="shared" si="49"/>
        <v>203230</v>
      </c>
      <c r="ES12" s="71">
        <f t="shared" si="50"/>
        <v>-1770</v>
      </c>
      <c r="ET12" s="68">
        <f t="shared" si="57"/>
        <v>-33602</v>
      </c>
      <c r="EU12" s="73"/>
      <c r="EV12" s="71">
        <f t="shared" si="54"/>
        <v>65000</v>
      </c>
      <c r="EW12" s="71">
        <f t="shared" si="51"/>
        <v>63230</v>
      </c>
      <c r="EX12" s="68">
        <f t="shared" si="55"/>
        <v>-1770</v>
      </c>
      <c r="EY12" s="68">
        <f t="shared" si="58"/>
        <v>-16002</v>
      </c>
      <c r="EZ12" s="73"/>
      <c r="FA12" s="68">
        <f t="shared" si="56"/>
        <v>0</v>
      </c>
      <c r="FB12" s="68">
        <f t="shared" si="59"/>
        <v>-17600</v>
      </c>
      <c r="FC12" s="73"/>
      <c r="FD12" s="73"/>
      <c r="FE12" s="73"/>
      <c r="FF12" s="73"/>
      <c r="FG12" s="73"/>
      <c r="FH12" s="73"/>
      <c r="FI12" s="73"/>
    </row>
    <row r="13" spans="1:202" x14ac:dyDescent="0.25">
      <c r="A13" s="67">
        <f>+BaseloadMarkets!A13</f>
        <v>36685</v>
      </c>
      <c r="B13" s="67" t="str">
        <f>+BaseloadMarkets!B13</f>
        <v>Thu</v>
      </c>
      <c r="C13" s="68">
        <f t="shared" si="52"/>
        <v>10000</v>
      </c>
      <c r="D13" s="68">
        <f t="shared" si="52"/>
        <v>10000</v>
      </c>
      <c r="E13" s="71">
        <f t="shared" si="0"/>
        <v>0</v>
      </c>
      <c r="F13" s="68">
        <v>10000</v>
      </c>
      <c r="G13" s="68">
        <v>10000</v>
      </c>
      <c r="H13" s="71">
        <f t="shared" si="1"/>
        <v>0</v>
      </c>
      <c r="I13" s="68">
        <v>10000</v>
      </c>
      <c r="J13" s="68">
        <v>10000</v>
      </c>
      <c r="K13" s="71">
        <f t="shared" si="2"/>
        <v>0</v>
      </c>
      <c r="L13" s="68">
        <f t="shared" si="53"/>
        <v>10000</v>
      </c>
      <c r="M13" s="68">
        <f t="shared" si="53"/>
        <v>10000</v>
      </c>
      <c r="N13" s="71">
        <f t="shared" si="3"/>
        <v>0</v>
      </c>
      <c r="O13" s="68">
        <v>5000</v>
      </c>
      <c r="P13" s="68">
        <v>2688</v>
      </c>
      <c r="Q13" s="71">
        <f t="shared" si="4"/>
        <v>-2312</v>
      </c>
      <c r="R13" s="68">
        <v>5000</v>
      </c>
      <c r="S13" s="68">
        <v>5000</v>
      </c>
      <c r="T13" s="71">
        <f t="shared" si="5"/>
        <v>0</v>
      </c>
      <c r="U13" s="68">
        <v>5000</v>
      </c>
      <c r="V13" s="68">
        <v>5000</v>
      </c>
      <c r="W13" s="71">
        <f t="shared" si="6"/>
        <v>0</v>
      </c>
      <c r="X13" s="68">
        <v>10000</v>
      </c>
      <c r="Y13" s="68">
        <v>10000</v>
      </c>
      <c r="Z13" s="71">
        <f t="shared" si="7"/>
        <v>0</v>
      </c>
      <c r="AA13" s="68"/>
      <c r="AB13" s="68"/>
      <c r="AC13" s="71">
        <f t="shared" si="8"/>
        <v>0</v>
      </c>
      <c r="AD13" s="68"/>
      <c r="AE13" s="68"/>
      <c r="AF13" s="71">
        <f t="shared" si="9"/>
        <v>0</v>
      </c>
      <c r="AG13" s="68">
        <v>160000</v>
      </c>
      <c r="AH13" s="68">
        <f>160000-10000+5480+2431</f>
        <v>157911</v>
      </c>
      <c r="AI13" s="71">
        <f t="shared" si="10"/>
        <v>-2089</v>
      </c>
      <c r="AJ13" s="68"/>
      <c r="AK13" s="68"/>
      <c r="AL13" s="71">
        <f t="shared" si="11"/>
        <v>0</v>
      </c>
      <c r="AM13" s="68"/>
      <c r="AN13" s="68"/>
      <c r="AO13" s="71">
        <f t="shared" si="12"/>
        <v>0</v>
      </c>
      <c r="AP13" s="68"/>
      <c r="AQ13" s="68"/>
      <c r="AR13" s="71">
        <f t="shared" si="13"/>
        <v>0</v>
      </c>
      <c r="AS13" s="68"/>
      <c r="AT13" s="68"/>
      <c r="AU13" s="71">
        <f t="shared" si="14"/>
        <v>0</v>
      </c>
      <c r="AV13" s="68"/>
      <c r="AW13" s="68"/>
      <c r="AX13" s="71">
        <f t="shared" si="15"/>
        <v>0</v>
      </c>
      <c r="AY13" s="68"/>
      <c r="AZ13" s="68"/>
      <c r="BA13" s="71">
        <f t="shared" si="16"/>
        <v>0</v>
      </c>
      <c r="BB13" s="68"/>
      <c r="BC13" s="68"/>
      <c r="BD13" s="71">
        <f t="shared" si="17"/>
        <v>0</v>
      </c>
      <c r="BE13" s="68"/>
      <c r="BF13" s="68"/>
      <c r="BG13" s="71">
        <f t="shared" si="18"/>
        <v>0</v>
      </c>
      <c r="BH13" s="68"/>
      <c r="BI13" s="68"/>
      <c r="BJ13" s="71">
        <f t="shared" si="19"/>
        <v>0</v>
      </c>
      <c r="BK13" s="68"/>
      <c r="BL13" s="68"/>
      <c r="BM13" s="71">
        <f t="shared" si="20"/>
        <v>0</v>
      </c>
      <c r="BN13" s="68"/>
      <c r="BO13" s="68"/>
      <c r="BP13" s="71">
        <f t="shared" si="60"/>
        <v>0</v>
      </c>
      <c r="BQ13" s="68"/>
      <c r="BR13" s="68"/>
      <c r="BS13" s="71">
        <f t="shared" si="22"/>
        <v>0</v>
      </c>
      <c r="BT13" s="68"/>
      <c r="BU13" s="68"/>
      <c r="BV13" s="71">
        <f t="shared" si="23"/>
        <v>0</v>
      </c>
      <c r="BW13" s="68"/>
      <c r="BX13" s="68"/>
      <c r="BY13" s="71">
        <f t="shared" si="24"/>
        <v>0</v>
      </c>
      <c r="BZ13" s="68"/>
      <c r="CA13" s="68"/>
      <c r="CB13" s="71">
        <f t="shared" si="25"/>
        <v>0</v>
      </c>
      <c r="CC13" s="68"/>
      <c r="CD13" s="68"/>
      <c r="CE13" s="71">
        <f t="shared" si="26"/>
        <v>0</v>
      </c>
      <c r="CF13" s="68"/>
      <c r="CG13" s="68"/>
      <c r="CH13" s="71">
        <f t="shared" si="27"/>
        <v>0</v>
      </c>
      <c r="CI13" s="68"/>
      <c r="CJ13" s="68"/>
      <c r="CK13" s="71">
        <f t="shared" si="28"/>
        <v>0</v>
      </c>
      <c r="CL13" s="68"/>
      <c r="CM13" s="68"/>
      <c r="CN13" s="71">
        <f t="shared" si="29"/>
        <v>0</v>
      </c>
      <c r="CO13" s="68"/>
      <c r="CP13" s="68"/>
      <c r="CQ13" s="71">
        <f t="shared" si="30"/>
        <v>0</v>
      </c>
      <c r="CR13" s="68"/>
      <c r="CS13" s="68"/>
      <c r="CT13" s="71">
        <f t="shared" si="31"/>
        <v>0</v>
      </c>
      <c r="CU13" s="68"/>
      <c r="CV13" s="68"/>
      <c r="CW13" s="71">
        <f t="shared" si="32"/>
        <v>0</v>
      </c>
      <c r="CX13" s="68"/>
      <c r="CY13" s="68"/>
      <c r="CZ13" s="71">
        <f t="shared" si="33"/>
        <v>0</v>
      </c>
      <c r="DA13" s="68"/>
      <c r="DB13" s="68"/>
      <c r="DC13" s="71">
        <f t="shared" si="34"/>
        <v>0</v>
      </c>
      <c r="DD13" s="68"/>
      <c r="DE13" s="68"/>
      <c r="DF13" s="71">
        <f t="shared" si="35"/>
        <v>0</v>
      </c>
      <c r="DG13" s="68"/>
      <c r="DH13" s="68"/>
      <c r="DI13" s="71">
        <f t="shared" si="36"/>
        <v>0</v>
      </c>
      <c r="DJ13" s="68"/>
      <c r="DK13" s="68"/>
      <c r="DL13" s="71">
        <f t="shared" si="37"/>
        <v>0</v>
      </c>
      <c r="DM13" s="68"/>
      <c r="DN13" s="68"/>
      <c r="DO13" s="71">
        <f t="shared" si="38"/>
        <v>0</v>
      </c>
      <c r="DP13" s="68"/>
      <c r="DQ13" s="68"/>
      <c r="DR13" s="71">
        <f t="shared" ref="DR13:DR35" si="61">DQ13-DP13</f>
        <v>0</v>
      </c>
      <c r="DS13" s="68"/>
      <c r="DT13" s="68"/>
      <c r="DU13" s="71">
        <f t="shared" ref="DU13:DU35" si="62">DT13-DS13</f>
        <v>0</v>
      </c>
      <c r="DV13" s="68"/>
      <c r="DW13" s="68"/>
      <c r="DX13" s="71">
        <f t="shared" si="41"/>
        <v>0</v>
      </c>
      <c r="DY13" s="68"/>
      <c r="DZ13" s="68"/>
      <c r="EA13" s="71">
        <f t="shared" ref="EA13:EA35" si="63">DZ13-DY13</f>
        <v>0</v>
      </c>
      <c r="EB13" s="68"/>
      <c r="EC13" s="68"/>
      <c r="ED13" s="71">
        <f t="shared" si="43"/>
        <v>0</v>
      </c>
      <c r="EE13" s="68"/>
      <c r="EF13" s="68"/>
      <c r="EG13" s="71">
        <f t="shared" si="44"/>
        <v>0</v>
      </c>
      <c r="EH13" s="68"/>
      <c r="EI13" s="68"/>
      <c r="EJ13" s="71">
        <f t="shared" si="45"/>
        <v>0</v>
      </c>
      <c r="EK13" s="68"/>
      <c r="EL13" s="68"/>
      <c r="EM13" s="71">
        <f t="shared" si="46"/>
        <v>0</v>
      </c>
      <c r="EN13" s="68"/>
      <c r="EO13" s="68"/>
      <c r="EP13" s="71">
        <f t="shared" si="47"/>
        <v>0</v>
      </c>
      <c r="EQ13" s="71">
        <f t="shared" si="48"/>
        <v>225000</v>
      </c>
      <c r="ER13" s="71">
        <f t="shared" si="49"/>
        <v>220599</v>
      </c>
      <c r="ES13" s="71">
        <f t="shared" si="50"/>
        <v>-4401</v>
      </c>
      <c r="ET13" s="68">
        <f t="shared" si="57"/>
        <v>-38003</v>
      </c>
      <c r="EU13" s="73"/>
      <c r="EV13" s="71">
        <f t="shared" si="54"/>
        <v>65000</v>
      </c>
      <c r="EW13" s="71">
        <f t="shared" si="51"/>
        <v>62688</v>
      </c>
      <c r="EX13" s="68">
        <f t="shared" si="55"/>
        <v>-2312</v>
      </c>
      <c r="EY13" s="68">
        <f t="shared" si="58"/>
        <v>-18314</v>
      </c>
      <c r="EZ13" s="73"/>
      <c r="FA13" s="68">
        <f t="shared" si="56"/>
        <v>-2089</v>
      </c>
      <c r="FB13" s="68">
        <f t="shared" si="59"/>
        <v>-19689</v>
      </c>
      <c r="FC13" s="73"/>
      <c r="FD13" s="73"/>
      <c r="FE13" s="73"/>
      <c r="FF13" s="73"/>
      <c r="FG13" s="73"/>
      <c r="FH13" s="73"/>
      <c r="FI13" s="73"/>
    </row>
    <row r="14" spans="1:202" x14ac:dyDescent="0.25">
      <c r="A14" s="67">
        <f>+BaseloadMarkets!A14</f>
        <v>36686</v>
      </c>
      <c r="B14" s="67" t="str">
        <f>+BaseloadMarkets!B14</f>
        <v>Fri</v>
      </c>
      <c r="C14" s="68">
        <f t="shared" si="52"/>
        <v>10000</v>
      </c>
      <c r="D14" s="68">
        <f t="shared" si="52"/>
        <v>10000</v>
      </c>
      <c r="E14" s="71">
        <f t="shared" si="0"/>
        <v>0</v>
      </c>
      <c r="F14" s="68">
        <v>10000</v>
      </c>
      <c r="G14" s="68">
        <v>10000</v>
      </c>
      <c r="H14" s="71">
        <f t="shared" si="1"/>
        <v>0</v>
      </c>
      <c r="I14" s="68">
        <v>10000</v>
      </c>
      <c r="J14" s="68">
        <v>10000</v>
      </c>
      <c r="K14" s="71">
        <f t="shared" si="2"/>
        <v>0</v>
      </c>
      <c r="L14" s="68">
        <f t="shared" si="53"/>
        <v>10000</v>
      </c>
      <c r="M14" s="68">
        <f t="shared" si="53"/>
        <v>10000</v>
      </c>
      <c r="N14" s="71">
        <f t="shared" si="3"/>
        <v>0</v>
      </c>
      <c r="O14" s="68">
        <v>5000</v>
      </c>
      <c r="P14" s="68">
        <v>5000</v>
      </c>
      <c r="Q14" s="71">
        <f t="shared" si="4"/>
        <v>0</v>
      </c>
      <c r="R14" s="68">
        <v>5000</v>
      </c>
      <c r="S14" s="68">
        <v>5000</v>
      </c>
      <c r="T14" s="71">
        <f t="shared" si="5"/>
        <v>0</v>
      </c>
      <c r="U14" s="68">
        <v>5000</v>
      </c>
      <c r="V14" s="68">
        <v>3229</v>
      </c>
      <c r="W14" s="71">
        <f t="shared" si="6"/>
        <v>-1771</v>
      </c>
      <c r="X14" s="68">
        <v>10000</v>
      </c>
      <c r="Y14" s="68">
        <v>4766</v>
      </c>
      <c r="Z14" s="71">
        <f t="shared" si="7"/>
        <v>-5234</v>
      </c>
      <c r="AA14" s="68"/>
      <c r="AB14" s="68"/>
      <c r="AC14" s="71">
        <f t="shared" si="8"/>
        <v>0</v>
      </c>
      <c r="AD14" s="68"/>
      <c r="AE14" s="68"/>
      <c r="AF14" s="71">
        <f t="shared" si="9"/>
        <v>0</v>
      </c>
      <c r="AG14" s="68">
        <v>355000</v>
      </c>
      <c r="AH14" s="68">
        <v>336481</v>
      </c>
      <c r="AI14" s="71">
        <f t="shared" si="10"/>
        <v>-18519</v>
      </c>
      <c r="AJ14" s="68"/>
      <c r="AK14" s="68"/>
      <c r="AL14" s="71">
        <f t="shared" si="11"/>
        <v>0</v>
      </c>
      <c r="AM14" s="68"/>
      <c r="AN14" s="68"/>
      <c r="AO14" s="71">
        <f t="shared" si="12"/>
        <v>0</v>
      </c>
      <c r="AP14" s="68"/>
      <c r="AQ14" s="68"/>
      <c r="AR14" s="71">
        <f t="shared" si="13"/>
        <v>0</v>
      </c>
      <c r="AS14" s="68"/>
      <c r="AT14" s="68"/>
      <c r="AU14" s="71">
        <f t="shared" si="14"/>
        <v>0</v>
      </c>
      <c r="AV14" s="68"/>
      <c r="AW14" s="68"/>
      <c r="AX14" s="71">
        <f t="shared" si="15"/>
        <v>0</v>
      </c>
      <c r="AY14" s="68"/>
      <c r="AZ14" s="68"/>
      <c r="BA14" s="71">
        <f t="shared" si="16"/>
        <v>0</v>
      </c>
      <c r="BB14" s="68"/>
      <c r="BC14" s="68"/>
      <c r="BD14" s="71">
        <f t="shared" si="17"/>
        <v>0</v>
      </c>
      <c r="BE14" s="68"/>
      <c r="BF14" s="68"/>
      <c r="BG14" s="71">
        <f t="shared" si="18"/>
        <v>0</v>
      </c>
      <c r="BH14" s="68"/>
      <c r="BI14" s="68"/>
      <c r="BJ14" s="71">
        <f t="shared" si="19"/>
        <v>0</v>
      </c>
      <c r="BK14" s="68"/>
      <c r="BL14" s="68"/>
      <c r="BM14" s="71">
        <f t="shared" si="20"/>
        <v>0</v>
      </c>
      <c r="BN14" s="68"/>
      <c r="BO14" s="68"/>
      <c r="BP14" s="71">
        <f t="shared" si="60"/>
        <v>0</v>
      </c>
      <c r="BQ14" s="68"/>
      <c r="BR14" s="68"/>
      <c r="BS14" s="71">
        <f t="shared" si="22"/>
        <v>0</v>
      </c>
      <c r="BT14" s="68"/>
      <c r="BU14" s="68"/>
      <c r="BV14" s="71">
        <f t="shared" si="23"/>
        <v>0</v>
      </c>
      <c r="BW14" s="68"/>
      <c r="BX14" s="68"/>
      <c r="BY14" s="71">
        <f t="shared" si="24"/>
        <v>0</v>
      </c>
      <c r="BZ14" s="68"/>
      <c r="CA14" s="68"/>
      <c r="CB14" s="71">
        <f t="shared" si="25"/>
        <v>0</v>
      </c>
      <c r="CC14" s="68"/>
      <c r="CD14" s="68"/>
      <c r="CE14" s="71">
        <f t="shared" si="26"/>
        <v>0</v>
      </c>
      <c r="CF14" s="68"/>
      <c r="CG14" s="68"/>
      <c r="CH14" s="71">
        <f t="shared" si="27"/>
        <v>0</v>
      </c>
      <c r="CI14" s="68"/>
      <c r="CJ14" s="68"/>
      <c r="CK14" s="71">
        <f t="shared" si="28"/>
        <v>0</v>
      </c>
      <c r="CL14" s="68"/>
      <c r="CM14" s="68"/>
      <c r="CN14" s="71">
        <f t="shared" si="29"/>
        <v>0</v>
      </c>
      <c r="CO14" s="68"/>
      <c r="CP14" s="68"/>
      <c r="CQ14" s="71">
        <f t="shared" si="30"/>
        <v>0</v>
      </c>
      <c r="CR14" s="68"/>
      <c r="CS14" s="68"/>
      <c r="CT14" s="71">
        <f t="shared" si="31"/>
        <v>0</v>
      </c>
      <c r="CU14" s="68"/>
      <c r="CV14" s="68"/>
      <c r="CW14" s="71">
        <f t="shared" si="32"/>
        <v>0</v>
      </c>
      <c r="CX14" s="68"/>
      <c r="CY14" s="68"/>
      <c r="CZ14" s="71">
        <f t="shared" si="33"/>
        <v>0</v>
      </c>
      <c r="DA14" s="68"/>
      <c r="DB14" s="68"/>
      <c r="DC14" s="71">
        <f t="shared" si="34"/>
        <v>0</v>
      </c>
      <c r="DD14" s="68"/>
      <c r="DE14" s="68"/>
      <c r="DF14" s="71">
        <f t="shared" si="35"/>
        <v>0</v>
      </c>
      <c r="DG14" s="68"/>
      <c r="DH14" s="68"/>
      <c r="DI14" s="71">
        <f t="shared" si="36"/>
        <v>0</v>
      </c>
      <c r="DJ14" s="68"/>
      <c r="DK14" s="68"/>
      <c r="DL14" s="71">
        <f t="shared" si="37"/>
        <v>0</v>
      </c>
      <c r="DM14" s="68"/>
      <c r="DN14" s="68"/>
      <c r="DO14" s="71">
        <f t="shared" si="38"/>
        <v>0</v>
      </c>
      <c r="DP14" s="68"/>
      <c r="DQ14" s="68"/>
      <c r="DR14" s="71">
        <f t="shared" si="61"/>
        <v>0</v>
      </c>
      <c r="DS14" s="68"/>
      <c r="DT14" s="68"/>
      <c r="DU14" s="71">
        <f t="shared" si="62"/>
        <v>0</v>
      </c>
      <c r="DV14" s="68"/>
      <c r="DW14" s="68"/>
      <c r="DX14" s="71">
        <f t="shared" si="41"/>
        <v>0</v>
      </c>
      <c r="DY14" s="68"/>
      <c r="DZ14" s="68"/>
      <c r="EA14" s="71">
        <f t="shared" si="63"/>
        <v>0</v>
      </c>
      <c r="EB14" s="68"/>
      <c r="EC14" s="68"/>
      <c r="ED14" s="71">
        <f t="shared" si="43"/>
        <v>0</v>
      </c>
      <c r="EE14" s="68"/>
      <c r="EF14" s="68"/>
      <c r="EG14" s="71">
        <f t="shared" si="44"/>
        <v>0</v>
      </c>
      <c r="EH14" s="68"/>
      <c r="EI14" s="68"/>
      <c r="EJ14" s="71">
        <f t="shared" si="45"/>
        <v>0</v>
      </c>
      <c r="EK14" s="68"/>
      <c r="EL14" s="68"/>
      <c r="EM14" s="71">
        <f t="shared" si="46"/>
        <v>0</v>
      </c>
      <c r="EN14" s="68"/>
      <c r="EO14" s="68"/>
      <c r="EP14" s="71">
        <f t="shared" si="47"/>
        <v>0</v>
      </c>
      <c r="EQ14" s="71">
        <f t="shared" si="48"/>
        <v>420000</v>
      </c>
      <c r="ER14" s="71">
        <f t="shared" si="49"/>
        <v>394476</v>
      </c>
      <c r="ES14" s="71">
        <f t="shared" si="50"/>
        <v>-25524</v>
      </c>
      <c r="ET14" s="68">
        <f t="shared" si="57"/>
        <v>-63527</v>
      </c>
      <c r="EU14" s="73"/>
      <c r="EV14" s="71">
        <f t="shared" si="54"/>
        <v>65000</v>
      </c>
      <c r="EW14" s="71">
        <f t="shared" si="51"/>
        <v>57995</v>
      </c>
      <c r="EX14" s="68">
        <f t="shared" si="55"/>
        <v>-7005</v>
      </c>
      <c r="EY14" s="68">
        <f t="shared" si="58"/>
        <v>-25319</v>
      </c>
      <c r="EZ14" s="73"/>
      <c r="FA14" s="68">
        <f t="shared" si="56"/>
        <v>-18519</v>
      </c>
      <c r="FB14" s="68">
        <f t="shared" si="59"/>
        <v>-38208</v>
      </c>
      <c r="FC14" s="73"/>
      <c r="FD14" s="73"/>
      <c r="FE14" s="73"/>
      <c r="FF14" s="73"/>
      <c r="FG14" s="73"/>
      <c r="FH14" s="73"/>
      <c r="FI14" s="73"/>
    </row>
    <row r="15" spans="1:202" x14ac:dyDescent="0.25">
      <c r="A15" s="67">
        <f>+BaseloadMarkets!A15</f>
        <v>36687</v>
      </c>
      <c r="B15" s="67" t="str">
        <f>+BaseloadMarkets!B15</f>
        <v>Sat</v>
      </c>
      <c r="C15" s="68">
        <f t="shared" si="52"/>
        <v>10000</v>
      </c>
      <c r="D15" s="68">
        <f t="shared" si="52"/>
        <v>10000</v>
      </c>
      <c r="E15" s="71">
        <f t="shared" si="0"/>
        <v>0</v>
      </c>
      <c r="F15" s="68">
        <v>10000</v>
      </c>
      <c r="G15" s="68">
        <v>10000</v>
      </c>
      <c r="H15" s="71">
        <f t="shared" si="1"/>
        <v>0</v>
      </c>
      <c r="I15" s="68">
        <v>10000</v>
      </c>
      <c r="J15" s="68">
        <v>10000</v>
      </c>
      <c r="K15" s="71">
        <f t="shared" si="2"/>
        <v>0</v>
      </c>
      <c r="L15" s="68">
        <f t="shared" si="53"/>
        <v>10000</v>
      </c>
      <c r="M15" s="68">
        <f t="shared" si="53"/>
        <v>10000</v>
      </c>
      <c r="N15" s="71">
        <f t="shared" si="3"/>
        <v>0</v>
      </c>
      <c r="O15" s="68">
        <v>5000</v>
      </c>
      <c r="P15" s="68">
        <v>5000</v>
      </c>
      <c r="Q15" s="71">
        <f t="shared" si="4"/>
        <v>0</v>
      </c>
      <c r="R15" s="68">
        <v>5000</v>
      </c>
      <c r="S15" s="68">
        <v>5000</v>
      </c>
      <c r="T15" s="71">
        <f t="shared" si="5"/>
        <v>0</v>
      </c>
      <c r="U15" s="68">
        <v>5000</v>
      </c>
      <c r="V15" s="68">
        <v>5000</v>
      </c>
      <c r="W15" s="71">
        <f t="shared" si="6"/>
        <v>0</v>
      </c>
      <c r="X15" s="68">
        <v>10000</v>
      </c>
      <c r="Y15" s="68">
        <v>10000</v>
      </c>
      <c r="Z15" s="71">
        <f t="shared" si="7"/>
        <v>0</v>
      </c>
      <c r="AA15" s="68"/>
      <c r="AB15" s="68"/>
      <c r="AC15" s="71">
        <f t="shared" si="8"/>
        <v>0</v>
      </c>
      <c r="AD15" s="68"/>
      <c r="AE15" s="68"/>
      <c r="AF15" s="71">
        <f t="shared" si="9"/>
        <v>0</v>
      </c>
      <c r="AG15" s="68">
        <v>105000</v>
      </c>
      <c r="AH15" s="68">
        <v>105000</v>
      </c>
      <c r="AI15" s="71">
        <f t="shared" si="10"/>
        <v>0</v>
      </c>
      <c r="AJ15" s="68"/>
      <c r="AK15" s="68"/>
      <c r="AL15" s="71">
        <f t="shared" si="11"/>
        <v>0</v>
      </c>
      <c r="AM15" s="68"/>
      <c r="AN15" s="68"/>
      <c r="AO15" s="71">
        <f t="shared" si="12"/>
        <v>0</v>
      </c>
      <c r="AP15" s="68"/>
      <c r="AQ15" s="68"/>
      <c r="AR15" s="71">
        <f t="shared" si="13"/>
        <v>0</v>
      </c>
      <c r="AS15" s="68"/>
      <c r="AT15" s="68"/>
      <c r="AU15" s="71">
        <f t="shared" si="14"/>
        <v>0</v>
      </c>
      <c r="AV15" s="68"/>
      <c r="AW15" s="68"/>
      <c r="AX15" s="71">
        <f t="shared" si="15"/>
        <v>0</v>
      </c>
      <c r="AY15" s="68"/>
      <c r="AZ15" s="68"/>
      <c r="BA15" s="71">
        <f t="shared" si="16"/>
        <v>0</v>
      </c>
      <c r="BB15" s="68"/>
      <c r="BC15" s="68"/>
      <c r="BD15" s="71">
        <f t="shared" si="17"/>
        <v>0</v>
      </c>
      <c r="BE15" s="68"/>
      <c r="BF15" s="68"/>
      <c r="BG15" s="71">
        <f t="shared" si="18"/>
        <v>0</v>
      </c>
      <c r="BH15" s="68"/>
      <c r="BI15" s="68"/>
      <c r="BJ15" s="71">
        <f t="shared" si="19"/>
        <v>0</v>
      </c>
      <c r="BK15" s="68"/>
      <c r="BL15" s="68"/>
      <c r="BM15" s="71">
        <f t="shared" si="20"/>
        <v>0</v>
      </c>
      <c r="BN15" s="68"/>
      <c r="BO15" s="68"/>
      <c r="BP15" s="71">
        <f t="shared" si="60"/>
        <v>0</v>
      </c>
      <c r="BQ15" s="68"/>
      <c r="BR15" s="68"/>
      <c r="BS15" s="71">
        <f t="shared" si="22"/>
        <v>0</v>
      </c>
      <c r="BT15" s="68"/>
      <c r="BU15" s="68"/>
      <c r="BV15" s="71">
        <f t="shared" si="23"/>
        <v>0</v>
      </c>
      <c r="BW15" s="68"/>
      <c r="BX15" s="68"/>
      <c r="BY15" s="71">
        <f t="shared" si="24"/>
        <v>0</v>
      </c>
      <c r="BZ15" s="68"/>
      <c r="CA15" s="68"/>
      <c r="CB15" s="71">
        <f t="shared" si="25"/>
        <v>0</v>
      </c>
      <c r="CC15" s="68"/>
      <c r="CD15" s="68"/>
      <c r="CE15" s="71">
        <f t="shared" si="26"/>
        <v>0</v>
      </c>
      <c r="CF15" s="68"/>
      <c r="CG15" s="68"/>
      <c r="CH15" s="71">
        <f t="shared" si="27"/>
        <v>0</v>
      </c>
      <c r="CI15" s="68"/>
      <c r="CJ15" s="68"/>
      <c r="CK15" s="71">
        <f t="shared" si="28"/>
        <v>0</v>
      </c>
      <c r="CL15" s="68"/>
      <c r="CM15" s="68"/>
      <c r="CN15" s="71">
        <f t="shared" si="29"/>
        <v>0</v>
      </c>
      <c r="CO15" s="68"/>
      <c r="CP15" s="68"/>
      <c r="CQ15" s="71">
        <f t="shared" si="30"/>
        <v>0</v>
      </c>
      <c r="CR15" s="68"/>
      <c r="CS15" s="68"/>
      <c r="CT15" s="71">
        <f t="shared" si="31"/>
        <v>0</v>
      </c>
      <c r="CU15" s="68"/>
      <c r="CV15" s="68"/>
      <c r="CW15" s="71">
        <f t="shared" si="32"/>
        <v>0</v>
      </c>
      <c r="CX15" s="68"/>
      <c r="CY15" s="68"/>
      <c r="CZ15" s="71">
        <f t="shared" si="33"/>
        <v>0</v>
      </c>
      <c r="DA15" s="68"/>
      <c r="DB15" s="68"/>
      <c r="DC15" s="71">
        <f t="shared" si="34"/>
        <v>0</v>
      </c>
      <c r="DD15" s="68"/>
      <c r="DE15" s="68"/>
      <c r="DF15" s="71">
        <f t="shared" si="35"/>
        <v>0</v>
      </c>
      <c r="DG15" s="68"/>
      <c r="DH15" s="68"/>
      <c r="DI15" s="71">
        <f t="shared" si="36"/>
        <v>0</v>
      </c>
      <c r="DJ15" s="68"/>
      <c r="DK15" s="68"/>
      <c r="DL15" s="71">
        <f t="shared" si="37"/>
        <v>0</v>
      </c>
      <c r="DM15" s="68"/>
      <c r="DN15" s="68"/>
      <c r="DO15" s="71">
        <f t="shared" si="38"/>
        <v>0</v>
      </c>
      <c r="DP15" s="68"/>
      <c r="DQ15" s="68"/>
      <c r="DR15" s="71">
        <f t="shared" si="61"/>
        <v>0</v>
      </c>
      <c r="DS15" s="68"/>
      <c r="DT15" s="68"/>
      <c r="DU15" s="71">
        <f t="shared" si="62"/>
        <v>0</v>
      </c>
      <c r="DV15" s="68"/>
      <c r="DW15" s="68"/>
      <c r="DX15" s="71">
        <f t="shared" si="41"/>
        <v>0</v>
      </c>
      <c r="DY15" s="68"/>
      <c r="DZ15" s="68"/>
      <c r="EA15" s="71">
        <f t="shared" si="63"/>
        <v>0</v>
      </c>
      <c r="EB15" s="68"/>
      <c r="EC15" s="68"/>
      <c r="ED15" s="71">
        <f t="shared" si="43"/>
        <v>0</v>
      </c>
      <c r="EE15" s="68"/>
      <c r="EF15" s="68"/>
      <c r="EG15" s="71">
        <f t="shared" si="44"/>
        <v>0</v>
      </c>
      <c r="EH15" s="68"/>
      <c r="EI15" s="68"/>
      <c r="EJ15" s="71">
        <f t="shared" si="45"/>
        <v>0</v>
      </c>
      <c r="EK15" s="68"/>
      <c r="EL15" s="68"/>
      <c r="EM15" s="71">
        <f t="shared" si="46"/>
        <v>0</v>
      </c>
      <c r="EN15" s="68"/>
      <c r="EO15" s="68"/>
      <c r="EP15" s="71">
        <f t="shared" si="47"/>
        <v>0</v>
      </c>
      <c r="EQ15" s="71">
        <f t="shared" si="48"/>
        <v>170000</v>
      </c>
      <c r="ER15" s="71">
        <f t="shared" si="49"/>
        <v>170000</v>
      </c>
      <c r="ES15" s="71">
        <f t="shared" si="50"/>
        <v>0</v>
      </c>
      <c r="ET15" s="68">
        <f t="shared" si="57"/>
        <v>-63527</v>
      </c>
      <c r="EU15" s="73"/>
      <c r="EV15" s="71">
        <f t="shared" si="54"/>
        <v>65000</v>
      </c>
      <c r="EW15" s="71">
        <f t="shared" si="51"/>
        <v>65000</v>
      </c>
      <c r="EX15" s="68">
        <f t="shared" si="55"/>
        <v>0</v>
      </c>
      <c r="EY15" s="68">
        <f t="shared" si="58"/>
        <v>-25319</v>
      </c>
      <c r="EZ15" s="73"/>
      <c r="FA15" s="68">
        <f t="shared" si="56"/>
        <v>0</v>
      </c>
      <c r="FB15" s="68">
        <f t="shared" si="59"/>
        <v>-38208</v>
      </c>
      <c r="FC15" s="73"/>
      <c r="FD15" s="73"/>
      <c r="FE15" s="73"/>
      <c r="FF15" s="73"/>
      <c r="FG15" s="73"/>
      <c r="FH15" s="73"/>
      <c r="FI15" s="73"/>
    </row>
    <row r="16" spans="1:202" x14ac:dyDescent="0.25">
      <c r="A16" s="67">
        <f>+BaseloadMarkets!A16</f>
        <v>36688</v>
      </c>
      <c r="B16" s="67" t="str">
        <f>+BaseloadMarkets!B16</f>
        <v>Sun</v>
      </c>
      <c r="C16" s="68">
        <f t="shared" si="52"/>
        <v>10000</v>
      </c>
      <c r="D16" s="68">
        <f t="shared" si="52"/>
        <v>10000</v>
      </c>
      <c r="E16" s="71">
        <f t="shared" si="0"/>
        <v>0</v>
      </c>
      <c r="F16" s="68">
        <v>10000</v>
      </c>
      <c r="G16" s="68">
        <v>10000</v>
      </c>
      <c r="H16" s="71">
        <f t="shared" si="1"/>
        <v>0</v>
      </c>
      <c r="I16" s="68">
        <v>10000</v>
      </c>
      <c r="J16" s="68">
        <v>10000</v>
      </c>
      <c r="K16" s="71">
        <f t="shared" si="2"/>
        <v>0</v>
      </c>
      <c r="L16" s="68">
        <f t="shared" si="53"/>
        <v>10000</v>
      </c>
      <c r="M16" s="68">
        <f t="shared" si="53"/>
        <v>10000</v>
      </c>
      <c r="N16" s="71">
        <f t="shared" si="3"/>
        <v>0</v>
      </c>
      <c r="O16" s="68">
        <v>5000</v>
      </c>
      <c r="P16" s="68">
        <v>5000</v>
      </c>
      <c r="Q16" s="71">
        <f t="shared" si="4"/>
        <v>0</v>
      </c>
      <c r="R16" s="68">
        <v>5000</v>
      </c>
      <c r="S16" s="68">
        <v>5000</v>
      </c>
      <c r="T16" s="71">
        <f t="shared" si="5"/>
        <v>0</v>
      </c>
      <c r="U16" s="68">
        <v>5000</v>
      </c>
      <c r="V16" s="68">
        <v>5000</v>
      </c>
      <c r="W16" s="71">
        <f t="shared" si="6"/>
        <v>0</v>
      </c>
      <c r="X16" s="68">
        <v>10000</v>
      </c>
      <c r="Y16" s="68">
        <v>10000</v>
      </c>
      <c r="Z16" s="71">
        <f t="shared" si="7"/>
        <v>0</v>
      </c>
      <c r="AA16" s="68"/>
      <c r="AB16" s="68"/>
      <c r="AC16" s="71">
        <f t="shared" si="8"/>
        <v>0</v>
      </c>
      <c r="AD16" s="68"/>
      <c r="AE16" s="68"/>
      <c r="AF16" s="71">
        <f t="shared" si="9"/>
        <v>0</v>
      </c>
      <c r="AG16" s="68">
        <v>105000</v>
      </c>
      <c r="AH16" s="68">
        <v>105000</v>
      </c>
      <c r="AI16" s="71">
        <f t="shared" si="10"/>
        <v>0</v>
      </c>
      <c r="AJ16" s="68"/>
      <c r="AK16" s="68"/>
      <c r="AL16" s="71">
        <f t="shared" si="11"/>
        <v>0</v>
      </c>
      <c r="AM16" s="68"/>
      <c r="AN16" s="68"/>
      <c r="AO16" s="71">
        <f t="shared" si="12"/>
        <v>0</v>
      </c>
      <c r="AP16" s="68"/>
      <c r="AQ16" s="68"/>
      <c r="AR16" s="71">
        <f t="shared" si="13"/>
        <v>0</v>
      </c>
      <c r="AS16" s="68"/>
      <c r="AT16" s="68"/>
      <c r="AU16" s="71">
        <f t="shared" si="14"/>
        <v>0</v>
      </c>
      <c r="AV16" s="68"/>
      <c r="AW16" s="68"/>
      <c r="AX16" s="71">
        <f t="shared" si="15"/>
        <v>0</v>
      </c>
      <c r="AY16" s="68"/>
      <c r="AZ16" s="68"/>
      <c r="BA16" s="71">
        <f t="shared" si="16"/>
        <v>0</v>
      </c>
      <c r="BB16" s="68"/>
      <c r="BC16" s="68"/>
      <c r="BD16" s="71">
        <f t="shared" si="17"/>
        <v>0</v>
      </c>
      <c r="BE16" s="68"/>
      <c r="BF16" s="68"/>
      <c r="BG16" s="71">
        <f t="shared" si="18"/>
        <v>0</v>
      </c>
      <c r="BH16" s="68"/>
      <c r="BI16" s="68"/>
      <c r="BJ16" s="71">
        <f t="shared" si="19"/>
        <v>0</v>
      </c>
      <c r="BK16" s="68"/>
      <c r="BL16" s="68"/>
      <c r="BM16" s="71">
        <f t="shared" si="20"/>
        <v>0</v>
      </c>
      <c r="BN16" s="68"/>
      <c r="BO16" s="68"/>
      <c r="BP16" s="71">
        <f t="shared" si="60"/>
        <v>0</v>
      </c>
      <c r="BQ16" s="68"/>
      <c r="BR16" s="68"/>
      <c r="BS16" s="71">
        <f t="shared" si="22"/>
        <v>0</v>
      </c>
      <c r="BT16" s="68"/>
      <c r="BU16" s="68"/>
      <c r="BV16" s="71">
        <f t="shared" si="23"/>
        <v>0</v>
      </c>
      <c r="BW16" s="68"/>
      <c r="BX16" s="68"/>
      <c r="BY16" s="71">
        <f t="shared" si="24"/>
        <v>0</v>
      </c>
      <c r="BZ16" s="68"/>
      <c r="CA16" s="68"/>
      <c r="CB16" s="71">
        <f t="shared" si="25"/>
        <v>0</v>
      </c>
      <c r="CC16" s="68"/>
      <c r="CD16" s="68"/>
      <c r="CE16" s="71">
        <f t="shared" si="26"/>
        <v>0</v>
      </c>
      <c r="CF16" s="68"/>
      <c r="CG16" s="68"/>
      <c r="CH16" s="71">
        <f t="shared" si="27"/>
        <v>0</v>
      </c>
      <c r="CI16" s="68"/>
      <c r="CJ16" s="68"/>
      <c r="CK16" s="71">
        <f t="shared" si="28"/>
        <v>0</v>
      </c>
      <c r="CL16" s="68"/>
      <c r="CM16" s="68"/>
      <c r="CN16" s="71">
        <f t="shared" si="29"/>
        <v>0</v>
      </c>
      <c r="CO16" s="68"/>
      <c r="CP16" s="68"/>
      <c r="CQ16" s="71">
        <f t="shared" si="30"/>
        <v>0</v>
      </c>
      <c r="CR16" s="68"/>
      <c r="CS16" s="68"/>
      <c r="CT16" s="71">
        <f t="shared" si="31"/>
        <v>0</v>
      </c>
      <c r="CU16" s="68"/>
      <c r="CV16" s="68"/>
      <c r="CW16" s="71">
        <f t="shared" si="32"/>
        <v>0</v>
      </c>
      <c r="CX16" s="68"/>
      <c r="CY16" s="68"/>
      <c r="CZ16" s="71">
        <f t="shared" si="33"/>
        <v>0</v>
      </c>
      <c r="DA16" s="68"/>
      <c r="DB16" s="68"/>
      <c r="DC16" s="71">
        <f t="shared" si="34"/>
        <v>0</v>
      </c>
      <c r="DD16" s="68"/>
      <c r="DE16" s="68"/>
      <c r="DF16" s="71">
        <f t="shared" si="35"/>
        <v>0</v>
      </c>
      <c r="DG16" s="68"/>
      <c r="DH16" s="68"/>
      <c r="DI16" s="71">
        <f t="shared" si="36"/>
        <v>0</v>
      </c>
      <c r="DJ16" s="68"/>
      <c r="DK16" s="68"/>
      <c r="DL16" s="71">
        <f t="shared" si="37"/>
        <v>0</v>
      </c>
      <c r="DM16" s="68"/>
      <c r="DN16" s="68"/>
      <c r="DO16" s="71">
        <f t="shared" si="38"/>
        <v>0</v>
      </c>
      <c r="DP16" s="68"/>
      <c r="DQ16" s="68"/>
      <c r="DR16" s="71">
        <f t="shared" si="61"/>
        <v>0</v>
      </c>
      <c r="DS16" s="68"/>
      <c r="DT16" s="68"/>
      <c r="DU16" s="71">
        <f t="shared" si="62"/>
        <v>0</v>
      </c>
      <c r="DV16" s="68"/>
      <c r="DW16" s="68"/>
      <c r="DX16" s="71">
        <f t="shared" si="41"/>
        <v>0</v>
      </c>
      <c r="DY16" s="68"/>
      <c r="DZ16" s="68"/>
      <c r="EA16" s="71">
        <f t="shared" si="63"/>
        <v>0</v>
      </c>
      <c r="EB16" s="68"/>
      <c r="EC16" s="68"/>
      <c r="ED16" s="71">
        <f t="shared" si="43"/>
        <v>0</v>
      </c>
      <c r="EE16" s="68"/>
      <c r="EF16" s="68"/>
      <c r="EG16" s="71">
        <f t="shared" si="44"/>
        <v>0</v>
      </c>
      <c r="EH16" s="68"/>
      <c r="EI16" s="68"/>
      <c r="EJ16" s="71">
        <f t="shared" si="45"/>
        <v>0</v>
      </c>
      <c r="EK16" s="68"/>
      <c r="EL16" s="68"/>
      <c r="EM16" s="71">
        <f t="shared" si="46"/>
        <v>0</v>
      </c>
      <c r="EN16" s="68"/>
      <c r="EO16" s="68"/>
      <c r="EP16" s="71">
        <f t="shared" si="47"/>
        <v>0</v>
      </c>
      <c r="EQ16" s="71">
        <f t="shared" si="48"/>
        <v>170000</v>
      </c>
      <c r="ER16" s="71">
        <f t="shared" si="49"/>
        <v>170000</v>
      </c>
      <c r="ES16" s="71">
        <f t="shared" si="50"/>
        <v>0</v>
      </c>
      <c r="ET16" s="68">
        <f t="shared" si="57"/>
        <v>-63527</v>
      </c>
      <c r="EU16" s="73"/>
      <c r="EV16" s="71">
        <f t="shared" si="54"/>
        <v>65000</v>
      </c>
      <c r="EW16" s="71">
        <f t="shared" si="51"/>
        <v>65000</v>
      </c>
      <c r="EX16" s="68">
        <f t="shared" si="55"/>
        <v>0</v>
      </c>
      <c r="EY16" s="68">
        <f t="shared" si="58"/>
        <v>-25319</v>
      </c>
      <c r="EZ16" s="73"/>
      <c r="FA16" s="68">
        <f t="shared" si="56"/>
        <v>0</v>
      </c>
      <c r="FB16" s="68">
        <f t="shared" si="59"/>
        <v>-38208</v>
      </c>
      <c r="FC16" s="73"/>
      <c r="FD16" s="73"/>
      <c r="FE16" s="73"/>
      <c r="FF16" s="73"/>
      <c r="FG16" s="73"/>
      <c r="FH16" s="73"/>
      <c r="FI16" s="73"/>
    </row>
    <row r="17" spans="1:165" x14ac:dyDescent="0.25">
      <c r="A17" s="67">
        <f>+BaseloadMarkets!A17</f>
        <v>36689</v>
      </c>
      <c r="B17" s="67" t="str">
        <f>+BaseloadMarkets!B17</f>
        <v>Mon</v>
      </c>
      <c r="C17" s="68">
        <f t="shared" si="52"/>
        <v>10000</v>
      </c>
      <c r="D17" s="68">
        <f t="shared" si="52"/>
        <v>10000</v>
      </c>
      <c r="E17" s="71">
        <f t="shared" si="0"/>
        <v>0</v>
      </c>
      <c r="F17" s="68">
        <v>10000</v>
      </c>
      <c r="G17" s="68">
        <v>10000</v>
      </c>
      <c r="H17" s="71">
        <f t="shared" si="1"/>
        <v>0</v>
      </c>
      <c r="I17" s="68">
        <v>10000</v>
      </c>
      <c r="J17" s="68">
        <v>10000</v>
      </c>
      <c r="K17" s="71">
        <f t="shared" si="2"/>
        <v>0</v>
      </c>
      <c r="L17" s="68">
        <f t="shared" si="53"/>
        <v>10000</v>
      </c>
      <c r="M17" s="68">
        <f t="shared" si="53"/>
        <v>10000</v>
      </c>
      <c r="N17" s="71">
        <f t="shared" si="3"/>
        <v>0</v>
      </c>
      <c r="O17" s="68">
        <v>5000</v>
      </c>
      <c r="P17" s="68">
        <v>5000</v>
      </c>
      <c r="Q17" s="71">
        <f t="shared" si="4"/>
        <v>0</v>
      </c>
      <c r="R17" s="68">
        <v>5000</v>
      </c>
      <c r="S17" s="68">
        <v>5000</v>
      </c>
      <c r="T17" s="71">
        <f t="shared" si="5"/>
        <v>0</v>
      </c>
      <c r="U17" s="68">
        <v>5000</v>
      </c>
      <c r="V17" s="68">
        <v>5000</v>
      </c>
      <c r="W17" s="71">
        <f t="shared" si="6"/>
        <v>0</v>
      </c>
      <c r="X17" s="68">
        <v>10000</v>
      </c>
      <c r="Y17" s="68">
        <v>10000</v>
      </c>
      <c r="Z17" s="71">
        <f t="shared" si="7"/>
        <v>0</v>
      </c>
      <c r="AA17" s="68"/>
      <c r="AB17" s="68"/>
      <c r="AC17" s="71">
        <f t="shared" si="8"/>
        <v>0</v>
      </c>
      <c r="AD17" s="68"/>
      <c r="AE17" s="68"/>
      <c r="AF17" s="71">
        <f t="shared" si="9"/>
        <v>0</v>
      </c>
      <c r="AG17" s="68">
        <v>105000</v>
      </c>
      <c r="AH17" s="68">
        <v>105000</v>
      </c>
      <c r="AI17" s="71">
        <f t="shared" si="10"/>
        <v>0</v>
      </c>
      <c r="AJ17" s="68"/>
      <c r="AK17" s="68"/>
      <c r="AL17" s="71">
        <f t="shared" si="11"/>
        <v>0</v>
      </c>
      <c r="AM17" s="68"/>
      <c r="AN17" s="68"/>
      <c r="AO17" s="71">
        <f t="shared" si="12"/>
        <v>0</v>
      </c>
      <c r="AP17" s="68"/>
      <c r="AQ17" s="68"/>
      <c r="AR17" s="71">
        <f t="shared" si="13"/>
        <v>0</v>
      </c>
      <c r="AS17" s="68"/>
      <c r="AT17" s="68"/>
      <c r="AU17" s="71">
        <f t="shared" si="14"/>
        <v>0</v>
      </c>
      <c r="AV17" s="68"/>
      <c r="AW17" s="68"/>
      <c r="AX17" s="71">
        <f t="shared" si="15"/>
        <v>0</v>
      </c>
      <c r="AY17" s="68"/>
      <c r="AZ17" s="68"/>
      <c r="BA17" s="71">
        <f t="shared" si="16"/>
        <v>0</v>
      </c>
      <c r="BB17" s="68"/>
      <c r="BC17" s="68"/>
      <c r="BD17" s="71">
        <f t="shared" si="17"/>
        <v>0</v>
      </c>
      <c r="BE17" s="68"/>
      <c r="BF17" s="68"/>
      <c r="BG17" s="71">
        <f t="shared" si="18"/>
        <v>0</v>
      </c>
      <c r="BH17" s="68"/>
      <c r="BI17" s="68"/>
      <c r="BJ17" s="71">
        <f t="shared" si="19"/>
        <v>0</v>
      </c>
      <c r="BK17" s="68"/>
      <c r="BL17" s="68"/>
      <c r="BM17" s="71">
        <f t="shared" si="20"/>
        <v>0</v>
      </c>
      <c r="BN17" s="68"/>
      <c r="BO17" s="68"/>
      <c r="BP17" s="71">
        <f t="shared" si="60"/>
        <v>0</v>
      </c>
      <c r="BQ17" s="68"/>
      <c r="BR17" s="68"/>
      <c r="BS17" s="71">
        <f t="shared" si="22"/>
        <v>0</v>
      </c>
      <c r="BT17" s="68"/>
      <c r="BU17" s="68"/>
      <c r="BV17" s="71">
        <f t="shared" si="23"/>
        <v>0</v>
      </c>
      <c r="BW17" s="68"/>
      <c r="BX17" s="68"/>
      <c r="BY17" s="71">
        <f t="shared" si="24"/>
        <v>0</v>
      </c>
      <c r="BZ17" s="68"/>
      <c r="CA17" s="68"/>
      <c r="CB17" s="71">
        <f t="shared" si="25"/>
        <v>0</v>
      </c>
      <c r="CC17" s="68"/>
      <c r="CD17" s="68"/>
      <c r="CE17" s="71">
        <f t="shared" si="26"/>
        <v>0</v>
      </c>
      <c r="CF17" s="68"/>
      <c r="CG17" s="68"/>
      <c r="CH17" s="71">
        <f t="shared" si="27"/>
        <v>0</v>
      </c>
      <c r="CI17" s="68"/>
      <c r="CJ17" s="68"/>
      <c r="CK17" s="71">
        <f t="shared" si="28"/>
        <v>0</v>
      </c>
      <c r="CL17" s="68"/>
      <c r="CM17" s="68"/>
      <c r="CN17" s="71">
        <f t="shared" si="29"/>
        <v>0</v>
      </c>
      <c r="CO17" s="68"/>
      <c r="CP17" s="68"/>
      <c r="CQ17" s="71">
        <f t="shared" si="30"/>
        <v>0</v>
      </c>
      <c r="CR17" s="68"/>
      <c r="CS17" s="68"/>
      <c r="CT17" s="71">
        <f t="shared" si="31"/>
        <v>0</v>
      </c>
      <c r="CU17" s="68"/>
      <c r="CV17" s="68"/>
      <c r="CW17" s="71">
        <f t="shared" si="32"/>
        <v>0</v>
      </c>
      <c r="CX17" s="68"/>
      <c r="CY17" s="68"/>
      <c r="CZ17" s="71">
        <f t="shared" si="33"/>
        <v>0</v>
      </c>
      <c r="DA17" s="68"/>
      <c r="DB17" s="68"/>
      <c r="DC17" s="71">
        <f t="shared" si="34"/>
        <v>0</v>
      </c>
      <c r="DD17" s="68"/>
      <c r="DE17" s="68"/>
      <c r="DF17" s="71">
        <f t="shared" si="35"/>
        <v>0</v>
      </c>
      <c r="DG17" s="68"/>
      <c r="DH17" s="68"/>
      <c r="DI17" s="71">
        <f t="shared" si="36"/>
        <v>0</v>
      </c>
      <c r="DJ17" s="68"/>
      <c r="DK17" s="68"/>
      <c r="DL17" s="71">
        <f t="shared" si="37"/>
        <v>0</v>
      </c>
      <c r="DM17" s="68"/>
      <c r="DN17" s="68"/>
      <c r="DO17" s="71">
        <f t="shared" si="38"/>
        <v>0</v>
      </c>
      <c r="DP17" s="68"/>
      <c r="DQ17" s="68"/>
      <c r="DR17" s="71">
        <f t="shared" si="61"/>
        <v>0</v>
      </c>
      <c r="DS17" s="68"/>
      <c r="DT17" s="68"/>
      <c r="DU17" s="71">
        <f t="shared" si="62"/>
        <v>0</v>
      </c>
      <c r="DV17" s="68"/>
      <c r="DW17" s="68"/>
      <c r="DX17" s="71">
        <f t="shared" si="41"/>
        <v>0</v>
      </c>
      <c r="DY17" s="68"/>
      <c r="DZ17" s="68"/>
      <c r="EA17" s="71">
        <f t="shared" si="63"/>
        <v>0</v>
      </c>
      <c r="EB17" s="68"/>
      <c r="EC17" s="68"/>
      <c r="ED17" s="71">
        <f t="shared" si="43"/>
        <v>0</v>
      </c>
      <c r="EE17" s="68"/>
      <c r="EF17" s="68"/>
      <c r="EG17" s="71">
        <f t="shared" si="44"/>
        <v>0</v>
      </c>
      <c r="EH17" s="68"/>
      <c r="EI17" s="68"/>
      <c r="EJ17" s="71">
        <f t="shared" si="45"/>
        <v>0</v>
      </c>
      <c r="EK17" s="68"/>
      <c r="EL17" s="68"/>
      <c r="EM17" s="71">
        <f t="shared" si="46"/>
        <v>0</v>
      </c>
      <c r="EN17" s="68"/>
      <c r="EO17" s="68"/>
      <c r="EP17" s="71">
        <f t="shared" si="47"/>
        <v>0</v>
      </c>
      <c r="EQ17" s="71">
        <f t="shared" si="48"/>
        <v>170000</v>
      </c>
      <c r="ER17" s="71">
        <f t="shared" si="49"/>
        <v>170000</v>
      </c>
      <c r="ES17" s="71">
        <f t="shared" si="50"/>
        <v>0</v>
      </c>
      <c r="ET17" s="68">
        <f t="shared" si="57"/>
        <v>-63527</v>
      </c>
      <c r="EU17" s="73"/>
      <c r="EV17" s="71">
        <f t="shared" si="54"/>
        <v>65000</v>
      </c>
      <c r="EW17" s="71">
        <f t="shared" si="51"/>
        <v>65000</v>
      </c>
      <c r="EX17" s="68">
        <f t="shared" si="55"/>
        <v>0</v>
      </c>
      <c r="EY17" s="68">
        <f t="shared" si="58"/>
        <v>-25319</v>
      </c>
      <c r="EZ17" s="73"/>
      <c r="FA17" s="68">
        <f t="shared" si="56"/>
        <v>0</v>
      </c>
      <c r="FB17" s="68">
        <f t="shared" si="59"/>
        <v>-38208</v>
      </c>
      <c r="FC17" s="73"/>
      <c r="FD17" s="73"/>
      <c r="FE17" s="73"/>
      <c r="FF17" s="73"/>
      <c r="FG17" s="73"/>
      <c r="FH17" s="73"/>
      <c r="FI17" s="73"/>
    </row>
    <row r="18" spans="1:165" x14ac:dyDescent="0.25">
      <c r="A18" s="67">
        <f>+BaseloadMarkets!A18</f>
        <v>36690</v>
      </c>
      <c r="B18" s="67" t="str">
        <f>+BaseloadMarkets!B18</f>
        <v>Tues</v>
      </c>
      <c r="C18" s="68">
        <f t="shared" si="52"/>
        <v>10000</v>
      </c>
      <c r="D18" s="68">
        <f t="shared" si="52"/>
        <v>10000</v>
      </c>
      <c r="E18" s="71">
        <f t="shared" si="0"/>
        <v>0</v>
      </c>
      <c r="F18" s="68">
        <v>10000</v>
      </c>
      <c r="G18" s="68">
        <v>10000</v>
      </c>
      <c r="H18" s="71">
        <f t="shared" si="1"/>
        <v>0</v>
      </c>
      <c r="I18" s="68">
        <v>10000</v>
      </c>
      <c r="J18" s="68">
        <v>10000</v>
      </c>
      <c r="K18" s="71">
        <f t="shared" si="2"/>
        <v>0</v>
      </c>
      <c r="L18" s="68">
        <f t="shared" si="53"/>
        <v>10000</v>
      </c>
      <c r="M18" s="68">
        <f t="shared" si="53"/>
        <v>10000</v>
      </c>
      <c r="N18" s="71">
        <f t="shared" si="3"/>
        <v>0</v>
      </c>
      <c r="O18" s="68">
        <v>5000</v>
      </c>
      <c r="P18" s="68">
        <v>3297</v>
      </c>
      <c r="Q18" s="71">
        <f t="shared" si="4"/>
        <v>-1703</v>
      </c>
      <c r="R18" s="68">
        <v>5000</v>
      </c>
      <c r="S18" s="68">
        <v>5000</v>
      </c>
      <c r="T18" s="71">
        <f t="shared" si="5"/>
        <v>0</v>
      </c>
      <c r="U18" s="68">
        <v>5000</v>
      </c>
      <c r="V18" s="68">
        <v>5000</v>
      </c>
      <c r="W18" s="71">
        <f t="shared" si="6"/>
        <v>0</v>
      </c>
      <c r="X18" s="68">
        <v>10000</v>
      </c>
      <c r="Y18" s="68">
        <v>10000</v>
      </c>
      <c r="Z18" s="71">
        <f t="shared" si="7"/>
        <v>0</v>
      </c>
      <c r="AA18" s="68"/>
      <c r="AB18" s="68"/>
      <c r="AC18" s="71">
        <f t="shared" si="8"/>
        <v>0</v>
      </c>
      <c r="AD18" s="68"/>
      <c r="AE18" s="68"/>
      <c r="AF18" s="71">
        <f t="shared" si="9"/>
        <v>0</v>
      </c>
      <c r="AG18" s="68">
        <v>635000</v>
      </c>
      <c r="AH18" s="68">
        <f>635000-26000+17146</f>
        <v>626146</v>
      </c>
      <c r="AI18" s="71">
        <f t="shared" si="10"/>
        <v>-8854</v>
      </c>
      <c r="AJ18" s="68"/>
      <c r="AK18" s="68"/>
      <c r="AL18" s="71">
        <f t="shared" si="11"/>
        <v>0</v>
      </c>
      <c r="AM18" s="68"/>
      <c r="AN18" s="68"/>
      <c r="AO18" s="71">
        <f t="shared" si="12"/>
        <v>0</v>
      </c>
      <c r="AP18" s="68"/>
      <c r="AQ18" s="68"/>
      <c r="AR18" s="71">
        <f t="shared" si="13"/>
        <v>0</v>
      </c>
      <c r="AS18" s="68"/>
      <c r="AT18" s="68"/>
      <c r="AU18" s="71">
        <f t="shared" si="14"/>
        <v>0</v>
      </c>
      <c r="AV18" s="68"/>
      <c r="AW18" s="68"/>
      <c r="AX18" s="71">
        <f t="shared" si="15"/>
        <v>0</v>
      </c>
      <c r="AY18" s="68"/>
      <c r="AZ18" s="68"/>
      <c r="BA18" s="71">
        <f t="shared" si="16"/>
        <v>0</v>
      </c>
      <c r="BB18" s="68"/>
      <c r="BC18" s="68"/>
      <c r="BD18" s="71">
        <f t="shared" si="17"/>
        <v>0</v>
      </c>
      <c r="BE18" s="68"/>
      <c r="BF18" s="68"/>
      <c r="BG18" s="71">
        <f t="shared" si="18"/>
        <v>0</v>
      </c>
      <c r="BH18" s="68"/>
      <c r="BI18" s="68"/>
      <c r="BJ18" s="71">
        <f t="shared" si="19"/>
        <v>0</v>
      </c>
      <c r="BK18" s="68"/>
      <c r="BL18" s="68"/>
      <c r="BM18" s="71">
        <f t="shared" si="20"/>
        <v>0</v>
      </c>
      <c r="BN18" s="68"/>
      <c r="BO18" s="68"/>
      <c r="BP18" s="71">
        <f t="shared" si="60"/>
        <v>0</v>
      </c>
      <c r="BQ18" s="68"/>
      <c r="BR18" s="68"/>
      <c r="BS18" s="71">
        <f t="shared" si="22"/>
        <v>0</v>
      </c>
      <c r="BT18" s="68"/>
      <c r="BU18" s="68"/>
      <c r="BV18" s="71">
        <f t="shared" si="23"/>
        <v>0</v>
      </c>
      <c r="BW18" s="68"/>
      <c r="BX18" s="68"/>
      <c r="BY18" s="71">
        <f t="shared" si="24"/>
        <v>0</v>
      </c>
      <c r="BZ18" s="68"/>
      <c r="CA18" s="68"/>
      <c r="CB18" s="71">
        <f t="shared" si="25"/>
        <v>0</v>
      </c>
      <c r="CC18" s="68"/>
      <c r="CD18" s="68"/>
      <c r="CE18" s="71">
        <f t="shared" si="26"/>
        <v>0</v>
      </c>
      <c r="CF18" s="68"/>
      <c r="CG18" s="68"/>
      <c r="CH18" s="71">
        <f t="shared" si="27"/>
        <v>0</v>
      </c>
      <c r="CI18" s="68"/>
      <c r="CJ18" s="68"/>
      <c r="CK18" s="71">
        <f t="shared" si="28"/>
        <v>0</v>
      </c>
      <c r="CL18" s="68"/>
      <c r="CM18" s="68"/>
      <c r="CN18" s="71">
        <f t="shared" si="29"/>
        <v>0</v>
      </c>
      <c r="CO18" s="68"/>
      <c r="CP18" s="68"/>
      <c r="CQ18" s="71">
        <f t="shared" si="30"/>
        <v>0</v>
      </c>
      <c r="CR18" s="68"/>
      <c r="CS18" s="68"/>
      <c r="CT18" s="71">
        <f t="shared" si="31"/>
        <v>0</v>
      </c>
      <c r="CU18" s="68"/>
      <c r="CV18" s="68"/>
      <c r="CW18" s="71">
        <f t="shared" si="32"/>
        <v>0</v>
      </c>
      <c r="CX18" s="68"/>
      <c r="CY18" s="68"/>
      <c r="CZ18" s="71">
        <f t="shared" si="33"/>
        <v>0</v>
      </c>
      <c r="DA18" s="68"/>
      <c r="DB18" s="68"/>
      <c r="DC18" s="71">
        <f t="shared" si="34"/>
        <v>0</v>
      </c>
      <c r="DD18" s="68"/>
      <c r="DE18" s="68"/>
      <c r="DF18" s="71">
        <f t="shared" si="35"/>
        <v>0</v>
      </c>
      <c r="DG18" s="68"/>
      <c r="DH18" s="68"/>
      <c r="DI18" s="71">
        <f t="shared" si="36"/>
        <v>0</v>
      </c>
      <c r="DJ18" s="68"/>
      <c r="DK18" s="68"/>
      <c r="DL18" s="71">
        <f t="shared" si="37"/>
        <v>0</v>
      </c>
      <c r="DM18" s="68"/>
      <c r="DN18" s="68"/>
      <c r="DO18" s="71">
        <f t="shared" si="38"/>
        <v>0</v>
      </c>
      <c r="DP18" s="68"/>
      <c r="DQ18" s="68"/>
      <c r="DR18" s="71">
        <f t="shared" si="61"/>
        <v>0</v>
      </c>
      <c r="DS18" s="68"/>
      <c r="DT18" s="68"/>
      <c r="DU18" s="71">
        <f t="shared" si="62"/>
        <v>0</v>
      </c>
      <c r="DV18" s="68"/>
      <c r="DW18" s="68"/>
      <c r="DX18" s="71">
        <f t="shared" si="41"/>
        <v>0</v>
      </c>
      <c r="DY18" s="68"/>
      <c r="DZ18" s="68"/>
      <c r="EA18" s="71">
        <f t="shared" si="63"/>
        <v>0</v>
      </c>
      <c r="EB18" s="68"/>
      <c r="EC18" s="68"/>
      <c r="ED18" s="71">
        <f t="shared" si="43"/>
        <v>0</v>
      </c>
      <c r="EE18" s="68"/>
      <c r="EF18" s="68"/>
      <c r="EG18" s="71">
        <f t="shared" si="44"/>
        <v>0</v>
      </c>
      <c r="EH18" s="68"/>
      <c r="EI18" s="68"/>
      <c r="EJ18" s="71">
        <f t="shared" si="45"/>
        <v>0</v>
      </c>
      <c r="EK18" s="68"/>
      <c r="EL18" s="68"/>
      <c r="EM18" s="71">
        <f t="shared" si="46"/>
        <v>0</v>
      </c>
      <c r="EN18" s="68"/>
      <c r="EO18" s="68"/>
      <c r="EP18" s="71">
        <f t="shared" si="47"/>
        <v>0</v>
      </c>
      <c r="EQ18" s="71">
        <f t="shared" si="48"/>
        <v>700000</v>
      </c>
      <c r="ER18" s="71">
        <f t="shared" si="49"/>
        <v>689443</v>
      </c>
      <c r="ES18" s="71">
        <f t="shared" si="50"/>
        <v>-10557</v>
      </c>
      <c r="ET18" s="68">
        <f t="shared" si="57"/>
        <v>-74084</v>
      </c>
      <c r="EU18" s="73"/>
      <c r="EV18" s="71">
        <f t="shared" si="54"/>
        <v>65000</v>
      </c>
      <c r="EW18" s="71">
        <f t="shared" si="51"/>
        <v>63297</v>
      </c>
      <c r="EX18" s="68">
        <f t="shared" si="55"/>
        <v>-1703</v>
      </c>
      <c r="EY18" s="68">
        <f t="shared" si="58"/>
        <v>-27022</v>
      </c>
      <c r="EZ18" s="73"/>
      <c r="FA18" s="68">
        <f t="shared" si="56"/>
        <v>-8854</v>
      </c>
      <c r="FB18" s="68">
        <f t="shared" si="59"/>
        <v>-47062</v>
      </c>
      <c r="FC18" s="73"/>
      <c r="FD18" s="73"/>
      <c r="FE18" s="73"/>
      <c r="FF18" s="73"/>
      <c r="FG18" s="73"/>
      <c r="FH18" s="73"/>
      <c r="FI18" s="73"/>
    </row>
    <row r="19" spans="1:165" x14ac:dyDescent="0.25">
      <c r="A19" s="67">
        <f>+BaseloadMarkets!A19</f>
        <v>36691</v>
      </c>
      <c r="B19" s="67" t="str">
        <f>+BaseloadMarkets!B19</f>
        <v>Wed</v>
      </c>
      <c r="C19" s="68">
        <f t="shared" si="52"/>
        <v>10000</v>
      </c>
      <c r="D19" s="68">
        <f t="shared" si="52"/>
        <v>10000</v>
      </c>
      <c r="E19" s="71">
        <f t="shared" si="0"/>
        <v>0</v>
      </c>
      <c r="F19" s="68">
        <v>10000</v>
      </c>
      <c r="G19" s="68">
        <v>10000</v>
      </c>
      <c r="H19" s="71">
        <f t="shared" si="1"/>
        <v>0</v>
      </c>
      <c r="I19" s="68">
        <v>10000</v>
      </c>
      <c r="J19" s="68">
        <v>10000</v>
      </c>
      <c r="K19" s="71">
        <f t="shared" si="2"/>
        <v>0</v>
      </c>
      <c r="L19" s="68">
        <f t="shared" si="53"/>
        <v>10000</v>
      </c>
      <c r="M19" s="68">
        <f t="shared" si="53"/>
        <v>10000</v>
      </c>
      <c r="N19" s="71">
        <f t="shared" si="3"/>
        <v>0</v>
      </c>
      <c r="O19" s="68">
        <v>5000</v>
      </c>
      <c r="P19" s="68">
        <v>5000</v>
      </c>
      <c r="Q19" s="71">
        <f t="shared" si="4"/>
        <v>0</v>
      </c>
      <c r="R19" s="68">
        <v>5000</v>
      </c>
      <c r="S19" s="68">
        <v>5000</v>
      </c>
      <c r="T19" s="71">
        <f t="shared" si="5"/>
        <v>0</v>
      </c>
      <c r="U19" s="68">
        <v>5000</v>
      </c>
      <c r="V19" s="68">
        <v>5000</v>
      </c>
      <c r="W19" s="71">
        <f t="shared" si="6"/>
        <v>0</v>
      </c>
      <c r="X19" s="68">
        <v>10000</v>
      </c>
      <c r="Y19" s="68">
        <v>10000</v>
      </c>
      <c r="Z19" s="71">
        <f t="shared" si="7"/>
        <v>0</v>
      </c>
      <c r="AA19" s="68"/>
      <c r="AB19" s="68"/>
      <c r="AC19" s="71">
        <f t="shared" si="8"/>
        <v>0</v>
      </c>
      <c r="AD19" s="68"/>
      <c r="AE19" s="68"/>
      <c r="AF19" s="71">
        <f t="shared" si="9"/>
        <v>0</v>
      </c>
      <c r="AG19" s="68">
        <v>370000</v>
      </c>
      <c r="AH19" s="68">
        <f>370000</f>
        <v>370000</v>
      </c>
      <c r="AI19" s="71">
        <f t="shared" si="10"/>
        <v>0</v>
      </c>
      <c r="AJ19" s="68"/>
      <c r="AK19" s="68"/>
      <c r="AL19" s="71">
        <f t="shared" si="11"/>
        <v>0</v>
      </c>
      <c r="AM19" s="68"/>
      <c r="AN19" s="68"/>
      <c r="AO19" s="71">
        <f t="shared" si="12"/>
        <v>0</v>
      </c>
      <c r="AP19" s="68"/>
      <c r="AQ19" s="68"/>
      <c r="AR19" s="71">
        <f t="shared" si="13"/>
        <v>0</v>
      </c>
      <c r="AS19" s="68"/>
      <c r="AT19" s="68"/>
      <c r="AU19" s="71">
        <f t="shared" si="14"/>
        <v>0</v>
      </c>
      <c r="AV19" s="68"/>
      <c r="AW19" s="68"/>
      <c r="AX19" s="71">
        <f t="shared" si="15"/>
        <v>0</v>
      </c>
      <c r="AY19" s="68"/>
      <c r="AZ19" s="68"/>
      <c r="BA19" s="71">
        <f t="shared" si="16"/>
        <v>0</v>
      </c>
      <c r="BB19" s="68"/>
      <c r="BC19" s="68"/>
      <c r="BD19" s="71">
        <f t="shared" si="17"/>
        <v>0</v>
      </c>
      <c r="BE19" s="68"/>
      <c r="BF19" s="68"/>
      <c r="BG19" s="71">
        <f t="shared" si="18"/>
        <v>0</v>
      </c>
      <c r="BH19" s="68"/>
      <c r="BI19" s="68"/>
      <c r="BJ19" s="71">
        <f t="shared" si="19"/>
        <v>0</v>
      </c>
      <c r="BK19" s="68"/>
      <c r="BL19" s="68"/>
      <c r="BM19" s="71">
        <f t="shared" si="20"/>
        <v>0</v>
      </c>
      <c r="BN19" s="68"/>
      <c r="BO19" s="68"/>
      <c r="BP19" s="71">
        <f t="shared" si="60"/>
        <v>0</v>
      </c>
      <c r="BQ19" s="68"/>
      <c r="BR19" s="68"/>
      <c r="BS19" s="71">
        <f t="shared" si="22"/>
        <v>0</v>
      </c>
      <c r="BT19" s="68"/>
      <c r="BU19" s="68"/>
      <c r="BV19" s="71">
        <f t="shared" si="23"/>
        <v>0</v>
      </c>
      <c r="BW19" s="68"/>
      <c r="BX19" s="68"/>
      <c r="BY19" s="71">
        <f t="shared" si="24"/>
        <v>0</v>
      </c>
      <c r="BZ19" s="68"/>
      <c r="CA19" s="68"/>
      <c r="CB19" s="71">
        <f t="shared" si="25"/>
        <v>0</v>
      </c>
      <c r="CC19" s="68"/>
      <c r="CD19" s="68"/>
      <c r="CE19" s="71">
        <f t="shared" si="26"/>
        <v>0</v>
      </c>
      <c r="CF19" s="68"/>
      <c r="CG19" s="68"/>
      <c r="CH19" s="71">
        <f t="shared" si="27"/>
        <v>0</v>
      </c>
      <c r="CI19" s="68"/>
      <c r="CJ19" s="68"/>
      <c r="CK19" s="71">
        <f t="shared" si="28"/>
        <v>0</v>
      </c>
      <c r="CL19" s="68"/>
      <c r="CM19" s="68"/>
      <c r="CN19" s="71">
        <f t="shared" si="29"/>
        <v>0</v>
      </c>
      <c r="CO19" s="68"/>
      <c r="CP19" s="68"/>
      <c r="CQ19" s="71">
        <f t="shared" si="30"/>
        <v>0</v>
      </c>
      <c r="CR19" s="68"/>
      <c r="CS19" s="68"/>
      <c r="CT19" s="71">
        <f t="shared" si="31"/>
        <v>0</v>
      </c>
      <c r="CU19" s="68"/>
      <c r="CV19" s="68"/>
      <c r="CW19" s="71">
        <f t="shared" si="32"/>
        <v>0</v>
      </c>
      <c r="CX19" s="68"/>
      <c r="CY19" s="68"/>
      <c r="CZ19" s="71">
        <f t="shared" si="33"/>
        <v>0</v>
      </c>
      <c r="DA19" s="68"/>
      <c r="DB19" s="68"/>
      <c r="DC19" s="71">
        <f t="shared" si="34"/>
        <v>0</v>
      </c>
      <c r="DD19" s="68"/>
      <c r="DE19" s="68"/>
      <c r="DF19" s="71">
        <f t="shared" si="35"/>
        <v>0</v>
      </c>
      <c r="DG19" s="68"/>
      <c r="DH19" s="68"/>
      <c r="DI19" s="71">
        <f t="shared" si="36"/>
        <v>0</v>
      </c>
      <c r="DJ19" s="68"/>
      <c r="DK19" s="68"/>
      <c r="DL19" s="71">
        <f t="shared" si="37"/>
        <v>0</v>
      </c>
      <c r="DM19" s="68"/>
      <c r="DN19" s="68"/>
      <c r="DO19" s="71">
        <f t="shared" si="38"/>
        <v>0</v>
      </c>
      <c r="DP19" s="68"/>
      <c r="DQ19" s="68"/>
      <c r="DR19" s="71">
        <f t="shared" si="61"/>
        <v>0</v>
      </c>
      <c r="DS19" s="68"/>
      <c r="DT19" s="68"/>
      <c r="DU19" s="71">
        <f t="shared" si="62"/>
        <v>0</v>
      </c>
      <c r="DV19" s="68"/>
      <c r="DW19" s="68"/>
      <c r="DX19" s="71">
        <f t="shared" si="41"/>
        <v>0</v>
      </c>
      <c r="DY19" s="68"/>
      <c r="DZ19" s="68"/>
      <c r="EA19" s="71">
        <f t="shared" si="63"/>
        <v>0</v>
      </c>
      <c r="EB19" s="68"/>
      <c r="EC19" s="68"/>
      <c r="ED19" s="71">
        <f t="shared" si="43"/>
        <v>0</v>
      </c>
      <c r="EE19" s="68"/>
      <c r="EF19" s="68"/>
      <c r="EG19" s="71">
        <f t="shared" si="44"/>
        <v>0</v>
      </c>
      <c r="EH19" s="68"/>
      <c r="EI19" s="68"/>
      <c r="EJ19" s="71">
        <f t="shared" si="45"/>
        <v>0</v>
      </c>
      <c r="EK19" s="68"/>
      <c r="EL19" s="68"/>
      <c r="EM19" s="71">
        <f t="shared" si="46"/>
        <v>0</v>
      </c>
      <c r="EN19" s="68"/>
      <c r="EO19" s="68"/>
      <c r="EP19" s="71">
        <f t="shared" si="47"/>
        <v>0</v>
      </c>
      <c r="EQ19" s="71">
        <f t="shared" si="48"/>
        <v>435000</v>
      </c>
      <c r="ER19" s="71">
        <f t="shared" si="49"/>
        <v>435000</v>
      </c>
      <c r="ES19" s="71">
        <f t="shared" si="50"/>
        <v>0</v>
      </c>
      <c r="ET19" s="68">
        <f t="shared" si="57"/>
        <v>-74084</v>
      </c>
      <c r="EU19" s="73"/>
      <c r="EV19" s="71">
        <f t="shared" si="54"/>
        <v>65000</v>
      </c>
      <c r="EW19" s="71">
        <f t="shared" si="51"/>
        <v>65000</v>
      </c>
      <c r="EX19" s="68">
        <f t="shared" si="55"/>
        <v>0</v>
      </c>
      <c r="EY19" s="68">
        <f t="shared" si="58"/>
        <v>-27022</v>
      </c>
      <c r="EZ19" s="73"/>
      <c r="FA19" s="68">
        <f t="shared" si="56"/>
        <v>0</v>
      </c>
      <c r="FB19" s="68">
        <f t="shared" si="59"/>
        <v>-47062</v>
      </c>
      <c r="FC19" s="73"/>
      <c r="FD19" s="73"/>
      <c r="FE19" s="73"/>
      <c r="FF19" s="73"/>
      <c r="FG19" s="73"/>
      <c r="FH19" s="73"/>
      <c r="FI19" s="73"/>
    </row>
    <row r="20" spans="1:165" x14ac:dyDescent="0.25">
      <c r="A20" s="67">
        <f>+BaseloadMarkets!A20</f>
        <v>36692</v>
      </c>
      <c r="B20" s="67" t="str">
        <f>+BaseloadMarkets!B20</f>
        <v>Thu</v>
      </c>
      <c r="C20" s="68">
        <f t="shared" si="52"/>
        <v>10000</v>
      </c>
      <c r="D20" s="68">
        <f t="shared" si="52"/>
        <v>10000</v>
      </c>
      <c r="E20" s="71">
        <f t="shared" si="0"/>
        <v>0</v>
      </c>
      <c r="F20" s="68">
        <v>10000</v>
      </c>
      <c r="G20" s="68">
        <v>10000</v>
      </c>
      <c r="H20" s="71">
        <f t="shared" si="1"/>
        <v>0</v>
      </c>
      <c r="I20" s="68">
        <v>10000</v>
      </c>
      <c r="J20" s="68">
        <v>10000</v>
      </c>
      <c r="K20" s="71">
        <f t="shared" si="2"/>
        <v>0</v>
      </c>
      <c r="L20" s="68">
        <f t="shared" si="53"/>
        <v>10000</v>
      </c>
      <c r="M20" s="68">
        <f t="shared" si="53"/>
        <v>10000</v>
      </c>
      <c r="N20" s="71">
        <f t="shared" si="3"/>
        <v>0</v>
      </c>
      <c r="O20" s="68">
        <v>5000</v>
      </c>
      <c r="P20" s="68">
        <v>5000</v>
      </c>
      <c r="Q20" s="71">
        <f t="shared" si="4"/>
        <v>0</v>
      </c>
      <c r="R20" s="68">
        <v>5000</v>
      </c>
      <c r="S20" s="68">
        <v>5000</v>
      </c>
      <c r="T20" s="71">
        <f t="shared" si="5"/>
        <v>0</v>
      </c>
      <c r="U20" s="68">
        <v>5000</v>
      </c>
      <c r="V20" s="68">
        <v>5000</v>
      </c>
      <c r="W20" s="71">
        <f t="shared" si="6"/>
        <v>0</v>
      </c>
      <c r="X20" s="68">
        <v>10000</v>
      </c>
      <c r="Y20" s="68">
        <v>10000</v>
      </c>
      <c r="Z20" s="71">
        <f t="shared" si="7"/>
        <v>0</v>
      </c>
      <c r="AA20" s="68"/>
      <c r="AB20" s="68"/>
      <c r="AC20" s="71">
        <f t="shared" si="8"/>
        <v>0</v>
      </c>
      <c r="AD20" s="68"/>
      <c r="AE20" s="68"/>
      <c r="AF20" s="71">
        <f t="shared" si="9"/>
        <v>0</v>
      </c>
      <c r="AG20" s="68">
        <v>235000</v>
      </c>
      <c r="AH20" s="68">
        <f>235000-25000+22456</f>
        <v>232456</v>
      </c>
      <c r="AI20" s="71">
        <f t="shared" si="10"/>
        <v>-2544</v>
      </c>
      <c r="AJ20" s="68"/>
      <c r="AK20" s="68"/>
      <c r="AL20" s="71">
        <f t="shared" si="11"/>
        <v>0</v>
      </c>
      <c r="AM20" s="68"/>
      <c r="AN20" s="68"/>
      <c r="AO20" s="71">
        <f t="shared" si="12"/>
        <v>0</v>
      </c>
      <c r="AP20" s="68"/>
      <c r="AQ20" s="68"/>
      <c r="AR20" s="71">
        <f t="shared" si="13"/>
        <v>0</v>
      </c>
      <c r="AS20" s="68"/>
      <c r="AT20" s="68"/>
      <c r="AU20" s="71">
        <f t="shared" si="14"/>
        <v>0</v>
      </c>
      <c r="AV20" s="68"/>
      <c r="AW20" s="68"/>
      <c r="AX20" s="71">
        <f t="shared" si="15"/>
        <v>0</v>
      </c>
      <c r="AY20" s="68"/>
      <c r="AZ20" s="68"/>
      <c r="BA20" s="71">
        <f t="shared" si="16"/>
        <v>0</v>
      </c>
      <c r="BB20" s="68"/>
      <c r="BC20" s="68"/>
      <c r="BD20" s="71">
        <f t="shared" si="17"/>
        <v>0</v>
      </c>
      <c r="BE20" s="68"/>
      <c r="BF20" s="68"/>
      <c r="BG20" s="71">
        <f t="shared" si="18"/>
        <v>0</v>
      </c>
      <c r="BH20" s="68"/>
      <c r="BI20" s="68"/>
      <c r="BJ20" s="71">
        <f t="shared" si="19"/>
        <v>0</v>
      </c>
      <c r="BK20" s="68"/>
      <c r="BL20" s="68"/>
      <c r="BM20" s="71">
        <f t="shared" si="20"/>
        <v>0</v>
      </c>
      <c r="BN20" s="68"/>
      <c r="BO20" s="68"/>
      <c r="BP20" s="71">
        <f t="shared" si="60"/>
        <v>0</v>
      </c>
      <c r="BQ20" s="68"/>
      <c r="BR20" s="68"/>
      <c r="BS20" s="71">
        <f t="shared" si="22"/>
        <v>0</v>
      </c>
      <c r="BT20" s="68"/>
      <c r="BU20" s="68"/>
      <c r="BV20" s="71">
        <f t="shared" si="23"/>
        <v>0</v>
      </c>
      <c r="BW20" s="68"/>
      <c r="BX20" s="68"/>
      <c r="BY20" s="71">
        <f t="shared" si="24"/>
        <v>0</v>
      </c>
      <c r="BZ20" s="68"/>
      <c r="CA20" s="68"/>
      <c r="CB20" s="71">
        <f t="shared" si="25"/>
        <v>0</v>
      </c>
      <c r="CC20" s="68"/>
      <c r="CD20" s="68"/>
      <c r="CE20" s="71">
        <f t="shared" si="26"/>
        <v>0</v>
      </c>
      <c r="CF20" s="68"/>
      <c r="CG20" s="68"/>
      <c r="CH20" s="71">
        <f t="shared" si="27"/>
        <v>0</v>
      </c>
      <c r="CI20" s="68"/>
      <c r="CJ20" s="68"/>
      <c r="CK20" s="71">
        <f t="shared" si="28"/>
        <v>0</v>
      </c>
      <c r="CL20" s="68"/>
      <c r="CM20" s="68"/>
      <c r="CN20" s="71">
        <f t="shared" si="29"/>
        <v>0</v>
      </c>
      <c r="CO20" s="68"/>
      <c r="CP20" s="68"/>
      <c r="CQ20" s="71">
        <f t="shared" si="30"/>
        <v>0</v>
      </c>
      <c r="CR20" s="68"/>
      <c r="CS20" s="68"/>
      <c r="CT20" s="71">
        <f t="shared" si="31"/>
        <v>0</v>
      </c>
      <c r="CU20" s="68"/>
      <c r="CV20" s="68"/>
      <c r="CW20" s="71">
        <f t="shared" si="32"/>
        <v>0</v>
      </c>
      <c r="CX20" s="68"/>
      <c r="CY20" s="68"/>
      <c r="CZ20" s="71">
        <f t="shared" si="33"/>
        <v>0</v>
      </c>
      <c r="DA20" s="68"/>
      <c r="DB20" s="68"/>
      <c r="DC20" s="71">
        <f t="shared" si="34"/>
        <v>0</v>
      </c>
      <c r="DD20" s="68"/>
      <c r="DE20" s="68"/>
      <c r="DF20" s="71">
        <f t="shared" si="35"/>
        <v>0</v>
      </c>
      <c r="DG20" s="68"/>
      <c r="DH20" s="68"/>
      <c r="DI20" s="71">
        <f t="shared" si="36"/>
        <v>0</v>
      </c>
      <c r="DJ20" s="68"/>
      <c r="DK20" s="68"/>
      <c r="DL20" s="71">
        <f t="shared" si="37"/>
        <v>0</v>
      </c>
      <c r="DM20" s="68"/>
      <c r="DN20" s="68"/>
      <c r="DO20" s="71">
        <f t="shared" si="38"/>
        <v>0</v>
      </c>
      <c r="DP20" s="68"/>
      <c r="DQ20" s="68"/>
      <c r="DR20" s="71">
        <f t="shared" si="61"/>
        <v>0</v>
      </c>
      <c r="DS20" s="68"/>
      <c r="DT20" s="68"/>
      <c r="DU20" s="71">
        <f t="shared" si="62"/>
        <v>0</v>
      </c>
      <c r="DV20" s="68"/>
      <c r="DW20" s="68"/>
      <c r="DX20" s="71">
        <f t="shared" si="41"/>
        <v>0</v>
      </c>
      <c r="DY20" s="68"/>
      <c r="DZ20" s="68"/>
      <c r="EA20" s="71">
        <f t="shared" si="63"/>
        <v>0</v>
      </c>
      <c r="EB20" s="68"/>
      <c r="EC20" s="68"/>
      <c r="ED20" s="71">
        <f t="shared" si="43"/>
        <v>0</v>
      </c>
      <c r="EE20" s="68"/>
      <c r="EF20" s="68"/>
      <c r="EG20" s="71">
        <f t="shared" si="44"/>
        <v>0</v>
      </c>
      <c r="EH20" s="68"/>
      <c r="EI20" s="68"/>
      <c r="EJ20" s="71">
        <f t="shared" si="45"/>
        <v>0</v>
      </c>
      <c r="EK20" s="68"/>
      <c r="EL20" s="68"/>
      <c r="EM20" s="71">
        <f t="shared" si="46"/>
        <v>0</v>
      </c>
      <c r="EN20" s="68"/>
      <c r="EO20" s="68"/>
      <c r="EP20" s="71">
        <f t="shared" si="47"/>
        <v>0</v>
      </c>
      <c r="EQ20" s="71">
        <f t="shared" si="48"/>
        <v>300000</v>
      </c>
      <c r="ER20" s="71">
        <f t="shared" si="49"/>
        <v>297456</v>
      </c>
      <c r="ES20" s="71">
        <f t="shared" si="50"/>
        <v>-2544</v>
      </c>
      <c r="ET20" s="68">
        <f t="shared" si="57"/>
        <v>-76628</v>
      </c>
      <c r="EU20" s="73"/>
      <c r="EV20" s="71">
        <f t="shared" si="54"/>
        <v>65000</v>
      </c>
      <c r="EW20" s="71">
        <f t="shared" si="51"/>
        <v>65000</v>
      </c>
      <c r="EX20" s="68">
        <f t="shared" si="55"/>
        <v>0</v>
      </c>
      <c r="EY20" s="68">
        <f t="shared" si="58"/>
        <v>-27022</v>
      </c>
      <c r="EZ20" s="73"/>
      <c r="FA20" s="68">
        <f t="shared" si="56"/>
        <v>-2544</v>
      </c>
      <c r="FB20" s="68">
        <f t="shared" si="59"/>
        <v>-49606</v>
      </c>
      <c r="FC20" s="73"/>
      <c r="FD20" s="73"/>
      <c r="FE20" s="73"/>
      <c r="FF20" s="73"/>
      <c r="FG20" s="73"/>
      <c r="FH20" s="73"/>
      <c r="FI20" s="73"/>
    </row>
    <row r="21" spans="1:165" x14ac:dyDescent="0.25">
      <c r="A21" s="67">
        <f>+BaseloadMarkets!A21</f>
        <v>36693</v>
      </c>
      <c r="B21" s="67" t="str">
        <f>+BaseloadMarkets!B21</f>
        <v>Fri</v>
      </c>
      <c r="C21" s="68">
        <f t="shared" si="52"/>
        <v>10000</v>
      </c>
      <c r="D21" s="68">
        <f t="shared" si="52"/>
        <v>10000</v>
      </c>
      <c r="E21" s="71">
        <f t="shared" si="0"/>
        <v>0</v>
      </c>
      <c r="F21" s="68">
        <v>10000</v>
      </c>
      <c r="G21" s="68">
        <v>6309</v>
      </c>
      <c r="H21" s="71">
        <f t="shared" si="1"/>
        <v>-3691</v>
      </c>
      <c r="I21" s="68">
        <v>10000</v>
      </c>
      <c r="J21" s="68">
        <v>8154</v>
      </c>
      <c r="K21" s="71">
        <f t="shared" si="2"/>
        <v>-1846</v>
      </c>
      <c r="L21" s="68">
        <f t="shared" si="53"/>
        <v>10000</v>
      </c>
      <c r="M21" s="68">
        <f t="shared" si="53"/>
        <v>10000</v>
      </c>
      <c r="N21" s="71">
        <f t="shared" si="3"/>
        <v>0</v>
      </c>
      <c r="O21" s="68">
        <v>5000</v>
      </c>
      <c r="P21" s="68">
        <v>3024</v>
      </c>
      <c r="Q21" s="71">
        <f t="shared" si="4"/>
        <v>-1976</v>
      </c>
      <c r="R21" s="68">
        <v>5000</v>
      </c>
      <c r="S21" s="68">
        <v>5000</v>
      </c>
      <c r="T21" s="71">
        <f t="shared" si="5"/>
        <v>0</v>
      </c>
      <c r="U21" s="68">
        <v>5000</v>
      </c>
      <c r="V21" s="68">
        <v>5000</v>
      </c>
      <c r="W21" s="71">
        <f t="shared" si="6"/>
        <v>0</v>
      </c>
      <c r="X21" s="68">
        <v>10000</v>
      </c>
      <c r="Y21" s="68">
        <v>10000</v>
      </c>
      <c r="Z21" s="71">
        <f t="shared" si="7"/>
        <v>0</v>
      </c>
      <c r="AA21" s="68"/>
      <c r="AB21" s="68"/>
      <c r="AC21" s="71">
        <f t="shared" si="8"/>
        <v>0</v>
      </c>
      <c r="AD21" s="68"/>
      <c r="AE21" s="68"/>
      <c r="AF21" s="71">
        <f t="shared" si="9"/>
        <v>0</v>
      </c>
      <c r="AG21" s="68">
        <v>234000</v>
      </c>
      <c r="AH21" s="68">
        <f>234000-15000+3891+7781</f>
        <v>230672</v>
      </c>
      <c r="AI21" s="71">
        <f t="shared" si="10"/>
        <v>-3328</v>
      </c>
      <c r="AJ21" s="68"/>
      <c r="AK21" s="68"/>
      <c r="AL21" s="71">
        <f t="shared" si="11"/>
        <v>0</v>
      </c>
      <c r="AM21" s="68"/>
      <c r="AN21" s="68"/>
      <c r="AO21" s="71">
        <f t="shared" si="12"/>
        <v>0</v>
      </c>
      <c r="AP21" s="68"/>
      <c r="AQ21" s="68"/>
      <c r="AR21" s="71">
        <f t="shared" si="13"/>
        <v>0</v>
      </c>
      <c r="AS21" s="68"/>
      <c r="AT21" s="68"/>
      <c r="AU21" s="71">
        <f t="shared" si="14"/>
        <v>0</v>
      </c>
      <c r="AV21" s="68"/>
      <c r="AW21" s="68"/>
      <c r="AX21" s="71">
        <f t="shared" si="15"/>
        <v>0</v>
      </c>
      <c r="AY21" s="68"/>
      <c r="AZ21" s="68"/>
      <c r="BA21" s="71">
        <f t="shared" si="16"/>
        <v>0</v>
      </c>
      <c r="BB21" s="68"/>
      <c r="BC21" s="68"/>
      <c r="BD21" s="71">
        <f t="shared" si="17"/>
        <v>0</v>
      </c>
      <c r="BE21" s="68"/>
      <c r="BF21" s="68"/>
      <c r="BG21" s="71">
        <f t="shared" si="18"/>
        <v>0</v>
      </c>
      <c r="BH21" s="68"/>
      <c r="BI21" s="68"/>
      <c r="BJ21" s="71">
        <f t="shared" si="19"/>
        <v>0</v>
      </c>
      <c r="BK21" s="68"/>
      <c r="BL21" s="68"/>
      <c r="BM21" s="71">
        <f t="shared" si="20"/>
        <v>0</v>
      </c>
      <c r="BN21" s="68"/>
      <c r="BO21" s="68"/>
      <c r="BP21" s="71">
        <f t="shared" si="60"/>
        <v>0</v>
      </c>
      <c r="BQ21" s="68"/>
      <c r="BR21" s="68"/>
      <c r="BS21" s="71">
        <f t="shared" si="22"/>
        <v>0</v>
      </c>
      <c r="BT21" s="68"/>
      <c r="BU21" s="68"/>
      <c r="BV21" s="71">
        <f t="shared" si="23"/>
        <v>0</v>
      </c>
      <c r="BW21" s="68"/>
      <c r="BX21" s="68"/>
      <c r="BY21" s="71">
        <f t="shared" si="24"/>
        <v>0</v>
      </c>
      <c r="BZ21" s="68"/>
      <c r="CA21" s="68"/>
      <c r="CB21" s="71">
        <f t="shared" si="25"/>
        <v>0</v>
      </c>
      <c r="CC21" s="68"/>
      <c r="CD21" s="68"/>
      <c r="CE21" s="71">
        <f t="shared" si="26"/>
        <v>0</v>
      </c>
      <c r="CF21" s="68"/>
      <c r="CG21" s="68"/>
      <c r="CH21" s="71">
        <f t="shared" si="27"/>
        <v>0</v>
      </c>
      <c r="CI21" s="68"/>
      <c r="CJ21" s="68"/>
      <c r="CK21" s="71">
        <f t="shared" si="28"/>
        <v>0</v>
      </c>
      <c r="CL21" s="68"/>
      <c r="CM21" s="68"/>
      <c r="CN21" s="71">
        <f t="shared" si="29"/>
        <v>0</v>
      </c>
      <c r="CO21" s="68"/>
      <c r="CP21" s="68"/>
      <c r="CQ21" s="71">
        <f t="shared" si="30"/>
        <v>0</v>
      </c>
      <c r="CR21" s="68"/>
      <c r="CS21" s="68"/>
      <c r="CT21" s="71">
        <f t="shared" si="31"/>
        <v>0</v>
      </c>
      <c r="CU21" s="68"/>
      <c r="CV21" s="68"/>
      <c r="CW21" s="71">
        <f t="shared" si="32"/>
        <v>0</v>
      </c>
      <c r="CX21" s="68"/>
      <c r="CY21" s="68"/>
      <c r="CZ21" s="71">
        <f t="shared" si="33"/>
        <v>0</v>
      </c>
      <c r="DA21" s="68"/>
      <c r="DB21" s="68"/>
      <c r="DC21" s="71">
        <f t="shared" si="34"/>
        <v>0</v>
      </c>
      <c r="DD21" s="68"/>
      <c r="DE21" s="68"/>
      <c r="DF21" s="71">
        <f t="shared" si="35"/>
        <v>0</v>
      </c>
      <c r="DG21" s="68"/>
      <c r="DH21" s="68"/>
      <c r="DI21" s="71">
        <f t="shared" si="36"/>
        <v>0</v>
      </c>
      <c r="DJ21" s="68"/>
      <c r="DK21" s="68"/>
      <c r="DL21" s="71">
        <f t="shared" si="37"/>
        <v>0</v>
      </c>
      <c r="DM21" s="68"/>
      <c r="DN21" s="68"/>
      <c r="DO21" s="71">
        <f t="shared" si="38"/>
        <v>0</v>
      </c>
      <c r="DP21" s="68"/>
      <c r="DQ21" s="68"/>
      <c r="DR21" s="71">
        <f t="shared" si="61"/>
        <v>0</v>
      </c>
      <c r="DS21" s="68"/>
      <c r="DT21" s="68"/>
      <c r="DU21" s="71">
        <f t="shared" si="62"/>
        <v>0</v>
      </c>
      <c r="DV21" s="68"/>
      <c r="DW21" s="68"/>
      <c r="DX21" s="71">
        <f t="shared" si="41"/>
        <v>0</v>
      </c>
      <c r="DY21" s="68"/>
      <c r="DZ21" s="68"/>
      <c r="EA21" s="71">
        <f t="shared" si="63"/>
        <v>0</v>
      </c>
      <c r="EB21" s="68"/>
      <c r="EC21" s="68"/>
      <c r="ED21" s="71">
        <f t="shared" si="43"/>
        <v>0</v>
      </c>
      <c r="EE21" s="68"/>
      <c r="EF21" s="68"/>
      <c r="EG21" s="71">
        <f t="shared" si="44"/>
        <v>0</v>
      </c>
      <c r="EH21" s="68"/>
      <c r="EI21" s="68"/>
      <c r="EJ21" s="71">
        <f t="shared" si="45"/>
        <v>0</v>
      </c>
      <c r="EK21" s="68"/>
      <c r="EL21" s="68"/>
      <c r="EM21" s="71">
        <f t="shared" si="46"/>
        <v>0</v>
      </c>
      <c r="EN21" s="68"/>
      <c r="EO21" s="68"/>
      <c r="EP21" s="71">
        <f t="shared" si="47"/>
        <v>0</v>
      </c>
      <c r="EQ21" s="71">
        <f t="shared" si="48"/>
        <v>299000</v>
      </c>
      <c r="ER21" s="71">
        <f t="shared" si="49"/>
        <v>288159</v>
      </c>
      <c r="ES21" s="71">
        <f t="shared" si="50"/>
        <v>-10841</v>
      </c>
      <c r="ET21" s="68">
        <f t="shared" si="57"/>
        <v>-87469</v>
      </c>
      <c r="EU21" s="73"/>
      <c r="EV21" s="71">
        <f t="shared" si="54"/>
        <v>65000</v>
      </c>
      <c r="EW21" s="71">
        <f t="shared" si="51"/>
        <v>57487</v>
      </c>
      <c r="EX21" s="68">
        <f t="shared" si="55"/>
        <v>-7513</v>
      </c>
      <c r="EY21" s="68">
        <f t="shared" si="58"/>
        <v>-34535</v>
      </c>
      <c r="EZ21" s="73"/>
      <c r="FA21" s="68">
        <f t="shared" si="56"/>
        <v>-3328</v>
      </c>
      <c r="FB21" s="68">
        <f t="shared" si="59"/>
        <v>-52934</v>
      </c>
      <c r="FC21" s="73"/>
      <c r="FD21" s="73"/>
      <c r="FE21" s="73"/>
      <c r="FF21" s="73"/>
      <c r="FG21" s="73"/>
      <c r="FH21" s="73"/>
      <c r="FI21" s="73"/>
    </row>
    <row r="22" spans="1:165" x14ac:dyDescent="0.25">
      <c r="A22" s="67">
        <f>+BaseloadMarkets!A22</f>
        <v>36694</v>
      </c>
      <c r="B22" s="67" t="str">
        <f>+BaseloadMarkets!B22</f>
        <v>Sat</v>
      </c>
      <c r="C22" s="68">
        <f t="shared" si="52"/>
        <v>10000</v>
      </c>
      <c r="D22" s="68">
        <f t="shared" si="52"/>
        <v>10000</v>
      </c>
      <c r="E22" s="71">
        <f t="shared" si="0"/>
        <v>0</v>
      </c>
      <c r="F22" s="68">
        <v>10000</v>
      </c>
      <c r="G22" s="68">
        <v>910</v>
      </c>
      <c r="H22" s="71">
        <f t="shared" si="1"/>
        <v>-9090</v>
      </c>
      <c r="I22" s="68">
        <v>10000</v>
      </c>
      <c r="J22" s="68">
        <v>910</v>
      </c>
      <c r="K22" s="71">
        <f t="shared" si="2"/>
        <v>-9090</v>
      </c>
      <c r="L22" s="68">
        <f t="shared" si="53"/>
        <v>10000</v>
      </c>
      <c r="M22" s="68">
        <f t="shared" si="53"/>
        <v>10000</v>
      </c>
      <c r="N22" s="71">
        <f t="shared" si="3"/>
        <v>0</v>
      </c>
      <c r="O22" s="68">
        <v>5000</v>
      </c>
      <c r="P22" s="68">
        <v>3539</v>
      </c>
      <c r="Q22" s="71">
        <f t="shared" si="4"/>
        <v>-1461</v>
      </c>
      <c r="R22" s="68">
        <v>5000</v>
      </c>
      <c r="S22" s="68">
        <v>5000</v>
      </c>
      <c r="T22" s="71">
        <f t="shared" si="5"/>
        <v>0</v>
      </c>
      <c r="U22" s="68">
        <v>5000</v>
      </c>
      <c r="V22" s="68">
        <v>5000</v>
      </c>
      <c r="W22" s="71">
        <f t="shared" si="6"/>
        <v>0</v>
      </c>
      <c r="X22" s="68">
        <v>10000</v>
      </c>
      <c r="Y22" s="68">
        <v>10000</v>
      </c>
      <c r="Z22" s="71">
        <f t="shared" si="7"/>
        <v>0</v>
      </c>
      <c r="AA22" s="68"/>
      <c r="AB22" s="68"/>
      <c r="AC22" s="71">
        <f t="shared" si="8"/>
        <v>0</v>
      </c>
      <c r="AD22" s="68"/>
      <c r="AE22" s="68"/>
      <c r="AF22" s="71">
        <f t="shared" si="9"/>
        <v>0</v>
      </c>
      <c r="AG22" s="68">
        <v>95000</v>
      </c>
      <c r="AH22" s="68">
        <v>87187</v>
      </c>
      <c r="AI22" s="71">
        <f t="shared" si="10"/>
        <v>-7813</v>
      </c>
      <c r="AJ22" s="68"/>
      <c r="AK22" s="68"/>
      <c r="AL22" s="71">
        <f t="shared" si="11"/>
        <v>0</v>
      </c>
      <c r="AM22" s="68"/>
      <c r="AN22" s="68"/>
      <c r="AO22" s="71">
        <f t="shared" si="12"/>
        <v>0</v>
      </c>
      <c r="AP22" s="68"/>
      <c r="AQ22" s="68"/>
      <c r="AR22" s="71">
        <f t="shared" si="13"/>
        <v>0</v>
      </c>
      <c r="AS22" s="68"/>
      <c r="AT22" s="68"/>
      <c r="AU22" s="71">
        <f t="shared" si="14"/>
        <v>0</v>
      </c>
      <c r="AV22" s="68"/>
      <c r="AW22" s="68"/>
      <c r="AX22" s="71">
        <f t="shared" si="15"/>
        <v>0</v>
      </c>
      <c r="AY22" s="68"/>
      <c r="AZ22" s="68"/>
      <c r="BA22" s="71">
        <f t="shared" si="16"/>
        <v>0</v>
      </c>
      <c r="BB22" s="68"/>
      <c r="BC22" s="68"/>
      <c r="BD22" s="71">
        <f t="shared" si="17"/>
        <v>0</v>
      </c>
      <c r="BE22" s="68"/>
      <c r="BF22" s="68"/>
      <c r="BG22" s="71">
        <f t="shared" si="18"/>
        <v>0</v>
      </c>
      <c r="BH22" s="68"/>
      <c r="BI22" s="68"/>
      <c r="BJ22" s="71">
        <f t="shared" si="19"/>
        <v>0</v>
      </c>
      <c r="BK22" s="68"/>
      <c r="BL22" s="68"/>
      <c r="BM22" s="71">
        <f t="shared" si="20"/>
        <v>0</v>
      </c>
      <c r="BN22" s="68"/>
      <c r="BO22" s="68"/>
      <c r="BP22" s="71">
        <f t="shared" si="60"/>
        <v>0</v>
      </c>
      <c r="BQ22" s="68"/>
      <c r="BR22" s="68"/>
      <c r="BS22" s="71">
        <f t="shared" si="22"/>
        <v>0</v>
      </c>
      <c r="BT22" s="68"/>
      <c r="BU22" s="68"/>
      <c r="BV22" s="71">
        <f t="shared" si="23"/>
        <v>0</v>
      </c>
      <c r="BW22" s="68"/>
      <c r="BX22" s="68"/>
      <c r="BY22" s="71">
        <f t="shared" si="24"/>
        <v>0</v>
      </c>
      <c r="BZ22" s="68"/>
      <c r="CA22" s="68"/>
      <c r="CB22" s="71">
        <f t="shared" si="25"/>
        <v>0</v>
      </c>
      <c r="CC22" s="68"/>
      <c r="CD22" s="68"/>
      <c r="CE22" s="71">
        <f t="shared" si="26"/>
        <v>0</v>
      </c>
      <c r="CF22" s="68"/>
      <c r="CG22" s="68"/>
      <c r="CH22" s="71">
        <f t="shared" si="27"/>
        <v>0</v>
      </c>
      <c r="CI22" s="68"/>
      <c r="CJ22" s="68"/>
      <c r="CK22" s="71">
        <f t="shared" si="28"/>
        <v>0</v>
      </c>
      <c r="CL22" s="68"/>
      <c r="CM22" s="68"/>
      <c r="CN22" s="71">
        <f t="shared" si="29"/>
        <v>0</v>
      </c>
      <c r="CO22" s="68"/>
      <c r="CP22" s="68"/>
      <c r="CQ22" s="71">
        <f t="shared" si="30"/>
        <v>0</v>
      </c>
      <c r="CR22" s="68"/>
      <c r="CS22" s="68"/>
      <c r="CT22" s="71">
        <f t="shared" si="31"/>
        <v>0</v>
      </c>
      <c r="CU22" s="68"/>
      <c r="CV22" s="68"/>
      <c r="CW22" s="71">
        <f t="shared" si="32"/>
        <v>0</v>
      </c>
      <c r="CX22" s="68"/>
      <c r="CY22" s="68"/>
      <c r="CZ22" s="71">
        <f t="shared" si="33"/>
        <v>0</v>
      </c>
      <c r="DA22" s="68"/>
      <c r="DB22" s="68"/>
      <c r="DC22" s="71">
        <f t="shared" si="34"/>
        <v>0</v>
      </c>
      <c r="DD22" s="68"/>
      <c r="DE22" s="68"/>
      <c r="DF22" s="71">
        <f t="shared" si="35"/>
        <v>0</v>
      </c>
      <c r="DG22" s="68"/>
      <c r="DH22" s="68"/>
      <c r="DI22" s="71">
        <f t="shared" si="36"/>
        <v>0</v>
      </c>
      <c r="DJ22" s="68"/>
      <c r="DK22" s="68"/>
      <c r="DL22" s="71">
        <f t="shared" si="37"/>
        <v>0</v>
      </c>
      <c r="DM22" s="68"/>
      <c r="DN22" s="68"/>
      <c r="DO22" s="71">
        <f t="shared" si="38"/>
        <v>0</v>
      </c>
      <c r="DP22" s="68"/>
      <c r="DQ22" s="68"/>
      <c r="DR22" s="71">
        <f t="shared" si="61"/>
        <v>0</v>
      </c>
      <c r="DS22" s="68"/>
      <c r="DT22" s="68"/>
      <c r="DU22" s="71">
        <f t="shared" si="62"/>
        <v>0</v>
      </c>
      <c r="DV22" s="68"/>
      <c r="DW22" s="68"/>
      <c r="DX22" s="71">
        <f t="shared" si="41"/>
        <v>0</v>
      </c>
      <c r="DY22" s="68"/>
      <c r="DZ22" s="68"/>
      <c r="EA22" s="71">
        <f t="shared" si="63"/>
        <v>0</v>
      </c>
      <c r="EB22" s="68"/>
      <c r="EC22" s="68"/>
      <c r="ED22" s="71">
        <f t="shared" si="43"/>
        <v>0</v>
      </c>
      <c r="EE22" s="68"/>
      <c r="EF22" s="68"/>
      <c r="EG22" s="71">
        <f t="shared" si="44"/>
        <v>0</v>
      </c>
      <c r="EH22" s="68"/>
      <c r="EI22" s="68"/>
      <c r="EJ22" s="71">
        <f t="shared" si="45"/>
        <v>0</v>
      </c>
      <c r="EK22" s="68"/>
      <c r="EL22" s="68"/>
      <c r="EM22" s="71">
        <f t="shared" si="46"/>
        <v>0</v>
      </c>
      <c r="EN22" s="68"/>
      <c r="EO22" s="68"/>
      <c r="EP22" s="71">
        <f t="shared" si="47"/>
        <v>0</v>
      </c>
      <c r="EQ22" s="71">
        <f t="shared" si="48"/>
        <v>160000</v>
      </c>
      <c r="ER22" s="71">
        <f t="shared" si="49"/>
        <v>132546</v>
      </c>
      <c r="ES22" s="71">
        <f t="shared" si="50"/>
        <v>-27454</v>
      </c>
      <c r="ET22" s="68">
        <f t="shared" si="57"/>
        <v>-114923</v>
      </c>
      <c r="EU22" s="73"/>
      <c r="EV22" s="71">
        <f t="shared" si="54"/>
        <v>65000</v>
      </c>
      <c r="EW22" s="71">
        <f t="shared" si="51"/>
        <v>45359</v>
      </c>
      <c r="EX22" s="68">
        <f t="shared" si="55"/>
        <v>-19641</v>
      </c>
      <c r="EY22" s="68">
        <f t="shared" si="58"/>
        <v>-54176</v>
      </c>
      <c r="EZ22" s="73"/>
      <c r="FA22" s="68">
        <f t="shared" si="56"/>
        <v>-7813</v>
      </c>
      <c r="FB22" s="68">
        <f t="shared" si="59"/>
        <v>-60747</v>
      </c>
      <c r="FC22" s="73"/>
      <c r="FD22" s="73"/>
      <c r="FE22" s="73"/>
      <c r="FF22" s="73"/>
      <c r="FG22" s="73"/>
      <c r="FH22" s="73"/>
      <c r="FI22" s="73"/>
    </row>
    <row r="23" spans="1:165" x14ac:dyDescent="0.25">
      <c r="A23" s="67">
        <f>+BaseloadMarkets!A23</f>
        <v>36695</v>
      </c>
      <c r="B23" s="67" t="str">
        <f>+BaseloadMarkets!B23</f>
        <v>Sun</v>
      </c>
      <c r="C23" s="68">
        <f t="shared" si="52"/>
        <v>10000</v>
      </c>
      <c r="D23" s="68">
        <f t="shared" si="52"/>
        <v>10000</v>
      </c>
      <c r="E23" s="71">
        <f t="shared" si="0"/>
        <v>0</v>
      </c>
      <c r="F23" s="68">
        <v>10000</v>
      </c>
      <c r="G23" s="68">
        <v>8045</v>
      </c>
      <c r="H23" s="71">
        <f t="shared" si="1"/>
        <v>-1955</v>
      </c>
      <c r="I23" s="68">
        <v>10000</v>
      </c>
      <c r="J23" s="68">
        <v>8045</v>
      </c>
      <c r="K23" s="71">
        <f t="shared" si="2"/>
        <v>-1955</v>
      </c>
      <c r="L23" s="68">
        <f t="shared" si="53"/>
        <v>10000</v>
      </c>
      <c r="M23" s="68">
        <f t="shared" si="53"/>
        <v>10000</v>
      </c>
      <c r="N23" s="71">
        <f t="shared" si="3"/>
        <v>0</v>
      </c>
      <c r="O23" s="68">
        <v>5000</v>
      </c>
      <c r="P23" s="68">
        <v>4023</v>
      </c>
      <c r="Q23" s="71">
        <f t="shared" si="4"/>
        <v>-977</v>
      </c>
      <c r="R23" s="68">
        <v>5000</v>
      </c>
      <c r="S23" s="68">
        <v>5000</v>
      </c>
      <c r="T23" s="71">
        <f t="shared" si="5"/>
        <v>0</v>
      </c>
      <c r="U23" s="68">
        <v>5000</v>
      </c>
      <c r="V23" s="68">
        <v>5000</v>
      </c>
      <c r="W23" s="71">
        <f t="shared" si="6"/>
        <v>0</v>
      </c>
      <c r="X23" s="68">
        <v>10000</v>
      </c>
      <c r="Y23" s="68">
        <v>10000</v>
      </c>
      <c r="Z23" s="71">
        <f t="shared" si="7"/>
        <v>0</v>
      </c>
      <c r="AA23" s="68"/>
      <c r="AB23" s="68"/>
      <c r="AC23" s="71">
        <f t="shared" si="8"/>
        <v>0</v>
      </c>
      <c r="AD23" s="68"/>
      <c r="AE23" s="68"/>
      <c r="AF23" s="71">
        <f t="shared" si="9"/>
        <v>0</v>
      </c>
      <c r="AG23" s="68">
        <v>95000</v>
      </c>
      <c r="AH23" s="68">
        <v>90871</v>
      </c>
      <c r="AI23" s="71">
        <f t="shared" si="10"/>
        <v>-4129</v>
      </c>
      <c r="AJ23" s="68"/>
      <c r="AK23" s="68"/>
      <c r="AL23" s="71">
        <f t="shared" si="11"/>
        <v>0</v>
      </c>
      <c r="AM23" s="68"/>
      <c r="AN23" s="68"/>
      <c r="AO23" s="71">
        <f t="shared" si="12"/>
        <v>0</v>
      </c>
      <c r="AP23" s="68"/>
      <c r="AQ23" s="68"/>
      <c r="AR23" s="71">
        <f t="shared" si="13"/>
        <v>0</v>
      </c>
      <c r="AS23" s="68"/>
      <c r="AT23" s="68"/>
      <c r="AU23" s="71">
        <f t="shared" si="14"/>
        <v>0</v>
      </c>
      <c r="AV23" s="68"/>
      <c r="AW23" s="68"/>
      <c r="AX23" s="71">
        <f t="shared" si="15"/>
        <v>0</v>
      </c>
      <c r="AY23" s="68"/>
      <c r="AZ23" s="68"/>
      <c r="BA23" s="71">
        <f t="shared" si="16"/>
        <v>0</v>
      </c>
      <c r="BB23" s="68"/>
      <c r="BC23" s="68"/>
      <c r="BD23" s="71">
        <f t="shared" si="17"/>
        <v>0</v>
      </c>
      <c r="BE23" s="68"/>
      <c r="BF23" s="68"/>
      <c r="BG23" s="71">
        <f t="shared" si="18"/>
        <v>0</v>
      </c>
      <c r="BH23" s="68"/>
      <c r="BI23" s="68"/>
      <c r="BJ23" s="71">
        <f t="shared" si="19"/>
        <v>0</v>
      </c>
      <c r="BK23" s="68"/>
      <c r="BL23" s="68"/>
      <c r="BM23" s="71">
        <f t="shared" si="20"/>
        <v>0</v>
      </c>
      <c r="BN23" s="68"/>
      <c r="BO23" s="68"/>
      <c r="BP23" s="71">
        <f t="shared" si="60"/>
        <v>0</v>
      </c>
      <c r="BQ23" s="68"/>
      <c r="BR23" s="68"/>
      <c r="BS23" s="71">
        <f t="shared" si="22"/>
        <v>0</v>
      </c>
      <c r="BT23" s="68"/>
      <c r="BU23" s="68"/>
      <c r="BV23" s="71">
        <f t="shared" si="23"/>
        <v>0</v>
      </c>
      <c r="BW23" s="68"/>
      <c r="BX23" s="68"/>
      <c r="BY23" s="71">
        <f t="shared" si="24"/>
        <v>0</v>
      </c>
      <c r="BZ23" s="68"/>
      <c r="CA23" s="68"/>
      <c r="CB23" s="71">
        <f t="shared" si="25"/>
        <v>0</v>
      </c>
      <c r="CC23" s="68"/>
      <c r="CD23" s="68"/>
      <c r="CE23" s="71">
        <f t="shared" si="26"/>
        <v>0</v>
      </c>
      <c r="CF23" s="68"/>
      <c r="CG23" s="68"/>
      <c r="CH23" s="71">
        <f t="shared" si="27"/>
        <v>0</v>
      </c>
      <c r="CI23" s="68"/>
      <c r="CJ23" s="68"/>
      <c r="CK23" s="71">
        <f t="shared" si="28"/>
        <v>0</v>
      </c>
      <c r="CL23" s="68"/>
      <c r="CM23" s="68"/>
      <c r="CN23" s="71">
        <f t="shared" si="29"/>
        <v>0</v>
      </c>
      <c r="CO23" s="68"/>
      <c r="CP23" s="68"/>
      <c r="CQ23" s="71">
        <f t="shared" si="30"/>
        <v>0</v>
      </c>
      <c r="CR23" s="68"/>
      <c r="CS23" s="68"/>
      <c r="CT23" s="71">
        <f t="shared" si="31"/>
        <v>0</v>
      </c>
      <c r="CU23" s="68"/>
      <c r="CV23" s="68"/>
      <c r="CW23" s="71">
        <f t="shared" si="32"/>
        <v>0</v>
      </c>
      <c r="CX23" s="68"/>
      <c r="CY23" s="68"/>
      <c r="CZ23" s="71">
        <f t="shared" si="33"/>
        <v>0</v>
      </c>
      <c r="DA23" s="68"/>
      <c r="DB23" s="68"/>
      <c r="DC23" s="71">
        <f t="shared" si="34"/>
        <v>0</v>
      </c>
      <c r="DD23" s="68"/>
      <c r="DE23" s="68"/>
      <c r="DF23" s="71">
        <f t="shared" si="35"/>
        <v>0</v>
      </c>
      <c r="DG23" s="68"/>
      <c r="DH23" s="68"/>
      <c r="DI23" s="71">
        <f t="shared" si="36"/>
        <v>0</v>
      </c>
      <c r="DJ23" s="68"/>
      <c r="DK23" s="68"/>
      <c r="DL23" s="71">
        <f t="shared" si="37"/>
        <v>0</v>
      </c>
      <c r="DM23" s="68"/>
      <c r="DN23" s="68"/>
      <c r="DO23" s="71">
        <f t="shared" si="38"/>
        <v>0</v>
      </c>
      <c r="DP23" s="68"/>
      <c r="DQ23" s="68"/>
      <c r="DR23" s="71">
        <f t="shared" si="61"/>
        <v>0</v>
      </c>
      <c r="DS23" s="68"/>
      <c r="DT23" s="68"/>
      <c r="DU23" s="71">
        <f t="shared" si="62"/>
        <v>0</v>
      </c>
      <c r="DV23" s="68"/>
      <c r="DW23" s="68"/>
      <c r="DX23" s="71">
        <f t="shared" si="41"/>
        <v>0</v>
      </c>
      <c r="DY23" s="68"/>
      <c r="DZ23" s="68"/>
      <c r="EA23" s="71">
        <f t="shared" si="63"/>
        <v>0</v>
      </c>
      <c r="EB23" s="68"/>
      <c r="EC23" s="68"/>
      <c r="ED23" s="71">
        <f t="shared" si="43"/>
        <v>0</v>
      </c>
      <c r="EE23" s="68"/>
      <c r="EF23" s="68"/>
      <c r="EG23" s="71">
        <f t="shared" si="44"/>
        <v>0</v>
      </c>
      <c r="EH23" s="68"/>
      <c r="EI23" s="68"/>
      <c r="EJ23" s="71">
        <f t="shared" si="45"/>
        <v>0</v>
      </c>
      <c r="EK23" s="68"/>
      <c r="EL23" s="68"/>
      <c r="EM23" s="71">
        <f t="shared" si="46"/>
        <v>0</v>
      </c>
      <c r="EN23" s="68"/>
      <c r="EO23" s="68"/>
      <c r="EP23" s="71">
        <f t="shared" si="47"/>
        <v>0</v>
      </c>
      <c r="EQ23" s="71">
        <f t="shared" si="48"/>
        <v>160000</v>
      </c>
      <c r="ER23" s="71">
        <f t="shared" si="49"/>
        <v>150984</v>
      </c>
      <c r="ES23" s="71">
        <f t="shared" si="50"/>
        <v>-9016</v>
      </c>
      <c r="ET23" s="68">
        <f t="shared" si="57"/>
        <v>-123939</v>
      </c>
      <c r="EU23" s="73"/>
      <c r="EV23" s="71">
        <f t="shared" si="54"/>
        <v>65000</v>
      </c>
      <c r="EW23" s="71">
        <f t="shared" si="51"/>
        <v>60113</v>
      </c>
      <c r="EX23" s="68">
        <f t="shared" si="55"/>
        <v>-4887</v>
      </c>
      <c r="EY23" s="68">
        <f t="shared" si="58"/>
        <v>-59063</v>
      </c>
      <c r="EZ23" s="73"/>
      <c r="FA23" s="68">
        <f t="shared" si="56"/>
        <v>-4129</v>
      </c>
      <c r="FB23" s="68">
        <f t="shared" si="59"/>
        <v>-64876</v>
      </c>
      <c r="FC23" s="73"/>
      <c r="FD23" s="73"/>
      <c r="FE23" s="73"/>
      <c r="FF23" s="73"/>
      <c r="FG23" s="73"/>
      <c r="FH23" s="73"/>
      <c r="FI23" s="73"/>
    </row>
    <row r="24" spans="1:165" x14ac:dyDescent="0.25">
      <c r="A24" s="67">
        <f>+BaseloadMarkets!A24</f>
        <v>36696</v>
      </c>
      <c r="B24" s="67" t="str">
        <f>+BaseloadMarkets!B24</f>
        <v>Mon</v>
      </c>
      <c r="C24" s="68">
        <f t="shared" si="52"/>
        <v>10000</v>
      </c>
      <c r="D24" s="68">
        <f t="shared" si="52"/>
        <v>10000</v>
      </c>
      <c r="E24" s="71">
        <f t="shared" si="0"/>
        <v>0</v>
      </c>
      <c r="F24" s="68">
        <v>10000</v>
      </c>
      <c r="G24" s="68">
        <v>8855</v>
      </c>
      <c r="H24" s="71">
        <f t="shared" si="1"/>
        <v>-1145</v>
      </c>
      <c r="I24" s="68">
        <v>10000</v>
      </c>
      <c r="J24" s="68">
        <v>8855</v>
      </c>
      <c r="K24" s="71">
        <f t="shared" si="2"/>
        <v>-1145</v>
      </c>
      <c r="L24" s="68">
        <f t="shared" si="53"/>
        <v>10000</v>
      </c>
      <c r="M24" s="68">
        <f t="shared" si="53"/>
        <v>10000</v>
      </c>
      <c r="N24" s="71">
        <f t="shared" si="3"/>
        <v>0</v>
      </c>
      <c r="O24" s="68">
        <v>5000</v>
      </c>
      <c r="P24" s="68">
        <v>4427</v>
      </c>
      <c r="Q24" s="71">
        <f t="shared" si="4"/>
        <v>-573</v>
      </c>
      <c r="R24" s="68">
        <v>5000</v>
      </c>
      <c r="S24" s="68">
        <v>5000</v>
      </c>
      <c r="T24" s="71">
        <f t="shared" si="5"/>
        <v>0</v>
      </c>
      <c r="U24" s="68">
        <v>5000</v>
      </c>
      <c r="V24" s="68">
        <v>5000</v>
      </c>
      <c r="W24" s="71">
        <f t="shared" si="6"/>
        <v>0</v>
      </c>
      <c r="X24" s="68">
        <v>10000</v>
      </c>
      <c r="Y24" s="68">
        <v>10000</v>
      </c>
      <c r="Z24" s="71">
        <f t="shared" si="7"/>
        <v>0</v>
      </c>
      <c r="AA24" s="68"/>
      <c r="AB24" s="68"/>
      <c r="AC24" s="71">
        <f t="shared" si="8"/>
        <v>0</v>
      </c>
      <c r="AD24" s="68"/>
      <c r="AE24" s="68"/>
      <c r="AF24" s="71">
        <f t="shared" si="9"/>
        <v>0</v>
      </c>
      <c r="AG24" s="68">
        <v>95000</v>
      </c>
      <c r="AH24" s="68">
        <f>95000-5000+4428-10000+5128-5000+4897</f>
        <v>89453</v>
      </c>
      <c r="AI24" s="71">
        <f t="shared" si="10"/>
        <v>-5547</v>
      </c>
      <c r="AJ24" s="68"/>
      <c r="AK24" s="68"/>
      <c r="AL24" s="71">
        <f t="shared" si="11"/>
        <v>0</v>
      </c>
      <c r="AM24" s="68"/>
      <c r="AN24" s="68"/>
      <c r="AO24" s="71">
        <f t="shared" si="12"/>
        <v>0</v>
      </c>
      <c r="AP24" s="68"/>
      <c r="AQ24" s="68"/>
      <c r="AR24" s="71">
        <f t="shared" si="13"/>
        <v>0</v>
      </c>
      <c r="AS24" s="68"/>
      <c r="AT24" s="68"/>
      <c r="AU24" s="71">
        <f t="shared" si="14"/>
        <v>0</v>
      </c>
      <c r="AV24" s="68"/>
      <c r="AW24" s="68"/>
      <c r="AX24" s="71">
        <f t="shared" si="15"/>
        <v>0</v>
      </c>
      <c r="AY24" s="68"/>
      <c r="AZ24" s="68"/>
      <c r="BA24" s="71">
        <f t="shared" si="16"/>
        <v>0</v>
      </c>
      <c r="BB24" s="68"/>
      <c r="BC24" s="68"/>
      <c r="BD24" s="71">
        <f t="shared" si="17"/>
        <v>0</v>
      </c>
      <c r="BE24" s="68"/>
      <c r="BF24" s="68"/>
      <c r="BG24" s="71">
        <f t="shared" si="18"/>
        <v>0</v>
      </c>
      <c r="BH24" s="68"/>
      <c r="BI24" s="68"/>
      <c r="BJ24" s="71">
        <f t="shared" si="19"/>
        <v>0</v>
      </c>
      <c r="BK24" s="68"/>
      <c r="BL24" s="68"/>
      <c r="BM24" s="71">
        <f t="shared" si="20"/>
        <v>0</v>
      </c>
      <c r="BN24" s="68"/>
      <c r="BO24" s="68"/>
      <c r="BP24" s="71">
        <f t="shared" si="60"/>
        <v>0</v>
      </c>
      <c r="BQ24" s="68"/>
      <c r="BR24" s="68"/>
      <c r="BS24" s="71">
        <f t="shared" si="22"/>
        <v>0</v>
      </c>
      <c r="BT24" s="68"/>
      <c r="BU24" s="68"/>
      <c r="BV24" s="71">
        <f t="shared" si="23"/>
        <v>0</v>
      </c>
      <c r="BW24" s="68"/>
      <c r="BX24" s="68"/>
      <c r="BY24" s="71">
        <f t="shared" si="24"/>
        <v>0</v>
      </c>
      <c r="BZ24" s="68"/>
      <c r="CA24" s="68"/>
      <c r="CB24" s="71">
        <f t="shared" si="25"/>
        <v>0</v>
      </c>
      <c r="CC24" s="68"/>
      <c r="CD24" s="68"/>
      <c r="CE24" s="71">
        <f t="shared" si="26"/>
        <v>0</v>
      </c>
      <c r="CF24" s="68"/>
      <c r="CG24" s="68"/>
      <c r="CH24" s="71">
        <f t="shared" si="27"/>
        <v>0</v>
      </c>
      <c r="CI24" s="68"/>
      <c r="CJ24" s="68"/>
      <c r="CK24" s="71">
        <f t="shared" si="28"/>
        <v>0</v>
      </c>
      <c r="CL24" s="68"/>
      <c r="CM24" s="68"/>
      <c r="CN24" s="71">
        <f t="shared" si="29"/>
        <v>0</v>
      </c>
      <c r="CO24" s="68"/>
      <c r="CP24" s="68"/>
      <c r="CQ24" s="71">
        <f t="shared" si="30"/>
        <v>0</v>
      </c>
      <c r="CR24" s="68"/>
      <c r="CS24" s="68"/>
      <c r="CT24" s="71">
        <f t="shared" si="31"/>
        <v>0</v>
      </c>
      <c r="CU24" s="68"/>
      <c r="CV24" s="68"/>
      <c r="CW24" s="71">
        <f t="shared" si="32"/>
        <v>0</v>
      </c>
      <c r="CX24" s="68"/>
      <c r="CY24" s="68"/>
      <c r="CZ24" s="71">
        <f t="shared" si="33"/>
        <v>0</v>
      </c>
      <c r="DA24" s="68"/>
      <c r="DB24" s="68"/>
      <c r="DC24" s="71">
        <f t="shared" si="34"/>
        <v>0</v>
      </c>
      <c r="DD24" s="68"/>
      <c r="DE24" s="68"/>
      <c r="DF24" s="71">
        <f t="shared" si="35"/>
        <v>0</v>
      </c>
      <c r="DG24" s="68"/>
      <c r="DH24" s="68"/>
      <c r="DI24" s="71">
        <f t="shared" si="36"/>
        <v>0</v>
      </c>
      <c r="DJ24" s="68"/>
      <c r="DK24" s="68"/>
      <c r="DL24" s="71">
        <f t="shared" si="37"/>
        <v>0</v>
      </c>
      <c r="DM24" s="68"/>
      <c r="DN24" s="68"/>
      <c r="DO24" s="71">
        <f t="shared" si="38"/>
        <v>0</v>
      </c>
      <c r="DP24" s="68"/>
      <c r="DQ24" s="68"/>
      <c r="DR24" s="71">
        <f t="shared" si="61"/>
        <v>0</v>
      </c>
      <c r="DS24" s="68"/>
      <c r="DT24" s="68"/>
      <c r="DU24" s="71">
        <f t="shared" si="62"/>
        <v>0</v>
      </c>
      <c r="DV24" s="68"/>
      <c r="DW24" s="68"/>
      <c r="DX24" s="71">
        <f t="shared" si="41"/>
        <v>0</v>
      </c>
      <c r="DY24" s="68"/>
      <c r="DZ24" s="68"/>
      <c r="EA24" s="71">
        <f t="shared" si="63"/>
        <v>0</v>
      </c>
      <c r="EB24" s="68"/>
      <c r="EC24" s="68"/>
      <c r="ED24" s="71">
        <f t="shared" si="43"/>
        <v>0</v>
      </c>
      <c r="EE24" s="68"/>
      <c r="EF24" s="68"/>
      <c r="EG24" s="71">
        <f t="shared" si="44"/>
        <v>0</v>
      </c>
      <c r="EH24" s="68"/>
      <c r="EI24" s="68"/>
      <c r="EJ24" s="71">
        <f t="shared" si="45"/>
        <v>0</v>
      </c>
      <c r="EK24" s="68"/>
      <c r="EL24" s="68"/>
      <c r="EM24" s="71">
        <f t="shared" si="46"/>
        <v>0</v>
      </c>
      <c r="EN24" s="68"/>
      <c r="EO24" s="68"/>
      <c r="EP24" s="71">
        <f t="shared" si="47"/>
        <v>0</v>
      </c>
      <c r="EQ24" s="71">
        <f t="shared" si="48"/>
        <v>160000</v>
      </c>
      <c r="ER24" s="71">
        <f t="shared" si="49"/>
        <v>151590</v>
      </c>
      <c r="ES24" s="71">
        <f t="shared" si="50"/>
        <v>-8410</v>
      </c>
      <c r="ET24" s="68">
        <f t="shared" si="57"/>
        <v>-132349</v>
      </c>
      <c r="EU24" s="73"/>
      <c r="EV24" s="71">
        <f t="shared" si="54"/>
        <v>65000</v>
      </c>
      <c r="EW24" s="71">
        <f t="shared" si="51"/>
        <v>62137</v>
      </c>
      <c r="EX24" s="68">
        <f t="shared" si="55"/>
        <v>-2863</v>
      </c>
      <c r="EY24" s="68">
        <f t="shared" si="58"/>
        <v>-61926</v>
      </c>
      <c r="EZ24" s="73"/>
      <c r="FA24" s="68">
        <f t="shared" si="56"/>
        <v>-5547</v>
      </c>
      <c r="FB24" s="68">
        <f t="shared" si="59"/>
        <v>-70423</v>
      </c>
      <c r="FC24" s="73"/>
      <c r="FD24" s="73"/>
      <c r="FE24" s="73"/>
      <c r="FF24" s="73"/>
      <c r="FG24" s="73"/>
      <c r="FH24" s="73"/>
      <c r="FI24" s="73"/>
    </row>
    <row r="25" spans="1:165" x14ac:dyDescent="0.25">
      <c r="A25" s="67">
        <f>+BaseloadMarkets!A25</f>
        <v>36697</v>
      </c>
      <c r="B25" s="67" t="str">
        <f>+BaseloadMarkets!B25</f>
        <v>Tues</v>
      </c>
      <c r="C25" s="68">
        <f t="shared" si="52"/>
        <v>10000</v>
      </c>
      <c r="D25" s="68">
        <f t="shared" si="52"/>
        <v>10000</v>
      </c>
      <c r="E25" s="71">
        <f t="shared" si="0"/>
        <v>0</v>
      </c>
      <c r="F25" s="68">
        <v>10000</v>
      </c>
      <c r="G25" s="68">
        <v>10000</v>
      </c>
      <c r="H25" s="71">
        <f t="shared" si="1"/>
        <v>0</v>
      </c>
      <c r="I25" s="68">
        <v>10000</v>
      </c>
      <c r="J25" s="68">
        <v>10000</v>
      </c>
      <c r="K25" s="71">
        <f t="shared" si="2"/>
        <v>0</v>
      </c>
      <c r="L25" s="68">
        <f t="shared" si="53"/>
        <v>10000</v>
      </c>
      <c r="M25" s="68">
        <f t="shared" si="53"/>
        <v>10000</v>
      </c>
      <c r="N25" s="71">
        <f t="shared" si="3"/>
        <v>0</v>
      </c>
      <c r="O25" s="68">
        <v>5000</v>
      </c>
      <c r="P25" s="68">
        <v>5000</v>
      </c>
      <c r="Q25" s="71">
        <f t="shared" si="4"/>
        <v>0</v>
      </c>
      <c r="R25" s="68">
        <v>5000</v>
      </c>
      <c r="S25" s="68">
        <v>5000</v>
      </c>
      <c r="T25" s="71">
        <f t="shared" si="5"/>
        <v>0</v>
      </c>
      <c r="U25" s="68">
        <v>5000</v>
      </c>
      <c r="V25" s="68">
        <v>5000</v>
      </c>
      <c r="W25" s="71">
        <f t="shared" si="6"/>
        <v>0</v>
      </c>
      <c r="X25" s="68">
        <v>10000</v>
      </c>
      <c r="Y25" s="68">
        <v>10000</v>
      </c>
      <c r="Z25" s="71">
        <f t="shared" si="7"/>
        <v>0</v>
      </c>
      <c r="AA25" s="68"/>
      <c r="AB25" s="68"/>
      <c r="AC25" s="71">
        <f t="shared" si="8"/>
        <v>0</v>
      </c>
      <c r="AD25" s="68"/>
      <c r="AE25" s="68"/>
      <c r="AF25" s="71">
        <f t="shared" si="9"/>
        <v>0</v>
      </c>
      <c r="AG25" s="68">
        <v>250000</v>
      </c>
      <c r="AH25" s="68">
        <v>250000</v>
      </c>
      <c r="AI25" s="71">
        <f t="shared" si="10"/>
        <v>0</v>
      </c>
      <c r="AJ25" s="68"/>
      <c r="AK25" s="68"/>
      <c r="AL25" s="71">
        <f t="shared" si="11"/>
        <v>0</v>
      </c>
      <c r="AM25" s="68"/>
      <c r="AN25" s="68"/>
      <c r="AO25" s="71">
        <f t="shared" si="12"/>
        <v>0</v>
      </c>
      <c r="AP25" s="68"/>
      <c r="AQ25" s="68"/>
      <c r="AR25" s="71">
        <f t="shared" si="13"/>
        <v>0</v>
      </c>
      <c r="AS25" s="68"/>
      <c r="AT25" s="68"/>
      <c r="AU25" s="71">
        <f t="shared" si="14"/>
        <v>0</v>
      </c>
      <c r="AV25" s="68"/>
      <c r="AW25" s="68"/>
      <c r="AX25" s="71">
        <f t="shared" si="15"/>
        <v>0</v>
      </c>
      <c r="AY25" s="68"/>
      <c r="AZ25" s="68"/>
      <c r="BA25" s="71">
        <f t="shared" si="16"/>
        <v>0</v>
      </c>
      <c r="BB25" s="68"/>
      <c r="BC25" s="68"/>
      <c r="BD25" s="71">
        <f t="shared" si="17"/>
        <v>0</v>
      </c>
      <c r="BE25" s="68"/>
      <c r="BF25" s="68"/>
      <c r="BG25" s="71">
        <f t="shared" si="18"/>
        <v>0</v>
      </c>
      <c r="BH25" s="68"/>
      <c r="BI25" s="68"/>
      <c r="BJ25" s="71">
        <f t="shared" si="19"/>
        <v>0</v>
      </c>
      <c r="BK25" s="68"/>
      <c r="BL25" s="68"/>
      <c r="BM25" s="71">
        <f t="shared" si="20"/>
        <v>0</v>
      </c>
      <c r="BN25" s="68"/>
      <c r="BO25" s="68"/>
      <c r="BP25" s="71">
        <f t="shared" si="60"/>
        <v>0</v>
      </c>
      <c r="BQ25" s="68"/>
      <c r="BR25" s="68"/>
      <c r="BS25" s="71">
        <f t="shared" si="22"/>
        <v>0</v>
      </c>
      <c r="BT25" s="68"/>
      <c r="BU25" s="68"/>
      <c r="BV25" s="71">
        <f t="shared" si="23"/>
        <v>0</v>
      </c>
      <c r="BW25" s="68"/>
      <c r="BX25" s="68"/>
      <c r="BY25" s="71">
        <f t="shared" si="24"/>
        <v>0</v>
      </c>
      <c r="BZ25" s="68"/>
      <c r="CA25" s="68"/>
      <c r="CB25" s="71">
        <f t="shared" si="25"/>
        <v>0</v>
      </c>
      <c r="CC25" s="68"/>
      <c r="CD25" s="68"/>
      <c r="CE25" s="71">
        <f t="shared" si="26"/>
        <v>0</v>
      </c>
      <c r="CF25" s="68"/>
      <c r="CG25" s="68"/>
      <c r="CH25" s="71">
        <f t="shared" si="27"/>
        <v>0</v>
      </c>
      <c r="CI25" s="68"/>
      <c r="CJ25" s="68"/>
      <c r="CK25" s="71">
        <f t="shared" si="28"/>
        <v>0</v>
      </c>
      <c r="CL25" s="68"/>
      <c r="CM25" s="68"/>
      <c r="CN25" s="71">
        <f t="shared" si="29"/>
        <v>0</v>
      </c>
      <c r="CO25" s="68"/>
      <c r="CP25" s="68"/>
      <c r="CQ25" s="71">
        <f t="shared" si="30"/>
        <v>0</v>
      </c>
      <c r="CR25" s="68"/>
      <c r="CS25" s="68"/>
      <c r="CT25" s="71">
        <f t="shared" si="31"/>
        <v>0</v>
      </c>
      <c r="CU25" s="68"/>
      <c r="CV25" s="68"/>
      <c r="CW25" s="71">
        <f t="shared" si="32"/>
        <v>0</v>
      </c>
      <c r="CX25" s="68"/>
      <c r="CY25" s="68"/>
      <c r="CZ25" s="71">
        <f t="shared" si="33"/>
        <v>0</v>
      </c>
      <c r="DA25" s="68"/>
      <c r="DB25" s="68"/>
      <c r="DC25" s="71">
        <f t="shared" si="34"/>
        <v>0</v>
      </c>
      <c r="DD25" s="68"/>
      <c r="DE25" s="68"/>
      <c r="DF25" s="71">
        <f t="shared" si="35"/>
        <v>0</v>
      </c>
      <c r="DG25" s="68"/>
      <c r="DH25" s="68"/>
      <c r="DI25" s="71">
        <f t="shared" si="36"/>
        <v>0</v>
      </c>
      <c r="DJ25" s="68"/>
      <c r="DK25" s="68"/>
      <c r="DL25" s="71">
        <f t="shared" si="37"/>
        <v>0</v>
      </c>
      <c r="DM25" s="68"/>
      <c r="DN25" s="68"/>
      <c r="DO25" s="71">
        <f t="shared" si="38"/>
        <v>0</v>
      </c>
      <c r="DP25" s="68"/>
      <c r="DQ25" s="68"/>
      <c r="DR25" s="71">
        <f t="shared" si="61"/>
        <v>0</v>
      </c>
      <c r="DS25" s="68"/>
      <c r="DT25" s="68"/>
      <c r="DU25" s="71">
        <f t="shared" si="62"/>
        <v>0</v>
      </c>
      <c r="DV25" s="68"/>
      <c r="DW25" s="68"/>
      <c r="DX25" s="71">
        <f t="shared" si="41"/>
        <v>0</v>
      </c>
      <c r="DY25" s="68"/>
      <c r="DZ25" s="68"/>
      <c r="EA25" s="71">
        <f t="shared" si="63"/>
        <v>0</v>
      </c>
      <c r="EB25" s="68"/>
      <c r="EC25" s="68"/>
      <c r="ED25" s="71">
        <f t="shared" si="43"/>
        <v>0</v>
      </c>
      <c r="EE25" s="68"/>
      <c r="EF25" s="68"/>
      <c r="EG25" s="71">
        <f t="shared" si="44"/>
        <v>0</v>
      </c>
      <c r="EH25" s="68"/>
      <c r="EI25" s="68"/>
      <c r="EJ25" s="71">
        <f t="shared" si="45"/>
        <v>0</v>
      </c>
      <c r="EK25" s="68"/>
      <c r="EL25" s="68"/>
      <c r="EM25" s="71">
        <f t="shared" si="46"/>
        <v>0</v>
      </c>
      <c r="EN25" s="68"/>
      <c r="EO25" s="68"/>
      <c r="EP25" s="71">
        <f t="shared" si="47"/>
        <v>0</v>
      </c>
      <c r="EQ25" s="71">
        <f t="shared" si="48"/>
        <v>315000</v>
      </c>
      <c r="ER25" s="71">
        <f t="shared" si="49"/>
        <v>315000</v>
      </c>
      <c r="ES25" s="71">
        <f t="shared" si="50"/>
        <v>0</v>
      </c>
      <c r="ET25" s="68">
        <f t="shared" si="57"/>
        <v>-132349</v>
      </c>
      <c r="EU25" s="73"/>
      <c r="EV25" s="71">
        <f t="shared" si="54"/>
        <v>65000</v>
      </c>
      <c r="EW25" s="71">
        <f t="shared" si="51"/>
        <v>65000</v>
      </c>
      <c r="EX25" s="68">
        <f t="shared" si="55"/>
        <v>0</v>
      </c>
      <c r="EY25" s="68">
        <f t="shared" si="58"/>
        <v>-61926</v>
      </c>
      <c r="EZ25" s="73"/>
      <c r="FA25" s="68">
        <f t="shared" si="56"/>
        <v>0</v>
      </c>
      <c r="FB25" s="68">
        <f t="shared" si="59"/>
        <v>-70423</v>
      </c>
      <c r="FC25" s="73"/>
      <c r="FD25" s="73"/>
      <c r="FE25" s="73"/>
      <c r="FF25" s="73"/>
      <c r="FG25" s="73"/>
      <c r="FH25" s="73"/>
      <c r="FI25" s="73"/>
    </row>
    <row r="26" spans="1:165" x14ac:dyDescent="0.25">
      <c r="A26" s="67">
        <f>+BaseloadMarkets!A26</f>
        <v>36698</v>
      </c>
      <c r="B26" s="67" t="str">
        <f>+BaseloadMarkets!B26</f>
        <v>Wed</v>
      </c>
      <c r="C26" s="68">
        <f t="shared" si="52"/>
        <v>10000</v>
      </c>
      <c r="D26" s="68">
        <f t="shared" si="52"/>
        <v>10000</v>
      </c>
      <c r="E26" s="71">
        <f t="shared" si="0"/>
        <v>0</v>
      </c>
      <c r="F26" s="68">
        <v>10000</v>
      </c>
      <c r="G26" s="68">
        <v>10000</v>
      </c>
      <c r="H26" s="71">
        <f t="shared" si="1"/>
        <v>0</v>
      </c>
      <c r="I26" s="68">
        <v>10000</v>
      </c>
      <c r="J26" s="68">
        <v>10000</v>
      </c>
      <c r="K26" s="71">
        <f t="shared" si="2"/>
        <v>0</v>
      </c>
      <c r="L26" s="68">
        <f t="shared" si="53"/>
        <v>10000</v>
      </c>
      <c r="M26" s="68">
        <f t="shared" si="53"/>
        <v>10000</v>
      </c>
      <c r="N26" s="71">
        <f t="shared" si="3"/>
        <v>0</v>
      </c>
      <c r="O26" s="68">
        <v>5000</v>
      </c>
      <c r="P26" s="68">
        <v>5000</v>
      </c>
      <c r="Q26" s="71">
        <f t="shared" si="4"/>
        <v>0</v>
      </c>
      <c r="R26" s="68">
        <v>5000</v>
      </c>
      <c r="S26" s="68">
        <v>5000</v>
      </c>
      <c r="T26" s="71">
        <f t="shared" si="5"/>
        <v>0</v>
      </c>
      <c r="U26" s="68">
        <v>5000</v>
      </c>
      <c r="V26" s="68">
        <v>5000</v>
      </c>
      <c r="W26" s="71">
        <f t="shared" si="6"/>
        <v>0</v>
      </c>
      <c r="X26" s="68">
        <v>10000</v>
      </c>
      <c r="Y26" s="68">
        <v>10000</v>
      </c>
      <c r="Z26" s="71">
        <f t="shared" si="7"/>
        <v>0</v>
      </c>
      <c r="AA26" s="68"/>
      <c r="AB26" s="68"/>
      <c r="AC26" s="71">
        <f t="shared" si="8"/>
        <v>0</v>
      </c>
      <c r="AD26" s="68"/>
      <c r="AE26" s="68"/>
      <c r="AF26" s="71">
        <f t="shared" si="9"/>
        <v>0</v>
      </c>
      <c r="AG26" s="68">
        <v>150000</v>
      </c>
      <c r="AH26" s="68">
        <v>150000</v>
      </c>
      <c r="AI26" s="71">
        <f t="shared" si="10"/>
        <v>0</v>
      </c>
      <c r="AJ26" s="68"/>
      <c r="AK26" s="68"/>
      <c r="AL26" s="71">
        <f t="shared" si="11"/>
        <v>0</v>
      </c>
      <c r="AM26" s="68"/>
      <c r="AN26" s="68"/>
      <c r="AO26" s="71">
        <f t="shared" si="12"/>
        <v>0</v>
      </c>
      <c r="AP26" s="68"/>
      <c r="AQ26" s="68"/>
      <c r="AR26" s="71">
        <f t="shared" si="13"/>
        <v>0</v>
      </c>
      <c r="AS26" s="68"/>
      <c r="AT26" s="68"/>
      <c r="AU26" s="71">
        <f t="shared" si="14"/>
        <v>0</v>
      </c>
      <c r="AV26" s="68"/>
      <c r="AW26" s="68"/>
      <c r="AX26" s="71">
        <f t="shared" si="15"/>
        <v>0</v>
      </c>
      <c r="AY26" s="68"/>
      <c r="AZ26" s="68"/>
      <c r="BA26" s="71">
        <f t="shared" si="16"/>
        <v>0</v>
      </c>
      <c r="BB26" s="68"/>
      <c r="BC26" s="68"/>
      <c r="BD26" s="71">
        <f t="shared" si="17"/>
        <v>0</v>
      </c>
      <c r="BE26" s="68"/>
      <c r="BF26" s="68"/>
      <c r="BG26" s="71">
        <f t="shared" si="18"/>
        <v>0</v>
      </c>
      <c r="BH26" s="68"/>
      <c r="BI26" s="68"/>
      <c r="BJ26" s="71">
        <f t="shared" si="19"/>
        <v>0</v>
      </c>
      <c r="BK26" s="68"/>
      <c r="BL26" s="68"/>
      <c r="BM26" s="71">
        <f t="shared" si="20"/>
        <v>0</v>
      </c>
      <c r="BN26" s="68"/>
      <c r="BO26" s="68"/>
      <c r="BP26" s="71">
        <f t="shared" si="60"/>
        <v>0</v>
      </c>
      <c r="BQ26" s="68"/>
      <c r="BR26" s="68"/>
      <c r="BS26" s="71">
        <f t="shared" si="22"/>
        <v>0</v>
      </c>
      <c r="BT26" s="68"/>
      <c r="BU26" s="68"/>
      <c r="BV26" s="71">
        <f t="shared" si="23"/>
        <v>0</v>
      </c>
      <c r="BW26" s="68"/>
      <c r="BX26" s="68"/>
      <c r="BY26" s="71">
        <f t="shared" si="24"/>
        <v>0</v>
      </c>
      <c r="BZ26" s="68"/>
      <c r="CA26" s="68"/>
      <c r="CB26" s="71">
        <f t="shared" si="25"/>
        <v>0</v>
      </c>
      <c r="CC26" s="68"/>
      <c r="CD26" s="68"/>
      <c r="CE26" s="71">
        <f t="shared" si="26"/>
        <v>0</v>
      </c>
      <c r="CF26" s="68"/>
      <c r="CG26" s="68"/>
      <c r="CH26" s="71">
        <f t="shared" si="27"/>
        <v>0</v>
      </c>
      <c r="CI26" s="68"/>
      <c r="CJ26" s="68"/>
      <c r="CK26" s="71">
        <f t="shared" si="28"/>
        <v>0</v>
      </c>
      <c r="CL26" s="68"/>
      <c r="CM26" s="68"/>
      <c r="CN26" s="71">
        <f t="shared" si="29"/>
        <v>0</v>
      </c>
      <c r="CO26" s="68"/>
      <c r="CP26" s="68"/>
      <c r="CQ26" s="71">
        <f t="shared" si="30"/>
        <v>0</v>
      </c>
      <c r="CR26" s="68"/>
      <c r="CS26" s="68"/>
      <c r="CT26" s="71">
        <f t="shared" si="31"/>
        <v>0</v>
      </c>
      <c r="CU26" s="68"/>
      <c r="CV26" s="68"/>
      <c r="CW26" s="71">
        <f t="shared" si="32"/>
        <v>0</v>
      </c>
      <c r="CX26" s="68"/>
      <c r="CY26" s="68"/>
      <c r="CZ26" s="71">
        <f t="shared" si="33"/>
        <v>0</v>
      </c>
      <c r="DA26" s="68"/>
      <c r="DB26" s="68"/>
      <c r="DC26" s="71">
        <f t="shared" si="34"/>
        <v>0</v>
      </c>
      <c r="DD26" s="68"/>
      <c r="DE26" s="68"/>
      <c r="DF26" s="71">
        <f t="shared" si="35"/>
        <v>0</v>
      </c>
      <c r="DG26" s="68"/>
      <c r="DH26" s="68"/>
      <c r="DI26" s="71">
        <f t="shared" si="36"/>
        <v>0</v>
      </c>
      <c r="DJ26" s="68"/>
      <c r="DK26" s="68"/>
      <c r="DL26" s="71">
        <f t="shared" si="37"/>
        <v>0</v>
      </c>
      <c r="DM26" s="68"/>
      <c r="DN26" s="68"/>
      <c r="DO26" s="71">
        <f t="shared" si="38"/>
        <v>0</v>
      </c>
      <c r="DP26" s="68"/>
      <c r="DQ26" s="68"/>
      <c r="DR26" s="71">
        <f t="shared" si="61"/>
        <v>0</v>
      </c>
      <c r="DS26" s="68"/>
      <c r="DT26" s="68"/>
      <c r="DU26" s="71">
        <f t="shared" si="62"/>
        <v>0</v>
      </c>
      <c r="DV26" s="68"/>
      <c r="DW26" s="68"/>
      <c r="DX26" s="71">
        <f t="shared" si="41"/>
        <v>0</v>
      </c>
      <c r="DY26" s="68"/>
      <c r="DZ26" s="68"/>
      <c r="EA26" s="71">
        <f t="shared" si="63"/>
        <v>0</v>
      </c>
      <c r="EB26" s="68"/>
      <c r="EC26" s="68"/>
      <c r="ED26" s="71">
        <f t="shared" si="43"/>
        <v>0</v>
      </c>
      <c r="EE26" s="68"/>
      <c r="EF26" s="68"/>
      <c r="EG26" s="71">
        <f t="shared" si="44"/>
        <v>0</v>
      </c>
      <c r="EH26" s="68"/>
      <c r="EI26" s="68"/>
      <c r="EJ26" s="71">
        <f t="shared" si="45"/>
        <v>0</v>
      </c>
      <c r="EK26" s="68"/>
      <c r="EL26" s="68"/>
      <c r="EM26" s="71">
        <f t="shared" si="46"/>
        <v>0</v>
      </c>
      <c r="EN26" s="68"/>
      <c r="EO26" s="68"/>
      <c r="EP26" s="71">
        <f t="shared" si="47"/>
        <v>0</v>
      </c>
      <c r="EQ26" s="71">
        <f t="shared" si="48"/>
        <v>215000</v>
      </c>
      <c r="ER26" s="71">
        <f t="shared" si="49"/>
        <v>215000</v>
      </c>
      <c r="ES26" s="71">
        <f t="shared" si="50"/>
        <v>0</v>
      </c>
      <c r="ET26" s="68">
        <f t="shared" si="57"/>
        <v>-132349</v>
      </c>
      <c r="EU26" s="73"/>
      <c r="EV26" s="71">
        <f t="shared" si="54"/>
        <v>65000</v>
      </c>
      <c r="EW26" s="71">
        <f t="shared" si="51"/>
        <v>65000</v>
      </c>
      <c r="EX26" s="68">
        <f t="shared" si="55"/>
        <v>0</v>
      </c>
      <c r="EY26" s="68">
        <f t="shared" si="58"/>
        <v>-61926</v>
      </c>
      <c r="EZ26" s="73"/>
      <c r="FA26" s="68">
        <f t="shared" si="56"/>
        <v>0</v>
      </c>
      <c r="FB26" s="68">
        <f t="shared" si="59"/>
        <v>-70423</v>
      </c>
      <c r="FC26" s="73"/>
      <c r="FD26" s="73"/>
      <c r="FE26" s="73"/>
      <c r="FF26" s="73"/>
      <c r="FG26" s="73"/>
      <c r="FH26" s="73"/>
      <c r="FI26" s="73"/>
    </row>
    <row r="27" spans="1:165" x14ac:dyDescent="0.25">
      <c r="A27" s="67">
        <f>+BaseloadMarkets!A27</f>
        <v>36699</v>
      </c>
      <c r="B27" s="67" t="str">
        <f>+BaseloadMarkets!B27</f>
        <v>Thu</v>
      </c>
      <c r="C27" s="68">
        <f t="shared" si="52"/>
        <v>10000</v>
      </c>
      <c r="D27" s="68">
        <f t="shared" si="52"/>
        <v>10000</v>
      </c>
      <c r="E27" s="71">
        <f t="shared" si="0"/>
        <v>0</v>
      </c>
      <c r="F27" s="68">
        <v>10000</v>
      </c>
      <c r="G27" s="68">
        <v>10000</v>
      </c>
      <c r="H27" s="71">
        <f t="shared" si="1"/>
        <v>0</v>
      </c>
      <c r="I27" s="68">
        <v>10000</v>
      </c>
      <c r="J27" s="68">
        <v>10000</v>
      </c>
      <c r="K27" s="71">
        <f t="shared" si="2"/>
        <v>0</v>
      </c>
      <c r="L27" s="68">
        <f t="shared" si="53"/>
        <v>10000</v>
      </c>
      <c r="M27" s="68">
        <f t="shared" si="53"/>
        <v>10000</v>
      </c>
      <c r="N27" s="71">
        <f t="shared" si="3"/>
        <v>0</v>
      </c>
      <c r="O27" s="68">
        <v>5000</v>
      </c>
      <c r="P27" s="68">
        <v>0</v>
      </c>
      <c r="Q27" s="71">
        <f t="shared" si="4"/>
        <v>-5000</v>
      </c>
      <c r="R27" s="68">
        <v>5000</v>
      </c>
      <c r="S27" s="68">
        <v>5000</v>
      </c>
      <c r="T27" s="71">
        <f t="shared" si="5"/>
        <v>0</v>
      </c>
      <c r="U27" s="68">
        <v>5000</v>
      </c>
      <c r="V27" s="68">
        <v>5000</v>
      </c>
      <c r="W27" s="71">
        <f t="shared" si="6"/>
        <v>0</v>
      </c>
      <c r="X27" s="68">
        <v>10000</v>
      </c>
      <c r="Y27" s="68">
        <v>10000</v>
      </c>
      <c r="Z27" s="71">
        <f t="shared" si="7"/>
        <v>0</v>
      </c>
      <c r="AA27" s="68"/>
      <c r="AB27" s="68"/>
      <c r="AC27" s="71">
        <f t="shared" si="8"/>
        <v>0</v>
      </c>
      <c r="AD27" s="68"/>
      <c r="AE27" s="68"/>
      <c r="AF27" s="71">
        <f t="shared" si="9"/>
        <v>0</v>
      </c>
      <c r="AG27" s="68">
        <v>125000</v>
      </c>
      <c r="AH27" s="68">
        <f>125000</f>
        <v>125000</v>
      </c>
      <c r="AI27" s="71">
        <f t="shared" si="10"/>
        <v>0</v>
      </c>
      <c r="AJ27" s="68"/>
      <c r="AK27" s="68"/>
      <c r="AL27" s="71">
        <f t="shared" si="11"/>
        <v>0</v>
      </c>
      <c r="AM27" s="68"/>
      <c r="AN27" s="68"/>
      <c r="AO27" s="71">
        <f t="shared" si="12"/>
        <v>0</v>
      </c>
      <c r="AP27" s="68"/>
      <c r="AQ27" s="68"/>
      <c r="AR27" s="71">
        <f t="shared" si="13"/>
        <v>0</v>
      </c>
      <c r="AS27" s="68"/>
      <c r="AT27" s="68"/>
      <c r="AU27" s="71">
        <f t="shared" si="14"/>
        <v>0</v>
      </c>
      <c r="AV27" s="68"/>
      <c r="AW27" s="68"/>
      <c r="AX27" s="71">
        <f t="shared" si="15"/>
        <v>0</v>
      </c>
      <c r="AY27" s="68"/>
      <c r="AZ27" s="68"/>
      <c r="BA27" s="71">
        <f t="shared" si="16"/>
        <v>0</v>
      </c>
      <c r="BB27" s="68"/>
      <c r="BC27" s="68"/>
      <c r="BD27" s="71">
        <f t="shared" si="17"/>
        <v>0</v>
      </c>
      <c r="BE27" s="68"/>
      <c r="BF27" s="68"/>
      <c r="BG27" s="71">
        <f t="shared" si="18"/>
        <v>0</v>
      </c>
      <c r="BH27" s="68"/>
      <c r="BI27" s="68"/>
      <c r="BJ27" s="71">
        <f t="shared" si="19"/>
        <v>0</v>
      </c>
      <c r="BK27" s="68"/>
      <c r="BL27" s="68"/>
      <c r="BM27" s="71">
        <f t="shared" si="20"/>
        <v>0</v>
      </c>
      <c r="BN27" s="68"/>
      <c r="BO27" s="68"/>
      <c r="BP27" s="71">
        <f t="shared" si="60"/>
        <v>0</v>
      </c>
      <c r="BQ27" s="68"/>
      <c r="BR27" s="68"/>
      <c r="BS27" s="71">
        <f t="shared" si="22"/>
        <v>0</v>
      </c>
      <c r="BT27" s="68"/>
      <c r="BU27" s="68"/>
      <c r="BV27" s="71">
        <f t="shared" si="23"/>
        <v>0</v>
      </c>
      <c r="BW27" s="68"/>
      <c r="BX27" s="68"/>
      <c r="BY27" s="71">
        <f t="shared" si="24"/>
        <v>0</v>
      </c>
      <c r="BZ27" s="68"/>
      <c r="CA27" s="68"/>
      <c r="CB27" s="71">
        <f t="shared" si="25"/>
        <v>0</v>
      </c>
      <c r="CC27" s="68"/>
      <c r="CD27" s="68"/>
      <c r="CE27" s="71">
        <f t="shared" si="26"/>
        <v>0</v>
      </c>
      <c r="CF27" s="68"/>
      <c r="CG27" s="68"/>
      <c r="CH27" s="71">
        <f t="shared" si="27"/>
        <v>0</v>
      </c>
      <c r="CI27" s="68"/>
      <c r="CJ27" s="68"/>
      <c r="CK27" s="71">
        <f t="shared" si="28"/>
        <v>0</v>
      </c>
      <c r="CL27" s="68"/>
      <c r="CM27" s="68"/>
      <c r="CN27" s="71">
        <f t="shared" si="29"/>
        <v>0</v>
      </c>
      <c r="CO27" s="68"/>
      <c r="CP27" s="68"/>
      <c r="CQ27" s="71">
        <f t="shared" si="30"/>
        <v>0</v>
      </c>
      <c r="CR27" s="68"/>
      <c r="CS27" s="68"/>
      <c r="CT27" s="71">
        <f t="shared" si="31"/>
        <v>0</v>
      </c>
      <c r="CU27" s="68"/>
      <c r="CV27" s="68"/>
      <c r="CW27" s="71">
        <f t="shared" si="32"/>
        <v>0</v>
      </c>
      <c r="CX27" s="68"/>
      <c r="CY27" s="68"/>
      <c r="CZ27" s="71">
        <f t="shared" si="33"/>
        <v>0</v>
      </c>
      <c r="DA27" s="68"/>
      <c r="DB27" s="68"/>
      <c r="DC27" s="71">
        <f t="shared" si="34"/>
        <v>0</v>
      </c>
      <c r="DD27" s="68"/>
      <c r="DE27" s="68"/>
      <c r="DF27" s="71">
        <f t="shared" si="35"/>
        <v>0</v>
      </c>
      <c r="DG27" s="68"/>
      <c r="DH27" s="68"/>
      <c r="DI27" s="71">
        <f t="shared" si="36"/>
        <v>0</v>
      </c>
      <c r="DJ27" s="68"/>
      <c r="DK27" s="68"/>
      <c r="DL27" s="71">
        <f t="shared" si="37"/>
        <v>0</v>
      </c>
      <c r="DM27" s="68"/>
      <c r="DN27" s="68"/>
      <c r="DO27" s="71">
        <f t="shared" si="38"/>
        <v>0</v>
      </c>
      <c r="DP27" s="68"/>
      <c r="DQ27" s="68"/>
      <c r="DR27" s="71">
        <f t="shared" si="61"/>
        <v>0</v>
      </c>
      <c r="DS27" s="68"/>
      <c r="DT27" s="68"/>
      <c r="DU27" s="71">
        <f t="shared" si="62"/>
        <v>0</v>
      </c>
      <c r="DV27" s="68"/>
      <c r="DW27" s="68"/>
      <c r="DX27" s="71">
        <f t="shared" si="41"/>
        <v>0</v>
      </c>
      <c r="DY27" s="68"/>
      <c r="DZ27" s="68"/>
      <c r="EA27" s="71">
        <f t="shared" si="63"/>
        <v>0</v>
      </c>
      <c r="EB27" s="68"/>
      <c r="EC27" s="68"/>
      <c r="ED27" s="71">
        <f t="shared" si="43"/>
        <v>0</v>
      </c>
      <c r="EE27" s="68"/>
      <c r="EF27" s="68"/>
      <c r="EG27" s="71">
        <f t="shared" si="44"/>
        <v>0</v>
      </c>
      <c r="EH27" s="68"/>
      <c r="EI27" s="68"/>
      <c r="EJ27" s="71">
        <f t="shared" si="45"/>
        <v>0</v>
      </c>
      <c r="EK27" s="68"/>
      <c r="EL27" s="68"/>
      <c r="EM27" s="71">
        <f t="shared" si="46"/>
        <v>0</v>
      </c>
      <c r="EN27" s="68"/>
      <c r="EO27" s="68"/>
      <c r="EP27" s="71">
        <f t="shared" si="47"/>
        <v>0</v>
      </c>
      <c r="EQ27" s="71">
        <f t="shared" si="48"/>
        <v>190000</v>
      </c>
      <c r="ER27" s="71">
        <f t="shared" si="49"/>
        <v>185000</v>
      </c>
      <c r="ES27" s="71">
        <f t="shared" si="50"/>
        <v>-5000</v>
      </c>
      <c r="ET27" s="68">
        <f t="shared" si="57"/>
        <v>-137349</v>
      </c>
      <c r="EU27" s="73"/>
      <c r="EV27" s="71">
        <f t="shared" si="54"/>
        <v>65000</v>
      </c>
      <c r="EW27" s="71">
        <f t="shared" si="51"/>
        <v>60000</v>
      </c>
      <c r="EX27" s="68">
        <f t="shared" si="55"/>
        <v>-5000</v>
      </c>
      <c r="EY27" s="68">
        <f t="shared" si="58"/>
        <v>-66926</v>
      </c>
      <c r="EZ27" s="73"/>
      <c r="FA27" s="68">
        <f t="shared" si="56"/>
        <v>0</v>
      </c>
      <c r="FB27" s="68">
        <f t="shared" si="59"/>
        <v>-70423</v>
      </c>
      <c r="FC27" s="73"/>
      <c r="FD27" s="73"/>
      <c r="FE27" s="73"/>
      <c r="FF27" s="73"/>
      <c r="FG27" s="73"/>
      <c r="FH27" s="73"/>
      <c r="FI27" s="73"/>
    </row>
    <row r="28" spans="1:165" x14ac:dyDescent="0.25">
      <c r="A28" s="67">
        <f>+BaseloadMarkets!A28</f>
        <v>36700</v>
      </c>
      <c r="B28" s="67" t="str">
        <f>+BaseloadMarkets!B28</f>
        <v>Fri</v>
      </c>
      <c r="C28" s="68">
        <f t="shared" si="52"/>
        <v>10000</v>
      </c>
      <c r="D28" s="68">
        <f t="shared" si="52"/>
        <v>10000</v>
      </c>
      <c r="E28" s="71">
        <f t="shared" si="0"/>
        <v>0</v>
      </c>
      <c r="F28" s="68">
        <v>10000</v>
      </c>
      <c r="G28" s="68">
        <v>10000</v>
      </c>
      <c r="H28" s="71">
        <f t="shared" si="1"/>
        <v>0</v>
      </c>
      <c r="I28" s="68">
        <v>10000</v>
      </c>
      <c r="J28" s="68">
        <v>10000</v>
      </c>
      <c r="K28" s="71">
        <f t="shared" si="2"/>
        <v>0</v>
      </c>
      <c r="L28" s="68">
        <f t="shared" si="53"/>
        <v>10000</v>
      </c>
      <c r="M28" s="68">
        <f t="shared" si="53"/>
        <v>10000</v>
      </c>
      <c r="N28" s="71">
        <f t="shared" si="3"/>
        <v>0</v>
      </c>
      <c r="O28" s="68">
        <v>5000</v>
      </c>
      <c r="P28" s="68">
        <v>5000</v>
      </c>
      <c r="Q28" s="71">
        <f t="shared" si="4"/>
        <v>0</v>
      </c>
      <c r="R28" s="68">
        <v>5000</v>
      </c>
      <c r="S28" s="68">
        <v>5000</v>
      </c>
      <c r="T28" s="71">
        <f t="shared" si="5"/>
        <v>0</v>
      </c>
      <c r="U28" s="68">
        <v>5000</v>
      </c>
      <c r="V28" s="68">
        <v>5000</v>
      </c>
      <c r="W28" s="71">
        <f t="shared" si="6"/>
        <v>0</v>
      </c>
      <c r="X28" s="68">
        <v>10000</v>
      </c>
      <c r="Y28" s="68">
        <v>10000</v>
      </c>
      <c r="Z28" s="71">
        <f t="shared" si="7"/>
        <v>0</v>
      </c>
      <c r="AA28" s="68"/>
      <c r="AB28" s="68"/>
      <c r="AC28" s="71">
        <f t="shared" si="8"/>
        <v>0</v>
      </c>
      <c r="AD28" s="68"/>
      <c r="AE28" s="68"/>
      <c r="AF28" s="71">
        <f t="shared" si="9"/>
        <v>0</v>
      </c>
      <c r="AG28" s="68">
        <v>530000</v>
      </c>
      <c r="AH28" s="68">
        <v>530000</v>
      </c>
      <c r="AI28" s="71">
        <f t="shared" si="10"/>
        <v>0</v>
      </c>
      <c r="AJ28" s="68"/>
      <c r="AK28" s="68"/>
      <c r="AL28" s="71">
        <f t="shared" si="11"/>
        <v>0</v>
      </c>
      <c r="AM28" s="68"/>
      <c r="AN28" s="68"/>
      <c r="AO28" s="71">
        <f t="shared" si="12"/>
        <v>0</v>
      </c>
      <c r="AP28" s="68"/>
      <c r="AQ28" s="68"/>
      <c r="AR28" s="71">
        <f t="shared" si="13"/>
        <v>0</v>
      </c>
      <c r="AS28" s="68"/>
      <c r="AT28" s="68"/>
      <c r="AU28" s="71">
        <f t="shared" si="14"/>
        <v>0</v>
      </c>
      <c r="AV28" s="68"/>
      <c r="AW28" s="68"/>
      <c r="AX28" s="71">
        <f t="shared" si="15"/>
        <v>0</v>
      </c>
      <c r="AY28" s="68"/>
      <c r="AZ28" s="68"/>
      <c r="BA28" s="71">
        <f t="shared" si="16"/>
        <v>0</v>
      </c>
      <c r="BB28" s="68"/>
      <c r="BC28" s="68"/>
      <c r="BD28" s="71">
        <f t="shared" si="17"/>
        <v>0</v>
      </c>
      <c r="BE28" s="68"/>
      <c r="BF28" s="68"/>
      <c r="BG28" s="71">
        <f t="shared" si="18"/>
        <v>0</v>
      </c>
      <c r="BH28" s="68"/>
      <c r="BI28" s="68"/>
      <c r="BJ28" s="71">
        <f t="shared" si="19"/>
        <v>0</v>
      </c>
      <c r="BK28" s="68"/>
      <c r="BL28" s="68"/>
      <c r="BM28" s="71">
        <f t="shared" si="20"/>
        <v>0</v>
      </c>
      <c r="BN28" s="68"/>
      <c r="BO28" s="68"/>
      <c r="BP28" s="71">
        <f t="shared" si="60"/>
        <v>0</v>
      </c>
      <c r="BQ28" s="68"/>
      <c r="BR28" s="68"/>
      <c r="BS28" s="71">
        <f t="shared" si="22"/>
        <v>0</v>
      </c>
      <c r="BT28" s="68"/>
      <c r="BU28" s="68"/>
      <c r="BV28" s="71">
        <f t="shared" si="23"/>
        <v>0</v>
      </c>
      <c r="BW28" s="68"/>
      <c r="BX28" s="68"/>
      <c r="BY28" s="71">
        <f t="shared" si="24"/>
        <v>0</v>
      </c>
      <c r="BZ28" s="68"/>
      <c r="CA28" s="68"/>
      <c r="CB28" s="71">
        <f t="shared" si="25"/>
        <v>0</v>
      </c>
      <c r="CC28" s="68"/>
      <c r="CD28" s="68"/>
      <c r="CE28" s="71">
        <f t="shared" si="26"/>
        <v>0</v>
      </c>
      <c r="CF28" s="68"/>
      <c r="CG28" s="68"/>
      <c r="CH28" s="71">
        <f t="shared" si="27"/>
        <v>0</v>
      </c>
      <c r="CI28" s="68"/>
      <c r="CJ28" s="68"/>
      <c r="CK28" s="71">
        <f t="shared" si="28"/>
        <v>0</v>
      </c>
      <c r="CL28" s="68"/>
      <c r="CM28" s="68"/>
      <c r="CN28" s="71">
        <f t="shared" si="29"/>
        <v>0</v>
      </c>
      <c r="CO28" s="68"/>
      <c r="CP28" s="68"/>
      <c r="CQ28" s="71">
        <f t="shared" si="30"/>
        <v>0</v>
      </c>
      <c r="CR28" s="68"/>
      <c r="CS28" s="68"/>
      <c r="CT28" s="71">
        <f t="shared" si="31"/>
        <v>0</v>
      </c>
      <c r="CU28" s="68"/>
      <c r="CV28" s="68"/>
      <c r="CW28" s="71">
        <f t="shared" si="32"/>
        <v>0</v>
      </c>
      <c r="CX28" s="68"/>
      <c r="CY28" s="68"/>
      <c r="CZ28" s="71">
        <f t="shared" si="33"/>
        <v>0</v>
      </c>
      <c r="DA28" s="68"/>
      <c r="DB28" s="68"/>
      <c r="DC28" s="71">
        <f t="shared" si="34"/>
        <v>0</v>
      </c>
      <c r="DD28" s="68"/>
      <c r="DE28" s="68"/>
      <c r="DF28" s="71">
        <f t="shared" si="35"/>
        <v>0</v>
      </c>
      <c r="DG28" s="68"/>
      <c r="DH28" s="68"/>
      <c r="DI28" s="71">
        <f t="shared" si="36"/>
        <v>0</v>
      </c>
      <c r="DJ28" s="68"/>
      <c r="DK28" s="68"/>
      <c r="DL28" s="71">
        <f t="shared" si="37"/>
        <v>0</v>
      </c>
      <c r="DM28" s="68"/>
      <c r="DN28" s="68"/>
      <c r="DO28" s="71">
        <f t="shared" si="38"/>
        <v>0</v>
      </c>
      <c r="DP28" s="68"/>
      <c r="DQ28" s="68"/>
      <c r="DR28" s="71">
        <f t="shared" si="61"/>
        <v>0</v>
      </c>
      <c r="DS28" s="68"/>
      <c r="DT28" s="68"/>
      <c r="DU28" s="71">
        <f t="shared" si="62"/>
        <v>0</v>
      </c>
      <c r="DV28" s="68"/>
      <c r="DW28" s="68"/>
      <c r="DX28" s="71">
        <f t="shared" si="41"/>
        <v>0</v>
      </c>
      <c r="DY28" s="68"/>
      <c r="DZ28" s="68"/>
      <c r="EA28" s="71">
        <f t="shared" si="63"/>
        <v>0</v>
      </c>
      <c r="EB28" s="68"/>
      <c r="EC28" s="68"/>
      <c r="ED28" s="71">
        <f t="shared" si="43"/>
        <v>0</v>
      </c>
      <c r="EE28" s="68"/>
      <c r="EF28" s="68"/>
      <c r="EG28" s="71">
        <f t="shared" si="44"/>
        <v>0</v>
      </c>
      <c r="EH28" s="68"/>
      <c r="EI28" s="68"/>
      <c r="EJ28" s="71">
        <f t="shared" si="45"/>
        <v>0</v>
      </c>
      <c r="EK28" s="68"/>
      <c r="EL28" s="68"/>
      <c r="EM28" s="71">
        <f t="shared" si="46"/>
        <v>0</v>
      </c>
      <c r="EN28" s="68"/>
      <c r="EO28" s="68"/>
      <c r="EP28" s="71">
        <f t="shared" si="47"/>
        <v>0</v>
      </c>
      <c r="EQ28" s="71">
        <f t="shared" si="48"/>
        <v>595000</v>
      </c>
      <c r="ER28" s="71">
        <f t="shared" si="49"/>
        <v>595000</v>
      </c>
      <c r="ES28" s="71">
        <f t="shared" si="50"/>
        <v>0</v>
      </c>
      <c r="ET28" s="68">
        <f t="shared" si="57"/>
        <v>-137349</v>
      </c>
      <c r="EU28" s="73"/>
      <c r="EV28" s="71">
        <f t="shared" si="54"/>
        <v>65000</v>
      </c>
      <c r="EW28" s="71">
        <f t="shared" si="51"/>
        <v>65000</v>
      </c>
      <c r="EX28" s="68">
        <f t="shared" si="55"/>
        <v>0</v>
      </c>
      <c r="EY28" s="68">
        <f t="shared" si="58"/>
        <v>-66926</v>
      </c>
      <c r="EZ28" s="73"/>
      <c r="FA28" s="68">
        <f t="shared" si="56"/>
        <v>0</v>
      </c>
      <c r="FB28" s="68">
        <f t="shared" si="59"/>
        <v>-70423</v>
      </c>
      <c r="FC28" s="73"/>
      <c r="FD28" s="73"/>
      <c r="FE28" s="73"/>
      <c r="FF28" s="73"/>
      <c r="FG28" s="73"/>
      <c r="FH28" s="73"/>
      <c r="FI28" s="73"/>
    </row>
    <row r="29" spans="1:165" x14ac:dyDescent="0.25">
      <c r="A29" s="67">
        <f>+BaseloadMarkets!A29</f>
        <v>36701</v>
      </c>
      <c r="B29" s="67" t="str">
        <f>+BaseloadMarkets!B29</f>
        <v>Sat</v>
      </c>
      <c r="C29" s="68">
        <f t="shared" si="52"/>
        <v>10000</v>
      </c>
      <c r="D29" s="68">
        <f t="shared" si="52"/>
        <v>10000</v>
      </c>
      <c r="E29" s="71">
        <f t="shared" si="0"/>
        <v>0</v>
      </c>
      <c r="F29" s="68">
        <v>10000</v>
      </c>
      <c r="G29" s="68">
        <v>10000</v>
      </c>
      <c r="H29" s="71">
        <f t="shared" si="1"/>
        <v>0</v>
      </c>
      <c r="I29" s="68">
        <v>10000</v>
      </c>
      <c r="J29" s="68">
        <v>10000</v>
      </c>
      <c r="K29" s="71">
        <f t="shared" si="2"/>
        <v>0</v>
      </c>
      <c r="L29" s="68">
        <f t="shared" si="53"/>
        <v>10000</v>
      </c>
      <c r="M29" s="68">
        <f t="shared" si="53"/>
        <v>10000</v>
      </c>
      <c r="N29" s="71">
        <f t="shared" si="3"/>
        <v>0</v>
      </c>
      <c r="O29" s="68">
        <v>5000</v>
      </c>
      <c r="P29" s="68">
        <v>5000</v>
      </c>
      <c r="Q29" s="71">
        <f t="shared" si="4"/>
        <v>0</v>
      </c>
      <c r="R29" s="68">
        <v>5000</v>
      </c>
      <c r="S29" s="68">
        <v>5000</v>
      </c>
      <c r="T29" s="71">
        <f t="shared" si="5"/>
        <v>0</v>
      </c>
      <c r="U29" s="68">
        <v>5000</v>
      </c>
      <c r="V29" s="68">
        <v>5000</v>
      </c>
      <c r="W29" s="71">
        <f t="shared" si="6"/>
        <v>0</v>
      </c>
      <c r="X29" s="68">
        <v>10000</v>
      </c>
      <c r="Y29" s="68">
        <v>10000</v>
      </c>
      <c r="Z29" s="71">
        <f t="shared" si="7"/>
        <v>0</v>
      </c>
      <c r="AA29" s="68"/>
      <c r="AB29" s="68"/>
      <c r="AC29" s="71">
        <f t="shared" si="8"/>
        <v>0</v>
      </c>
      <c r="AD29" s="68"/>
      <c r="AE29" s="68"/>
      <c r="AF29" s="71">
        <f t="shared" si="9"/>
        <v>0</v>
      </c>
      <c r="AG29" s="68">
        <v>160000</v>
      </c>
      <c r="AH29" s="68">
        <v>160000</v>
      </c>
      <c r="AI29" s="71">
        <f t="shared" si="10"/>
        <v>0</v>
      </c>
      <c r="AJ29" s="68"/>
      <c r="AK29" s="68"/>
      <c r="AL29" s="71">
        <f t="shared" si="11"/>
        <v>0</v>
      </c>
      <c r="AM29" s="68"/>
      <c r="AN29" s="68"/>
      <c r="AO29" s="71">
        <f t="shared" si="12"/>
        <v>0</v>
      </c>
      <c r="AP29" s="68"/>
      <c r="AQ29" s="68"/>
      <c r="AR29" s="71">
        <f t="shared" si="13"/>
        <v>0</v>
      </c>
      <c r="AS29" s="68"/>
      <c r="AT29" s="68"/>
      <c r="AU29" s="71">
        <f t="shared" si="14"/>
        <v>0</v>
      </c>
      <c r="AV29" s="68"/>
      <c r="AW29" s="68"/>
      <c r="AX29" s="71">
        <f t="shared" si="15"/>
        <v>0</v>
      </c>
      <c r="AY29" s="68"/>
      <c r="AZ29" s="68"/>
      <c r="BA29" s="71">
        <f t="shared" si="16"/>
        <v>0</v>
      </c>
      <c r="BB29" s="68"/>
      <c r="BC29" s="68"/>
      <c r="BD29" s="71">
        <f t="shared" si="17"/>
        <v>0</v>
      </c>
      <c r="BE29" s="68"/>
      <c r="BF29" s="68"/>
      <c r="BG29" s="71">
        <f t="shared" si="18"/>
        <v>0</v>
      </c>
      <c r="BH29" s="68"/>
      <c r="BI29" s="68"/>
      <c r="BJ29" s="71">
        <f t="shared" si="19"/>
        <v>0</v>
      </c>
      <c r="BK29" s="68"/>
      <c r="BL29" s="68"/>
      <c r="BM29" s="71">
        <f t="shared" si="20"/>
        <v>0</v>
      </c>
      <c r="BN29" s="68"/>
      <c r="BO29" s="68"/>
      <c r="BP29" s="71">
        <f t="shared" si="60"/>
        <v>0</v>
      </c>
      <c r="BQ29" s="68"/>
      <c r="BR29" s="68"/>
      <c r="BS29" s="71">
        <f t="shared" si="22"/>
        <v>0</v>
      </c>
      <c r="BT29" s="68"/>
      <c r="BU29" s="68"/>
      <c r="BV29" s="71">
        <f t="shared" si="23"/>
        <v>0</v>
      </c>
      <c r="BW29" s="68"/>
      <c r="BX29" s="68"/>
      <c r="BY29" s="71">
        <f t="shared" si="24"/>
        <v>0</v>
      </c>
      <c r="BZ29" s="68"/>
      <c r="CA29" s="68"/>
      <c r="CB29" s="71">
        <f t="shared" si="25"/>
        <v>0</v>
      </c>
      <c r="CC29" s="68"/>
      <c r="CD29" s="68"/>
      <c r="CE29" s="71">
        <f t="shared" si="26"/>
        <v>0</v>
      </c>
      <c r="CF29" s="68"/>
      <c r="CG29" s="68"/>
      <c r="CH29" s="71">
        <f t="shared" si="27"/>
        <v>0</v>
      </c>
      <c r="CI29" s="68"/>
      <c r="CJ29" s="68"/>
      <c r="CK29" s="71">
        <f t="shared" si="28"/>
        <v>0</v>
      </c>
      <c r="CL29" s="68"/>
      <c r="CM29" s="68"/>
      <c r="CN29" s="71">
        <f t="shared" si="29"/>
        <v>0</v>
      </c>
      <c r="CO29" s="68"/>
      <c r="CP29" s="68"/>
      <c r="CQ29" s="71">
        <f t="shared" si="30"/>
        <v>0</v>
      </c>
      <c r="CR29" s="68"/>
      <c r="CS29" s="68"/>
      <c r="CT29" s="71">
        <f t="shared" si="31"/>
        <v>0</v>
      </c>
      <c r="CU29" s="68"/>
      <c r="CV29" s="68"/>
      <c r="CW29" s="71">
        <f t="shared" si="32"/>
        <v>0</v>
      </c>
      <c r="CX29" s="68"/>
      <c r="CY29" s="68"/>
      <c r="CZ29" s="71">
        <f t="shared" si="33"/>
        <v>0</v>
      </c>
      <c r="DA29" s="68"/>
      <c r="DB29" s="68"/>
      <c r="DC29" s="71">
        <f t="shared" si="34"/>
        <v>0</v>
      </c>
      <c r="DD29" s="68"/>
      <c r="DE29" s="68"/>
      <c r="DF29" s="71">
        <f t="shared" si="35"/>
        <v>0</v>
      </c>
      <c r="DG29" s="68"/>
      <c r="DH29" s="68"/>
      <c r="DI29" s="71">
        <f t="shared" si="36"/>
        <v>0</v>
      </c>
      <c r="DJ29" s="68"/>
      <c r="DK29" s="68"/>
      <c r="DL29" s="71">
        <f t="shared" si="37"/>
        <v>0</v>
      </c>
      <c r="DM29" s="68"/>
      <c r="DN29" s="68"/>
      <c r="DO29" s="71">
        <f t="shared" si="38"/>
        <v>0</v>
      </c>
      <c r="DP29" s="68"/>
      <c r="DQ29" s="68"/>
      <c r="DR29" s="71">
        <f t="shared" si="61"/>
        <v>0</v>
      </c>
      <c r="DS29" s="68"/>
      <c r="DT29" s="68"/>
      <c r="DU29" s="71">
        <f t="shared" si="62"/>
        <v>0</v>
      </c>
      <c r="DV29" s="68"/>
      <c r="DW29" s="68"/>
      <c r="DX29" s="71">
        <f t="shared" si="41"/>
        <v>0</v>
      </c>
      <c r="DY29" s="68"/>
      <c r="DZ29" s="68"/>
      <c r="EA29" s="71">
        <f t="shared" si="63"/>
        <v>0</v>
      </c>
      <c r="EB29" s="68"/>
      <c r="EC29" s="68"/>
      <c r="ED29" s="71">
        <f t="shared" si="43"/>
        <v>0</v>
      </c>
      <c r="EE29" s="68"/>
      <c r="EF29" s="68"/>
      <c r="EG29" s="71">
        <f t="shared" si="44"/>
        <v>0</v>
      </c>
      <c r="EH29" s="68"/>
      <c r="EI29" s="68"/>
      <c r="EJ29" s="71">
        <f t="shared" si="45"/>
        <v>0</v>
      </c>
      <c r="EK29" s="68"/>
      <c r="EL29" s="68"/>
      <c r="EM29" s="71">
        <f t="shared" si="46"/>
        <v>0</v>
      </c>
      <c r="EN29" s="68"/>
      <c r="EO29" s="68"/>
      <c r="EP29" s="71">
        <f t="shared" si="47"/>
        <v>0</v>
      </c>
      <c r="EQ29" s="71">
        <f t="shared" si="48"/>
        <v>225000</v>
      </c>
      <c r="ER29" s="71">
        <f t="shared" si="49"/>
        <v>225000</v>
      </c>
      <c r="ES29" s="71">
        <f t="shared" si="50"/>
        <v>0</v>
      </c>
      <c r="ET29" s="68">
        <f t="shared" si="57"/>
        <v>-137349</v>
      </c>
      <c r="EU29" s="73"/>
      <c r="EV29" s="71">
        <f t="shared" si="54"/>
        <v>65000</v>
      </c>
      <c r="EW29" s="71">
        <f t="shared" si="51"/>
        <v>65000</v>
      </c>
      <c r="EX29" s="68">
        <f t="shared" si="55"/>
        <v>0</v>
      </c>
      <c r="EY29" s="68">
        <f t="shared" si="58"/>
        <v>-66926</v>
      </c>
      <c r="EZ29" s="73"/>
      <c r="FA29" s="68">
        <f t="shared" si="56"/>
        <v>0</v>
      </c>
      <c r="FB29" s="68">
        <f t="shared" si="59"/>
        <v>-70423</v>
      </c>
      <c r="FC29" s="73"/>
      <c r="FD29" s="73"/>
      <c r="FE29" s="73"/>
      <c r="FF29" s="73"/>
      <c r="FG29" s="73"/>
      <c r="FH29" s="73"/>
      <c r="FI29" s="73"/>
    </row>
    <row r="30" spans="1:165" x14ac:dyDescent="0.25">
      <c r="A30" s="67">
        <f>+BaseloadMarkets!A30</f>
        <v>36702</v>
      </c>
      <c r="B30" s="67" t="str">
        <f>+BaseloadMarkets!B30</f>
        <v>Sun</v>
      </c>
      <c r="C30" s="68">
        <f t="shared" si="52"/>
        <v>10000</v>
      </c>
      <c r="D30" s="68">
        <f t="shared" si="52"/>
        <v>10000</v>
      </c>
      <c r="E30" s="71">
        <f t="shared" si="0"/>
        <v>0</v>
      </c>
      <c r="F30" s="68">
        <v>10000</v>
      </c>
      <c r="G30" s="68">
        <v>10000</v>
      </c>
      <c r="H30" s="71">
        <f t="shared" si="1"/>
        <v>0</v>
      </c>
      <c r="I30" s="68">
        <v>10000</v>
      </c>
      <c r="J30" s="68">
        <v>10000</v>
      </c>
      <c r="K30" s="71">
        <f t="shared" si="2"/>
        <v>0</v>
      </c>
      <c r="L30" s="68">
        <f t="shared" si="53"/>
        <v>10000</v>
      </c>
      <c r="M30" s="68">
        <f t="shared" si="53"/>
        <v>10000</v>
      </c>
      <c r="N30" s="71">
        <f t="shared" si="3"/>
        <v>0</v>
      </c>
      <c r="O30" s="68">
        <v>5000</v>
      </c>
      <c r="P30" s="68">
        <v>4841</v>
      </c>
      <c r="Q30" s="71">
        <f t="shared" si="4"/>
        <v>-159</v>
      </c>
      <c r="R30" s="68">
        <v>5000</v>
      </c>
      <c r="S30" s="68">
        <v>5000</v>
      </c>
      <c r="T30" s="71">
        <f t="shared" si="5"/>
        <v>0</v>
      </c>
      <c r="U30" s="68">
        <v>5000</v>
      </c>
      <c r="V30" s="68">
        <v>5000</v>
      </c>
      <c r="W30" s="71">
        <f t="shared" si="6"/>
        <v>0</v>
      </c>
      <c r="X30" s="68">
        <v>10000</v>
      </c>
      <c r="Y30" s="68">
        <f>2000+7744</f>
        <v>9744</v>
      </c>
      <c r="Z30" s="71">
        <f t="shared" si="7"/>
        <v>-256</v>
      </c>
      <c r="AA30" s="68"/>
      <c r="AB30" s="68"/>
      <c r="AC30" s="71">
        <f t="shared" si="8"/>
        <v>0</v>
      </c>
      <c r="AD30" s="68"/>
      <c r="AE30" s="68"/>
      <c r="AF30" s="71">
        <f t="shared" si="9"/>
        <v>0</v>
      </c>
      <c r="AG30" s="68">
        <v>160000</v>
      </c>
      <c r="AH30" s="68">
        <v>160000</v>
      </c>
      <c r="AI30" s="71">
        <f t="shared" si="10"/>
        <v>0</v>
      </c>
      <c r="AJ30" s="68"/>
      <c r="AK30" s="68"/>
      <c r="AL30" s="71">
        <f t="shared" si="11"/>
        <v>0</v>
      </c>
      <c r="AM30" s="68"/>
      <c r="AN30" s="68"/>
      <c r="AO30" s="71">
        <f t="shared" si="12"/>
        <v>0</v>
      </c>
      <c r="AP30" s="68"/>
      <c r="AQ30" s="68"/>
      <c r="AR30" s="71">
        <f t="shared" si="13"/>
        <v>0</v>
      </c>
      <c r="AS30" s="68"/>
      <c r="AT30" s="68"/>
      <c r="AU30" s="71">
        <f t="shared" si="14"/>
        <v>0</v>
      </c>
      <c r="AV30" s="68"/>
      <c r="AW30" s="68"/>
      <c r="AX30" s="71">
        <f t="shared" si="15"/>
        <v>0</v>
      </c>
      <c r="AY30" s="68"/>
      <c r="AZ30" s="68"/>
      <c r="BA30" s="71">
        <f t="shared" si="16"/>
        <v>0</v>
      </c>
      <c r="BB30" s="68"/>
      <c r="BC30" s="68"/>
      <c r="BD30" s="71">
        <f t="shared" si="17"/>
        <v>0</v>
      </c>
      <c r="BE30" s="68"/>
      <c r="BF30" s="68"/>
      <c r="BG30" s="71">
        <f t="shared" si="18"/>
        <v>0</v>
      </c>
      <c r="BH30" s="68"/>
      <c r="BI30" s="68"/>
      <c r="BJ30" s="71">
        <f t="shared" si="19"/>
        <v>0</v>
      </c>
      <c r="BK30" s="68"/>
      <c r="BL30" s="68"/>
      <c r="BM30" s="71">
        <f t="shared" si="20"/>
        <v>0</v>
      </c>
      <c r="BN30" s="68"/>
      <c r="BO30" s="68"/>
      <c r="BP30" s="71">
        <f t="shared" si="60"/>
        <v>0</v>
      </c>
      <c r="BQ30" s="68"/>
      <c r="BR30" s="68"/>
      <c r="BS30" s="71">
        <f t="shared" si="22"/>
        <v>0</v>
      </c>
      <c r="BT30" s="68"/>
      <c r="BU30" s="68"/>
      <c r="BV30" s="71">
        <f t="shared" si="23"/>
        <v>0</v>
      </c>
      <c r="BW30" s="68"/>
      <c r="BX30" s="68"/>
      <c r="BY30" s="71">
        <f t="shared" si="24"/>
        <v>0</v>
      </c>
      <c r="BZ30" s="68"/>
      <c r="CA30" s="68"/>
      <c r="CB30" s="71">
        <f t="shared" si="25"/>
        <v>0</v>
      </c>
      <c r="CC30" s="68"/>
      <c r="CD30" s="68"/>
      <c r="CE30" s="71">
        <f t="shared" si="26"/>
        <v>0</v>
      </c>
      <c r="CF30" s="68"/>
      <c r="CG30" s="68"/>
      <c r="CH30" s="71">
        <f t="shared" si="27"/>
        <v>0</v>
      </c>
      <c r="CI30" s="68"/>
      <c r="CJ30" s="68"/>
      <c r="CK30" s="71">
        <f t="shared" si="28"/>
        <v>0</v>
      </c>
      <c r="CL30" s="68"/>
      <c r="CM30" s="68"/>
      <c r="CN30" s="71">
        <f t="shared" si="29"/>
        <v>0</v>
      </c>
      <c r="CO30" s="68"/>
      <c r="CP30" s="68"/>
      <c r="CQ30" s="71">
        <f t="shared" si="30"/>
        <v>0</v>
      </c>
      <c r="CR30" s="68"/>
      <c r="CS30" s="68"/>
      <c r="CT30" s="71">
        <f t="shared" si="31"/>
        <v>0</v>
      </c>
      <c r="CU30" s="68"/>
      <c r="CV30" s="68"/>
      <c r="CW30" s="71">
        <f t="shared" si="32"/>
        <v>0</v>
      </c>
      <c r="CX30" s="68"/>
      <c r="CY30" s="68"/>
      <c r="CZ30" s="71">
        <f t="shared" si="33"/>
        <v>0</v>
      </c>
      <c r="DA30" s="68"/>
      <c r="DB30" s="68"/>
      <c r="DC30" s="71">
        <f t="shared" si="34"/>
        <v>0</v>
      </c>
      <c r="DD30" s="68"/>
      <c r="DE30" s="68"/>
      <c r="DF30" s="71">
        <f t="shared" si="35"/>
        <v>0</v>
      </c>
      <c r="DG30" s="68"/>
      <c r="DH30" s="68"/>
      <c r="DI30" s="71">
        <f t="shared" si="36"/>
        <v>0</v>
      </c>
      <c r="DJ30" s="68"/>
      <c r="DK30" s="68"/>
      <c r="DL30" s="71">
        <f t="shared" si="37"/>
        <v>0</v>
      </c>
      <c r="DM30" s="68"/>
      <c r="DN30" s="68"/>
      <c r="DO30" s="71">
        <f t="shared" si="38"/>
        <v>0</v>
      </c>
      <c r="DP30" s="68"/>
      <c r="DQ30" s="68"/>
      <c r="DR30" s="71">
        <f t="shared" si="61"/>
        <v>0</v>
      </c>
      <c r="DS30" s="68"/>
      <c r="DT30" s="68"/>
      <c r="DU30" s="71">
        <f t="shared" si="62"/>
        <v>0</v>
      </c>
      <c r="DV30" s="68"/>
      <c r="DW30" s="68"/>
      <c r="DX30" s="71">
        <f t="shared" si="41"/>
        <v>0</v>
      </c>
      <c r="DY30" s="68"/>
      <c r="DZ30" s="68"/>
      <c r="EA30" s="71">
        <f t="shared" si="63"/>
        <v>0</v>
      </c>
      <c r="EB30" s="68"/>
      <c r="EC30" s="68"/>
      <c r="ED30" s="71">
        <f t="shared" si="43"/>
        <v>0</v>
      </c>
      <c r="EE30" s="68"/>
      <c r="EF30" s="68"/>
      <c r="EG30" s="71">
        <f t="shared" si="44"/>
        <v>0</v>
      </c>
      <c r="EH30" s="68"/>
      <c r="EI30" s="68"/>
      <c r="EJ30" s="71">
        <f t="shared" si="45"/>
        <v>0</v>
      </c>
      <c r="EK30" s="68"/>
      <c r="EL30" s="68"/>
      <c r="EM30" s="71">
        <f t="shared" si="46"/>
        <v>0</v>
      </c>
      <c r="EN30" s="68"/>
      <c r="EO30" s="68"/>
      <c r="EP30" s="71">
        <f t="shared" si="47"/>
        <v>0</v>
      </c>
      <c r="EQ30" s="71">
        <f t="shared" si="48"/>
        <v>225000</v>
      </c>
      <c r="ER30" s="71">
        <f t="shared" si="49"/>
        <v>224585</v>
      </c>
      <c r="ES30" s="71">
        <f t="shared" si="50"/>
        <v>-415</v>
      </c>
      <c r="ET30" s="68">
        <f t="shared" si="57"/>
        <v>-137764</v>
      </c>
      <c r="EU30" s="73"/>
      <c r="EV30" s="71">
        <f t="shared" si="54"/>
        <v>65000</v>
      </c>
      <c r="EW30" s="71">
        <f t="shared" si="51"/>
        <v>64585</v>
      </c>
      <c r="EX30" s="68">
        <f t="shared" si="55"/>
        <v>-415</v>
      </c>
      <c r="EY30" s="68">
        <f t="shared" si="58"/>
        <v>-67341</v>
      </c>
      <c r="EZ30" s="73"/>
      <c r="FA30" s="68">
        <f t="shared" si="56"/>
        <v>0</v>
      </c>
      <c r="FB30" s="68">
        <f t="shared" si="59"/>
        <v>-70423</v>
      </c>
      <c r="FC30" s="73"/>
      <c r="FD30" s="73"/>
      <c r="FE30" s="73"/>
      <c r="FF30" s="73"/>
      <c r="FG30" s="73"/>
      <c r="FH30" s="73"/>
      <c r="FI30" s="73"/>
    </row>
    <row r="31" spans="1:165" x14ac:dyDescent="0.25">
      <c r="A31" s="67">
        <f>+BaseloadMarkets!A31</f>
        <v>36703</v>
      </c>
      <c r="B31" s="67" t="str">
        <f>+BaseloadMarkets!B31</f>
        <v>Mon</v>
      </c>
      <c r="C31" s="68">
        <f t="shared" si="52"/>
        <v>10000</v>
      </c>
      <c r="D31" s="68">
        <f t="shared" si="52"/>
        <v>10000</v>
      </c>
      <c r="E31" s="71">
        <f t="shared" si="0"/>
        <v>0</v>
      </c>
      <c r="F31" s="68">
        <v>10000</v>
      </c>
      <c r="G31" s="68">
        <v>10000</v>
      </c>
      <c r="H31" s="71">
        <f t="shared" si="1"/>
        <v>0</v>
      </c>
      <c r="I31" s="68">
        <v>10000</v>
      </c>
      <c r="J31" s="68">
        <v>10000</v>
      </c>
      <c r="K31" s="71">
        <f t="shared" si="2"/>
        <v>0</v>
      </c>
      <c r="L31" s="68">
        <f t="shared" si="53"/>
        <v>10000</v>
      </c>
      <c r="M31" s="68">
        <f t="shared" si="53"/>
        <v>10000</v>
      </c>
      <c r="N31" s="71">
        <f t="shared" si="3"/>
        <v>0</v>
      </c>
      <c r="O31" s="68">
        <v>5000</v>
      </c>
      <c r="P31" s="68">
        <v>4449</v>
      </c>
      <c r="Q31" s="71">
        <f t="shared" si="4"/>
        <v>-551</v>
      </c>
      <c r="R31" s="68">
        <v>5000</v>
      </c>
      <c r="S31" s="68">
        <v>5000</v>
      </c>
      <c r="T31" s="71">
        <f t="shared" si="5"/>
        <v>0</v>
      </c>
      <c r="U31" s="68">
        <v>5000</v>
      </c>
      <c r="V31" s="68">
        <v>5000</v>
      </c>
      <c r="W31" s="71">
        <f t="shared" si="6"/>
        <v>0</v>
      </c>
      <c r="X31" s="68">
        <v>10000</v>
      </c>
      <c r="Y31" s="68">
        <f>2000+7119</f>
        <v>9119</v>
      </c>
      <c r="Z31" s="71">
        <f t="shared" si="7"/>
        <v>-881</v>
      </c>
      <c r="AA31" s="68"/>
      <c r="AB31" s="68"/>
      <c r="AC31" s="71">
        <f t="shared" si="8"/>
        <v>0</v>
      </c>
      <c r="AD31" s="68"/>
      <c r="AE31" s="68"/>
      <c r="AF31" s="71">
        <f t="shared" si="9"/>
        <v>0</v>
      </c>
      <c r="AG31" s="68">
        <v>160000</v>
      </c>
      <c r="AH31" s="68">
        <v>160000</v>
      </c>
      <c r="AI31" s="71">
        <f t="shared" si="10"/>
        <v>0</v>
      </c>
      <c r="AJ31" s="68"/>
      <c r="AK31" s="68"/>
      <c r="AL31" s="71">
        <f t="shared" si="11"/>
        <v>0</v>
      </c>
      <c r="AM31" s="68"/>
      <c r="AN31" s="68"/>
      <c r="AO31" s="71">
        <f t="shared" si="12"/>
        <v>0</v>
      </c>
      <c r="AP31" s="68"/>
      <c r="AQ31" s="68"/>
      <c r="AR31" s="71">
        <f t="shared" si="13"/>
        <v>0</v>
      </c>
      <c r="AS31" s="68"/>
      <c r="AT31" s="68"/>
      <c r="AU31" s="71">
        <f t="shared" si="14"/>
        <v>0</v>
      </c>
      <c r="AV31" s="68"/>
      <c r="AW31" s="68"/>
      <c r="AX31" s="71">
        <f t="shared" si="15"/>
        <v>0</v>
      </c>
      <c r="AY31" s="68"/>
      <c r="AZ31" s="68"/>
      <c r="BA31" s="71">
        <f t="shared" si="16"/>
        <v>0</v>
      </c>
      <c r="BB31" s="68"/>
      <c r="BC31" s="68"/>
      <c r="BD31" s="71">
        <f t="shared" si="17"/>
        <v>0</v>
      </c>
      <c r="BE31" s="68"/>
      <c r="BF31" s="68"/>
      <c r="BG31" s="71">
        <f t="shared" si="18"/>
        <v>0</v>
      </c>
      <c r="BH31" s="68"/>
      <c r="BI31" s="68"/>
      <c r="BJ31" s="71">
        <f t="shared" si="19"/>
        <v>0</v>
      </c>
      <c r="BK31" s="68"/>
      <c r="BL31" s="68"/>
      <c r="BM31" s="71">
        <f t="shared" si="20"/>
        <v>0</v>
      </c>
      <c r="BN31" s="68"/>
      <c r="BO31" s="68"/>
      <c r="BP31" s="71">
        <f t="shared" si="60"/>
        <v>0</v>
      </c>
      <c r="BQ31" s="68"/>
      <c r="BR31" s="68"/>
      <c r="BS31" s="71">
        <f t="shared" si="22"/>
        <v>0</v>
      </c>
      <c r="BT31" s="68"/>
      <c r="BU31" s="68"/>
      <c r="BV31" s="71">
        <f t="shared" si="23"/>
        <v>0</v>
      </c>
      <c r="BW31" s="68"/>
      <c r="BX31" s="68"/>
      <c r="BY31" s="71">
        <f t="shared" si="24"/>
        <v>0</v>
      </c>
      <c r="BZ31" s="68"/>
      <c r="CA31" s="68"/>
      <c r="CB31" s="71">
        <f t="shared" si="25"/>
        <v>0</v>
      </c>
      <c r="CC31" s="68"/>
      <c r="CD31" s="68"/>
      <c r="CE31" s="71">
        <f t="shared" si="26"/>
        <v>0</v>
      </c>
      <c r="CF31" s="68"/>
      <c r="CG31" s="68"/>
      <c r="CH31" s="71">
        <f t="shared" si="27"/>
        <v>0</v>
      </c>
      <c r="CI31" s="68"/>
      <c r="CJ31" s="68"/>
      <c r="CK31" s="71">
        <f t="shared" si="28"/>
        <v>0</v>
      </c>
      <c r="CL31" s="68"/>
      <c r="CM31" s="68"/>
      <c r="CN31" s="71">
        <f t="shared" si="29"/>
        <v>0</v>
      </c>
      <c r="CO31" s="68"/>
      <c r="CP31" s="68"/>
      <c r="CQ31" s="71">
        <f t="shared" si="30"/>
        <v>0</v>
      </c>
      <c r="CR31" s="68"/>
      <c r="CS31" s="68"/>
      <c r="CT31" s="71">
        <f t="shared" si="31"/>
        <v>0</v>
      </c>
      <c r="CU31" s="68"/>
      <c r="CV31" s="68"/>
      <c r="CW31" s="71">
        <f t="shared" si="32"/>
        <v>0</v>
      </c>
      <c r="CX31" s="68"/>
      <c r="CY31" s="68"/>
      <c r="CZ31" s="71">
        <f t="shared" si="33"/>
        <v>0</v>
      </c>
      <c r="DA31" s="68"/>
      <c r="DB31" s="68"/>
      <c r="DC31" s="71">
        <f t="shared" si="34"/>
        <v>0</v>
      </c>
      <c r="DD31" s="68"/>
      <c r="DE31" s="68"/>
      <c r="DF31" s="71">
        <f t="shared" si="35"/>
        <v>0</v>
      </c>
      <c r="DG31" s="68"/>
      <c r="DH31" s="68"/>
      <c r="DI31" s="71">
        <f t="shared" si="36"/>
        <v>0</v>
      </c>
      <c r="DJ31" s="68"/>
      <c r="DK31" s="68"/>
      <c r="DL31" s="71">
        <f t="shared" si="37"/>
        <v>0</v>
      </c>
      <c r="DM31" s="68"/>
      <c r="DN31" s="68"/>
      <c r="DO31" s="71">
        <f t="shared" si="38"/>
        <v>0</v>
      </c>
      <c r="DP31" s="68"/>
      <c r="DQ31" s="68"/>
      <c r="DR31" s="71">
        <f t="shared" si="61"/>
        <v>0</v>
      </c>
      <c r="DS31" s="68"/>
      <c r="DT31" s="68"/>
      <c r="DU31" s="71">
        <f t="shared" si="62"/>
        <v>0</v>
      </c>
      <c r="DV31" s="68"/>
      <c r="DW31" s="68"/>
      <c r="DX31" s="71">
        <f t="shared" si="41"/>
        <v>0</v>
      </c>
      <c r="DY31" s="68"/>
      <c r="DZ31" s="68"/>
      <c r="EA31" s="71">
        <f t="shared" si="63"/>
        <v>0</v>
      </c>
      <c r="EB31" s="68"/>
      <c r="EC31" s="68"/>
      <c r="ED31" s="71">
        <f t="shared" si="43"/>
        <v>0</v>
      </c>
      <c r="EE31" s="68"/>
      <c r="EF31" s="68"/>
      <c r="EG31" s="71">
        <f t="shared" si="44"/>
        <v>0</v>
      </c>
      <c r="EH31" s="68"/>
      <c r="EI31" s="68"/>
      <c r="EJ31" s="71">
        <f t="shared" si="45"/>
        <v>0</v>
      </c>
      <c r="EK31" s="68"/>
      <c r="EL31" s="68"/>
      <c r="EM31" s="71">
        <f t="shared" si="46"/>
        <v>0</v>
      </c>
      <c r="EN31" s="68"/>
      <c r="EO31" s="68"/>
      <c r="EP31" s="71">
        <f t="shared" si="47"/>
        <v>0</v>
      </c>
      <c r="EQ31" s="71">
        <f t="shared" si="48"/>
        <v>225000</v>
      </c>
      <c r="ER31" s="71">
        <f t="shared" si="49"/>
        <v>223568</v>
      </c>
      <c r="ES31" s="71">
        <f t="shared" si="50"/>
        <v>-1432</v>
      </c>
      <c r="ET31" s="68">
        <f t="shared" si="57"/>
        <v>-139196</v>
      </c>
      <c r="EU31" s="73"/>
      <c r="EV31" s="71">
        <f t="shared" si="54"/>
        <v>65000</v>
      </c>
      <c r="EW31" s="71">
        <f t="shared" si="51"/>
        <v>63568</v>
      </c>
      <c r="EX31" s="68">
        <f t="shared" si="55"/>
        <v>-1432</v>
      </c>
      <c r="EY31" s="68">
        <f t="shared" si="58"/>
        <v>-68773</v>
      </c>
      <c r="EZ31" s="73"/>
      <c r="FA31" s="68">
        <f t="shared" si="56"/>
        <v>0</v>
      </c>
      <c r="FB31" s="68">
        <f t="shared" si="59"/>
        <v>-70423</v>
      </c>
      <c r="FC31" s="73"/>
      <c r="FD31" s="73"/>
      <c r="FE31" s="73"/>
      <c r="FF31" s="73"/>
      <c r="FG31" s="73"/>
      <c r="FH31" s="73"/>
      <c r="FI31" s="73"/>
    </row>
    <row r="32" spans="1:165" x14ac:dyDescent="0.25">
      <c r="A32" s="67">
        <f>+BaseloadMarkets!A32</f>
        <v>36704</v>
      </c>
      <c r="B32" s="67" t="str">
        <f>+BaseloadMarkets!B32</f>
        <v>Tues</v>
      </c>
      <c r="C32" s="68">
        <f t="shared" si="52"/>
        <v>10000</v>
      </c>
      <c r="D32" s="68">
        <f t="shared" si="52"/>
        <v>10000</v>
      </c>
      <c r="E32" s="71">
        <f t="shared" si="0"/>
        <v>0</v>
      </c>
      <c r="F32" s="68">
        <v>10000</v>
      </c>
      <c r="G32" s="68">
        <v>10000</v>
      </c>
      <c r="H32" s="71">
        <f t="shared" si="1"/>
        <v>0</v>
      </c>
      <c r="I32" s="68">
        <v>10000</v>
      </c>
      <c r="J32" s="68">
        <v>10000</v>
      </c>
      <c r="K32" s="71">
        <f t="shared" si="2"/>
        <v>0</v>
      </c>
      <c r="L32" s="68">
        <f t="shared" si="53"/>
        <v>10000</v>
      </c>
      <c r="M32" s="68">
        <f t="shared" si="53"/>
        <v>10000</v>
      </c>
      <c r="N32" s="71">
        <f t="shared" si="3"/>
        <v>0</v>
      </c>
      <c r="O32" s="68">
        <v>5000</v>
      </c>
      <c r="P32" s="68">
        <v>5000</v>
      </c>
      <c r="Q32" s="71">
        <f t="shared" si="4"/>
        <v>0</v>
      </c>
      <c r="R32" s="68">
        <v>5000</v>
      </c>
      <c r="S32" s="68">
        <v>5000</v>
      </c>
      <c r="T32" s="71">
        <f t="shared" si="5"/>
        <v>0</v>
      </c>
      <c r="U32" s="68">
        <v>5000</v>
      </c>
      <c r="V32" s="68">
        <v>5000</v>
      </c>
      <c r="W32" s="71">
        <f t="shared" si="6"/>
        <v>0</v>
      </c>
      <c r="X32" s="68">
        <v>10000</v>
      </c>
      <c r="Y32" s="68">
        <v>10000</v>
      </c>
      <c r="Z32" s="71">
        <f t="shared" si="7"/>
        <v>0</v>
      </c>
      <c r="AA32" s="68"/>
      <c r="AB32" s="68"/>
      <c r="AC32" s="71">
        <f t="shared" si="8"/>
        <v>0</v>
      </c>
      <c r="AD32" s="68"/>
      <c r="AE32" s="68"/>
      <c r="AF32" s="71">
        <f t="shared" si="9"/>
        <v>0</v>
      </c>
      <c r="AG32" s="68">
        <v>575000</v>
      </c>
      <c r="AH32" s="68">
        <f>575000</f>
        <v>575000</v>
      </c>
      <c r="AI32" s="71">
        <f t="shared" si="10"/>
        <v>0</v>
      </c>
      <c r="AJ32" s="68"/>
      <c r="AK32" s="68"/>
      <c r="AL32" s="71">
        <f t="shared" si="11"/>
        <v>0</v>
      </c>
      <c r="AM32" s="68"/>
      <c r="AN32" s="68"/>
      <c r="AO32" s="71">
        <f t="shared" si="12"/>
        <v>0</v>
      </c>
      <c r="AP32" s="68"/>
      <c r="AQ32" s="68"/>
      <c r="AR32" s="71">
        <f t="shared" si="13"/>
        <v>0</v>
      </c>
      <c r="AS32" s="68"/>
      <c r="AT32" s="68"/>
      <c r="AU32" s="71">
        <f t="shared" si="14"/>
        <v>0</v>
      </c>
      <c r="AV32" s="68"/>
      <c r="AW32" s="68"/>
      <c r="AX32" s="71">
        <f t="shared" si="15"/>
        <v>0</v>
      </c>
      <c r="AY32" s="68"/>
      <c r="AZ32" s="68"/>
      <c r="BA32" s="71">
        <f t="shared" si="16"/>
        <v>0</v>
      </c>
      <c r="BB32" s="68"/>
      <c r="BC32" s="68"/>
      <c r="BD32" s="71">
        <f t="shared" si="17"/>
        <v>0</v>
      </c>
      <c r="BE32" s="68"/>
      <c r="BF32" s="68"/>
      <c r="BG32" s="71">
        <f t="shared" si="18"/>
        <v>0</v>
      </c>
      <c r="BH32" s="68"/>
      <c r="BI32" s="68"/>
      <c r="BJ32" s="71">
        <f t="shared" si="19"/>
        <v>0</v>
      </c>
      <c r="BK32" s="68"/>
      <c r="BL32" s="68"/>
      <c r="BM32" s="71">
        <f t="shared" si="20"/>
        <v>0</v>
      </c>
      <c r="BN32" s="68"/>
      <c r="BO32" s="68"/>
      <c r="BP32" s="71">
        <f t="shared" si="60"/>
        <v>0</v>
      </c>
      <c r="BQ32" s="68"/>
      <c r="BR32" s="68"/>
      <c r="BS32" s="71">
        <f t="shared" si="22"/>
        <v>0</v>
      </c>
      <c r="BT32" s="68"/>
      <c r="BU32" s="68"/>
      <c r="BV32" s="71">
        <f t="shared" si="23"/>
        <v>0</v>
      </c>
      <c r="BW32" s="68"/>
      <c r="BX32" s="68"/>
      <c r="BY32" s="71">
        <f t="shared" si="24"/>
        <v>0</v>
      </c>
      <c r="BZ32" s="68"/>
      <c r="CA32" s="68"/>
      <c r="CB32" s="71">
        <f t="shared" si="25"/>
        <v>0</v>
      </c>
      <c r="CC32" s="68"/>
      <c r="CD32" s="68"/>
      <c r="CE32" s="71">
        <f t="shared" si="26"/>
        <v>0</v>
      </c>
      <c r="CF32" s="68"/>
      <c r="CG32" s="68"/>
      <c r="CH32" s="71">
        <f t="shared" si="27"/>
        <v>0</v>
      </c>
      <c r="CI32" s="68"/>
      <c r="CJ32" s="68"/>
      <c r="CK32" s="71">
        <f t="shared" si="28"/>
        <v>0</v>
      </c>
      <c r="CL32" s="68"/>
      <c r="CM32" s="68"/>
      <c r="CN32" s="71">
        <f t="shared" si="29"/>
        <v>0</v>
      </c>
      <c r="CO32" s="68"/>
      <c r="CP32" s="68"/>
      <c r="CQ32" s="71">
        <f t="shared" si="30"/>
        <v>0</v>
      </c>
      <c r="CR32" s="68"/>
      <c r="CS32" s="68"/>
      <c r="CT32" s="71">
        <f t="shared" si="31"/>
        <v>0</v>
      </c>
      <c r="CU32" s="68"/>
      <c r="CV32" s="68"/>
      <c r="CW32" s="71">
        <f t="shared" si="32"/>
        <v>0</v>
      </c>
      <c r="CX32" s="68"/>
      <c r="CY32" s="68"/>
      <c r="CZ32" s="71">
        <f t="shared" si="33"/>
        <v>0</v>
      </c>
      <c r="DA32" s="68"/>
      <c r="DB32" s="68"/>
      <c r="DC32" s="71">
        <f t="shared" si="34"/>
        <v>0</v>
      </c>
      <c r="DD32" s="68"/>
      <c r="DE32" s="68"/>
      <c r="DF32" s="71">
        <f t="shared" si="35"/>
        <v>0</v>
      </c>
      <c r="DG32" s="68"/>
      <c r="DH32" s="68"/>
      <c r="DI32" s="71">
        <f t="shared" si="36"/>
        <v>0</v>
      </c>
      <c r="DJ32" s="68"/>
      <c r="DK32" s="68"/>
      <c r="DL32" s="71">
        <f t="shared" si="37"/>
        <v>0</v>
      </c>
      <c r="DM32" s="68"/>
      <c r="DN32" s="68"/>
      <c r="DO32" s="71">
        <f t="shared" si="38"/>
        <v>0</v>
      </c>
      <c r="DP32" s="68"/>
      <c r="DQ32" s="68"/>
      <c r="DR32" s="71">
        <f t="shared" si="61"/>
        <v>0</v>
      </c>
      <c r="DS32" s="68"/>
      <c r="DT32" s="68"/>
      <c r="DU32" s="71">
        <f t="shared" si="62"/>
        <v>0</v>
      </c>
      <c r="DV32" s="68"/>
      <c r="DW32" s="68"/>
      <c r="DX32" s="71">
        <f t="shared" si="41"/>
        <v>0</v>
      </c>
      <c r="DY32" s="68"/>
      <c r="DZ32" s="68"/>
      <c r="EA32" s="71">
        <f t="shared" si="63"/>
        <v>0</v>
      </c>
      <c r="EB32" s="68"/>
      <c r="EC32" s="68"/>
      <c r="ED32" s="71">
        <f t="shared" si="43"/>
        <v>0</v>
      </c>
      <c r="EE32" s="68"/>
      <c r="EF32" s="68"/>
      <c r="EG32" s="71">
        <f t="shared" si="44"/>
        <v>0</v>
      </c>
      <c r="EH32" s="68"/>
      <c r="EI32" s="68"/>
      <c r="EJ32" s="71">
        <f t="shared" si="45"/>
        <v>0</v>
      </c>
      <c r="EK32" s="68"/>
      <c r="EL32" s="68"/>
      <c r="EM32" s="71">
        <f t="shared" si="46"/>
        <v>0</v>
      </c>
      <c r="EN32" s="68"/>
      <c r="EO32" s="68"/>
      <c r="EP32" s="71">
        <f t="shared" si="47"/>
        <v>0</v>
      </c>
      <c r="EQ32" s="71">
        <f t="shared" si="48"/>
        <v>640000</v>
      </c>
      <c r="ER32" s="71">
        <f t="shared" si="49"/>
        <v>640000</v>
      </c>
      <c r="ES32" s="71">
        <f t="shared" si="50"/>
        <v>0</v>
      </c>
      <c r="ET32" s="68">
        <f t="shared" si="57"/>
        <v>-139196</v>
      </c>
      <c r="EU32" s="73"/>
      <c r="EV32" s="71">
        <f t="shared" si="54"/>
        <v>65000</v>
      </c>
      <c r="EW32" s="71">
        <f t="shared" si="51"/>
        <v>65000</v>
      </c>
      <c r="EX32" s="68">
        <f t="shared" si="55"/>
        <v>0</v>
      </c>
      <c r="EY32" s="68">
        <f t="shared" si="58"/>
        <v>-68773</v>
      </c>
      <c r="EZ32" s="73"/>
      <c r="FA32" s="68">
        <f t="shared" si="56"/>
        <v>0</v>
      </c>
      <c r="FB32" s="68">
        <f t="shared" si="59"/>
        <v>-70423</v>
      </c>
      <c r="FC32" s="73"/>
      <c r="FD32" s="73"/>
      <c r="FE32" s="73"/>
      <c r="FF32" s="73"/>
      <c r="FG32" s="73"/>
      <c r="FH32" s="73"/>
      <c r="FI32" s="73"/>
    </row>
    <row r="33" spans="1:245" x14ac:dyDescent="0.25">
      <c r="A33" s="67">
        <f>+BaseloadMarkets!A33</f>
        <v>36705</v>
      </c>
      <c r="B33" s="67" t="str">
        <f>+BaseloadMarkets!B33</f>
        <v>Wed</v>
      </c>
      <c r="C33" s="68">
        <f t="shared" si="52"/>
        <v>10000</v>
      </c>
      <c r="D33" s="68">
        <f t="shared" si="52"/>
        <v>10000</v>
      </c>
      <c r="E33" s="71">
        <f t="shared" si="0"/>
        <v>0</v>
      </c>
      <c r="F33" s="68">
        <v>10000</v>
      </c>
      <c r="G33" s="68">
        <v>10000</v>
      </c>
      <c r="H33" s="71">
        <f t="shared" si="1"/>
        <v>0</v>
      </c>
      <c r="I33" s="68">
        <v>10000</v>
      </c>
      <c r="J33" s="68">
        <v>10000</v>
      </c>
      <c r="K33" s="71">
        <f t="shared" si="2"/>
        <v>0</v>
      </c>
      <c r="L33" s="68">
        <f t="shared" si="53"/>
        <v>10000</v>
      </c>
      <c r="M33" s="68">
        <f t="shared" si="53"/>
        <v>10000</v>
      </c>
      <c r="N33" s="71">
        <f t="shared" si="3"/>
        <v>0</v>
      </c>
      <c r="O33" s="68">
        <v>5000</v>
      </c>
      <c r="P33" s="68">
        <v>5000</v>
      </c>
      <c r="Q33" s="71">
        <f t="shared" si="4"/>
        <v>0</v>
      </c>
      <c r="R33" s="68">
        <v>5000</v>
      </c>
      <c r="S33" s="68">
        <v>5000</v>
      </c>
      <c r="T33" s="71">
        <f t="shared" si="5"/>
        <v>0</v>
      </c>
      <c r="U33" s="68">
        <v>5000</v>
      </c>
      <c r="V33" s="68">
        <v>5000</v>
      </c>
      <c r="W33" s="71">
        <f t="shared" si="6"/>
        <v>0</v>
      </c>
      <c r="X33" s="68">
        <v>10000</v>
      </c>
      <c r="Y33" s="68">
        <v>10000</v>
      </c>
      <c r="Z33" s="71">
        <f t="shared" si="7"/>
        <v>0</v>
      </c>
      <c r="AA33" s="68"/>
      <c r="AB33" s="68"/>
      <c r="AC33" s="71">
        <f t="shared" si="8"/>
        <v>0</v>
      </c>
      <c r="AD33" s="68"/>
      <c r="AE33" s="68"/>
      <c r="AF33" s="71">
        <f t="shared" si="9"/>
        <v>0</v>
      </c>
      <c r="AG33" s="68">
        <v>540000</v>
      </c>
      <c r="AH33" s="68">
        <f>540000-1000+492-30000+14795</f>
        <v>524287</v>
      </c>
      <c r="AI33" s="71">
        <f t="shared" si="10"/>
        <v>-15713</v>
      </c>
      <c r="AJ33" s="68"/>
      <c r="AK33" s="68"/>
      <c r="AL33" s="71">
        <f t="shared" si="11"/>
        <v>0</v>
      </c>
      <c r="AM33" s="68"/>
      <c r="AN33" s="68"/>
      <c r="AO33" s="71">
        <f t="shared" si="12"/>
        <v>0</v>
      </c>
      <c r="AP33" s="68"/>
      <c r="AQ33" s="68"/>
      <c r="AR33" s="71">
        <f t="shared" si="13"/>
        <v>0</v>
      </c>
      <c r="AS33" s="68"/>
      <c r="AT33" s="68"/>
      <c r="AU33" s="71">
        <f t="shared" si="14"/>
        <v>0</v>
      </c>
      <c r="AV33" s="68"/>
      <c r="AW33" s="68"/>
      <c r="AX33" s="71">
        <f t="shared" si="15"/>
        <v>0</v>
      </c>
      <c r="AY33" s="68"/>
      <c r="AZ33" s="68"/>
      <c r="BA33" s="71">
        <f t="shared" si="16"/>
        <v>0</v>
      </c>
      <c r="BB33" s="68"/>
      <c r="BC33" s="68"/>
      <c r="BD33" s="71">
        <f t="shared" si="17"/>
        <v>0</v>
      </c>
      <c r="BE33" s="68"/>
      <c r="BF33" s="68"/>
      <c r="BG33" s="71">
        <f t="shared" si="18"/>
        <v>0</v>
      </c>
      <c r="BH33" s="68"/>
      <c r="BI33" s="68"/>
      <c r="BJ33" s="71">
        <f t="shared" si="19"/>
        <v>0</v>
      </c>
      <c r="BK33" s="68"/>
      <c r="BL33" s="68"/>
      <c r="BM33" s="71">
        <f t="shared" si="20"/>
        <v>0</v>
      </c>
      <c r="BN33" s="68"/>
      <c r="BO33" s="68"/>
      <c r="BP33" s="71">
        <f t="shared" si="60"/>
        <v>0</v>
      </c>
      <c r="BQ33" s="68"/>
      <c r="BR33" s="68"/>
      <c r="BS33" s="71">
        <f t="shared" si="22"/>
        <v>0</v>
      </c>
      <c r="BT33" s="68"/>
      <c r="BU33" s="68"/>
      <c r="BV33" s="71">
        <f t="shared" si="23"/>
        <v>0</v>
      </c>
      <c r="BW33" s="68"/>
      <c r="BX33" s="68"/>
      <c r="BY33" s="71">
        <f t="shared" si="24"/>
        <v>0</v>
      </c>
      <c r="BZ33" s="68"/>
      <c r="CA33" s="68"/>
      <c r="CB33" s="71">
        <f t="shared" si="25"/>
        <v>0</v>
      </c>
      <c r="CC33" s="68"/>
      <c r="CD33" s="68"/>
      <c r="CE33" s="71">
        <f t="shared" si="26"/>
        <v>0</v>
      </c>
      <c r="CF33" s="68"/>
      <c r="CG33" s="68"/>
      <c r="CH33" s="71">
        <f t="shared" si="27"/>
        <v>0</v>
      </c>
      <c r="CI33" s="68"/>
      <c r="CJ33" s="68"/>
      <c r="CK33" s="71">
        <f t="shared" si="28"/>
        <v>0</v>
      </c>
      <c r="CL33" s="68"/>
      <c r="CM33" s="68"/>
      <c r="CN33" s="71">
        <f t="shared" si="29"/>
        <v>0</v>
      </c>
      <c r="CO33" s="68"/>
      <c r="CP33" s="68"/>
      <c r="CQ33" s="71">
        <f t="shared" si="30"/>
        <v>0</v>
      </c>
      <c r="CR33" s="68"/>
      <c r="CS33" s="68"/>
      <c r="CT33" s="71">
        <f t="shared" si="31"/>
        <v>0</v>
      </c>
      <c r="CU33" s="68"/>
      <c r="CV33" s="68"/>
      <c r="CW33" s="71">
        <f t="shared" si="32"/>
        <v>0</v>
      </c>
      <c r="CX33" s="68"/>
      <c r="CY33" s="68"/>
      <c r="CZ33" s="71">
        <f t="shared" si="33"/>
        <v>0</v>
      </c>
      <c r="DA33" s="68"/>
      <c r="DB33" s="68"/>
      <c r="DC33" s="71">
        <f t="shared" si="34"/>
        <v>0</v>
      </c>
      <c r="DD33" s="68"/>
      <c r="DE33" s="68"/>
      <c r="DF33" s="71">
        <f t="shared" si="35"/>
        <v>0</v>
      </c>
      <c r="DG33" s="68"/>
      <c r="DH33" s="68"/>
      <c r="DI33" s="71">
        <f t="shared" si="36"/>
        <v>0</v>
      </c>
      <c r="DJ33" s="68"/>
      <c r="DK33" s="68"/>
      <c r="DL33" s="71">
        <f t="shared" si="37"/>
        <v>0</v>
      </c>
      <c r="DM33" s="68"/>
      <c r="DN33" s="68"/>
      <c r="DO33" s="71">
        <f t="shared" si="38"/>
        <v>0</v>
      </c>
      <c r="DP33" s="68"/>
      <c r="DQ33" s="68"/>
      <c r="DR33" s="71">
        <f t="shared" si="61"/>
        <v>0</v>
      </c>
      <c r="DS33" s="68"/>
      <c r="DT33" s="68"/>
      <c r="DU33" s="71">
        <f t="shared" si="62"/>
        <v>0</v>
      </c>
      <c r="DV33" s="68"/>
      <c r="DW33" s="68"/>
      <c r="DX33" s="71">
        <f t="shared" si="41"/>
        <v>0</v>
      </c>
      <c r="DY33" s="68"/>
      <c r="DZ33" s="68"/>
      <c r="EA33" s="71">
        <f t="shared" si="63"/>
        <v>0</v>
      </c>
      <c r="EB33" s="68"/>
      <c r="EC33" s="68"/>
      <c r="ED33" s="71">
        <f t="shared" si="43"/>
        <v>0</v>
      </c>
      <c r="EE33" s="68"/>
      <c r="EF33" s="68"/>
      <c r="EG33" s="71">
        <f t="shared" si="44"/>
        <v>0</v>
      </c>
      <c r="EH33" s="68"/>
      <c r="EI33" s="68"/>
      <c r="EJ33" s="71">
        <f t="shared" si="45"/>
        <v>0</v>
      </c>
      <c r="EK33" s="68"/>
      <c r="EL33" s="68"/>
      <c r="EM33" s="71">
        <f t="shared" si="46"/>
        <v>0</v>
      </c>
      <c r="EN33" s="68"/>
      <c r="EO33" s="68"/>
      <c r="EP33" s="71">
        <f t="shared" si="47"/>
        <v>0</v>
      </c>
      <c r="EQ33" s="71">
        <f t="shared" si="48"/>
        <v>605000</v>
      </c>
      <c r="ER33" s="71">
        <f t="shared" si="49"/>
        <v>589287</v>
      </c>
      <c r="ES33" s="71">
        <f t="shared" si="50"/>
        <v>-15713</v>
      </c>
      <c r="ET33" s="68">
        <f t="shared" si="57"/>
        <v>-154909</v>
      </c>
      <c r="EU33" s="73"/>
      <c r="EV33" s="71">
        <f t="shared" si="54"/>
        <v>65000</v>
      </c>
      <c r="EW33" s="71">
        <f t="shared" si="51"/>
        <v>65000</v>
      </c>
      <c r="EX33" s="68">
        <f t="shared" si="55"/>
        <v>0</v>
      </c>
      <c r="EY33" s="68">
        <f t="shared" si="58"/>
        <v>-68773</v>
      </c>
      <c r="EZ33" s="73"/>
      <c r="FA33" s="68">
        <f t="shared" si="56"/>
        <v>-15713</v>
      </c>
      <c r="FB33" s="68">
        <f t="shared" si="59"/>
        <v>-86136</v>
      </c>
      <c r="FC33" s="73"/>
      <c r="FD33" s="73"/>
      <c r="FE33" s="73"/>
      <c r="FF33" s="73"/>
      <c r="FG33" s="73"/>
      <c r="FH33" s="73"/>
      <c r="FI33" s="73"/>
    </row>
    <row r="34" spans="1:245" x14ac:dyDescent="0.25">
      <c r="A34" s="67">
        <f>+BaseloadMarkets!A34</f>
        <v>36706</v>
      </c>
      <c r="B34" s="67" t="str">
        <f>+BaseloadMarkets!B34</f>
        <v>Thu</v>
      </c>
      <c r="C34" s="68">
        <f t="shared" si="52"/>
        <v>10000</v>
      </c>
      <c r="D34" s="68">
        <f t="shared" si="52"/>
        <v>10000</v>
      </c>
      <c r="E34" s="71">
        <f t="shared" si="0"/>
        <v>0</v>
      </c>
      <c r="F34" s="68">
        <v>10000</v>
      </c>
      <c r="G34" s="68">
        <v>10000</v>
      </c>
      <c r="H34" s="71">
        <f t="shared" si="1"/>
        <v>0</v>
      </c>
      <c r="I34" s="68">
        <v>10000</v>
      </c>
      <c r="J34" s="68">
        <v>10000</v>
      </c>
      <c r="K34" s="71">
        <f t="shared" si="2"/>
        <v>0</v>
      </c>
      <c r="L34" s="68">
        <f t="shared" si="53"/>
        <v>10000</v>
      </c>
      <c r="M34" s="68">
        <f t="shared" si="53"/>
        <v>10000</v>
      </c>
      <c r="N34" s="71">
        <f t="shared" si="3"/>
        <v>0</v>
      </c>
      <c r="O34" s="68">
        <v>5000</v>
      </c>
      <c r="P34" s="68">
        <v>5000</v>
      </c>
      <c r="Q34" s="71">
        <f t="shared" si="4"/>
        <v>0</v>
      </c>
      <c r="R34" s="68">
        <v>5000</v>
      </c>
      <c r="S34" s="68">
        <v>5000</v>
      </c>
      <c r="T34" s="71">
        <f t="shared" si="5"/>
        <v>0</v>
      </c>
      <c r="U34" s="68">
        <v>5000</v>
      </c>
      <c r="V34" s="68">
        <v>5000</v>
      </c>
      <c r="W34" s="71">
        <f t="shared" si="6"/>
        <v>0</v>
      </c>
      <c r="X34" s="68">
        <v>10000</v>
      </c>
      <c r="Y34" s="68">
        <v>10000</v>
      </c>
      <c r="Z34" s="71">
        <f t="shared" si="7"/>
        <v>0</v>
      </c>
      <c r="AA34" s="68"/>
      <c r="AB34" s="68"/>
      <c r="AC34" s="71">
        <f t="shared" si="8"/>
        <v>0</v>
      </c>
      <c r="AD34" s="68"/>
      <c r="AE34" s="68"/>
      <c r="AF34" s="71">
        <f t="shared" si="9"/>
        <v>0</v>
      </c>
      <c r="AG34" s="68">
        <v>505000</v>
      </c>
      <c r="AH34" s="68">
        <f>505000-6000+3435</f>
        <v>502435</v>
      </c>
      <c r="AI34" s="71">
        <f t="shared" si="10"/>
        <v>-2565</v>
      </c>
      <c r="AJ34" s="68"/>
      <c r="AK34" s="68"/>
      <c r="AL34" s="71">
        <f t="shared" si="11"/>
        <v>0</v>
      </c>
      <c r="AM34" s="68"/>
      <c r="AN34" s="68"/>
      <c r="AO34" s="71">
        <f t="shared" si="12"/>
        <v>0</v>
      </c>
      <c r="AP34" s="68"/>
      <c r="AQ34" s="68"/>
      <c r="AR34" s="71">
        <f t="shared" si="13"/>
        <v>0</v>
      </c>
      <c r="AS34" s="68"/>
      <c r="AT34" s="68"/>
      <c r="AU34" s="71">
        <f t="shared" si="14"/>
        <v>0</v>
      </c>
      <c r="AV34" s="68"/>
      <c r="AW34" s="68"/>
      <c r="AX34" s="71">
        <f t="shared" si="15"/>
        <v>0</v>
      </c>
      <c r="AY34" s="68"/>
      <c r="AZ34" s="68"/>
      <c r="BA34" s="71">
        <f t="shared" si="16"/>
        <v>0</v>
      </c>
      <c r="BB34" s="68"/>
      <c r="BC34" s="68"/>
      <c r="BD34" s="71">
        <f t="shared" si="17"/>
        <v>0</v>
      </c>
      <c r="BE34" s="68"/>
      <c r="BF34" s="68"/>
      <c r="BG34" s="71">
        <f t="shared" si="18"/>
        <v>0</v>
      </c>
      <c r="BH34" s="68"/>
      <c r="BI34" s="68"/>
      <c r="BJ34" s="71">
        <f t="shared" si="19"/>
        <v>0</v>
      </c>
      <c r="BK34" s="68"/>
      <c r="BL34" s="68"/>
      <c r="BM34" s="71">
        <f t="shared" si="20"/>
        <v>0</v>
      </c>
      <c r="BN34" s="68"/>
      <c r="BO34" s="68"/>
      <c r="BP34" s="71">
        <f t="shared" si="60"/>
        <v>0</v>
      </c>
      <c r="BQ34" s="68"/>
      <c r="BR34" s="68"/>
      <c r="BS34" s="71">
        <f t="shared" si="22"/>
        <v>0</v>
      </c>
      <c r="BT34" s="68"/>
      <c r="BU34" s="68"/>
      <c r="BV34" s="71">
        <f t="shared" si="23"/>
        <v>0</v>
      </c>
      <c r="BW34" s="68"/>
      <c r="BX34" s="68"/>
      <c r="BY34" s="71">
        <f t="shared" si="24"/>
        <v>0</v>
      </c>
      <c r="BZ34" s="68"/>
      <c r="CA34" s="68"/>
      <c r="CB34" s="71">
        <f t="shared" si="25"/>
        <v>0</v>
      </c>
      <c r="CC34" s="68"/>
      <c r="CD34" s="68"/>
      <c r="CE34" s="71">
        <f t="shared" si="26"/>
        <v>0</v>
      </c>
      <c r="CF34" s="68"/>
      <c r="CG34" s="68"/>
      <c r="CH34" s="71">
        <f t="shared" si="27"/>
        <v>0</v>
      </c>
      <c r="CI34" s="68"/>
      <c r="CJ34" s="68"/>
      <c r="CK34" s="71">
        <f t="shared" si="28"/>
        <v>0</v>
      </c>
      <c r="CL34" s="68"/>
      <c r="CM34" s="68"/>
      <c r="CN34" s="71">
        <f t="shared" si="29"/>
        <v>0</v>
      </c>
      <c r="CO34" s="68"/>
      <c r="CP34" s="68"/>
      <c r="CQ34" s="71">
        <f t="shared" si="30"/>
        <v>0</v>
      </c>
      <c r="CR34" s="68"/>
      <c r="CS34" s="68"/>
      <c r="CT34" s="71">
        <f t="shared" si="31"/>
        <v>0</v>
      </c>
      <c r="CU34" s="68"/>
      <c r="CV34" s="68"/>
      <c r="CW34" s="71">
        <f t="shared" si="32"/>
        <v>0</v>
      </c>
      <c r="CX34" s="68"/>
      <c r="CY34" s="68"/>
      <c r="CZ34" s="71">
        <f t="shared" si="33"/>
        <v>0</v>
      </c>
      <c r="DA34" s="68"/>
      <c r="DB34" s="68"/>
      <c r="DC34" s="71">
        <f t="shared" si="34"/>
        <v>0</v>
      </c>
      <c r="DD34" s="68"/>
      <c r="DE34" s="68"/>
      <c r="DF34" s="71">
        <f t="shared" si="35"/>
        <v>0</v>
      </c>
      <c r="DG34" s="68"/>
      <c r="DH34" s="68"/>
      <c r="DI34" s="71">
        <f t="shared" si="36"/>
        <v>0</v>
      </c>
      <c r="DJ34" s="68"/>
      <c r="DK34" s="68"/>
      <c r="DL34" s="71">
        <f t="shared" si="37"/>
        <v>0</v>
      </c>
      <c r="DM34" s="68"/>
      <c r="DN34" s="68"/>
      <c r="DO34" s="71">
        <f t="shared" si="38"/>
        <v>0</v>
      </c>
      <c r="DP34" s="68"/>
      <c r="DQ34" s="68"/>
      <c r="DR34" s="71">
        <f t="shared" si="61"/>
        <v>0</v>
      </c>
      <c r="DS34" s="68"/>
      <c r="DT34" s="68"/>
      <c r="DU34" s="71">
        <f t="shared" si="62"/>
        <v>0</v>
      </c>
      <c r="DV34" s="68"/>
      <c r="DW34" s="68"/>
      <c r="DX34" s="71">
        <f t="shared" si="41"/>
        <v>0</v>
      </c>
      <c r="DY34" s="68"/>
      <c r="DZ34" s="68"/>
      <c r="EA34" s="71">
        <f t="shared" si="63"/>
        <v>0</v>
      </c>
      <c r="EB34" s="68"/>
      <c r="EC34" s="68"/>
      <c r="ED34" s="71">
        <f t="shared" si="43"/>
        <v>0</v>
      </c>
      <c r="EE34" s="68"/>
      <c r="EF34" s="68"/>
      <c r="EG34" s="71">
        <f t="shared" si="44"/>
        <v>0</v>
      </c>
      <c r="EH34" s="68"/>
      <c r="EI34" s="68"/>
      <c r="EJ34" s="71">
        <f t="shared" si="45"/>
        <v>0</v>
      </c>
      <c r="EK34" s="68"/>
      <c r="EL34" s="68"/>
      <c r="EM34" s="71">
        <f t="shared" si="46"/>
        <v>0</v>
      </c>
      <c r="EN34" s="68"/>
      <c r="EO34" s="68"/>
      <c r="EP34" s="71">
        <f t="shared" si="47"/>
        <v>0</v>
      </c>
      <c r="EQ34" s="71">
        <f t="shared" si="48"/>
        <v>570000</v>
      </c>
      <c r="ER34" s="71">
        <f t="shared" si="49"/>
        <v>567435</v>
      </c>
      <c r="ES34" s="71">
        <f t="shared" si="50"/>
        <v>-2565</v>
      </c>
      <c r="ET34" s="68">
        <f t="shared" si="57"/>
        <v>-157474</v>
      </c>
      <c r="EU34" s="73"/>
      <c r="EV34" s="71">
        <f t="shared" si="54"/>
        <v>65000</v>
      </c>
      <c r="EW34" s="71">
        <f t="shared" si="51"/>
        <v>65000</v>
      </c>
      <c r="EX34" s="68">
        <f t="shared" si="55"/>
        <v>0</v>
      </c>
      <c r="EY34" s="68">
        <f t="shared" si="58"/>
        <v>-68773</v>
      </c>
      <c r="EZ34" s="73"/>
      <c r="FA34" s="68">
        <f t="shared" si="56"/>
        <v>-2565</v>
      </c>
      <c r="FB34" s="68">
        <f t="shared" si="59"/>
        <v>-88701</v>
      </c>
      <c r="FC34" s="73"/>
      <c r="FD34" s="73"/>
      <c r="FE34" s="73"/>
      <c r="FF34" s="73"/>
      <c r="FG34" s="73"/>
      <c r="FH34" s="73"/>
      <c r="FI34" s="73"/>
    </row>
    <row r="35" spans="1:245" ht="12" customHeight="1" x14ac:dyDescent="0.25">
      <c r="A35" s="67">
        <f>+BaseloadMarkets!A35</f>
        <v>36707</v>
      </c>
      <c r="B35" s="67" t="str">
        <f>+BaseloadMarkets!B35</f>
        <v>Fri</v>
      </c>
      <c r="C35" s="68">
        <f t="shared" si="52"/>
        <v>10000</v>
      </c>
      <c r="D35" s="68">
        <f t="shared" si="52"/>
        <v>10000</v>
      </c>
      <c r="E35" s="71">
        <f t="shared" si="0"/>
        <v>0</v>
      </c>
      <c r="F35" s="68">
        <v>10000</v>
      </c>
      <c r="G35" s="68">
        <v>10000</v>
      </c>
      <c r="H35" s="71">
        <f t="shared" si="1"/>
        <v>0</v>
      </c>
      <c r="I35" s="68">
        <v>10000</v>
      </c>
      <c r="J35" s="68">
        <v>10000</v>
      </c>
      <c r="K35" s="71">
        <f t="shared" si="2"/>
        <v>0</v>
      </c>
      <c r="L35" s="68">
        <f t="shared" si="53"/>
        <v>10000</v>
      </c>
      <c r="M35" s="68">
        <f t="shared" si="53"/>
        <v>10000</v>
      </c>
      <c r="N35" s="71">
        <f t="shared" si="3"/>
        <v>0</v>
      </c>
      <c r="O35" s="68">
        <v>5000</v>
      </c>
      <c r="P35" s="68">
        <v>5000</v>
      </c>
      <c r="Q35" s="71">
        <f t="shared" si="4"/>
        <v>0</v>
      </c>
      <c r="R35" s="68">
        <v>5000</v>
      </c>
      <c r="S35" s="68">
        <v>5000</v>
      </c>
      <c r="T35" s="71">
        <f t="shared" si="5"/>
        <v>0</v>
      </c>
      <c r="U35" s="68">
        <v>5000</v>
      </c>
      <c r="V35" s="68">
        <v>5000</v>
      </c>
      <c r="W35" s="71">
        <f t="shared" si="6"/>
        <v>0</v>
      </c>
      <c r="X35" s="68">
        <v>10000</v>
      </c>
      <c r="Y35" s="68">
        <v>10000</v>
      </c>
      <c r="Z35" s="71">
        <f t="shared" si="7"/>
        <v>0</v>
      </c>
      <c r="AA35" s="68"/>
      <c r="AB35" s="68"/>
      <c r="AC35" s="71">
        <f t="shared" si="8"/>
        <v>0</v>
      </c>
      <c r="AD35" s="68"/>
      <c r="AE35" s="68"/>
      <c r="AF35" s="71">
        <f t="shared" si="9"/>
        <v>0</v>
      </c>
      <c r="AG35" s="68">
        <v>140000</v>
      </c>
      <c r="AH35" s="68">
        <v>140000</v>
      </c>
      <c r="AI35" s="71">
        <f t="shared" si="10"/>
        <v>0</v>
      </c>
      <c r="AJ35" s="68"/>
      <c r="AK35" s="68"/>
      <c r="AL35" s="71">
        <f t="shared" si="11"/>
        <v>0</v>
      </c>
      <c r="AM35" s="68"/>
      <c r="AN35" s="68"/>
      <c r="AO35" s="71">
        <f t="shared" si="12"/>
        <v>0</v>
      </c>
      <c r="AP35" s="68"/>
      <c r="AQ35" s="68"/>
      <c r="AR35" s="71">
        <f t="shared" si="13"/>
        <v>0</v>
      </c>
      <c r="AS35" s="68"/>
      <c r="AT35" s="68"/>
      <c r="AU35" s="71">
        <f t="shared" si="14"/>
        <v>0</v>
      </c>
      <c r="AV35" s="68"/>
      <c r="AW35" s="68"/>
      <c r="AX35" s="71">
        <f t="shared" si="15"/>
        <v>0</v>
      </c>
      <c r="AY35" s="68"/>
      <c r="AZ35" s="68"/>
      <c r="BA35" s="71">
        <f t="shared" si="16"/>
        <v>0</v>
      </c>
      <c r="BB35" s="68"/>
      <c r="BC35" s="68"/>
      <c r="BD35" s="71">
        <f t="shared" si="17"/>
        <v>0</v>
      </c>
      <c r="BE35" s="68"/>
      <c r="BF35" s="68"/>
      <c r="BG35" s="71">
        <f t="shared" si="18"/>
        <v>0</v>
      </c>
      <c r="BH35" s="68"/>
      <c r="BI35" s="68"/>
      <c r="BJ35" s="71">
        <f t="shared" si="19"/>
        <v>0</v>
      </c>
      <c r="BK35" s="68"/>
      <c r="BL35" s="68"/>
      <c r="BM35" s="71">
        <f t="shared" si="20"/>
        <v>0</v>
      </c>
      <c r="BN35" s="68"/>
      <c r="BO35" s="68"/>
      <c r="BP35" s="71">
        <f t="shared" si="60"/>
        <v>0</v>
      </c>
      <c r="BQ35" s="68"/>
      <c r="BR35" s="68"/>
      <c r="BS35" s="71">
        <f t="shared" si="22"/>
        <v>0</v>
      </c>
      <c r="BT35" s="68"/>
      <c r="BU35" s="68"/>
      <c r="BV35" s="71">
        <f t="shared" si="23"/>
        <v>0</v>
      </c>
      <c r="BW35" s="68"/>
      <c r="BX35" s="68"/>
      <c r="BY35" s="71">
        <f t="shared" si="24"/>
        <v>0</v>
      </c>
      <c r="BZ35" s="68"/>
      <c r="CA35" s="68"/>
      <c r="CB35" s="71">
        <f t="shared" si="25"/>
        <v>0</v>
      </c>
      <c r="CC35" s="68"/>
      <c r="CD35" s="68"/>
      <c r="CE35" s="71">
        <f t="shared" si="26"/>
        <v>0</v>
      </c>
      <c r="CF35" s="68"/>
      <c r="CG35" s="68"/>
      <c r="CH35" s="71">
        <f t="shared" si="27"/>
        <v>0</v>
      </c>
      <c r="CI35" s="68"/>
      <c r="CJ35" s="68"/>
      <c r="CK35" s="71">
        <f t="shared" si="28"/>
        <v>0</v>
      </c>
      <c r="CL35" s="68"/>
      <c r="CM35" s="68"/>
      <c r="CN35" s="71">
        <f t="shared" si="29"/>
        <v>0</v>
      </c>
      <c r="CO35" s="68"/>
      <c r="CP35" s="68"/>
      <c r="CQ35" s="71">
        <f t="shared" si="30"/>
        <v>0</v>
      </c>
      <c r="CR35" s="68"/>
      <c r="CS35" s="68"/>
      <c r="CT35" s="71">
        <f t="shared" si="31"/>
        <v>0</v>
      </c>
      <c r="CU35" s="68"/>
      <c r="CV35" s="68"/>
      <c r="CW35" s="71">
        <f t="shared" si="32"/>
        <v>0</v>
      </c>
      <c r="CX35" s="68"/>
      <c r="CY35" s="68"/>
      <c r="CZ35" s="71">
        <f t="shared" si="33"/>
        <v>0</v>
      </c>
      <c r="DA35" s="68"/>
      <c r="DB35" s="68"/>
      <c r="DC35" s="71">
        <f t="shared" si="34"/>
        <v>0</v>
      </c>
      <c r="DD35" s="68"/>
      <c r="DE35" s="68"/>
      <c r="DF35" s="71">
        <f t="shared" si="35"/>
        <v>0</v>
      </c>
      <c r="DG35" s="68"/>
      <c r="DH35" s="68"/>
      <c r="DI35" s="71">
        <f t="shared" si="36"/>
        <v>0</v>
      </c>
      <c r="DJ35" s="68"/>
      <c r="DK35" s="68"/>
      <c r="DL35" s="71">
        <f t="shared" si="37"/>
        <v>0</v>
      </c>
      <c r="DM35" s="68"/>
      <c r="DN35" s="68"/>
      <c r="DO35" s="71">
        <f t="shared" si="38"/>
        <v>0</v>
      </c>
      <c r="DP35" s="68"/>
      <c r="DQ35" s="68"/>
      <c r="DR35" s="71">
        <f t="shared" si="61"/>
        <v>0</v>
      </c>
      <c r="DS35" s="68"/>
      <c r="DT35" s="68"/>
      <c r="DU35" s="71">
        <f t="shared" si="62"/>
        <v>0</v>
      </c>
      <c r="DV35" s="68"/>
      <c r="DW35" s="68"/>
      <c r="DX35" s="71">
        <f t="shared" si="41"/>
        <v>0</v>
      </c>
      <c r="DY35" s="68"/>
      <c r="DZ35" s="68"/>
      <c r="EA35" s="71">
        <f t="shared" si="63"/>
        <v>0</v>
      </c>
      <c r="EB35" s="68"/>
      <c r="EC35" s="68"/>
      <c r="ED35" s="71">
        <f t="shared" si="43"/>
        <v>0</v>
      </c>
      <c r="EE35" s="68"/>
      <c r="EF35" s="68"/>
      <c r="EG35" s="71">
        <f t="shared" si="44"/>
        <v>0</v>
      </c>
      <c r="EH35" s="68"/>
      <c r="EI35" s="68"/>
      <c r="EJ35" s="71">
        <f t="shared" si="45"/>
        <v>0</v>
      </c>
      <c r="EK35" s="68"/>
      <c r="EL35" s="68"/>
      <c r="EM35" s="71">
        <f t="shared" si="46"/>
        <v>0</v>
      </c>
      <c r="EN35" s="68"/>
      <c r="EO35" s="68"/>
      <c r="EP35" s="71">
        <f t="shared" si="47"/>
        <v>0</v>
      </c>
      <c r="EQ35" s="71">
        <f t="shared" si="48"/>
        <v>205000</v>
      </c>
      <c r="ER35" s="71">
        <f t="shared" si="49"/>
        <v>205000</v>
      </c>
      <c r="ES35" s="71">
        <f t="shared" si="50"/>
        <v>0</v>
      </c>
      <c r="ET35" s="68">
        <f t="shared" si="57"/>
        <v>-157474</v>
      </c>
      <c r="EU35" s="73"/>
      <c r="EV35" s="71">
        <f t="shared" si="54"/>
        <v>65000</v>
      </c>
      <c r="EW35" s="71">
        <f t="shared" si="51"/>
        <v>65000</v>
      </c>
      <c r="EX35" s="68">
        <f t="shared" si="55"/>
        <v>0</v>
      </c>
      <c r="EY35" s="68">
        <f t="shared" si="58"/>
        <v>-68773</v>
      </c>
      <c r="EZ35" s="73"/>
      <c r="FA35" s="68">
        <f t="shared" si="56"/>
        <v>0</v>
      </c>
      <c r="FB35" s="68">
        <f t="shared" si="59"/>
        <v>-88701</v>
      </c>
      <c r="FC35" s="73"/>
      <c r="FD35" s="73"/>
      <c r="FE35" s="73"/>
      <c r="FF35" s="73"/>
      <c r="FG35" s="73"/>
      <c r="FH35" s="73"/>
      <c r="FI35" s="73"/>
    </row>
    <row r="36" spans="1:245" ht="12" customHeight="1" x14ac:dyDescent="0.25">
      <c r="A36" s="67"/>
      <c r="B36" s="67"/>
      <c r="C36" s="68"/>
      <c r="D36" s="68"/>
      <c r="E36" s="71"/>
      <c r="F36" s="68"/>
      <c r="G36" s="68"/>
      <c r="H36" s="71"/>
      <c r="I36" s="68"/>
      <c r="J36" s="68"/>
      <c r="K36" s="71"/>
      <c r="L36" s="68"/>
      <c r="M36" s="68"/>
      <c r="N36" s="71"/>
      <c r="O36" s="68"/>
      <c r="P36" s="68"/>
      <c r="Q36" s="71"/>
      <c r="R36" s="68"/>
      <c r="S36" s="68"/>
      <c r="T36" s="71"/>
      <c r="U36" s="68"/>
      <c r="V36" s="68"/>
      <c r="W36" s="71"/>
      <c r="X36" s="68"/>
      <c r="Y36" s="68"/>
      <c r="Z36" s="71"/>
      <c r="AA36" s="68"/>
      <c r="AB36" s="68"/>
      <c r="AC36" s="71"/>
      <c r="AD36" s="68"/>
      <c r="AE36" s="68"/>
      <c r="AF36" s="71"/>
      <c r="AG36" s="68"/>
      <c r="AH36" s="68"/>
      <c r="AI36" s="71"/>
      <c r="AJ36" s="68"/>
      <c r="AK36" s="68"/>
      <c r="AL36" s="71"/>
      <c r="AM36" s="68"/>
      <c r="AN36" s="68"/>
      <c r="AO36" s="71"/>
      <c r="AP36" s="68"/>
      <c r="AQ36" s="68"/>
      <c r="AR36" s="71"/>
      <c r="AS36" s="68"/>
      <c r="AT36" s="68"/>
      <c r="AU36" s="71"/>
      <c r="AV36" s="68"/>
      <c r="AW36" s="68"/>
      <c r="AX36" s="71"/>
      <c r="AY36" s="68"/>
      <c r="AZ36" s="68"/>
      <c r="BA36" s="71"/>
      <c r="BB36" s="68"/>
      <c r="BC36" s="68"/>
      <c r="BD36" s="71"/>
      <c r="BE36" s="68"/>
      <c r="BF36" s="68"/>
      <c r="BG36" s="71"/>
      <c r="BH36" s="68"/>
      <c r="BI36" s="68"/>
      <c r="BJ36" s="71"/>
      <c r="BK36" s="68"/>
      <c r="BL36" s="68"/>
      <c r="BM36" s="71"/>
      <c r="BN36" s="68"/>
      <c r="BO36" s="68"/>
      <c r="BP36" s="71"/>
      <c r="BQ36" s="68"/>
      <c r="BR36" s="68"/>
      <c r="BS36" s="71"/>
      <c r="BT36" s="68"/>
      <c r="BU36" s="68"/>
      <c r="BV36" s="71"/>
      <c r="BW36" s="68"/>
      <c r="BX36" s="68"/>
      <c r="BY36" s="71"/>
      <c r="BZ36" s="68"/>
      <c r="CA36" s="68"/>
      <c r="CB36" s="71"/>
      <c r="CC36" s="68"/>
      <c r="CD36" s="68"/>
      <c r="CE36" s="71"/>
      <c r="CF36" s="68"/>
      <c r="CG36" s="68"/>
      <c r="CH36" s="71"/>
      <c r="CI36" s="68"/>
      <c r="CJ36" s="68"/>
      <c r="CK36" s="71"/>
      <c r="CL36" s="68"/>
      <c r="CM36" s="68"/>
      <c r="CN36" s="71"/>
      <c r="CO36" s="68"/>
      <c r="CP36" s="68"/>
      <c r="CQ36" s="71"/>
      <c r="CR36" s="68"/>
      <c r="CS36" s="68"/>
      <c r="CT36" s="71"/>
      <c r="CU36" s="68"/>
      <c r="CV36" s="68"/>
      <c r="CW36" s="71"/>
      <c r="CX36" s="68"/>
      <c r="CY36" s="68"/>
      <c r="CZ36" s="71"/>
      <c r="DA36" s="68"/>
      <c r="DB36" s="68"/>
      <c r="DC36" s="71"/>
      <c r="DD36" s="68"/>
      <c r="DE36" s="68"/>
      <c r="DF36" s="71"/>
      <c r="DG36" s="68"/>
      <c r="DH36" s="68"/>
      <c r="DI36" s="71"/>
      <c r="DJ36" s="68"/>
      <c r="DK36" s="68"/>
      <c r="DL36" s="71"/>
      <c r="DM36" s="68"/>
      <c r="DN36" s="68"/>
      <c r="DO36" s="71"/>
      <c r="DP36" s="68"/>
      <c r="DQ36" s="68"/>
      <c r="DR36" s="71"/>
      <c r="DS36" s="68"/>
      <c r="DT36" s="68"/>
      <c r="DU36" s="71"/>
      <c r="DV36" s="68"/>
      <c r="DW36" s="68"/>
      <c r="DX36" s="71"/>
      <c r="DY36" s="68"/>
      <c r="DZ36" s="68"/>
      <c r="EA36" s="71"/>
      <c r="EB36" s="68"/>
      <c r="EC36" s="68"/>
      <c r="ED36" s="71"/>
      <c r="EE36" s="68"/>
      <c r="EF36" s="68"/>
      <c r="EG36" s="71"/>
      <c r="EH36" s="68"/>
      <c r="EI36" s="68"/>
      <c r="EJ36" s="71"/>
      <c r="EK36" s="68"/>
      <c r="EL36" s="68"/>
      <c r="EM36" s="71"/>
      <c r="EN36" s="68"/>
      <c r="EO36" s="68"/>
      <c r="EP36" s="71"/>
      <c r="EQ36" s="71"/>
      <c r="ER36" s="71"/>
      <c r="ES36" s="71"/>
      <c r="ET36" s="68"/>
      <c r="EU36" s="73"/>
      <c r="EV36" s="73"/>
      <c r="EW36" s="80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</row>
    <row r="37" spans="1:245" s="85" customFormat="1" x14ac:dyDescent="0.25">
      <c r="A37" s="81" t="s">
        <v>17</v>
      </c>
      <c r="B37" s="28"/>
      <c r="C37" s="19">
        <f t="shared" ref="C37:AH37" si="64">SUM(C6:C36)</f>
        <v>300000</v>
      </c>
      <c r="D37" s="19">
        <f t="shared" si="64"/>
        <v>300000</v>
      </c>
      <c r="E37" s="19">
        <f t="shared" si="64"/>
        <v>0</v>
      </c>
      <c r="F37" s="19">
        <f t="shared" si="64"/>
        <v>300000</v>
      </c>
      <c r="G37" s="19">
        <f t="shared" si="64"/>
        <v>284119</v>
      </c>
      <c r="H37" s="19">
        <f t="shared" si="64"/>
        <v>-15881</v>
      </c>
      <c r="I37" s="19">
        <f t="shared" si="64"/>
        <v>300000</v>
      </c>
      <c r="J37" s="19">
        <f t="shared" si="64"/>
        <v>285964</v>
      </c>
      <c r="K37" s="84">
        <f t="shared" si="64"/>
        <v>-14036</v>
      </c>
      <c r="L37" s="19">
        <f t="shared" si="64"/>
        <v>300000</v>
      </c>
      <c r="M37" s="19">
        <f t="shared" si="64"/>
        <v>300000</v>
      </c>
      <c r="N37" s="84">
        <f t="shared" si="64"/>
        <v>0</v>
      </c>
      <c r="O37" s="19">
        <f t="shared" si="64"/>
        <v>150000</v>
      </c>
      <c r="P37" s="19">
        <f t="shared" si="64"/>
        <v>119286</v>
      </c>
      <c r="Q37" s="84">
        <f t="shared" si="64"/>
        <v>-30714</v>
      </c>
      <c r="R37" s="19">
        <f t="shared" si="64"/>
        <v>150000</v>
      </c>
      <c r="S37" s="19">
        <f t="shared" si="64"/>
        <v>150000</v>
      </c>
      <c r="T37" s="84">
        <f t="shared" si="64"/>
        <v>0</v>
      </c>
      <c r="U37" s="19">
        <f t="shared" si="64"/>
        <v>150000</v>
      </c>
      <c r="V37" s="19">
        <f t="shared" si="64"/>
        <v>148229</v>
      </c>
      <c r="W37" s="84">
        <f t="shared" si="64"/>
        <v>-1771</v>
      </c>
      <c r="X37" s="19">
        <f t="shared" si="64"/>
        <v>300000</v>
      </c>
      <c r="Y37" s="19">
        <f t="shared" si="64"/>
        <v>293629</v>
      </c>
      <c r="Z37" s="84">
        <f t="shared" si="64"/>
        <v>-6371</v>
      </c>
      <c r="AA37" s="19">
        <f t="shared" si="64"/>
        <v>0</v>
      </c>
      <c r="AB37" s="19">
        <f t="shared" si="64"/>
        <v>0</v>
      </c>
      <c r="AC37" s="84">
        <f t="shared" si="64"/>
        <v>0</v>
      </c>
      <c r="AD37" s="19">
        <f t="shared" si="64"/>
        <v>0</v>
      </c>
      <c r="AE37" s="19">
        <f t="shared" si="64"/>
        <v>0</v>
      </c>
      <c r="AF37" s="84">
        <f t="shared" si="64"/>
        <v>0</v>
      </c>
      <c r="AG37" s="19">
        <f t="shared" si="64"/>
        <v>7504000</v>
      </c>
      <c r="AH37" s="19">
        <f t="shared" si="64"/>
        <v>7415299</v>
      </c>
      <c r="AI37" s="84">
        <f t="shared" ref="AI37:BN37" si="65">SUM(AI6:AI36)</f>
        <v>-88701</v>
      </c>
      <c r="AJ37" s="19">
        <f t="shared" si="65"/>
        <v>0</v>
      </c>
      <c r="AK37" s="19">
        <f t="shared" si="65"/>
        <v>0</v>
      </c>
      <c r="AL37" s="84">
        <f t="shared" si="65"/>
        <v>0</v>
      </c>
      <c r="AM37" s="19">
        <f t="shared" si="65"/>
        <v>0</v>
      </c>
      <c r="AN37" s="19">
        <f t="shared" si="65"/>
        <v>0</v>
      </c>
      <c r="AO37" s="84">
        <f t="shared" si="65"/>
        <v>0</v>
      </c>
      <c r="AP37" s="19">
        <f t="shared" si="65"/>
        <v>0</v>
      </c>
      <c r="AQ37" s="19">
        <f t="shared" si="65"/>
        <v>0</v>
      </c>
      <c r="AR37" s="84">
        <f t="shared" si="65"/>
        <v>0</v>
      </c>
      <c r="AS37" s="19">
        <f t="shared" si="65"/>
        <v>0</v>
      </c>
      <c r="AT37" s="19">
        <f t="shared" si="65"/>
        <v>0</v>
      </c>
      <c r="AU37" s="84">
        <f t="shared" si="65"/>
        <v>0</v>
      </c>
      <c r="AV37" s="19">
        <f t="shared" si="65"/>
        <v>0</v>
      </c>
      <c r="AW37" s="19">
        <f t="shared" si="65"/>
        <v>0</v>
      </c>
      <c r="AX37" s="84">
        <f t="shared" si="65"/>
        <v>0</v>
      </c>
      <c r="AY37" s="19">
        <f t="shared" si="65"/>
        <v>0</v>
      </c>
      <c r="AZ37" s="19">
        <f t="shared" si="65"/>
        <v>0</v>
      </c>
      <c r="BA37" s="84">
        <f t="shared" si="65"/>
        <v>0</v>
      </c>
      <c r="BB37" s="19">
        <f t="shared" si="65"/>
        <v>0</v>
      </c>
      <c r="BC37" s="19">
        <f t="shared" si="65"/>
        <v>0</v>
      </c>
      <c r="BD37" s="84">
        <f t="shared" si="65"/>
        <v>0</v>
      </c>
      <c r="BE37" s="19">
        <f t="shared" si="65"/>
        <v>0</v>
      </c>
      <c r="BF37" s="19">
        <f t="shared" si="65"/>
        <v>0</v>
      </c>
      <c r="BG37" s="19">
        <f t="shared" si="65"/>
        <v>0</v>
      </c>
      <c r="BH37" s="19">
        <f t="shared" si="65"/>
        <v>0</v>
      </c>
      <c r="BI37" s="19">
        <f t="shared" si="65"/>
        <v>0</v>
      </c>
      <c r="BJ37" s="84">
        <f t="shared" si="65"/>
        <v>0</v>
      </c>
      <c r="BK37" s="19">
        <f t="shared" si="65"/>
        <v>0</v>
      </c>
      <c r="BL37" s="19">
        <f t="shared" si="65"/>
        <v>0</v>
      </c>
      <c r="BM37" s="84">
        <f t="shared" si="65"/>
        <v>0</v>
      </c>
      <c r="BN37" s="19">
        <f t="shared" si="65"/>
        <v>0</v>
      </c>
      <c r="BO37" s="19">
        <f t="shared" ref="BO37:CT37" si="66">SUM(BO6:BO36)</f>
        <v>0</v>
      </c>
      <c r="BP37" s="84">
        <f t="shared" si="66"/>
        <v>0</v>
      </c>
      <c r="BQ37" s="19">
        <f t="shared" si="66"/>
        <v>0</v>
      </c>
      <c r="BR37" s="19">
        <f t="shared" si="66"/>
        <v>0</v>
      </c>
      <c r="BS37" s="84">
        <f t="shared" si="66"/>
        <v>0</v>
      </c>
      <c r="BT37" s="19">
        <f t="shared" si="66"/>
        <v>0</v>
      </c>
      <c r="BU37" s="19">
        <f t="shared" si="66"/>
        <v>0</v>
      </c>
      <c r="BV37" s="84">
        <f t="shared" si="66"/>
        <v>0</v>
      </c>
      <c r="BW37" s="19">
        <f t="shared" si="66"/>
        <v>0</v>
      </c>
      <c r="BX37" s="19">
        <f t="shared" si="66"/>
        <v>0</v>
      </c>
      <c r="BY37" s="84">
        <f t="shared" si="66"/>
        <v>0</v>
      </c>
      <c r="BZ37" s="19">
        <f t="shared" si="66"/>
        <v>0</v>
      </c>
      <c r="CA37" s="19">
        <f t="shared" si="66"/>
        <v>0</v>
      </c>
      <c r="CB37" s="84">
        <f t="shared" si="66"/>
        <v>0</v>
      </c>
      <c r="CC37" s="19">
        <f t="shared" si="66"/>
        <v>0</v>
      </c>
      <c r="CD37" s="19">
        <f t="shared" si="66"/>
        <v>0</v>
      </c>
      <c r="CE37" s="84">
        <f t="shared" si="66"/>
        <v>0</v>
      </c>
      <c r="CF37" s="19">
        <f t="shared" si="66"/>
        <v>0</v>
      </c>
      <c r="CG37" s="19">
        <f t="shared" si="66"/>
        <v>0</v>
      </c>
      <c r="CH37" s="84">
        <f t="shared" si="66"/>
        <v>0</v>
      </c>
      <c r="CI37" s="19">
        <f t="shared" si="66"/>
        <v>0</v>
      </c>
      <c r="CJ37" s="19">
        <f t="shared" si="66"/>
        <v>0</v>
      </c>
      <c r="CK37" s="84">
        <f t="shared" si="66"/>
        <v>0</v>
      </c>
      <c r="CL37" s="19">
        <f t="shared" si="66"/>
        <v>0</v>
      </c>
      <c r="CM37" s="19">
        <f t="shared" si="66"/>
        <v>0</v>
      </c>
      <c r="CN37" s="84">
        <f t="shared" si="66"/>
        <v>0</v>
      </c>
      <c r="CO37" s="19">
        <f t="shared" si="66"/>
        <v>0</v>
      </c>
      <c r="CP37" s="19">
        <f t="shared" si="66"/>
        <v>0</v>
      </c>
      <c r="CQ37" s="84">
        <f t="shared" si="66"/>
        <v>0</v>
      </c>
      <c r="CR37" s="19">
        <f t="shared" si="66"/>
        <v>0</v>
      </c>
      <c r="CS37" s="19">
        <f t="shared" si="66"/>
        <v>0</v>
      </c>
      <c r="CT37" s="84">
        <f t="shared" si="66"/>
        <v>0</v>
      </c>
      <c r="CU37" s="19">
        <f t="shared" ref="CU37:DZ37" si="67">SUM(CU6:CU36)</f>
        <v>0</v>
      </c>
      <c r="CV37" s="19">
        <f t="shared" si="67"/>
        <v>0</v>
      </c>
      <c r="CW37" s="84">
        <f t="shared" si="67"/>
        <v>0</v>
      </c>
      <c r="CX37" s="19">
        <f t="shared" si="67"/>
        <v>0</v>
      </c>
      <c r="CY37" s="19">
        <f t="shared" si="67"/>
        <v>0</v>
      </c>
      <c r="CZ37" s="84">
        <f t="shared" si="67"/>
        <v>0</v>
      </c>
      <c r="DA37" s="19">
        <f t="shared" si="67"/>
        <v>0</v>
      </c>
      <c r="DB37" s="19">
        <f t="shared" si="67"/>
        <v>0</v>
      </c>
      <c r="DC37" s="84">
        <f t="shared" si="67"/>
        <v>0</v>
      </c>
      <c r="DD37" s="19">
        <f t="shared" si="67"/>
        <v>0</v>
      </c>
      <c r="DE37" s="19">
        <f t="shared" si="67"/>
        <v>0</v>
      </c>
      <c r="DF37" s="84">
        <f t="shared" si="67"/>
        <v>0</v>
      </c>
      <c r="DG37" s="19">
        <f t="shared" si="67"/>
        <v>0</v>
      </c>
      <c r="DH37" s="19">
        <f t="shared" si="67"/>
        <v>0</v>
      </c>
      <c r="DI37" s="84">
        <f t="shared" si="67"/>
        <v>0</v>
      </c>
      <c r="DJ37" s="19">
        <f t="shared" si="67"/>
        <v>0</v>
      </c>
      <c r="DK37" s="19">
        <f t="shared" si="67"/>
        <v>0</v>
      </c>
      <c r="DL37" s="84">
        <f t="shared" si="67"/>
        <v>0</v>
      </c>
      <c r="DM37" s="19">
        <f t="shared" si="67"/>
        <v>0</v>
      </c>
      <c r="DN37" s="19">
        <f t="shared" si="67"/>
        <v>0</v>
      </c>
      <c r="DO37" s="84">
        <f t="shared" si="67"/>
        <v>0</v>
      </c>
      <c r="DP37" s="19">
        <f t="shared" si="67"/>
        <v>0</v>
      </c>
      <c r="DQ37" s="19">
        <f t="shared" si="67"/>
        <v>0</v>
      </c>
      <c r="DR37" s="84">
        <f t="shared" si="67"/>
        <v>0</v>
      </c>
      <c r="DS37" s="19">
        <f t="shared" si="67"/>
        <v>0</v>
      </c>
      <c r="DT37" s="19">
        <f t="shared" si="67"/>
        <v>0</v>
      </c>
      <c r="DU37" s="84">
        <f t="shared" si="67"/>
        <v>0</v>
      </c>
      <c r="DV37" s="19">
        <f t="shared" si="67"/>
        <v>0</v>
      </c>
      <c r="DW37" s="19">
        <f t="shared" si="67"/>
        <v>0</v>
      </c>
      <c r="DX37" s="84">
        <f t="shared" si="67"/>
        <v>0</v>
      </c>
      <c r="DY37" s="19">
        <f t="shared" si="67"/>
        <v>0</v>
      </c>
      <c r="DZ37" s="19">
        <f t="shared" si="67"/>
        <v>0</v>
      </c>
      <c r="EA37" s="84">
        <f t="shared" ref="EA37:ES37" si="68">SUM(EA6:EA36)</f>
        <v>0</v>
      </c>
      <c r="EB37" s="19">
        <f>SUM(EB6:EB36)</f>
        <v>0</v>
      </c>
      <c r="EC37" s="19">
        <f>SUM(EC6:EC36)</f>
        <v>0</v>
      </c>
      <c r="ED37" s="84">
        <f t="shared" si="68"/>
        <v>0</v>
      </c>
      <c r="EE37" s="19">
        <f>SUM(EE6:EE36)</f>
        <v>0</v>
      </c>
      <c r="EF37" s="19">
        <f>SUM(EF6:EF36)</f>
        <v>0</v>
      </c>
      <c r="EG37" s="84">
        <f t="shared" si="68"/>
        <v>0</v>
      </c>
      <c r="EH37" s="19">
        <f>SUM(EH6:EH36)</f>
        <v>0</v>
      </c>
      <c r="EI37" s="19">
        <f>SUM(EI6:EI36)</f>
        <v>0</v>
      </c>
      <c r="EJ37" s="84">
        <f t="shared" si="68"/>
        <v>0</v>
      </c>
      <c r="EK37" s="19">
        <f>SUM(EK6:EK36)</f>
        <v>0</v>
      </c>
      <c r="EL37" s="19">
        <f>SUM(EL6:EL36)</f>
        <v>0</v>
      </c>
      <c r="EM37" s="84">
        <f t="shared" si="68"/>
        <v>0</v>
      </c>
      <c r="EN37" s="19">
        <f>SUM(EN6:EN36)</f>
        <v>0</v>
      </c>
      <c r="EO37" s="19">
        <f>SUM(EO6:EO36)</f>
        <v>0</v>
      </c>
      <c r="EP37" s="84">
        <f t="shared" si="68"/>
        <v>0</v>
      </c>
      <c r="EQ37" s="88">
        <f t="shared" si="68"/>
        <v>9454000</v>
      </c>
      <c r="ER37" s="84">
        <f t="shared" si="68"/>
        <v>9296526</v>
      </c>
      <c r="ES37" s="84">
        <f t="shared" si="68"/>
        <v>-157474</v>
      </c>
      <c r="ET37" s="19"/>
      <c r="EU37" s="19"/>
      <c r="EV37" s="19"/>
      <c r="EW37" s="8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90"/>
      <c r="FK37" s="90"/>
      <c r="FL37" s="90"/>
      <c r="FM37" s="90"/>
      <c r="FN37" s="90"/>
      <c r="FO37" s="90"/>
      <c r="FP37" s="90"/>
      <c r="FQ37" s="90"/>
      <c r="FR37" s="91"/>
      <c r="FS37" s="91"/>
      <c r="FT37" s="91"/>
      <c r="FU37" s="91"/>
      <c r="FV37" s="91"/>
      <c r="FW37" s="91"/>
      <c r="FX37" s="91"/>
      <c r="FY37" s="91"/>
      <c r="FZ37" s="91"/>
      <c r="GA37" s="91"/>
      <c r="GB37" s="91"/>
      <c r="GC37" s="91"/>
      <c r="GD37" s="91"/>
      <c r="GE37" s="91"/>
      <c r="GF37" s="91"/>
      <c r="GG37" s="91"/>
      <c r="GH37" s="91"/>
      <c r="GI37" s="91"/>
      <c r="GJ37" s="91"/>
      <c r="GK37" s="91"/>
      <c r="GL37" s="91"/>
      <c r="GM37" s="91"/>
      <c r="GN37" s="92"/>
      <c r="GO37" s="92"/>
      <c r="GP37" s="92"/>
      <c r="GQ37" s="92"/>
      <c r="GR37" s="92"/>
      <c r="GS37" s="92"/>
      <c r="GT37" s="92"/>
    </row>
    <row r="38" spans="1:245" s="99" customFormat="1" x14ac:dyDescent="0.25">
      <c r="A38" s="93"/>
      <c r="B38" s="28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36"/>
      <c r="AA38" s="96"/>
      <c r="AB38" s="96"/>
      <c r="AC38" s="36"/>
      <c r="AD38" s="96"/>
      <c r="AE38" s="96"/>
      <c r="AF38" s="36"/>
      <c r="AG38" s="96"/>
      <c r="AH38" s="96"/>
      <c r="AI38" s="36"/>
      <c r="AJ38" s="96"/>
      <c r="AK38" s="96"/>
      <c r="AL38" s="36"/>
      <c r="AM38" s="96"/>
      <c r="AN38" s="96"/>
      <c r="AO38" s="36"/>
      <c r="AP38" s="96"/>
      <c r="AQ38" s="96"/>
      <c r="AR38" s="36"/>
      <c r="AS38" s="96"/>
      <c r="AT38" s="96"/>
      <c r="AU38" s="36"/>
      <c r="AV38" s="96"/>
      <c r="AW38" s="96"/>
      <c r="AX38" s="96"/>
      <c r="AY38" s="96"/>
      <c r="AZ38" s="96"/>
      <c r="BA38" s="36"/>
      <c r="BB38" s="96"/>
      <c r="BC38" s="96"/>
      <c r="BD38" s="3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36"/>
      <c r="BZ38" s="96"/>
      <c r="CA38" s="96"/>
      <c r="CB38" s="36"/>
      <c r="CC38" s="96"/>
      <c r="CD38" s="96"/>
      <c r="CE38" s="36"/>
      <c r="CF38" s="96"/>
      <c r="CG38" s="96"/>
      <c r="CH38" s="36"/>
      <c r="CI38" s="96"/>
      <c r="CJ38" s="96"/>
      <c r="CK38" s="36"/>
      <c r="CL38" s="96"/>
      <c r="CM38" s="96"/>
      <c r="CN38" s="36"/>
      <c r="CO38" s="96"/>
      <c r="CP38" s="96"/>
      <c r="CQ38" s="36"/>
      <c r="CR38" s="96"/>
      <c r="CS38" s="96"/>
      <c r="CT38" s="36"/>
      <c r="CU38" s="96"/>
      <c r="CV38" s="96"/>
      <c r="CW38" s="36"/>
      <c r="CX38" s="96"/>
      <c r="CY38" s="96"/>
      <c r="CZ38" s="36"/>
      <c r="DA38" s="96"/>
      <c r="DB38" s="96"/>
      <c r="DC38" s="36"/>
      <c r="DD38" s="96"/>
      <c r="DE38" s="96"/>
      <c r="DF38" s="36"/>
      <c r="DG38" s="96"/>
      <c r="DH38" s="96"/>
      <c r="DI38" s="96"/>
      <c r="DJ38" s="96"/>
      <c r="DK38" s="96"/>
      <c r="DL38" s="36"/>
      <c r="DM38" s="96"/>
      <c r="DN38" s="96"/>
      <c r="DO38" s="36"/>
      <c r="DP38" s="96"/>
      <c r="DQ38" s="96"/>
      <c r="DR38" s="36"/>
      <c r="DS38" s="96"/>
      <c r="DT38" s="96"/>
      <c r="DU38" s="36"/>
      <c r="DV38" s="96"/>
      <c r="DW38" s="96"/>
      <c r="DX38" s="36"/>
      <c r="DY38" s="96"/>
      <c r="DZ38" s="96"/>
      <c r="EA38" s="36"/>
      <c r="EB38" s="96"/>
      <c r="EC38" s="96"/>
      <c r="ED38" s="36"/>
      <c r="EE38" s="96"/>
      <c r="EF38" s="96"/>
      <c r="EG38" s="36"/>
      <c r="EH38" s="96"/>
      <c r="EI38" s="96"/>
      <c r="EJ38" s="36"/>
      <c r="EK38" s="96"/>
      <c r="EL38" s="96"/>
      <c r="EM38" s="36"/>
      <c r="EN38" s="96"/>
      <c r="EO38" s="96"/>
      <c r="EP38" s="36"/>
      <c r="EQ38" s="36"/>
      <c r="ER38" s="96"/>
      <c r="ES38" s="96"/>
      <c r="ET38" s="96"/>
      <c r="EU38" s="96"/>
      <c r="EV38" s="96"/>
      <c r="EW38" s="103"/>
      <c r="EX38" s="96"/>
      <c r="EY38" s="96"/>
      <c r="EZ38" s="96"/>
      <c r="FA38" s="96"/>
      <c r="FB38" s="96"/>
      <c r="FC38" s="96"/>
      <c r="FD38" s="96"/>
      <c r="FE38" s="96"/>
      <c r="FF38" s="96"/>
      <c r="FG38" s="96"/>
      <c r="FH38" s="96"/>
      <c r="FI38" s="96"/>
      <c r="FJ38" s="104"/>
      <c r="FK38" s="104"/>
      <c r="FL38" s="104"/>
      <c r="FM38" s="104"/>
      <c r="FN38" s="104"/>
      <c r="FO38" s="104"/>
      <c r="FP38" s="104"/>
      <c r="FQ38" s="104"/>
      <c r="FR38" s="105"/>
      <c r="FS38" s="105"/>
      <c r="FT38" s="105"/>
      <c r="FU38" s="105"/>
      <c r="FV38" s="105"/>
      <c r="FW38" s="105"/>
      <c r="FX38" s="105"/>
      <c r="FY38" s="105"/>
      <c r="FZ38" s="105"/>
      <c r="GA38" s="105"/>
      <c r="GB38" s="105"/>
      <c r="GC38" s="105"/>
      <c r="GD38" s="105"/>
      <c r="GE38" s="105"/>
      <c r="GF38" s="105"/>
      <c r="GG38" s="105"/>
      <c r="GH38" s="105"/>
      <c r="GI38" s="105"/>
      <c r="GJ38" s="105"/>
      <c r="GK38" s="105"/>
      <c r="GL38" s="105"/>
      <c r="GM38" s="105"/>
      <c r="GN38" s="106"/>
      <c r="GO38" s="106"/>
      <c r="GP38" s="106"/>
      <c r="GQ38" s="106"/>
      <c r="GR38" s="106"/>
      <c r="GS38" s="106"/>
      <c r="GT38" s="106"/>
    </row>
    <row r="39" spans="1:245" s="38" customFormat="1" x14ac:dyDescent="0.25">
      <c r="A39" s="409">
        <v>1</v>
      </c>
      <c r="B39" s="76">
        <f t="shared" ref="B39:AG39" si="69">+A39+1</f>
        <v>2</v>
      </c>
      <c r="C39" s="76">
        <f t="shared" si="69"/>
        <v>3</v>
      </c>
      <c r="D39" s="76">
        <f t="shared" si="69"/>
        <v>4</v>
      </c>
      <c r="E39" s="76">
        <f t="shared" si="69"/>
        <v>5</v>
      </c>
      <c r="F39" s="76">
        <f t="shared" si="69"/>
        <v>6</v>
      </c>
      <c r="G39" s="76">
        <f t="shared" si="69"/>
        <v>7</v>
      </c>
      <c r="H39" s="76">
        <f t="shared" si="69"/>
        <v>8</v>
      </c>
      <c r="I39" s="76">
        <f t="shared" si="69"/>
        <v>9</v>
      </c>
      <c r="J39" s="76">
        <f t="shared" si="69"/>
        <v>10</v>
      </c>
      <c r="K39" s="76">
        <f t="shared" si="69"/>
        <v>11</v>
      </c>
      <c r="L39" s="76">
        <f t="shared" si="69"/>
        <v>12</v>
      </c>
      <c r="M39" s="76">
        <f t="shared" si="69"/>
        <v>13</v>
      </c>
      <c r="N39" s="76">
        <f t="shared" si="69"/>
        <v>14</v>
      </c>
      <c r="O39" s="76">
        <f t="shared" si="69"/>
        <v>15</v>
      </c>
      <c r="P39" s="76">
        <f t="shared" si="69"/>
        <v>16</v>
      </c>
      <c r="Q39" s="76">
        <f t="shared" si="69"/>
        <v>17</v>
      </c>
      <c r="R39" s="76">
        <f t="shared" si="69"/>
        <v>18</v>
      </c>
      <c r="S39" s="76">
        <f t="shared" si="69"/>
        <v>19</v>
      </c>
      <c r="T39" s="76">
        <f t="shared" si="69"/>
        <v>20</v>
      </c>
      <c r="U39" s="76">
        <f t="shared" si="69"/>
        <v>21</v>
      </c>
      <c r="V39" s="76">
        <f t="shared" si="69"/>
        <v>22</v>
      </c>
      <c r="W39" s="76">
        <f t="shared" si="69"/>
        <v>23</v>
      </c>
      <c r="X39" s="76">
        <f t="shared" si="69"/>
        <v>24</v>
      </c>
      <c r="Y39" s="76">
        <f t="shared" si="69"/>
        <v>25</v>
      </c>
      <c r="Z39" s="76">
        <f t="shared" si="69"/>
        <v>26</v>
      </c>
      <c r="AA39" s="76">
        <f t="shared" si="69"/>
        <v>27</v>
      </c>
      <c r="AB39" s="76">
        <f t="shared" si="69"/>
        <v>28</v>
      </c>
      <c r="AC39" s="76">
        <f t="shared" si="69"/>
        <v>29</v>
      </c>
      <c r="AD39" s="76">
        <f t="shared" si="69"/>
        <v>30</v>
      </c>
      <c r="AE39" s="76">
        <f t="shared" si="69"/>
        <v>31</v>
      </c>
      <c r="AF39" s="76">
        <f t="shared" si="69"/>
        <v>32</v>
      </c>
      <c r="AG39" s="76">
        <f t="shared" si="69"/>
        <v>33</v>
      </c>
      <c r="AH39" s="76">
        <f t="shared" ref="AH39:CS39" si="70">+AG39+1</f>
        <v>34</v>
      </c>
      <c r="AI39" s="76">
        <f t="shared" si="70"/>
        <v>35</v>
      </c>
      <c r="AJ39" s="76">
        <f t="shared" si="70"/>
        <v>36</v>
      </c>
      <c r="AK39" s="76">
        <f t="shared" si="70"/>
        <v>37</v>
      </c>
      <c r="AL39" s="76">
        <f t="shared" si="70"/>
        <v>38</v>
      </c>
      <c r="AM39" s="76">
        <f t="shared" si="70"/>
        <v>39</v>
      </c>
      <c r="AN39" s="76">
        <f t="shared" si="70"/>
        <v>40</v>
      </c>
      <c r="AO39" s="76">
        <f t="shared" si="70"/>
        <v>41</v>
      </c>
      <c r="AP39" s="76">
        <f t="shared" si="70"/>
        <v>42</v>
      </c>
      <c r="AQ39" s="76">
        <f t="shared" si="70"/>
        <v>43</v>
      </c>
      <c r="AR39" s="76">
        <f t="shared" si="70"/>
        <v>44</v>
      </c>
      <c r="AS39" s="76">
        <f t="shared" si="70"/>
        <v>45</v>
      </c>
      <c r="AT39" s="76">
        <f t="shared" si="70"/>
        <v>46</v>
      </c>
      <c r="AU39" s="76">
        <f t="shared" si="70"/>
        <v>47</v>
      </c>
      <c r="AV39" s="76">
        <f t="shared" si="70"/>
        <v>48</v>
      </c>
      <c r="AW39" s="76">
        <f t="shared" si="70"/>
        <v>49</v>
      </c>
      <c r="AX39" s="76">
        <f t="shared" si="70"/>
        <v>50</v>
      </c>
      <c r="AY39" s="76">
        <f t="shared" si="70"/>
        <v>51</v>
      </c>
      <c r="AZ39" s="76">
        <f t="shared" si="70"/>
        <v>52</v>
      </c>
      <c r="BA39" s="76">
        <f t="shared" si="70"/>
        <v>53</v>
      </c>
      <c r="BB39" s="76">
        <f t="shared" si="70"/>
        <v>54</v>
      </c>
      <c r="BC39" s="76">
        <f t="shared" si="70"/>
        <v>55</v>
      </c>
      <c r="BD39" s="76">
        <f t="shared" si="70"/>
        <v>56</v>
      </c>
      <c r="BE39" s="76">
        <f t="shared" si="70"/>
        <v>57</v>
      </c>
      <c r="BF39" s="76">
        <f t="shared" si="70"/>
        <v>58</v>
      </c>
      <c r="BG39" s="76">
        <f t="shared" si="70"/>
        <v>59</v>
      </c>
      <c r="BH39" s="76">
        <f t="shared" si="70"/>
        <v>60</v>
      </c>
      <c r="BI39" s="76">
        <f t="shared" si="70"/>
        <v>61</v>
      </c>
      <c r="BJ39" s="76">
        <f t="shared" si="70"/>
        <v>62</v>
      </c>
      <c r="BK39" s="76">
        <f t="shared" si="70"/>
        <v>63</v>
      </c>
      <c r="BL39" s="76">
        <f t="shared" si="70"/>
        <v>64</v>
      </c>
      <c r="BM39" s="76">
        <f t="shared" si="70"/>
        <v>65</v>
      </c>
      <c r="BN39" s="76">
        <f t="shared" si="70"/>
        <v>66</v>
      </c>
      <c r="BO39" s="76">
        <f t="shared" si="70"/>
        <v>67</v>
      </c>
      <c r="BP39" s="76">
        <f t="shared" si="70"/>
        <v>68</v>
      </c>
      <c r="BQ39" s="76">
        <f t="shared" si="70"/>
        <v>69</v>
      </c>
      <c r="BR39" s="76">
        <f t="shared" si="70"/>
        <v>70</v>
      </c>
      <c r="BS39" s="76">
        <f t="shared" si="70"/>
        <v>71</v>
      </c>
      <c r="BT39" s="76">
        <f t="shared" si="70"/>
        <v>72</v>
      </c>
      <c r="BU39" s="76">
        <f t="shared" si="70"/>
        <v>73</v>
      </c>
      <c r="BV39" s="76">
        <f t="shared" si="70"/>
        <v>74</v>
      </c>
      <c r="BW39" s="76">
        <f t="shared" si="70"/>
        <v>75</v>
      </c>
      <c r="BX39" s="76">
        <f t="shared" si="70"/>
        <v>76</v>
      </c>
      <c r="BY39" s="76">
        <f t="shared" si="70"/>
        <v>77</v>
      </c>
      <c r="BZ39" s="76">
        <f t="shared" si="70"/>
        <v>78</v>
      </c>
      <c r="CA39" s="76">
        <f t="shared" si="70"/>
        <v>79</v>
      </c>
      <c r="CB39" s="76">
        <f t="shared" si="70"/>
        <v>80</v>
      </c>
      <c r="CC39" s="76">
        <f t="shared" si="70"/>
        <v>81</v>
      </c>
      <c r="CD39" s="76">
        <f t="shared" si="70"/>
        <v>82</v>
      </c>
      <c r="CE39" s="76">
        <f t="shared" si="70"/>
        <v>83</v>
      </c>
      <c r="CF39" s="76">
        <f t="shared" si="70"/>
        <v>84</v>
      </c>
      <c r="CG39" s="76">
        <f t="shared" si="70"/>
        <v>85</v>
      </c>
      <c r="CH39" s="76">
        <f t="shared" si="70"/>
        <v>86</v>
      </c>
      <c r="CI39" s="76">
        <f t="shared" si="70"/>
        <v>87</v>
      </c>
      <c r="CJ39" s="76">
        <f t="shared" si="70"/>
        <v>88</v>
      </c>
      <c r="CK39" s="76">
        <f t="shared" si="70"/>
        <v>89</v>
      </c>
      <c r="CL39" s="76">
        <f t="shared" si="70"/>
        <v>90</v>
      </c>
      <c r="CM39" s="76">
        <f t="shared" si="70"/>
        <v>91</v>
      </c>
      <c r="CN39" s="76">
        <f t="shared" si="70"/>
        <v>92</v>
      </c>
      <c r="CO39" s="76">
        <f t="shared" si="70"/>
        <v>93</v>
      </c>
      <c r="CP39" s="76">
        <f t="shared" si="70"/>
        <v>94</v>
      </c>
      <c r="CQ39" s="76">
        <f t="shared" si="70"/>
        <v>95</v>
      </c>
      <c r="CR39" s="76">
        <f t="shared" si="70"/>
        <v>96</v>
      </c>
      <c r="CS39" s="76">
        <f t="shared" si="70"/>
        <v>97</v>
      </c>
      <c r="CT39" s="76">
        <f t="shared" ref="CT39:FE39" si="71">+CS39+1</f>
        <v>98</v>
      </c>
      <c r="CU39" s="76">
        <f t="shared" si="71"/>
        <v>99</v>
      </c>
      <c r="CV39" s="76">
        <f t="shared" si="71"/>
        <v>100</v>
      </c>
      <c r="CW39" s="76">
        <f t="shared" si="71"/>
        <v>101</v>
      </c>
      <c r="CX39" s="76">
        <f t="shared" si="71"/>
        <v>102</v>
      </c>
      <c r="CY39" s="76">
        <f t="shared" si="71"/>
        <v>103</v>
      </c>
      <c r="CZ39" s="76">
        <f t="shared" si="71"/>
        <v>104</v>
      </c>
      <c r="DA39" s="76">
        <f t="shared" si="71"/>
        <v>105</v>
      </c>
      <c r="DB39" s="76">
        <f t="shared" si="71"/>
        <v>106</v>
      </c>
      <c r="DC39" s="76">
        <f t="shared" si="71"/>
        <v>107</v>
      </c>
      <c r="DD39" s="76">
        <f t="shared" si="71"/>
        <v>108</v>
      </c>
      <c r="DE39" s="76">
        <f t="shared" si="71"/>
        <v>109</v>
      </c>
      <c r="DF39" s="76">
        <f t="shared" si="71"/>
        <v>110</v>
      </c>
      <c r="DG39" s="76">
        <f t="shared" si="71"/>
        <v>111</v>
      </c>
      <c r="DH39" s="76">
        <f t="shared" si="71"/>
        <v>112</v>
      </c>
      <c r="DI39" s="76">
        <f t="shared" si="71"/>
        <v>113</v>
      </c>
      <c r="DJ39" s="76">
        <f t="shared" si="71"/>
        <v>114</v>
      </c>
      <c r="DK39" s="76">
        <f t="shared" si="71"/>
        <v>115</v>
      </c>
      <c r="DL39" s="76">
        <f t="shared" si="71"/>
        <v>116</v>
      </c>
      <c r="DM39" s="76">
        <f t="shared" si="71"/>
        <v>117</v>
      </c>
      <c r="DN39" s="76">
        <f t="shared" si="71"/>
        <v>118</v>
      </c>
      <c r="DO39" s="76">
        <f t="shared" si="71"/>
        <v>119</v>
      </c>
      <c r="DP39" s="76">
        <f t="shared" si="71"/>
        <v>120</v>
      </c>
      <c r="DQ39" s="76">
        <f t="shared" si="71"/>
        <v>121</v>
      </c>
      <c r="DR39" s="76">
        <f t="shared" si="71"/>
        <v>122</v>
      </c>
      <c r="DS39" s="76">
        <f t="shared" si="71"/>
        <v>123</v>
      </c>
      <c r="DT39" s="76">
        <f t="shared" si="71"/>
        <v>124</v>
      </c>
      <c r="DU39" s="76">
        <f t="shared" si="71"/>
        <v>125</v>
      </c>
      <c r="DV39" s="76">
        <f t="shared" si="71"/>
        <v>126</v>
      </c>
      <c r="DW39" s="76">
        <f t="shared" si="71"/>
        <v>127</v>
      </c>
      <c r="DX39" s="76">
        <f t="shared" si="71"/>
        <v>128</v>
      </c>
      <c r="DY39" s="76">
        <f t="shared" si="71"/>
        <v>129</v>
      </c>
      <c r="DZ39" s="76">
        <f t="shared" si="71"/>
        <v>130</v>
      </c>
      <c r="EA39" s="76">
        <f t="shared" si="71"/>
        <v>131</v>
      </c>
      <c r="EB39" s="76">
        <f t="shared" si="71"/>
        <v>132</v>
      </c>
      <c r="EC39" s="76">
        <f t="shared" si="71"/>
        <v>133</v>
      </c>
      <c r="ED39" s="76">
        <f t="shared" si="71"/>
        <v>134</v>
      </c>
      <c r="EE39" s="76">
        <f t="shared" si="71"/>
        <v>135</v>
      </c>
      <c r="EF39" s="76">
        <f t="shared" si="71"/>
        <v>136</v>
      </c>
      <c r="EG39" s="76">
        <f t="shared" si="71"/>
        <v>137</v>
      </c>
      <c r="EH39" s="76">
        <f t="shared" si="71"/>
        <v>138</v>
      </c>
      <c r="EI39" s="76">
        <f t="shared" si="71"/>
        <v>139</v>
      </c>
      <c r="EJ39" s="76">
        <f t="shared" si="71"/>
        <v>140</v>
      </c>
      <c r="EK39" s="76">
        <f t="shared" si="71"/>
        <v>141</v>
      </c>
      <c r="EL39" s="76">
        <f t="shared" si="71"/>
        <v>142</v>
      </c>
      <c r="EM39" s="76">
        <f t="shared" si="71"/>
        <v>143</v>
      </c>
      <c r="EN39" s="76">
        <f t="shared" si="71"/>
        <v>144</v>
      </c>
      <c r="EO39" s="76">
        <f t="shared" si="71"/>
        <v>145</v>
      </c>
      <c r="EP39" s="76">
        <f t="shared" si="71"/>
        <v>146</v>
      </c>
      <c r="EQ39" s="76">
        <f t="shared" si="71"/>
        <v>147</v>
      </c>
      <c r="ER39" s="76">
        <f t="shared" si="71"/>
        <v>148</v>
      </c>
      <c r="ES39" s="76">
        <f t="shared" si="71"/>
        <v>149</v>
      </c>
      <c r="ET39" s="76">
        <f t="shared" si="71"/>
        <v>150</v>
      </c>
      <c r="EU39" s="76">
        <f t="shared" si="71"/>
        <v>151</v>
      </c>
      <c r="EV39" s="76">
        <f t="shared" si="71"/>
        <v>152</v>
      </c>
      <c r="EW39" s="76">
        <f t="shared" si="71"/>
        <v>153</v>
      </c>
      <c r="EX39" s="76">
        <f t="shared" si="71"/>
        <v>154</v>
      </c>
      <c r="EY39" s="76">
        <f t="shared" si="71"/>
        <v>155</v>
      </c>
      <c r="EZ39" s="76">
        <f t="shared" si="71"/>
        <v>156</v>
      </c>
      <c r="FA39" s="76">
        <f t="shared" si="71"/>
        <v>157</v>
      </c>
      <c r="FB39" s="76">
        <f t="shared" si="71"/>
        <v>158</v>
      </c>
      <c r="FC39" s="76">
        <f t="shared" si="71"/>
        <v>159</v>
      </c>
      <c r="FD39" s="76">
        <f t="shared" si="71"/>
        <v>160</v>
      </c>
      <c r="FE39" s="76">
        <f t="shared" si="71"/>
        <v>161</v>
      </c>
      <c r="FF39" s="76">
        <f t="shared" ref="FF39:FM39" si="72">+FE39+1</f>
        <v>162</v>
      </c>
      <c r="FG39" s="76">
        <f t="shared" si="72"/>
        <v>163</v>
      </c>
      <c r="FH39" s="76">
        <f t="shared" si="72"/>
        <v>164</v>
      </c>
      <c r="FI39" s="76">
        <f t="shared" si="72"/>
        <v>165</v>
      </c>
      <c r="FJ39" s="76">
        <f t="shared" si="72"/>
        <v>166</v>
      </c>
      <c r="FK39" s="76">
        <f t="shared" si="72"/>
        <v>167</v>
      </c>
      <c r="FL39" s="76">
        <f t="shared" si="72"/>
        <v>168</v>
      </c>
      <c r="FM39" s="76">
        <f t="shared" si="72"/>
        <v>169</v>
      </c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</row>
    <row r="40" spans="1:245" x14ac:dyDescent="0.25">
      <c r="A40" s="28"/>
      <c r="C40" s="97"/>
      <c r="F40" s="97"/>
      <c r="I40" s="97"/>
      <c r="L40" s="97"/>
      <c r="O40" s="97"/>
      <c r="R40" s="97"/>
      <c r="U40" s="97"/>
      <c r="X40" s="97"/>
      <c r="AA40" s="97"/>
      <c r="AD40" s="97"/>
      <c r="AG40" s="97"/>
      <c r="AJ40" s="97"/>
      <c r="AM40" s="97"/>
      <c r="AP40" s="97"/>
      <c r="AS40" s="97"/>
      <c r="AV40" s="97"/>
      <c r="AY40" s="97"/>
      <c r="BB40" s="97"/>
      <c r="BE40" s="97"/>
      <c r="BH40" s="97"/>
      <c r="BK40" s="97"/>
      <c r="BN40" s="97"/>
      <c r="BQ40" s="97"/>
      <c r="BT40" s="97"/>
      <c r="BW40" s="97"/>
      <c r="BZ40" s="97"/>
      <c r="CC40" s="97"/>
      <c r="CF40" s="97"/>
      <c r="CI40" s="97"/>
      <c r="CL40" s="97"/>
      <c r="CO40" s="97"/>
      <c r="CR40" s="97"/>
      <c r="CU40" s="97"/>
      <c r="CX40" s="97"/>
      <c r="DA40" s="97"/>
      <c r="DD40" s="97"/>
      <c r="DG40" s="97"/>
      <c r="DJ40" s="97"/>
      <c r="DM40" s="97"/>
      <c r="DP40" s="97"/>
      <c r="DS40" s="97"/>
      <c r="DV40" s="97"/>
      <c r="DY40" s="97"/>
      <c r="EB40" s="97"/>
      <c r="EE40" s="97"/>
      <c r="EH40" s="97"/>
      <c r="EK40" s="97"/>
      <c r="EN40" s="97"/>
      <c r="EQ40" s="36"/>
    </row>
    <row r="41" spans="1:245" x14ac:dyDescent="0.25">
      <c r="A41" s="28"/>
      <c r="C41" s="97"/>
      <c r="F41" s="97"/>
      <c r="I41" s="97"/>
      <c r="L41" s="97"/>
      <c r="O41" s="97"/>
      <c r="R41" s="97"/>
      <c r="U41" s="97"/>
      <c r="X41" s="97"/>
      <c r="AA41" s="97"/>
      <c r="AD41" s="97"/>
      <c r="AG41" s="97"/>
      <c r="AJ41" s="97"/>
      <c r="AM41" s="97"/>
      <c r="AP41" s="97"/>
      <c r="AS41" s="97"/>
      <c r="AV41" s="97"/>
      <c r="AY41" s="97"/>
      <c r="BB41" s="97"/>
      <c r="BE41" s="97"/>
      <c r="BH41" s="97"/>
      <c r="BK41" s="97"/>
      <c r="BN41" s="97"/>
      <c r="BQ41" s="97"/>
      <c r="BT41" s="97"/>
      <c r="BW41" s="97"/>
      <c r="BZ41" s="97"/>
      <c r="CC41" s="97"/>
      <c r="CF41" s="97"/>
      <c r="CI41" s="97"/>
      <c r="CL41" s="97"/>
      <c r="CO41" s="97"/>
      <c r="CR41" s="97"/>
      <c r="CU41" s="97"/>
      <c r="CX41" s="97"/>
      <c r="DA41" s="97"/>
      <c r="DD41" s="97"/>
      <c r="DG41" s="97"/>
      <c r="DJ41" s="97"/>
      <c r="DM41" s="97"/>
      <c r="DP41" s="97"/>
      <c r="DS41" s="97"/>
      <c r="DV41" s="97"/>
      <c r="DY41" s="97"/>
      <c r="EB41" s="97"/>
      <c r="EE41" s="97"/>
      <c r="EH41" s="97"/>
      <c r="EK41" s="97"/>
      <c r="EN41" s="97"/>
    </row>
    <row r="42" spans="1:245" x14ac:dyDescent="0.25">
      <c r="A42" s="28"/>
      <c r="C42" s="97"/>
      <c r="F42" s="97"/>
      <c r="I42" s="97"/>
      <c r="L42" s="97"/>
      <c r="O42" s="97"/>
      <c r="R42" s="97"/>
      <c r="U42" s="97"/>
      <c r="X42" s="97"/>
      <c r="AA42" s="97"/>
      <c r="AD42" s="97"/>
      <c r="AG42" s="97"/>
      <c r="AJ42" s="97"/>
      <c r="AM42" s="97"/>
      <c r="AP42" s="97"/>
      <c r="AS42" s="97"/>
      <c r="AV42" s="97"/>
      <c r="AY42" s="97"/>
      <c r="BB42" s="97"/>
      <c r="BE42" s="97"/>
      <c r="BH42" s="97"/>
      <c r="BK42" s="97"/>
      <c r="BN42" s="97"/>
      <c r="BQ42" s="97"/>
      <c r="BT42" s="97"/>
      <c r="BW42" s="97"/>
      <c r="BZ42" s="97"/>
      <c r="CC42" s="97"/>
      <c r="CF42" s="97"/>
      <c r="CI42" s="97"/>
      <c r="CL42" s="97"/>
      <c r="CO42" s="97"/>
      <c r="CR42" s="97"/>
      <c r="CU42" s="97"/>
      <c r="CX42" s="97"/>
      <c r="DA42" s="97"/>
      <c r="DD42" s="97"/>
      <c r="DG42" s="97"/>
      <c r="DJ42" s="97"/>
      <c r="DM42" s="97"/>
      <c r="DP42" s="97"/>
      <c r="DS42" s="97"/>
      <c r="DV42" s="97"/>
      <c r="DY42" s="97"/>
      <c r="EB42" s="97"/>
      <c r="EE42" s="97"/>
      <c r="EH42" s="97"/>
      <c r="EK42" s="97"/>
      <c r="EN42" s="97"/>
    </row>
    <row r="43" spans="1:245" x14ac:dyDescent="0.25">
      <c r="A43" s="28"/>
      <c r="C43" s="97"/>
      <c r="F43" s="97"/>
      <c r="I43" s="97"/>
      <c r="L43" s="97"/>
      <c r="O43" s="97"/>
      <c r="R43" s="97"/>
      <c r="U43" s="97"/>
      <c r="X43" s="97"/>
      <c r="AA43" s="97"/>
      <c r="AD43" s="97"/>
      <c r="AG43" s="97"/>
      <c r="AJ43" s="97"/>
      <c r="AM43" s="97"/>
      <c r="AP43" s="97"/>
      <c r="AS43" s="97"/>
      <c r="AV43" s="97"/>
      <c r="AY43" s="97"/>
      <c r="BB43" s="97"/>
      <c r="BE43" s="97"/>
      <c r="BH43" s="97"/>
      <c r="BK43" s="97"/>
      <c r="BN43" s="97"/>
      <c r="BQ43" s="97"/>
      <c r="BT43" s="97"/>
      <c r="BW43" s="97"/>
      <c r="BZ43" s="97"/>
      <c r="CC43" s="97"/>
      <c r="CF43" s="97"/>
      <c r="CI43" s="97"/>
      <c r="CL43" s="97"/>
      <c r="CO43" s="97"/>
      <c r="CR43" s="97"/>
      <c r="CU43" s="97"/>
      <c r="CX43" s="97"/>
      <c r="DA43" s="97"/>
      <c r="DD43" s="97"/>
      <c r="DG43" s="97"/>
      <c r="DJ43" s="97"/>
      <c r="DM43" s="97"/>
      <c r="DP43" s="97"/>
      <c r="DS43" s="97"/>
      <c r="DV43" s="97"/>
      <c r="DY43" s="97"/>
      <c r="EB43" s="97"/>
      <c r="EE43" s="97"/>
      <c r="EH43" s="97"/>
      <c r="EK43" s="97"/>
      <c r="EN43" s="97"/>
    </row>
    <row r="44" spans="1:245" customFormat="1" x14ac:dyDescent="0.25">
      <c r="C44" s="31"/>
      <c r="D44" s="31"/>
      <c r="F44" s="31"/>
      <c r="G44" s="31"/>
      <c r="I44" s="31"/>
      <c r="J44" s="31"/>
      <c r="L44" s="31"/>
      <c r="M44" s="31"/>
      <c r="O44" s="31"/>
      <c r="P44" s="31"/>
      <c r="R44" s="31"/>
      <c r="S44" s="31"/>
      <c r="U44" s="31"/>
      <c r="V44" s="31"/>
      <c r="X44" s="31"/>
      <c r="Y44" s="31"/>
      <c r="AA44" s="31"/>
      <c r="AB44" s="31"/>
      <c r="AD44" s="31"/>
      <c r="AE44" s="31"/>
      <c r="AG44" s="31"/>
      <c r="AH44" s="31"/>
      <c r="AJ44" s="31"/>
      <c r="AK44" s="31"/>
      <c r="AM44" s="31"/>
      <c r="AN44" s="31"/>
      <c r="AP44" s="31"/>
      <c r="AQ44" s="31"/>
      <c r="AS44" s="31"/>
      <c r="AT44" s="31"/>
      <c r="AV44" s="31"/>
      <c r="AW44" s="31"/>
      <c r="AY44" s="31"/>
      <c r="AZ44" s="31"/>
      <c r="BB44" s="31"/>
      <c r="BC44" s="31"/>
      <c r="BE44" s="31"/>
      <c r="BF44" s="31"/>
      <c r="BH44" s="31"/>
      <c r="BI44" s="31"/>
      <c r="BK44" s="31"/>
      <c r="BL44" s="31"/>
      <c r="BN44" s="31"/>
      <c r="BO44" s="31"/>
      <c r="BQ44" s="31"/>
      <c r="BR44" s="31"/>
      <c r="BT44" s="31"/>
      <c r="BU44" s="31"/>
      <c r="BW44" s="31"/>
      <c r="BX44" s="31"/>
      <c r="BZ44" s="31"/>
      <c r="CA44" s="31"/>
      <c r="CC44" s="31"/>
      <c r="CD44" s="31"/>
      <c r="CF44" s="31"/>
      <c r="CG44" s="31"/>
      <c r="CI44" s="31"/>
      <c r="CJ44" s="31"/>
      <c r="CL44" s="31"/>
      <c r="CM44" s="31"/>
      <c r="CO44" s="31"/>
      <c r="CP44" s="31"/>
      <c r="CR44" s="31"/>
      <c r="CS44" s="31"/>
      <c r="CU44" s="31"/>
      <c r="CV44" s="31"/>
      <c r="CX44" s="31"/>
      <c r="CY44" s="31"/>
      <c r="DA44" s="31"/>
      <c r="DB44" s="31"/>
      <c r="DD44" s="31"/>
      <c r="DE44" s="31"/>
      <c r="DG44" s="31"/>
      <c r="DH44" s="31"/>
      <c r="DJ44" s="31"/>
      <c r="DK44" s="31"/>
      <c r="DM44" s="31"/>
      <c r="DN44" s="31"/>
      <c r="DP44" s="31"/>
      <c r="DQ44" s="31"/>
      <c r="DS44" s="31"/>
      <c r="DT44" s="31"/>
      <c r="DV44" s="31"/>
      <c r="DW44" s="31"/>
      <c r="DY44" s="31"/>
      <c r="DZ44" s="31"/>
      <c r="EB44" s="31"/>
      <c r="EC44" s="31"/>
      <c r="EE44" s="31"/>
      <c r="EF44" s="31"/>
      <c r="EH44" s="31"/>
      <c r="EI44" s="31"/>
      <c r="EK44" s="31"/>
      <c r="EL44" s="31"/>
      <c r="EN44" s="31"/>
      <c r="EO44" s="31"/>
    </row>
    <row r="45" spans="1:245" x14ac:dyDescent="0.25">
      <c r="A45" s="28"/>
    </row>
    <row r="46" spans="1:245" x14ac:dyDescent="0.25">
      <c r="A46" s="28"/>
    </row>
    <row r="47" spans="1:245" x14ac:dyDescent="0.25">
      <c r="A47" s="28"/>
    </row>
    <row r="48" spans="1:245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</sheetData>
  <printOptions horizontalCentered="1" verticalCentered="1" gridLines="1" gridLinesSet="0"/>
  <pageMargins left="0" right="0" top="0" bottom="0" header="0" footer="0"/>
  <pageSetup paperSize="5" scale="95" orientation="landscape" horizontalDpi="4294967293" r:id="rId1"/>
  <headerFooter alignWithMargins="0">
    <oddHeader>&amp;A</oddHeader>
    <oddFooter>Page &amp;P</oddFooter>
  </headerFooter>
  <colBreaks count="11" manualBreakCount="11">
    <brk id="26" max="1048575" man="1"/>
    <brk id="38" max="1048575" man="1"/>
    <brk id="50" max="1048575" man="1"/>
    <brk id="62" max="1048575" man="1"/>
    <brk id="74" max="1048575" man="1"/>
    <brk id="86" max="1048575" man="1"/>
    <brk id="98" max="1048575" man="1"/>
    <brk id="110" max="1048575" man="1"/>
    <brk id="122" max="1048575" man="1"/>
    <brk id="134" max="1048575" man="1"/>
    <brk id="14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Q515"/>
  <sheetViews>
    <sheetView zoomScale="90" workbookViewId="0">
      <pane xSplit="2" ySplit="5" topLeftCell="C6" activePane="bottomRight" state="frozen"/>
      <selection activeCell="F4" sqref="F4"/>
      <selection pane="topRight" activeCell="F4" sqref="F4"/>
      <selection pane="bottomLeft" activeCell="F4" sqref="F4"/>
      <selection pane="bottomRight" activeCell="E36" sqref="E36"/>
    </sheetView>
  </sheetViews>
  <sheetFormatPr defaultColWidth="15.109375" defaultRowHeight="13.2" x14ac:dyDescent="0.25"/>
  <cols>
    <col min="1" max="1" width="15.109375" style="109" customWidth="1"/>
    <col min="2" max="2" width="15.109375" style="28" customWidth="1"/>
    <col min="3" max="3" width="20.77734375" style="28" customWidth="1"/>
    <col min="4" max="4" width="18.77734375" style="28" customWidth="1"/>
    <col min="5" max="7" width="15.109375" style="28" customWidth="1"/>
    <col min="8" max="8" width="15.109375" style="29" customWidth="1"/>
    <col min="9" max="11" width="15.109375" style="28" customWidth="1"/>
    <col min="12" max="12" width="15.109375" style="30" customWidth="1"/>
    <col min="13" max="13" width="16.33203125" style="28" customWidth="1"/>
    <col min="14" max="14" width="15.109375" style="28" customWidth="1"/>
    <col min="15" max="15" width="15.109375" style="31" customWidth="1"/>
    <col min="16" max="18" width="15.109375" style="28" customWidth="1"/>
    <col min="19" max="19" width="15.109375" style="32" customWidth="1"/>
    <col min="20" max="22" width="15.109375" style="31" customWidth="1"/>
    <col min="23" max="25" width="15.109375" style="28" customWidth="1"/>
    <col min="26" max="26" width="15.109375" style="32" customWidth="1"/>
    <col min="27" max="27" width="15.109375" style="31" customWidth="1"/>
    <col min="28" max="28" width="15.109375" style="20" customWidth="1"/>
    <col min="29" max="34" width="15.109375" style="33" customWidth="1"/>
    <col min="35" max="35" width="15.109375" style="34" customWidth="1"/>
    <col min="36" max="41" width="15.109375" style="33" customWidth="1"/>
    <col min="42" max="42" width="15.109375" style="34" customWidth="1"/>
    <col min="43" max="48" width="15.109375" style="33" customWidth="1"/>
    <col min="49" max="49" width="15.109375" style="34" customWidth="1"/>
    <col min="50" max="55" width="15.109375" style="33" customWidth="1"/>
    <col min="56" max="56" width="15.109375" style="34" customWidth="1"/>
    <col min="57" max="62" width="15.109375" style="33" customWidth="1"/>
    <col min="63" max="63" width="15.109375" style="34" customWidth="1"/>
    <col min="64" max="69" width="15.109375" style="374" customWidth="1"/>
    <col min="70" max="70" width="15.109375" style="34" customWidth="1"/>
    <col min="71" max="76" width="15.109375" style="374" customWidth="1"/>
    <col min="77" max="77" width="15.109375" style="34" customWidth="1"/>
    <col min="78" max="83" width="15.109375" style="374" customWidth="1"/>
    <col min="84" max="84" width="15.109375" style="34" customWidth="1"/>
    <col min="85" max="90" width="15.109375" style="374" customWidth="1"/>
    <col min="91" max="91" width="15.109375" style="34" customWidth="1"/>
    <col min="92" max="92" width="15.109375" style="37" customWidth="1"/>
    <col min="93" max="95" width="15.109375" style="36" customWidth="1"/>
    <col min="96" max="97" width="15.109375" style="31" customWidth="1"/>
    <col min="98" max="98" width="15.109375" style="37" customWidth="1"/>
    <col min="99" max="110" width="15.109375" style="31" customWidth="1"/>
    <col min="111" max="118" width="15.109375" style="38" customWidth="1"/>
    <col min="119" max="140" width="15.109375" style="39" customWidth="1"/>
    <col min="141" max="147" width="15.109375" style="40" customWidth="1"/>
    <col min="148" max="16384" width="15.109375" style="17"/>
  </cols>
  <sheetData>
    <row r="1" spans="1:147" ht="15.6" x14ac:dyDescent="0.3">
      <c r="A1" s="5" t="s">
        <v>19</v>
      </c>
      <c r="B1" s="373">
        <f>+BaseloadMarkets!B1</f>
        <v>36678</v>
      </c>
      <c r="D1" s="367"/>
      <c r="E1" s="5"/>
      <c r="F1" s="5"/>
      <c r="G1" s="5"/>
      <c r="I1" s="5"/>
      <c r="J1" s="5"/>
      <c r="K1" s="5"/>
      <c r="P1" s="5"/>
      <c r="Q1" s="5"/>
      <c r="R1" s="5"/>
      <c r="W1" s="5"/>
      <c r="X1" s="5"/>
      <c r="Y1" s="5"/>
      <c r="CN1" s="36"/>
      <c r="CQ1" s="34"/>
    </row>
    <row r="2" spans="1:147" s="1" customFormat="1" ht="12.75" customHeight="1" x14ac:dyDescent="0.25">
      <c r="A2" s="5" t="s">
        <v>8</v>
      </c>
      <c r="B2" s="5"/>
      <c r="C2" s="5" t="s">
        <v>205</v>
      </c>
      <c r="D2" s="5"/>
      <c r="E2" s="5"/>
      <c r="F2" s="5"/>
      <c r="G2" s="5"/>
      <c r="H2" s="41"/>
      <c r="I2" s="5"/>
      <c r="J2" s="5"/>
      <c r="K2" s="5"/>
      <c r="L2" s="42"/>
      <c r="M2" s="5"/>
      <c r="N2" s="5"/>
      <c r="O2" s="43">
        <v>125681</v>
      </c>
      <c r="P2" s="5"/>
      <c r="Q2" s="5"/>
      <c r="R2" s="5"/>
      <c r="S2" s="44"/>
      <c r="T2" s="2"/>
      <c r="U2" s="2"/>
      <c r="V2" s="45">
        <v>249249</v>
      </c>
      <c r="W2" s="5"/>
      <c r="X2" s="5"/>
      <c r="Y2" s="5"/>
      <c r="Z2" s="44"/>
      <c r="AA2" s="35"/>
      <c r="AB2" s="2"/>
      <c r="AC2" s="46"/>
      <c r="AD2" s="47"/>
      <c r="AE2" s="47"/>
      <c r="AF2" s="47"/>
      <c r="AG2" s="47"/>
      <c r="AH2" s="47"/>
      <c r="AI2" s="48"/>
      <c r="AJ2" s="46"/>
      <c r="AK2" s="47"/>
      <c r="AL2" s="47"/>
      <c r="AM2" s="47"/>
      <c r="AN2" s="47"/>
      <c r="AO2" s="47"/>
      <c r="AP2" s="48"/>
      <c r="AQ2" s="46"/>
      <c r="AR2" s="47"/>
      <c r="AS2" s="47"/>
      <c r="AT2" s="47"/>
      <c r="AU2" s="47"/>
      <c r="AV2" s="47"/>
      <c r="AW2" s="48"/>
      <c r="AX2" s="46"/>
      <c r="AY2" s="47"/>
      <c r="AZ2" s="47"/>
      <c r="BA2" s="47"/>
      <c r="BB2" s="47"/>
      <c r="BC2" s="47"/>
      <c r="BD2" s="48"/>
      <c r="BE2" s="46"/>
      <c r="BF2" s="47"/>
      <c r="BG2" s="47"/>
      <c r="BH2" s="47"/>
      <c r="BI2" s="47"/>
      <c r="BJ2" s="47"/>
      <c r="BK2" s="48"/>
      <c r="BL2" s="375"/>
      <c r="BM2" s="376"/>
      <c r="BN2" s="376"/>
      <c r="BO2" s="376"/>
      <c r="BP2" s="376"/>
      <c r="BQ2" s="376"/>
      <c r="BR2" s="48"/>
      <c r="BS2" s="375"/>
      <c r="BT2" s="376"/>
      <c r="BU2" s="376"/>
      <c r="BV2" s="376"/>
      <c r="BW2" s="376"/>
      <c r="BX2" s="376"/>
      <c r="BY2" s="48"/>
      <c r="BZ2" s="375"/>
      <c r="CA2" s="376"/>
      <c r="CB2" s="376"/>
      <c r="CC2" s="376"/>
      <c r="CD2" s="376"/>
      <c r="CE2" s="376"/>
      <c r="CF2" s="48"/>
      <c r="CG2" s="375"/>
      <c r="CH2" s="376"/>
      <c r="CI2" s="376"/>
      <c r="CJ2" s="376"/>
      <c r="CK2" s="376"/>
      <c r="CL2" s="376"/>
      <c r="CM2" s="48"/>
      <c r="CN2" s="49"/>
      <c r="CQ2" s="48"/>
      <c r="CR2" s="35"/>
      <c r="CS2" s="35"/>
      <c r="CT2" s="51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52"/>
      <c r="DH2" s="52"/>
      <c r="DI2" s="52"/>
      <c r="DJ2" s="52"/>
      <c r="DK2" s="52"/>
      <c r="DL2" s="52"/>
      <c r="DM2" s="52"/>
      <c r="DN2" s="52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4"/>
      <c r="EL2" s="54"/>
      <c r="EM2" s="54"/>
      <c r="EN2" s="54"/>
      <c r="EO2" s="54"/>
      <c r="EP2" s="54"/>
      <c r="EQ2" s="54"/>
    </row>
    <row r="3" spans="1:147" s="1" customFormat="1" ht="12.75" customHeight="1" x14ac:dyDescent="0.25">
      <c r="A3" s="5" t="s">
        <v>20</v>
      </c>
      <c r="B3" s="5"/>
      <c r="C3" s="5" t="s">
        <v>21</v>
      </c>
      <c r="D3" s="5"/>
      <c r="E3" s="5"/>
      <c r="F3" s="5" t="s">
        <v>191</v>
      </c>
      <c r="G3" s="5" t="s">
        <v>215</v>
      </c>
      <c r="H3" s="41"/>
      <c r="I3" s="5" t="s">
        <v>315</v>
      </c>
      <c r="J3" s="5"/>
      <c r="K3" s="5"/>
      <c r="L3" s="42" t="s">
        <v>10</v>
      </c>
      <c r="M3" s="5"/>
      <c r="N3" s="5"/>
      <c r="O3" s="43" t="s">
        <v>22</v>
      </c>
      <c r="P3" s="5"/>
      <c r="Q3" s="5"/>
      <c r="R3" s="5" t="s">
        <v>224</v>
      </c>
      <c r="S3" s="44" t="s">
        <v>10</v>
      </c>
      <c r="T3" s="2"/>
      <c r="U3" s="2"/>
      <c r="V3" s="45" t="s">
        <v>160</v>
      </c>
      <c r="W3" s="5"/>
      <c r="X3" s="5"/>
      <c r="Y3" s="5"/>
      <c r="Z3" s="44"/>
      <c r="AA3" s="35"/>
      <c r="AB3" s="2"/>
      <c r="AC3" s="46" t="s">
        <v>23</v>
      </c>
      <c r="AD3" s="47"/>
      <c r="AE3" s="47"/>
      <c r="AF3" s="47"/>
      <c r="AG3" s="47" t="s">
        <v>10</v>
      </c>
      <c r="AH3" s="47"/>
      <c r="AI3" s="48"/>
      <c r="AJ3" s="46" t="s">
        <v>24</v>
      </c>
      <c r="AK3" s="47"/>
      <c r="AL3" s="47"/>
      <c r="AM3" s="47"/>
      <c r="AN3" s="47" t="s">
        <v>10</v>
      </c>
      <c r="AO3" s="47"/>
      <c r="AP3" s="48"/>
      <c r="AQ3" s="46" t="s">
        <v>25</v>
      </c>
      <c r="AR3" s="47"/>
      <c r="AS3" s="47"/>
      <c r="AT3" s="47"/>
      <c r="AU3" s="47" t="s">
        <v>10</v>
      </c>
      <c r="AV3" s="47"/>
      <c r="AW3" s="48"/>
      <c r="AX3" s="46" t="s">
        <v>26</v>
      </c>
      <c r="AY3" s="47"/>
      <c r="AZ3" s="47"/>
      <c r="BA3" s="47"/>
      <c r="BB3" s="47" t="s">
        <v>10</v>
      </c>
      <c r="BC3" s="47"/>
      <c r="BD3" s="48"/>
      <c r="BE3" s="46" t="s">
        <v>27</v>
      </c>
      <c r="BF3" s="47"/>
      <c r="BG3" s="47"/>
      <c r="BH3" s="47"/>
      <c r="BI3" s="47" t="s">
        <v>10</v>
      </c>
      <c r="BJ3" s="47"/>
      <c r="BK3" s="48"/>
      <c r="BL3" s="375"/>
      <c r="BM3" s="376"/>
      <c r="BN3" s="376"/>
      <c r="BO3" s="376"/>
      <c r="BP3" s="376"/>
      <c r="BQ3" s="376"/>
      <c r="BR3" s="48"/>
      <c r="BS3" s="375"/>
      <c r="BT3" s="376"/>
      <c r="BU3" s="376"/>
      <c r="BV3" s="376"/>
      <c r="BW3" s="376"/>
      <c r="BX3" s="376"/>
      <c r="BY3" s="48"/>
      <c r="BZ3" s="375"/>
      <c r="CA3" s="376"/>
      <c r="CB3" s="376"/>
      <c r="CC3" s="376"/>
      <c r="CD3" s="376"/>
      <c r="CE3" s="376"/>
      <c r="CF3" s="48"/>
      <c r="CG3" s="375"/>
      <c r="CH3" s="376"/>
      <c r="CI3" s="376"/>
      <c r="CJ3" s="376"/>
      <c r="CK3" s="376"/>
      <c r="CL3" s="376"/>
      <c r="CM3" s="48"/>
      <c r="CN3" s="49"/>
      <c r="CQ3" s="48" t="s">
        <v>75</v>
      </c>
      <c r="CR3" s="35"/>
      <c r="CS3" s="35"/>
      <c r="CT3" s="51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52"/>
      <c r="DH3" s="52"/>
      <c r="DI3" s="52"/>
      <c r="DJ3" s="52"/>
      <c r="DK3" s="52"/>
      <c r="DL3" s="52"/>
      <c r="DM3" s="52"/>
      <c r="DN3" s="52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4"/>
      <c r="EL3" s="54"/>
      <c r="EM3" s="54"/>
      <c r="EN3" s="54"/>
      <c r="EO3" s="54"/>
      <c r="EP3" s="54"/>
      <c r="EQ3" s="54"/>
    </row>
    <row r="4" spans="1:147" s="1" customFormat="1" ht="12.75" customHeight="1" x14ac:dyDescent="0.25">
      <c r="A4" s="5" t="s">
        <v>28</v>
      </c>
      <c r="B4" s="5" t="s">
        <v>29</v>
      </c>
      <c r="C4" s="5" t="s">
        <v>30</v>
      </c>
      <c r="D4" s="5" t="s">
        <v>171</v>
      </c>
      <c r="E4" s="5" t="s">
        <v>6</v>
      </c>
      <c r="F4" s="5" t="s">
        <v>190</v>
      </c>
      <c r="G4" s="5"/>
      <c r="H4" s="41"/>
      <c r="I4" s="5" t="s">
        <v>316</v>
      </c>
      <c r="J4" s="5"/>
      <c r="K4" s="5"/>
      <c r="L4" s="42" t="s">
        <v>30</v>
      </c>
      <c r="M4" s="5" t="s">
        <v>31</v>
      </c>
      <c r="N4" s="5" t="s">
        <v>32</v>
      </c>
      <c r="O4" s="43" t="s">
        <v>159</v>
      </c>
      <c r="P4" s="5" t="s">
        <v>171</v>
      </c>
      <c r="Q4" s="5" t="s">
        <v>6</v>
      </c>
      <c r="R4" s="5" t="s">
        <v>221</v>
      </c>
      <c r="S4" s="44" t="s">
        <v>33</v>
      </c>
      <c r="T4" s="2" t="s">
        <v>31</v>
      </c>
      <c r="U4" s="2" t="s">
        <v>32</v>
      </c>
      <c r="V4" s="45" t="s">
        <v>35</v>
      </c>
      <c r="W4" s="5" t="s">
        <v>171</v>
      </c>
      <c r="X4" s="5" t="s">
        <v>224</v>
      </c>
      <c r="Y4" s="5"/>
      <c r="Z4" s="44" t="s">
        <v>35</v>
      </c>
      <c r="AA4" s="35" t="s">
        <v>31</v>
      </c>
      <c r="AB4" s="2" t="s">
        <v>32</v>
      </c>
      <c r="AC4" s="47" t="s">
        <v>36</v>
      </c>
      <c r="AD4" s="47" t="s">
        <v>171</v>
      </c>
      <c r="AE4" s="41" t="s">
        <v>6</v>
      </c>
      <c r="AF4" s="47"/>
      <c r="AG4" s="47" t="s">
        <v>36</v>
      </c>
      <c r="AH4" s="47" t="s">
        <v>31</v>
      </c>
      <c r="AI4" s="48" t="s">
        <v>32</v>
      </c>
      <c r="AJ4" s="47" t="s">
        <v>36</v>
      </c>
      <c r="AK4" s="47" t="s">
        <v>171</v>
      </c>
      <c r="AL4" s="47"/>
      <c r="AM4" s="47" t="s">
        <v>215</v>
      </c>
      <c r="AN4" s="47" t="s">
        <v>36</v>
      </c>
      <c r="AO4" s="47" t="s">
        <v>31</v>
      </c>
      <c r="AP4" s="48" t="s">
        <v>32</v>
      </c>
      <c r="AQ4" s="47" t="s">
        <v>36</v>
      </c>
      <c r="AR4" s="47" t="s">
        <v>170</v>
      </c>
      <c r="AS4" s="47"/>
      <c r="AT4" s="47"/>
      <c r="AU4" s="47" t="s">
        <v>36</v>
      </c>
      <c r="AV4" s="47" t="s">
        <v>31</v>
      </c>
      <c r="AW4" s="48" t="s">
        <v>32</v>
      </c>
      <c r="AX4" s="47" t="s">
        <v>36</v>
      </c>
      <c r="AY4" s="47" t="s">
        <v>171</v>
      </c>
      <c r="AZ4" s="41" t="s">
        <v>6</v>
      </c>
      <c r="BA4" s="47"/>
      <c r="BB4" s="47" t="s">
        <v>36</v>
      </c>
      <c r="BC4" s="47" t="s">
        <v>31</v>
      </c>
      <c r="BD4" s="48" t="s">
        <v>32</v>
      </c>
      <c r="BE4" s="47" t="s">
        <v>36</v>
      </c>
      <c r="BF4" s="47" t="s">
        <v>171</v>
      </c>
      <c r="BG4" s="41" t="s">
        <v>6</v>
      </c>
      <c r="BH4" s="47"/>
      <c r="BI4" s="47" t="s">
        <v>36</v>
      </c>
      <c r="BJ4" s="47" t="s">
        <v>31</v>
      </c>
      <c r="BK4" s="48" t="s">
        <v>32</v>
      </c>
      <c r="BL4" s="376"/>
      <c r="BM4" s="376"/>
      <c r="BN4" s="376"/>
      <c r="BO4" s="376"/>
      <c r="BP4" s="376"/>
      <c r="BQ4" s="376" t="s">
        <v>31</v>
      </c>
      <c r="BR4" s="48" t="s">
        <v>32</v>
      </c>
      <c r="BS4" s="376"/>
      <c r="BT4" s="376"/>
      <c r="BU4" s="376"/>
      <c r="BV4" s="376"/>
      <c r="BW4" s="376"/>
      <c r="BX4" s="376" t="s">
        <v>31</v>
      </c>
      <c r="BY4" s="48" t="s">
        <v>32</v>
      </c>
      <c r="BZ4" s="376"/>
      <c r="CA4" s="376"/>
      <c r="CB4" s="376"/>
      <c r="CC4" s="376"/>
      <c r="CD4" s="376"/>
      <c r="CE4" s="376" t="s">
        <v>31</v>
      </c>
      <c r="CF4" s="48" t="s">
        <v>32</v>
      </c>
      <c r="CG4" s="376"/>
      <c r="CH4" s="376"/>
      <c r="CI4" s="376"/>
      <c r="CJ4" s="376"/>
      <c r="CK4" s="376"/>
      <c r="CL4" s="376" t="s">
        <v>31</v>
      </c>
      <c r="CM4" s="48" t="s">
        <v>32</v>
      </c>
      <c r="CN4" s="5" t="s">
        <v>10</v>
      </c>
      <c r="CO4" s="2" t="s">
        <v>10</v>
      </c>
      <c r="CQ4" s="48" t="s">
        <v>32</v>
      </c>
      <c r="CR4" s="35"/>
      <c r="CS4" s="35"/>
      <c r="CT4" s="51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52"/>
      <c r="DH4" s="52"/>
      <c r="DI4" s="52"/>
      <c r="DJ4" s="52"/>
      <c r="DK4" s="52"/>
      <c r="DL4" s="52"/>
      <c r="DM4" s="52"/>
      <c r="DN4" s="52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4"/>
      <c r="EL4" s="54"/>
      <c r="EM4" s="54"/>
      <c r="EN4" s="54"/>
      <c r="EO4" s="54"/>
      <c r="EP4" s="54"/>
      <c r="EQ4" s="54"/>
    </row>
    <row r="5" spans="1:147" s="65" customFormat="1" ht="12.75" customHeight="1" x14ac:dyDescent="0.25">
      <c r="A5" s="5" t="s">
        <v>11</v>
      </c>
      <c r="B5" s="5" t="s">
        <v>37</v>
      </c>
      <c r="C5" s="9" t="s">
        <v>38</v>
      </c>
      <c r="D5" s="9" t="s">
        <v>175</v>
      </c>
      <c r="E5" s="9" t="s">
        <v>13</v>
      </c>
      <c r="F5" s="9"/>
      <c r="G5" s="9"/>
      <c r="H5" s="55" t="s">
        <v>39</v>
      </c>
      <c r="I5" s="9" t="s">
        <v>314</v>
      </c>
      <c r="J5" s="9"/>
      <c r="K5" s="9"/>
      <c r="L5" s="56" t="s">
        <v>40</v>
      </c>
      <c r="M5" s="57" t="s">
        <v>41</v>
      </c>
      <c r="N5" s="57" t="s">
        <v>42</v>
      </c>
      <c r="O5" s="57" t="s">
        <v>38</v>
      </c>
      <c r="P5" s="9" t="s">
        <v>175</v>
      </c>
      <c r="Q5" s="9" t="s">
        <v>13</v>
      </c>
      <c r="R5" s="9" t="s">
        <v>119</v>
      </c>
      <c r="S5" s="58" t="s">
        <v>40</v>
      </c>
      <c r="T5" s="57" t="s">
        <v>41</v>
      </c>
      <c r="U5" s="57" t="s">
        <v>42</v>
      </c>
      <c r="V5" s="57" t="s">
        <v>38</v>
      </c>
      <c r="W5" s="9" t="s">
        <v>175</v>
      </c>
      <c r="X5" s="9"/>
      <c r="Y5" s="9"/>
      <c r="Z5" s="58" t="s">
        <v>40</v>
      </c>
      <c r="AA5" s="57" t="s">
        <v>41</v>
      </c>
      <c r="AB5" s="57" t="s">
        <v>42</v>
      </c>
      <c r="AC5" s="59" t="s">
        <v>38</v>
      </c>
      <c r="AD5" s="59" t="s">
        <v>175</v>
      </c>
      <c r="AE5" s="55" t="s">
        <v>13</v>
      </c>
      <c r="AF5" s="59"/>
      <c r="AG5" s="59" t="s">
        <v>40</v>
      </c>
      <c r="AH5" s="59" t="s">
        <v>41</v>
      </c>
      <c r="AI5" s="60" t="s">
        <v>42</v>
      </c>
      <c r="AJ5" s="59" t="s">
        <v>38</v>
      </c>
      <c r="AK5" s="59" t="s">
        <v>175</v>
      </c>
      <c r="AL5" s="59" t="s">
        <v>6</v>
      </c>
      <c r="AM5" s="59" t="s">
        <v>216</v>
      </c>
      <c r="AN5" s="59" t="s">
        <v>40</v>
      </c>
      <c r="AO5" s="59" t="s">
        <v>41</v>
      </c>
      <c r="AP5" s="60" t="s">
        <v>42</v>
      </c>
      <c r="AQ5" s="59" t="s">
        <v>38</v>
      </c>
      <c r="AR5" s="59" t="s">
        <v>44</v>
      </c>
      <c r="AS5" s="59"/>
      <c r="AT5" s="59"/>
      <c r="AU5" s="59" t="s">
        <v>40</v>
      </c>
      <c r="AV5" s="59" t="s">
        <v>41</v>
      </c>
      <c r="AW5" s="60" t="s">
        <v>42</v>
      </c>
      <c r="AX5" s="59" t="s">
        <v>38</v>
      </c>
      <c r="AY5" s="59" t="s">
        <v>175</v>
      </c>
      <c r="AZ5" s="55" t="s">
        <v>13</v>
      </c>
      <c r="BA5" s="59"/>
      <c r="BB5" s="59" t="s">
        <v>40</v>
      </c>
      <c r="BC5" s="59" t="s">
        <v>41</v>
      </c>
      <c r="BD5" s="60" t="s">
        <v>42</v>
      </c>
      <c r="BE5" s="59" t="s">
        <v>38</v>
      </c>
      <c r="BF5" s="59" t="s">
        <v>175</v>
      </c>
      <c r="BG5" s="55" t="s">
        <v>13</v>
      </c>
      <c r="BH5" s="59"/>
      <c r="BI5" s="59" t="s">
        <v>40</v>
      </c>
      <c r="BJ5" s="59" t="s">
        <v>41</v>
      </c>
      <c r="BK5" s="60" t="s">
        <v>42</v>
      </c>
      <c r="BL5" s="377"/>
      <c r="BM5" s="377"/>
      <c r="BN5" s="377"/>
      <c r="BO5" s="377"/>
      <c r="BP5" s="377" t="s">
        <v>40</v>
      </c>
      <c r="BQ5" s="377" t="s">
        <v>41</v>
      </c>
      <c r="BR5" s="60" t="s">
        <v>42</v>
      </c>
      <c r="BS5" s="377"/>
      <c r="BT5" s="377"/>
      <c r="BU5" s="377"/>
      <c r="BV5" s="377"/>
      <c r="BW5" s="377" t="s">
        <v>40</v>
      </c>
      <c r="BX5" s="377" t="s">
        <v>41</v>
      </c>
      <c r="BY5" s="60" t="s">
        <v>42</v>
      </c>
      <c r="BZ5" s="377"/>
      <c r="CA5" s="377"/>
      <c r="CB5" s="377"/>
      <c r="CC5" s="377"/>
      <c r="CD5" s="377" t="s">
        <v>40</v>
      </c>
      <c r="CE5" s="377" t="s">
        <v>41</v>
      </c>
      <c r="CF5" s="60" t="s">
        <v>42</v>
      </c>
      <c r="CG5" s="377"/>
      <c r="CH5" s="377"/>
      <c r="CI5" s="377"/>
      <c r="CJ5" s="377"/>
      <c r="CK5" s="377" t="s">
        <v>40</v>
      </c>
      <c r="CL5" s="377" t="s">
        <v>41</v>
      </c>
      <c r="CM5" s="60" t="s">
        <v>42</v>
      </c>
      <c r="CN5" s="50" t="s">
        <v>19</v>
      </c>
      <c r="CO5" s="50" t="s">
        <v>45</v>
      </c>
      <c r="CP5" s="50" t="s">
        <v>41</v>
      </c>
      <c r="CQ5" s="60" t="s">
        <v>42</v>
      </c>
      <c r="CR5" s="57"/>
      <c r="CS5" s="57"/>
      <c r="CT5" s="61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62"/>
      <c r="DH5" s="62"/>
      <c r="DI5" s="62"/>
      <c r="DJ5" s="62"/>
      <c r="DK5" s="62"/>
      <c r="DL5" s="62"/>
      <c r="DM5" s="62"/>
      <c r="DN5" s="62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3"/>
      <c r="EI5" s="63"/>
      <c r="EJ5" s="63"/>
      <c r="EK5" s="64"/>
      <c r="EL5" s="64"/>
      <c r="EM5" s="64"/>
      <c r="EN5" s="64"/>
      <c r="EO5" s="64"/>
      <c r="EP5" s="64"/>
      <c r="EQ5" s="64"/>
    </row>
    <row r="6" spans="1:147" s="79" customFormat="1" x14ac:dyDescent="0.25">
      <c r="A6" s="67">
        <f>+BaseloadMarkets!A6</f>
        <v>36678</v>
      </c>
      <c r="B6" s="67" t="str">
        <f>+BaseloadMarkets!B6</f>
        <v>Thu</v>
      </c>
      <c r="C6" s="68">
        <v>9766</v>
      </c>
      <c r="D6" s="68">
        <v>2929</v>
      </c>
      <c r="E6" s="68">
        <f>14679+2000</f>
        <v>16679</v>
      </c>
      <c r="F6" s="68">
        <v>1000</v>
      </c>
      <c r="G6" s="68"/>
      <c r="H6" s="69">
        <f>+Border!AD4</f>
        <v>0</v>
      </c>
      <c r="I6" s="68"/>
      <c r="J6" s="68"/>
      <c r="K6" s="68"/>
      <c r="L6" s="70">
        <f t="shared" ref="L6:L34" si="0">SUM(D6:K6)</f>
        <v>20608</v>
      </c>
      <c r="M6" s="71">
        <f t="shared" ref="M6:M34" si="1">+L6-C6</f>
        <v>10842</v>
      </c>
      <c r="N6" s="71">
        <f>M6</f>
        <v>10842</v>
      </c>
      <c r="O6" s="68">
        <v>1535</v>
      </c>
      <c r="P6" s="68">
        <v>5856</v>
      </c>
      <c r="Q6" s="68"/>
      <c r="R6" s="68"/>
      <c r="S6" s="72">
        <f t="shared" ref="S6:S34" si="2">SUM(P6:R6)</f>
        <v>5856</v>
      </c>
      <c r="T6" s="71">
        <f t="shared" ref="T6:T34" si="3">+S6-O6</f>
        <v>4321</v>
      </c>
      <c r="U6" s="71">
        <f>T6</f>
        <v>4321</v>
      </c>
      <c r="V6" s="68">
        <v>725</v>
      </c>
      <c r="W6" s="68">
        <v>5857</v>
      </c>
      <c r="X6" s="68"/>
      <c r="Y6" s="68"/>
      <c r="Z6" s="70">
        <f t="shared" ref="Z6:Z34" si="4">SUM(W6:Y6)</f>
        <v>5857</v>
      </c>
      <c r="AA6" s="71">
        <f t="shared" ref="AA6:AA34" si="5">+Z6-V6</f>
        <v>5132</v>
      </c>
      <c r="AB6" s="73">
        <f>+AA6</f>
        <v>5132</v>
      </c>
      <c r="AC6" s="69">
        <v>157</v>
      </c>
      <c r="AD6" s="69">
        <v>1757</v>
      </c>
      <c r="AE6" s="69"/>
      <c r="AF6" s="69"/>
      <c r="AG6" s="69">
        <f t="shared" ref="AG6:AG34" si="6">SUM(AD6:AF6)</f>
        <v>1757</v>
      </c>
      <c r="AH6" s="74">
        <f t="shared" ref="AH6:AH34" si="7">+AG6-AC6</f>
        <v>1600</v>
      </c>
      <c r="AI6" s="75">
        <f>AH6</f>
        <v>1600</v>
      </c>
      <c r="AJ6" s="69">
        <v>9487</v>
      </c>
      <c r="AK6" s="69">
        <f>4023+3352</f>
        <v>7375</v>
      </c>
      <c r="AL6" s="69">
        <v>10299</v>
      </c>
      <c r="AM6" s="69">
        <v>3600</v>
      </c>
      <c r="AN6" s="69">
        <f t="shared" ref="AN6:AN34" si="8">SUM(AK6:AM6)</f>
        <v>21274</v>
      </c>
      <c r="AO6" s="74">
        <f t="shared" ref="AO6:AO34" si="9">+AN6-AJ6</f>
        <v>11787</v>
      </c>
      <c r="AP6" s="75">
        <f>AO6</f>
        <v>11787</v>
      </c>
      <c r="AQ6" s="69">
        <v>0</v>
      </c>
      <c r="AR6" s="69">
        <v>0</v>
      </c>
      <c r="AS6" s="69"/>
      <c r="AT6" s="69"/>
      <c r="AU6" s="69">
        <f t="shared" ref="AU6:AU34" si="10">SUM(AR6:AT6)</f>
        <v>0</v>
      </c>
      <c r="AV6" s="74">
        <f t="shared" ref="AV6:AV34" si="11">+AU6-AQ6</f>
        <v>0</v>
      </c>
      <c r="AW6" s="75">
        <f>AV6</f>
        <v>0</v>
      </c>
      <c r="AX6" s="69">
        <v>195</v>
      </c>
      <c r="AY6" s="69">
        <v>1757</v>
      </c>
      <c r="AZ6" s="69"/>
      <c r="BA6" s="69"/>
      <c r="BB6" s="69">
        <f t="shared" ref="BB6:BB34" si="12">SUM(AY6:BA6)</f>
        <v>1757</v>
      </c>
      <c r="BC6" s="74">
        <f t="shared" ref="BC6:BC34" si="13">+BB6-AX6</f>
        <v>1562</v>
      </c>
      <c r="BD6" s="75">
        <f>BC6</f>
        <v>1562</v>
      </c>
      <c r="BE6" s="69">
        <v>321</v>
      </c>
      <c r="BF6" s="69">
        <v>2343</v>
      </c>
      <c r="BG6" s="69"/>
      <c r="BH6" s="69"/>
      <c r="BI6" s="69">
        <f t="shared" ref="BI6:BI34" si="14">SUM(BF6:BH6)</f>
        <v>2343</v>
      </c>
      <c r="BJ6" s="74">
        <f t="shared" ref="BJ6:BJ34" si="15">+BI6-BE6</f>
        <v>2022</v>
      </c>
      <c r="BK6" s="75">
        <f>BJ6</f>
        <v>2022</v>
      </c>
      <c r="BL6" s="378"/>
      <c r="BM6" s="378"/>
      <c r="BN6" s="378"/>
      <c r="BO6" s="378"/>
      <c r="BP6" s="378">
        <f t="shared" ref="BP6:BP34" si="16">SUM(BM6:BO6)</f>
        <v>0</v>
      </c>
      <c r="BQ6" s="379">
        <f t="shared" ref="BQ6:BQ34" si="17">+BP6-BL6</f>
        <v>0</v>
      </c>
      <c r="BR6" s="75">
        <f>BQ6</f>
        <v>0</v>
      </c>
      <c r="BS6" s="378"/>
      <c r="BT6" s="378"/>
      <c r="BU6" s="378"/>
      <c r="BV6" s="378"/>
      <c r="BW6" s="378">
        <f t="shared" ref="BW6:BW34" si="18">SUM(BT6:BV6)</f>
        <v>0</v>
      </c>
      <c r="BX6" s="379">
        <f t="shared" ref="BX6:BX34" si="19">+BW6-BS6</f>
        <v>0</v>
      </c>
      <c r="BY6" s="75">
        <f>BX6</f>
        <v>0</v>
      </c>
      <c r="BZ6" s="378"/>
      <c r="CA6" s="378"/>
      <c r="CB6" s="378"/>
      <c r="CC6" s="378"/>
      <c r="CD6" s="378">
        <f t="shared" ref="CD6:CD34" si="20">SUM(CA6:CC6)</f>
        <v>0</v>
      </c>
      <c r="CE6" s="379">
        <f t="shared" ref="CE6:CE34" si="21">+CD6-BZ6</f>
        <v>0</v>
      </c>
      <c r="CF6" s="75">
        <f>CE6</f>
        <v>0</v>
      </c>
      <c r="CG6" s="378"/>
      <c r="CH6" s="378"/>
      <c r="CI6" s="378"/>
      <c r="CJ6" s="378"/>
      <c r="CK6" s="378">
        <f t="shared" ref="CK6:CK34" si="22">SUM(CH6:CJ6)</f>
        <v>0</v>
      </c>
      <c r="CL6" s="379">
        <f t="shared" ref="CL6:CL34" si="23">+CK6-CG6</f>
        <v>0</v>
      </c>
      <c r="CM6" s="75">
        <f>CL6</f>
        <v>0</v>
      </c>
      <c r="CN6" s="71">
        <f t="shared" ref="CN6:CN34" si="24">+C6+O6+V6+AC6+AJ6+AQ6+AX6+BE6+BL6+BS6+BZ6+CG6</f>
        <v>22186</v>
      </c>
      <c r="CO6" s="71">
        <f>+L6+S6+Z6+AG6+AN6+AU6+BB6+BI6+BP6+BW6+CD6+CK6</f>
        <v>59452</v>
      </c>
      <c r="CP6" s="71">
        <f t="shared" ref="CP6:CP34" si="25">CO6-CN6</f>
        <v>37266</v>
      </c>
      <c r="CQ6" s="75">
        <f>CP6</f>
        <v>37266</v>
      </c>
      <c r="CR6" s="68"/>
      <c r="CS6" s="71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76"/>
      <c r="DH6" s="76"/>
      <c r="DI6" s="76"/>
      <c r="DJ6" s="76"/>
      <c r="DK6" s="76"/>
      <c r="DL6" s="76"/>
      <c r="DM6" s="76"/>
      <c r="DN6" s="76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8"/>
      <c r="EL6" s="78"/>
      <c r="EM6" s="78"/>
      <c r="EN6" s="78"/>
      <c r="EO6" s="78"/>
      <c r="EP6" s="78"/>
      <c r="EQ6" s="78"/>
    </row>
    <row r="7" spans="1:147" s="79" customFormat="1" x14ac:dyDescent="0.25">
      <c r="A7" s="67">
        <f>+BaseloadMarkets!A7</f>
        <v>36679</v>
      </c>
      <c r="B7" s="67" t="str">
        <f>+BaseloadMarkets!B7</f>
        <v>Fri</v>
      </c>
      <c r="C7" s="68">
        <v>7172</v>
      </c>
      <c r="D7" s="68">
        <v>2686</v>
      </c>
      <c r="E7" s="68">
        <f>13509+2000</f>
        <v>15509</v>
      </c>
      <c r="F7" s="68">
        <v>1000</v>
      </c>
      <c r="G7" s="68"/>
      <c r="H7" s="69">
        <f>+Border!AD5</f>
        <v>0</v>
      </c>
      <c r="I7" s="68"/>
      <c r="J7" s="68"/>
      <c r="K7" s="68"/>
      <c r="L7" s="70">
        <f t="shared" si="0"/>
        <v>19195</v>
      </c>
      <c r="M7" s="71">
        <f t="shared" si="1"/>
        <v>12023</v>
      </c>
      <c r="N7" s="71">
        <f t="shared" ref="N7:N34" si="26">N6+M7</f>
        <v>22865</v>
      </c>
      <c r="O7" s="68">
        <v>2331</v>
      </c>
      <c r="P7" s="68">
        <v>5373</v>
      </c>
      <c r="Q7" s="68"/>
      <c r="R7" s="68"/>
      <c r="S7" s="72">
        <f t="shared" si="2"/>
        <v>5373</v>
      </c>
      <c r="T7" s="71">
        <f t="shared" si="3"/>
        <v>3042</v>
      </c>
      <c r="U7" s="71">
        <f t="shared" ref="U7:U34" si="27">U6+T7</f>
        <v>7363</v>
      </c>
      <c r="V7" s="68">
        <v>1398</v>
      </c>
      <c r="W7" s="68">
        <v>4767</v>
      </c>
      <c r="X7" s="68"/>
      <c r="Y7" s="68"/>
      <c r="Z7" s="70">
        <f t="shared" si="4"/>
        <v>4767</v>
      </c>
      <c r="AA7" s="71">
        <f t="shared" si="5"/>
        <v>3369</v>
      </c>
      <c r="AB7" s="73">
        <f t="shared" ref="AB7:AB34" si="28">+AB6+AA7</f>
        <v>8501</v>
      </c>
      <c r="AC7" s="69">
        <v>184</v>
      </c>
      <c r="AD7" s="69">
        <v>934</v>
      </c>
      <c r="AE7" s="69"/>
      <c r="AF7" s="69"/>
      <c r="AG7" s="69">
        <f t="shared" si="6"/>
        <v>934</v>
      </c>
      <c r="AH7" s="74">
        <f t="shared" si="7"/>
        <v>750</v>
      </c>
      <c r="AI7" s="75">
        <f t="shared" ref="AI7:AI34" si="29">AI6+AH7</f>
        <v>2350</v>
      </c>
      <c r="AJ7" s="69">
        <v>8354</v>
      </c>
      <c r="AK7" s="69">
        <f>2687+12543</f>
        <v>15230</v>
      </c>
      <c r="AL7" s="69">
        <v>3783</v>
      </c>
      <c r="AM7" s="69">
        <v>3600</v>
      </c>
      <c r="AN7" s="69">
        <f t="shared" si="8"/>
        <v>22613</v>
      </c>
      <c r="AO7" s="74">
        <f t="shared" si="9"/>
        <v>14259</v>
      </c>
      <c r="AP7" s="75">
        <f t="shared" ref="AP7:AP34" si="30">AP6+AO7</f>
        <v>26046</v>
      </c>
      <c r="AQ7" s="69">
        <v>0</v>
      </c>
      <c r="AR7" s="69">
        <v>0</v>
      </c>
      <c r="AS7" s="69"/>
      <c r="AT7" s="69"/>
      <c r="AU7" s="69">
        <f t="shared" si="10"/>
        <v>0</v>
      </c>
      <c r="AV7" s="74">
        <f t="shared" si="11"/>
        <v>0</v>
      </c>
      <c r="AW7" s="75">
        <f t="shared" ref="AW7:AW34" si="31">AW6+AV7</f>
        <v>0</v>
      </c>
      <c r="AX7" s="69">
        <v>199</v>
      </c>
      <c r="AY7" s="69">
        <v>934</v>
      </c>
      <c r="AZ7" s="69"/>
      <c r="BA7" s="69"/>
      <c r="BB7" s="69">
        <f t="shared" si="12"/>
        <v>934</v>
      </c>
      <c r="BC7" s="74">
        <f t="shared" si="13"/>
        <v>735</v>
      </c>
      <c r="BD7" s="75">
        <f t="shared" ref="BD7:BD34" si="32">BD6+BC7</f>
        <v>2297</v>
      </c>
      <c r="BE7" s="69">
        <v>326</v>
      </c>
      <c r="BF7" s="69">
        <v>934</v>
      </c>
      <c r="BG7" s="69"/>
      <c r="BH7" s="69"/>
      <c r="BI7" s="69">
        <f t="shared" si="14"/>
        <v>934</v>
      </c>
      <c r="BJ7" s="74">
        <f t="shared" si="15"/>
        <v>608</v>
      </c>
      <c r="BK7" s="75">
        <f t="shared" ref="BK7:BK34" si="33">BK6+BJ7</f>
        <v>2630</v>
      </c>
      <c r="BL7" s="378"/>
      <c r="BM7" s="378"/>
      <c r="BN7" s="378"/>
      <c r="BO7" s="378"/>
      <c r="BP7" s="378">
        <f t="shared" si="16"/>
        <v>0</v>
      </c>
      <c r="BQ7" s="379">
        <f t="shared" si="17"/>
        <v>0</v>
      </c>
      <c r="BR7" s="75">
        <f t="shared" ref="BR7:BR34" si="34">BR6+BQ7</f>
        <v>0</v>
      </c>
      <c r="BS7" s="378"/>
      <c r="BT7" s="378"/>
      <c r="BU7" s="378"/>
      <c r="BV7" s="378"/>
      <c r="BW7" s="378">
        <f t="shared" si="18"/>
        <v>0</v>
      </c>
      <c r="BX7" s="379">
        <f t="shared" si="19"/>
        <v>0</v>
      </c>
      <c r="BY7" s="75">
        <f t="shared" ref="BY7:BY34" si="35">BY6+BX7</f>
        <v>0</v>
      </c>
      <c r="BZ7" s="378"/>
      <c r="CA7" s="378"/>
      <c r="CB7" s="378"/>
      <c r="CC7" s="378"/>
      <c r="CD7" s="378">
        <f t="shared" si="20"/>
        <v>0</v>
      </c>
      <c r="CE7" s="379">
        <f t="shared" si="21"/>
        <v>0</v>
      </c>
      <c r="CF7" s="75">
        <f t="shared" ref="CF7:CF34" si="36">CF6+CE7</f>
        <v>0</v>
      </c>
      <c r="CG7" s="378"/>
      <c r="CH7" s="378"/>
      <c r="CI7" s="378"/>
      <c r="CJ7" s="378"/>
      <c r="CK7" s="378">
        <f t="shared" si="22"/>
        <v>0</v>
      </c>
      <c r="CL7" s="379">
        <f t="shared" si="23"/>
        <v>0</v>
      </c>
      <c r="CM7" s="75">
        <f t="shared" ref="CM7:CM34" si="37">CM6+CL7</f>
        <v>0</v>
      </c>
      <c r="CN7" s="71">
        <f t="shared" si="24"/>
        <v>19964</v>
      </c>
      <c r="CO7" s="71">
        <f t="shared" ref="CO7:CO34" si="38">+L7+S7+Z7+AG7+AN7+AU7+BB7+BI7+BP7+BW7+CD7+CK7</f>
        <v>54750</v>
      </c>
      <c r="CP7" s="71">
        <f t="shared" si="25"/>
        <v>34786</v>
      </c>
      <c r="CQ7" s="75">
        <f t="shared" ref="CQ7:CQ35" si="39">CQ6+CP7</f>
        <v>72052</v>
      </c>
      <c r="CR7" s="68"/>
      <c r="CS7" s="71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76"/>
      <c r="DH7" s="76"/>
      <c r="DI7" s="76"/>
      <c r="DJ7" s="76"/>
      <c r="DK7" s="76"/>
      <c r="DL7" s="76"/>
      <c r="DM7" s="76"/>
      <c r="DN7" s="76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8"/>
      <c r="EL7" s="78"/>
      <c r="EM7" s="78"/>
      <c r="EN7" s="78"/>
      <c r="EO7" s="78"/>
      <c r="EP7" s="78"/>
      <c r="EQ7" s="78"/>
    </row>
    <row r="8" spans="1:147" x14ac:dyDescent="0.25">
      <c r="A8" s="67">
        <f>+BaseloadMarkets!A8</f>
        <v>36680</v>
      </c>
      <c r="B8" s="67" t="str">
        <f>+BaseloadMarkets!B8</f>
        <v>Sat</v>
      </c>
      <c r="C8" s="68">
        <v>7180</v>
      </c>
      <c r="D8" s="68">
        <v>2800</v>
      </c>
      <c r="E8" s="68">
        <v>3000</v>
      </c>
      <c r="F8" s="68">
        <v>1000</v>
      </c>
      <c r="G8" s="68"/>
      <c r="H8" s="69">
        <f>+Border!AD6</f>
        <v>0</v>
      </c>
      <c r="I8" s="68"/>
      <c r="J8" s="68"/>
      <c r="K8" s="68"/>
      <c r="L8" s="70">
        <f t="shared" si="0"/>
        <v>6800</v>
      </c>
      <c r="M8" s="71">
        <f t="shared" si="1"/>
        <v>-380</v>
      </c>
      <c r="N8" s="71">
        <f t="shared" si="26"/>
        <v>22485</v>
      </c>
      <c r="O8" s="68">
        <v>2410</v>
      </c>
      <c r="P8" s="68">
        <v>137</v>
      </c>
      <c r="Q8" s="68"/>
      <c r="R8" s="68"/>
      <c r="S8" s="72">
        <f t="shared" si="2"/>
        <v>137</v>
      </c>
      <c r="T8" s="71">
        <f t="shared" si="3"/>
        <v>-2273</v>
      </c>
      <c r="U8" s="71">
        <f t="shared" si="27"/>
        <v>5090</v>
      </c>
      <c r="V8" s="68">
        <v>703</v>
      </c>
      <c r="W8" s="68">
        <v>224</v>
      </c>
      <c r="X8" s="68"/>
      <c r="Y8" s="68"/>
      <c r="Z8" s="70">
        <f t="shared" si="4"/>
        <v>224</v>
      </c>
      <c r="AA8" s="71">
        <f t="shared" si="5"/>
        <v>-479</v>
      </c>
      <c r="AB8" s="73">
        <f t="shared" si="28"/>
        <v>8022</v>
      </c>
      <c r="AC8" s="69">
        <v>196</v>
      </c>
      <c r="AD8" s="69">
        <v>0</v>
      </c>
      <c r="AE8" s="69"/>
      <c r="AF8" s="69"/>
      <c r="AG8" s="69">
        <f t="shared" si="6"/>
        <v>0</v>
      </c>
      <c r="AH8" s="74">
        <f t="shared" si="7"/>
        <v>-196</v>
      </c>
      <c r="AI8" s="75">
        <f t="shared" si="29"/>
        <v>2154</v>
      </c>
      <c r="AJ8" s="69">
        <v>6487</v>
      </c>
      <c r="AK8" s="69">
        <v>2620</v>
      </c>
      <c r="AL8" s="69">
        <v>988</v>
      </c>
      <c r="AM8" s="69">
        <v>2600</v>
      </c>
      <c r="AN8" s="69">
        <f t="shared" si="8"/>
        <v>6208</v>
      </c>
      <c r="AO8" s="74">
        <f t="shared" si="9"/>
        <v>-279</v>
      </c>
      <c r="AP8" s="75">
        <f t="shared" si="30"/>
        <v>25767</v>
      </c>
      <c r="AQ8" s="69">
        <v>0</v>
      </c>
      <c r="AR8" s="69">
        <v>0</v>
      </c>
      <c r="AS8" s="69"/>
      <c r="AT8" s="69"/>
      <c r="AU8" s="69">
        <f t="shared" si="10"/>
        <v>0</v>
      </c>
      <c r="AV8" s="74">
        <f t="shared" si="11"/>
        <v>0</v>
      </c>
      <c r="AW8" s="75">
        <f t="shared" si="31"/>
        <v>0</v>
      </c>
      <c r="AX8" s="69">
        <v>27</v>
      </c>
      <c r="AY8" s="69">
        <v>0</v>
      </c>
      <c r="AZ8" s="69"/>
      <c r="BA8" s="69"/>
      <c r="BB8" s="69">
        <f t="shared" si="12"/>
        <v>0</v>
      </c>
      <c r="BC8" s="74">
        <f t="shared" si="13"/>
        <v>-27</v>
      </c>
      <c r="BD8" s="75">
        <f t="shared" si="32"/>
        <v>2270</v>
      </c>
      <c r="BE8" s="69">
        <v>184</v>
      </c>
      <c r="BF8" s="69">
        <v>0</v>
      </c>
      <c r="BG8" s="69"/>
      <c r="BH8" s="69"/>
      <c r="BI8" s="69">
        <f t="shared" si="14"/>
        <v>0</v>
      </c>
      <c r="BJ8" s="74">
        <f t="shared" si="15"/>
        <v>-184</v>
      </c>
      <c r="BK8" s="75">
        <f t="shared" si="33"/>
        <v>2446</v>
      </c>
      <c r="BL8" s="378"/>
      <c r="BM8" s="378"/>
      <c r="BN8" s="378"/>
      <c r="BO8" s="378"/>
      <c r="BP8" s="378">
        <f t="shared" si="16"/>
        <v>0</v>
      </c>
      <c r="BQ8" s="379">
        <f t="shared" si="17"/>
        <v>0</v>
      </c>
      <c r="BR8" s="75">
        <f t="shared" si="34"/>
        <v>0</v>
      </c>
      <c r="BS8" s="378"/>
      <c r="BT8" s="378"/>
      <c r="BU8" s="378"/>
      <c r="BV8" s="378"/>
      <c r="BW8" s="378">
        <f t="shared" si="18"/>
        <v>0</v>
      </c>
      <c r="BX8" s="379">
        <f t="shared" si="19"/>
        <v>0</v>
      </c>
      <c r="BY8" s="75">
        <f t="shared" si="35"/>
        <v>0</v>
      </c>
      <c r="BZ8" s="378"/>
      <c r="CA8" s="378"/>
      <c r="CB8" s="378"/>
      <c r="CC8" s="378"/>
      <c r="CD8" s="378">
        <f t="shared" si="20"/>
        <v>0</v>
      </c>
      <c r="CE8" s="379">
        <f t="shared" si="21"/>
        <v>0</v>
      </c>
      <c r="CF8" s="75">
        <f t="shared" si="36"/>
        <v>0</v>
      </c>
      <c r="CG8" s="378"/>
      <c r="CH8" s="378"/>
      <c r="CI8" s="378"/>
      <c r="CJ8" s="378"/>
      <c r="CK8" s="378">
        <f t="shared" si="22"/>
        <v>0</v>
      </c>
      <c r="CL8" s="379">
        <f t="shared" si="23"/>
        <v>0</v>
      </c>
      <c r="CM8" s="75">
        <f t="shared" si="37"/>
        <v>0</v>
      </c>
      <c r="CN8" s="71">
        <f t="shared" si="24"/>
        <v>17187</v>
      </c>
      <c r="CO8" s="71">
        <f t="shared" si="38"/>
        <v>13369</v>
      </c>
      <c r="CP8" s="71">
        <f t="shared" si="25"/>
        <v>-3818</v>
      </c>
      <c r="CQ8" s="75">
        <f t="shared" si="39"/>
        <v>68234</v>
      </c>
      <c r="CR8" s="73"/>
      <c r="CS8" s="73"/>
      <c r="CT8" s="80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</row>
    <row r="9" spans="1:147" x14ac:dyDescent="0.25">
      <c r="A9" s="67">
        <f>+BaseloadMarkets!A9</f>
        <v>36681</v>
      </c>
      <c r="B9" s="67" t="str">
        <f>+BaseloadMarkets!B9</f>
        <v>Sun</v>
      </c>
      <c r="C9" s="68">
        <v>9117</v>
      </c>
      <c r="D9" s="68">
        <v>3157</v>
      </c>
      <c r="E9" s="68">
        <v>2996</v>
      </c>
      <c r="F9" s="68">
        <v>1000</v>
      </c>
      <c r="G9" s="68"/>
      <c r="H9" s="69">
        <f>+Border!AD7</f>
        <v>0</v>
      </c>
      <c r="I9" s="68"/>
      <c r="J9" s="68"/>
      <c r="K9" s="68"/>
      <c r="L9" s="70">
        <f>SUM(D9:K9)</f>
        <v>7153</v>
      </c>
      <c r="M9" s="71">
        <f t="shared" si="1"/>
        <v>-1964</v>
      </c>
      <c r="N9" s="71">
        <f t="shared" si="26"/>
        <v>20521</v>
      </c>
      <c r="O9" s="68">
        <v>2196</v>
      </c>
      <c r="P9" s="68">
        <v>625</v>
      </c>
      <c r="Q9" s="68"/>
      <c r="R9" s="68"/>
      <c r="S9" s="72">
        <f t="shared" si="2"/>
        <v>625</v>
      </c>
      <c r="T9" s="71">
        <f t="shared" si="3"/>
        <v>-1571</v>
      </c>
      <c r="U9" s="71">
        <f t="shared" si="27"/>
        <v>3519</v>
      </c>
      <c r="V9" s="68">
        <v>570</v>
      </c>
      <c r="W9" s="68">
        <v>333</v>
      </c>
      <c r="X9" s="68"/>
      <c r="Y9" s="68"/>
      <c r="Z9" s="70">
        <f t="shared" si="4"/>
        <v>333</v>
      </c>
      <c r="AA9" s="71">
        <f t="shared" si="5"/>
        <v>-237</v>
      </c>
      <c r="AB9" s="73">
        <f t="shared" si="28"/>
        <v>7785</v>
      </c>
      <c r="AC9" s="69">
        <v>29</v>
      </c>
      <c r="AD9" s="69">
        <v>0</v>
      </c>
      <c r="AE9" s="69"/>
      <c r="AF9" s="69"/>
      <c r="AG9" s="69">
        <f t="shared" si="6"/>
        <v>0</v>
      </c>
      <c r="AH9" s="74">
        <f t="shared" si="7"/>
        <v>-29</v>
      </c>
      <c r="AI9" s="75">
        <f t="shared" si="29"/>
        <v>2125</v>
      </c>
      <c r="AJ9" s="69">
        <v>8902</v>
      </c>
      <c r="AK9" s="69">
        <v>1622</v>
      </c>
      <c r="AL9" s="69">
        <v>987</v>
      </c>
      <c r="AM9" s="69">
        <v>2600</v>
      </c>
      <c r="AN9" s="69">
        <f t="shared" si="8"/>
        <v>5209</v>
      </c>
      <c r="AO9" s="74">
        <f t="shared" si="9"/>
        <v>-3693</v>
      </c>
      <c r="AP9" s="75">
        <f t="shared" si="30"/>
        <v>22074</v>
      </c>
      <c r="AQ9" s="69">
        <v>0</v>
      </c>
      <c r="AR9" s="69">
        <v>0</v>
      </c>
      <c r="AS9" s="69"/>
      <c r="AT9" s="69"/>
      <c r="AU9" s="69">
        <f t="shared" si="10"/>
        <v>0</v>
      </c>
      <c r="AV9" s="74">
        <f t="shared" si="11"/>
        <v>0</v>
      </c>
      <c r="AW9" s="75">
        <f t="shared" si="31"/>
        <v>0</v>
      </c>
      <c r="AX9" s="69">
        <v>0</v>
      </c>
      <c r="AY9" s="69">
        <v>0</v>
      </c>
      <c r="AZ9" s="69"/>
      <c r="BA9" s="69"/>
      <c r="BB9" s="69">
        <f t="shared" si="12"/>
        <v>0</v>
      </c>
      <c r="BC9" s="74">
        <f t="shared" si="13"/>
        <v>0</v>
      </c>
      <c r="BD9" s="75">
        <f t="shared" si="32"/>
        <v>2270</v>
      </c>
      <c r="BE9" s="69">
        <v>0</v>
      </c>
      <c r="BF9" s="69">
        <v>0</v>
      </c>
      <c r="BG9" s="69"/>
      <c r="BH9" s="69"/>
      <c r="BI9" s="69">
        <f t="shared" si="14"/>
        <v>0</v>
      </c>
      <c r="BJ9" s="74">
        <f t="shared" si="15"/>
        <v>0</v>
      </c>
      <c r="BK9" s="75">
        <f t="shared" si="33"/>
        <v>2446</v>
      </c>
      <c r="BL9" s="378"/>
      <c r="BM9" s="378"/>
      <c r="BN9" s="378"/>
      <c r="BO9" s="378"/>
      <c r="BP9" s="378">
        <f t="shared" si="16"/>
        <v>0</v>
      </c>
      <c r="BQ9" s="379">
        <f t="shared" si="17"/>
        <v>0</v>
      </c>
      <c r="BR9" s="75">
        <f t="shared" si="34"/>
        <v>0</v>
      </c>
      <c r="BS9" s="378"/>
      <c r="BT9" s="378"/>
      <c r="BU9" s="378"/>
      <c r="BV9" s="378"/>
      <c r="BW9" s="378">
        <f t="shared" si="18"/>
        <v>0</v>
      </c>
      <c r="BX9" s="379">
        <f t="shared" si="19"/>
        <v>0</v>
      </c>
      <c r="BY9" s="75">
        <f t="shared" si="35"/>
        <v>0</v>
      </c>
      <c r="BZ9" s="378"/>
      <c r="CA9" s="378"/>
      <c r="CB9" s="378"/>
      <c r="CC9" s="378"/>
      <c r="CD9" s="378">
        <f t="shared" si="20"/>
        <v>0</v>
      </c>
      <c r="CE9" s="379">
        <f t="shared" si="21"/>
        <v>0</v>
      </c>
      <c r="CF9" s="75">
        <f t="shared" si="36"/>
        <v>0</v>
      </c>
      <c r="CG9" s="378"/>
      <c r="CH9" s="378"/>
      <c r="CI9" s="378"/>
      <c r="CJ9" s="378"/>
      <c r="CK9" s="378">
        <f t="shared" si="22"/>
        <v>0</v>
      </c>
      <c r="CL9" s="379">
        <f t="shared" si="23"/>
        <v>0</v>
      </c>
      <c r="CM9" s="75">
        <f t="shared" si="37"/>
        <v>0</v>
      </c>
      <c r="CN9" s="71">
        <f t="shared" si="24"/>
        <v>20814</v>
      </c>
      <c r="CO9" s="71">
        <f t="shared" si="38"/>
        <v>13320</v>
      </c>
      <c r="CP9" s="71">
        <f t="shared" si="25"/>
        <v>-7494</v>
      </c>
      <c r="CQ9" s="75">
        <f t="shared" si="39"/>
        <v>60740</v>
      </c>
      <c r="CR9" s="73"/>
      <c r="CS9" s="73"/>
      <c r="CT9" s="80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</row>
    <row r="10" spans="1:147" x14ac:dyDescent="0.25">
      <c r="A10" s="67">
        <f>+BaseloadMarkets!A10</f>
        <v>36682</v>
      </c>
      <c r="B10" s="67" t="str">
        <f>+BaseloadMarkets!B10</f>
        <v>Mon</v>
      </c>
      <c r="C10" s="68">
        <v>10652</v>
      </c>
      <c r="D10" s="68">
        <v>2112</v>
      </c>
      <c r="E10" s="68">
        <v>2996</v>
      </c>
      <c r="F10" s="68">
        <v>1000</v>
      </c>
      <c r="G10" s="68"/>
      <c r="H10" s="69">
        <f>+Border!AD8</f>
        <v>0</v>
      </c>
      <c r="I10" s="68"/>
      <c r="J10" s="68"/>
      <c r="K10" s="68"/>
      <c r="L10" s="70">
        <f t="shared" si="0"/>
        <v>6108</v>
      </c>
      <c r="M10" s="71">
        <f t="shared" si="1"/>
        <v>-4544</v>
      </c>
      <c r="N10" s="71">
        <f t="shared" si="26"/>
        <v>15977</v>
      </c>
      <c r="O10" s="68">
        <v>1435</v>
      </c>
      <c r="P10" s="68">
        <v>124</v>
      </c>
      <c r="Q10" s="68"/>
      <c r="R10" s="68"/>
      <c r="S10" s="72">
        <f t="shared" si="2"/>
        <v>124</v>
      </c>
      <c r="T10" s="71">
        <f t="shared" si="3"/>
        <v>-1311</v>
      </c>
      <c r="U10" s="71">
        <f t="shared" si="27"/>
        <v>2208</v>
      </c>
      <c r="V10" s="68">
        <v>108</v>
      </c>
      <c r="W10" s="68">
        <v>603</v>
      </c>
      <c r="X10" s="68"/>
      <c r="Y10" s="68"/>
      <c r="Z10" s="70">
        <f t="shared" si="4"/>
        <v>603</v>
      </c>
      <c r="AA10" s="71">
        <f t="shared" si="5"/>
        <v>495</v>
      </c>
      <c r="AB10" s="73">
        <f t="shared" si="28"/>
        <v>8280</v>
      </c>
      <c r="AC10" s="69">
        <v>99</v>
      </c>
      <c r="AD10" s="69">
        <v>0</v>
      </c>
      <c r="AE10" s="69"/>
      <c r="AF10" s="69"/>
      <c r="AG10" s="69">
        <f t="shared" si="6"/>
        <v>0</v>
      </c>
      <c r="AH10" s="74">
        <f t="shared" si="7"/>
        <v>-99</v>
      </c>
      <c r="AI10" s="75">
        <f t="shared" si="29"/>
        <v>2026</v>
      </c>
      <c r="AJ10" s="69">
        <v>9253</v>
      </c>
      <c r="AK10" s="69">
        <v>2351</v>
      </c>
      <c r="AL10" s="69">
        <v>987</v>
      </c>
      <c r="AM10" s="69">
        <v>2600</v>
      </c>
      <c r="AN10" s="69">
        <f t="shared" si="8"/>
        <v>5938</v>
      </c>
      <c r="AO10" s="74">
        <f t="shared" si="9"/>
        <v>-3315</v>
      </c>
      <c r="AP10" s="75">
        <f t="shared" si="30"/>
        <v>18759</v>
      </c>
      <c r="AQ10" s="69">
        <v>0</v>
      </c>
      <c r="AR10" s="69">
        <v>0</v>
      </c>
      <c r="AS10" s="69"/>
      <c r="AT10" s="69"/>
      <c r="AU10" s="69">
        <f t="shared" si="10"/>
        <v>0</v>
      </c>
      <c r="AV10" s="74">
        <f t="shared" si="11"/>
        <v>0</v>
      </c>
      <c r="AW10" s="75">
        <f t="shared" si="31"/>
        <v>0</v>
      </c>
      <c r="AX10" s="69">
        <v>172</v>
      </c>
      <c r="AY10" s="69">
        <v>0</v>
      </c>
      <c r="AZ10" s="69"/>
      <c r="BA10" s="69"/>
      <c r="BB10" s="69">
        <f t="shared" si="12"/>
        <v>0</v>
      </c>
      <c r="BC10" s="74">
        <f t="shared" si="13"/>
        <v>-172</v>
      </c>
      <c r="BD10" s="75">
        <f t="shared" si="32"/>
        <v>2098</v>
      </c>
      <c r="BE10" s="69">
        <v>271</v>
      </c>
      <c r="BF10" s="69">
        <v>0</v>
      </c>
      <c r="BG10" s="69"/>
      <c r="BH10" s="69"/>
      <c r="BI10" s="69">
        <f t="shared" si="14"/>
        <v>0</v>
      </c>
      <c r="BJ10" s="74">
        <f t="shared" si="15"/>
        <v>-271</v>
      </c>
      <c r="BK10" s="75">
        <f t="shared" si="33"/>
        <v>2175</v>
      </c>
      <c r="BL10" s="378"/>
      <c r="BM10" s="378"/>
      <c r="BN10" s="378"/>
      <c r="BO10" s="378"/>
      <c r="BP10" s="378">
        <f t="shared" si="16"/>
        <v>0</v>
      </c>
      <c r="BQ10" s="379">
        <f t="shared" si="17"/>
        <v>0</v>
      </c>
      <c r="BR10" s="75">
        <f t="shared" si="34"/>
        <v>0</v>
      </c>
      <c r="BS10" s="378"/>
      <c r="BT10" s="378"/>
      <c r="BU10" s="378"/>
      <c r="BV10" s="378"/>
      <c r="BW10" s="378">
        <f t="shared" si="18"/>
        <v>0</v>
      </c>
      <c r="BX10" s="379">
        <f t="shared" si="19"/>
        <v>0</v>
      </c>
      <c r="BY10" s="75">
        <f t="shared" si="35"/>
        <v>0</v>
      </c>
      <c r="BZ10" s="378"/>
      <c r="CA10" s="378"/>
      <c r="CB10" s="378"/>
      <c r="CC10" s="378"/>
      <c r="CD10" s="378">
        <f t="shared" si="20"/>
        <v>0</v>
      </c>
      <c r="CE10" s="379">
        <f t="shared" si="21"/>
        <v>0</v>
      </c>
      <c r="CF10" s="75">
        <f t="shared" si="36"/>
        <v>0</v>
      </c>
      <c r="CG10" s="378"/>
      <c r="CH10" s="378"/>
      <c r="CI10" s="378"/>
      <c r="CJ10" s="378"/>
      <c r="CK10" s="378">
        <f t="shared" si="22"/>
        <v>0</v>
      </c>
      <c r="CL10" s="379">
        <f t="shared" si="23"/>
        <v>0</v>
      </c>
      <c r="CM10" s="75">
        <f t="shared" si="37"/>
        <v>0</v>
      </c>
      <c r="CN10" s="71">
        <f t="shared" si="24"/>
        <v>21990</v>
      </c>
      <c r="CO10" s="71">
        <f t="shared" si="38"/>
        <v>12773</v>
      </c>
      <c r="CP10" s="71">
        <f t="shared" si="25"/>
        <v>-9217</v>
      </c>
      <c r="CQ10" s="75">
        <f t="shared" si="39"/>
        <v>51523</v>
      </c>
      <c r="CR10" s="73"/>
      <c r="CS10" s="73"/>
      <c r="CT10" s="80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</row>
    <row r="11" spans="1:147" x14ac:dyDescent="0.25">
      <c r="A11" s="67">
        <f>+BaseloadMarkets!A11</f>
        <v>36683</v>
      </c>
      <c r="B11" s="67" t="str">
        <f>+BaseloadMarkets!B11</f>
        <v>Tues</v>
      </c>
      <c r="C11" s="68">
        <v>10354</v>
      </c>
      <c r="D11" s="68">
        <v>2885</v>
      </c>
      <c r="E11" s="68">
        <v>2996</v>
      </c>
      <c r="F11" s="68">
        <v>1000</v>
      </c>
      <c r="G11" s="68">
        <v>10000</v>
      </c>
      <c r="H11" s="69">
        <f>+Border!AD9</f>
        <v>0</v>
      </c>
      <c r="I11" s="68"/>
      <c r="J11" s="68"/>
      <c r="K11" s="68"/>
      <c r="L11" s="70">
        <f t="shared" si="0"/>
        <v>16881</v>
      </c>
      <c r="M11" s="71">
        <f t="shared" si="1"/>
        <v>6527</v>
      </c>
      <c r="N11" s="71">
        <f t="shared" si="26"/>
        <v>22504</v>
      </c>
      <c r="O11" s="68">
        <v>1746</v>
      </c>
      <c r="P11" s="68">
        <v>0</v>
      </c>
      <c r="Q11" s="68"/>
      <c r="R11" s="68">
        <v>0</v>
      </c>
      <c r="S11" s="72">
        <f t="shared" si="2"/>
        <v>0</v>
      </c>
      <c r="T11" s="71">
        <f t="shared" si="3"/>
        <v>-1746</v>
      </c>
      <c r="U11" s="71">
        <f t="shared" si="27"/>
        <v>462</v>
      </c>
      <c r="V11" s="68">
        <v>1392</v>
      </c>
      <c r="W11" s="68">
        <v>218</v>
      </c>
      <c r="X11" s="68">
        <v>232</v>
      </c>
      <c r="Y11" s="68"/>
      <c r="Z11" s="70">
        <f t="shared" si="4"/>
        <v>450</v>
      </c>
      <c r="AA11" s="71">
        <f t="shared" si="5"/>
        <v>-942</v>
      </c>
      <c r="AB11" s="73">
        <f t="shared" si="28"/>
        <v>7338</v>
      </c>
      <c r="AC11" s="69">
        <v>211</v>
      </c>
      <c r="AD11" s="69">
        <v>361</v>
      </c>
      <c r="AE11" s="69"/>
      <c r="AF11" s="69"/>
      <c r="AG11" s="69">
        <f t="shared" si="6"/>
        <v>361</v>
      </c>
      <c r="AH11" s="74">
        <f t="shared" si="7"/>
        <v>150</v>
      </c>
      <c r="AI11" s="75">
        <f t="shared" si="29"/>
        <v>2176</v>
      </c>
      <c r="AJ11" s="69">
        <v>9307</v>
      </c>
      <c r="AK11" s="69">
        <f>8656+3605</f>
        <v>12261</v>
      </c>
      <c r="AL11" s="69">
        <v>987</v>
      </c>
      <c r="AM11" s="69">
        <f>5000+2600+1400</f>
        <v>9000</v>
      </c>
      <c r="AN11" s="69">
        <f t="shared" si="8"/>
        <v>22248</v>
      </c>
      <c r="AO11" s="74">
        <f t="shared" si="9"/>
        <v>12941</v>
      </c>
      <c r="AP11" s="75">
        <f t="shared" si="30"/>
        <v>31700</v>
      </c>
      <c r="AQ11" s="69">
        <v>0</v>
      </c>
      <c r="AR11" s="69">
        <v>0</v>
      </c>
      <c r="AS11" s="69"/>
      <c r="AT11" s="69"/>
      <c r="AU11" s="69">
        <f t="shared" si="10"/>
        <v>0</v>
      </c>
      <c r="AV11" s="74">
        <f t="shared" si="11"/>
        <v>0</v>
      </c>
      <c r="AW11" s="75">
        <f t="shared" si="31"/>
        <v>0</v>
      </c>
      <c r="AX11" s="69">
        <v>199</v>
      </c>
      <c r="AY11" s="69">
        <v>361</v>
      </c>
      <c r="AZ11" s="69"/>
      <c r="BA11" s="69"/>
      <c r="BB11" s="69">
        <f t="shared" si="12"/>
        <v>361</v>
      </c>
      <c r="BC11" s="74">
        <f t="shared" si="13"/>
        <v>162</v>
      </c>
      <c r="BD11" s="75">
        <f t="shared" si="32"/>
        <v>2260</v>
      </c>
      <c r="BE11" s="69">
        <v>327</v>
      </c>
      <c r="BF11" s="69">
        <v>361</v>
      </c>
      <c r="BG11" s="69"/>
      <c r="BH11" s="69"/>
      <c r="BI11" s="69">
        <f t="shared" si="14"/>
        <v>361</v>
      </c>
      <c r="BJ11" s="74">
        <f t="shared" si="15"/>
        <v>34</v>
      </c>
      <c r="BK11" s="75">
        <f t="shared" si="33"/>
        <v>2209</v>
      </c>
      <c r="BL11" s="378"/>
      <c r="BM11" s="378"/>
      <c r="BN11" s="378"/>
      <c r="BO11" s="378"/>
      <c r="BP11" s="378">
        <f t="shared" si="16"/>
        <v>0</v>
      </c>
      <c r="BQ11" s="379">
        <f t="shared" si="17"/>
        <v>0</v>
      </c>
      <c r="BR11" s="75">
        <f t="shared" si="34"/>
        <v>0</v>
      </c>
      <c r="BS11" s="378"/>
      <c r="BT11" s="378"/>
      <c r="BU11" s="378"/>
      <c r="BV11" s="378"/>
      <c r="BW11" s="378">
        <f t="shared" si="18"/>
        <v>0</v>
      </c>
      <c r="BX11" s="379">
        <f t="shared" si="19"/>
        <v>0</v>
      </c>
      <c r="BY11" s="75">
        <f t="shared" si="35"/>
        <v>0</v>
      </c>
      <c r="BZ11" s="378"/>
      <c r="CA11" s="378"/>
      <c r="CB11" s="378"/>
      <c r="CC11" s="378"/>
      <c r="CD11" s="378">
        <f t="shared" si="20"/>
        <v>0</v>
      </c>
      <c r="CE11" s="379">
        <f t="shared" si="21"/>
        <v>0</v>
      </c>
      <c r="CF11" s="75">
        <f t="shared" si="36"/>
        <v>0</v>
      </c>
      <c r="CG11" s="378"/>
      <c r="CH11" s="378"/>
      <c r="CI11" s="378"/>
      <c r="CJ11" s="378"/>
      <c r="CK11" s="378">
        <f t="shared" si="22"/>
        <v>0</v>
      </c>
      <c r="CL11" s="379">
        <f t="shared" si="23"/>
        <v>0</v>
      </c>
      <c r="CM11" s="75">
        <f t="shared" si="37"/>
        <v>0</v>
      </c>
      <c r="CN11" s="71">
        <f t="shared" si="24"/>
        <v>23536</v>
      </c>
      <c r="CO11" s="71">
        <f t="shared" si="38"/>
        <v>40662</v>
      </c>
      <c r="CP11" s="71">
        <f t="shared" si="25"/>
        <v>17126</v>
      </c>
      <c r="CQ11" s="75">
        <f t="shared" si="39"/>
        <v>68649</v>
      </c>
      <c r="CR11" s="73"/>
      <c r="CS11" s="73"/>
      <c r="CT11" s="80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</row>
    <row r="12" spans="1:147" x14ac:dyDescent="0.25">
      <c r="A12" s="67">
        <f>+BaseloadMarkets!A12</f>
        <v>36684</v>
      </c>
      <c r="B12" s="67" t="str">
        <f>+BaseloadMarkets!B12</f>
        <v>Wed</v>
      </c>
      <c r="C12" s="68">
        <v>9906</v>
      </c>
      <c r="D12" s="68">
        <v>0</v>
      </c>
      <c r="E12" s="68">
        <v>2996</v>
      </c>
      <c r="F12" s="68">
        <v>1000</v>
      </c>
      <c r="G12" s="68">
        <f>23704+1398+10000+3500+969+5000+5000</f>
        <v>49571</v>
      </c>
      <c r="H12" s="69">
        <f>+Border!AD10</f>
        <v>0</v>
      </c>
      <c r="I12" s="68"/>
      <c r="J12" s="68"/>
      <c r="K12" s="68"/>
      <c r="L12" s="70">
        <f t="shared" si="0"/>
        <v>53567</v>
      </c>
      <c r="M12" s="71">
        <f t="shared" si="1"/>
        <v>43661</v>
      </c>
      <c r="N12" s="71">
        <f t="shared" si="26"/>
        <v>66165</v>
      </c>
      <c r="O12" s="68">
        <v>2177</v>
      </c>
      <c r="P12" s="68">
        <v>4086</v>
      </c>
      <c r="Q12" s="68"/>
      <c r="R12" s="68"/>
      <c r="S12" s="72">
        <f t="shared" si="2"/>
        <v>4086</v>
      </c>
      <c r="T12" s="71">
        <f t="shared" si="3"/>
        <v>1909</v>
      </c>
      <c r="U12" s="71">
        <f t="shared" si="27"/>
        <v>2371</v>
      </c>
      <c r="V12" s="68">
        <v>1446</v>
      </c>
      <c r="W12" s="68">
        <v>4087</v>
      </c>
      <c r="X12" s="68"/>
      <c r="Y12" s="68"/>
      <c r="Z12" s="70">
        <f t="shared" si="4"/>
        <v>4087</v>
      </c>
      <c r="AA12" s="71">
        <f t="shared" si="5"/>
        <v>2641</v>
      </c>
      <c r="AB12" s="73">
        <f t="shared" si="28"/>
        <v>9979</v>
      </c>
      <c r="AC12" s="69">
        <v>190</v>
      </c>
      <c r="AD12" s="69">
        <v>204</v>
      </c>
      <c r="AE12" s="69"/>
      <c r="AF12" s="69"/>
      <c r="AG12" s="69">
        <f t="shared" si="6"/>
        <v>204</v>
      </c>
      <c r="AH12" s="74">
        <f t="shared" si="7"/>
        <v>14</v>
      </c>
      <c r="AI12" s="75">
        <f t="shared" si="29"/>
        <v>2190</v>
      </c>
      <c r="AJ12" s="69">
        <v>9274</v>
      </c>
      <c r="AK12" s="69">
        <f>10000+7254</f>
        <v>17254</v>
      </c>
      <c r="AL12" s="69">
        <v>988</v>
      </c>
      <c r="AM12" s="69">
        <f>15000+2600+1400+5400+96+898+2973+2945+5894+2945+6676+2669+2669</f>
        <v>52165</v>
      </c>
      <c r="AN12" s="69">
        <f t="shared" si="8"/>
        <v>70407</v>
      </c>
      <c r="AO12" s="74">
        <f t="shared" si="9"/>
        <v>61133</v>
      </c>
      <c r="AP12" s="75">
        <f t="shared" si="30"/>
        <v>92833</v>
      </c>
      <c r="AQ12" s="69">
        <v>0</v>
      </c>
      <c r="AR12" s="69">
        <v>0</v>
      </c>
      <c r="AS12" s="69"/>
      <c r="AT12" s="69"/>
      <c r="AU12" s="69">
        <f t="shared" si="10"/>
        <v>0</v>
      </c>
      <c r="AV12" s="74">
        <f t="shared" si="11"/>
        <v>0</v>
      </c>
      <c r="AW12" s="75">
        <f t="shared" si="31"/>
        <v>0</v>
      </c>
      <c r="AX12" s="69">
        <v>192</v>
      </c>
      <c r="AY12" s="69">
        <v>204</v>
      </c>
      <c r="AZ12" s="69"/>
      <c r="BA12" s="69"/>
      <c r="BB12" s="69">
        <f t="shared" si="12"/>
        <v>204</v>
      </c>
      <c r="BC12" s="74">
        <f t="shared" si="13"/>
        <v>12</v>
      </c>
      <c r="BD12" s="75">
        <f t="shared" si="32"/>
        <v>2272</v>
      </c>
      <c r="BE12" s="69">
        <v>323</v>
      </c>
      <c r="BF12" s="69">
        <v>656</v>
      </c>
      <c r="BG12" s="69"/>
      <c r="BH12" s="69"/>
      <c r="BI12" s="69">
        <f t="shared" si="14"/>
        <v>656</v>
      </c>
      <c r="BJ12" s="74">
        <f t="shared" si="15"/>
        <v>333</v>
      </c>
      <c r="BK12" s="75">
        <f t="shared" si="33"/>
        <v>2542</v>
      </c>
      <c r="BL12" s="378"/>
      <c r="BM12" s="378"/>
      <c r="BN12" s="378"/>
      <c r="BO12" s="378"/>
      <c r="BP12" s="378">
        <f t="shared" si="16"/>
        <v>0</v>
      </c>
      <c r="BQ12" s="379">
        <f t="shared" si="17"/>
        <v>0</v>
      </c>
      <c r="BR12" s="75">
        <f t="shared" si="34"/>
        <v>0</v>
      </c>
      <c r="BS12" s="378"/>
      <c r="BT12" s="378"/>
      <c r="BU12" s="378"/>
      <c r="BV12" s="378"/>
      <c r="BW12" s="378">
        <f t="shared" si="18"/>
        <v>0</v>
      </c>
      <c r="BX12" s="379">
        <f t="shared" si="19"/>
        <v>0</v>
      </c>
      <c r="BY12" s="75">
        <f t="shared" si="35"/>
        <v>0</v>
      </c>
      <c r="BZ12" s="378"/>
      <c r="CA12" s="378"/>
      <c r="CB12" s="378"/>
      <c r="CC12" s="378"/>
      <c r="CD12" s="378">
        <f t="shared" si="20"/>
        <v>0</v>
      </c>
      <c r="CE12" s="379">
        <f t="shared" si="21"/>
        <v>0</v>
      </c>
      <c r="CF12" s="75">
        <f t="shared" si="36"/>
        <v>0</v>
      </c>
      <c r="CG12" s="378"/>
      <c r="CH12" s="378"/>
      <c r="CI12" s="378"/>
      <c r="CJ12" s="378"/>
      <c r="CK12" s="378">
        <f t="shared" si="22"/>
        <v>0</v>
      </c>
      <c r="CL12" s="379">
        <f t="shared" si="23"/>
        <v>0</v>
      </c>
      <c r="CM12" s="75">
        <f t="shared" si="37"/>
        <v>0</v>
      </c>
      <c r="CN12" s="71">
        <f t="shared" si="24"/>
        <v>23508</v>
      </c>
      <c r="CO12" s="71">
        <f t="shared" si="38"/>
        <v>133211</v>
      </c>
      <c r="CP12" s="71">
        <f t="shared" si="25"/>
        <v>109703</v>
      </c>
      <c r="CQ12" s="75">
        <f t="shared" si="39"/>
        <v>178352</v>
      </c>
      <c r="CR12" s="73"/>
      <c r="CS12" s="73"/>
      <c r="CT12" s="80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</row>
    <row r="13" spans="1:147" x14ac:dyDescent="0.25">
      <c r="A13" s="67">
        <f>+BaseloadMarkets!A13</f>
        <v>36685</v>
      </c>
      <c r="B13" s="67" t="str">
        <f>+BaseloadMarkets!B13</f>
        <v>Thu</v>
      </c>
      <c r="C13" s="68">
        <v>6651</v>
      </c>
      <c r="D13" s="68">
        <v>3129</v>
      </c>
      <c r="E13" s="68">
        <f>9480+2000</f>
        <v>11480</v>
      </c>
      <c r="F13" s="68">
        <v>1000</v>
      </c>
      <c r="G13" s="68"/>
      <c r="H13" s="69">
        <f>+Border!AD11</f>
        <v>0</v>
      </c>
      <c r="I13" s="68"/>
      <c r="J13" s="68"/>
      <c r="K13" s="68"/>
      <c r="L13" s="70">
        <f t="shared" si="0"/>
        <v>15609</v>
      </c>
      <c r="M13" s="71">
        <f t="shared" si="1"/>
        <v>8958</v>
      </c>
      <c r="N13" s="71">
        <f t="shared" si="26"/>
        <v>75123</v>
      </c>
      <c r="O13" s="68">
        <v>1371</v>
      </c>
      <c r="P13" s="68">
        <v>2088</v>
      </c>
      <c r="Q13" s="68"/>
      <c r="R13" s="68"/>
      <c r="S13" s="72">
        <f t="shared" si="2"/>
        <v>2088</v>
      </c>
      <c r="T13" s="71">
        <f t="shared" si="3"/>
        <v>717</v>
      </c>
      <c r="U13" s="71">
        <f t="shared" si="27"/>
        <v>3088</v>
      </c>
      <c r="V13" s="68">
        <v>1365</v>
      </c>
      <c r="W13" s="68">
        <v>2088</v>
      </c>
      <c r="X13" s="68"/>
      <c r="Y13" s="68"/>
      <c r="Z13" s="70">
        <f t="shared" si="4"/>
        <v>2088</v>
      </c>
      <c r="AA13" s="71">
        <f t="shared" si="5"/>
        <v>723</v>
      </c>
      <c r="AB13" s="73">
        <f t="shared" si="28"/>
        <v>10702</v>
      </c>
      <c r="AC13" s="69">
        <v>200</v>
      </c>
      <c r="AD13" s="69">
        <v>418</v>
      </c>
      <c r="AE13" s="69"/>
      <c r="AF13" s="69"/>
      <c r="AG13" s="69">
        <f t="shared" si="6"/>
        <v>418</v>
      </c>
      <c r="AH13" s="74">
        <f t="shared" si="7"/>
        <v>218</v>
      </c>
      <c r="AI13" s="75">
        <f t="shared" si="29"/>
        <v>2408</v>
      </c>
      <c r="AJ13" s="69">
        <v>9399</v>
      </c>
      <c r="AK13" s="69">
        <v>9468</v>
      </c>
      <c r="AL13" s="69">
        <v>988</v>
      </c>
      <c r="AM13" s="69">
        <f>14100+2600+1400</f>
        <v>18100</v>
      </c>
      <c r="AN13" s="69">
        <f t="shared" si="8"/>
        <v>28556</v>
      </c>
      <c r="AO13" s="74">
        <f t="shared" si="9"/>
        <v>19157</v>
      </c>
      <c r="AP13" s="75">
        <f t="shared" si="30"/>
        <v>111990</v>
      </c>
      <c r="AQ13" s="69">
        <v>0</v>
      </c>
      <c r="AR13" s="69">
        <v>0</v>
      </c>
      <c r="AS13" s="69"/>
      <c r="AT13" s="69"/>
      <c r="AU13" s="69">
        <f t="shared" si="10"/>
        <v>0</v>
      </c>
      <c r="AV13" s="74">
        <f t="shared" si="11"/>
        <v>0</v>
      </c>
      <c r="AW13" s="75">
        <f t="shared" si="31"/>
        <v>0</v>
      </c>
      <c r="AX13" s="69">
        <v>200</v>
      </c>
      <c r="AY13" s="69">
        <v>418</v>
      </c>
      <c r="AZ13" s="69"/>
      <c r="BA13" s="69"/>
      <c r="BB13" s="69">
        <f t="shared" si="12"/>
        <v>418</v>
      </c>
      <c r="BC13" s="74">
        <f t="shared" si="13"/>
        <v>218</v>
      </c>
      <c r="BD13" s="75">
        <f t="shared" si="32"/>
        <v>2490</v>
      </c>
      <c r="BE13" s="69">
        <v>307</v>
      </c>
      <c r="BF13" s="69">
        <v>878</v>
      </c>
      <c r="BG13" s="69"/>
      <c r="BH13" s="69"/>
      <c r="BI13" s="69">
        <f t="shared" si="14"/>
        <v>878</v>
      </c>
      <c r="BJ13" s="74">
        <f t="shared" si="15"/>
        <v>571</v>
      </c>
      <c r="BK13" s="75">
        <f t="shared" si="33"/>
        <v>3113</v>
      </c>
      <c r="BL13" s="378"/>
      <c r="BM13" s="378"/>
      <c r="BN13" s="378"/>
      <c r="BO13" s="378"/>
      <c r="BP13" s="378">
        <f t="shared" si="16"/>
        <v>0</v>
      </c>
      <c r="BQ13" s="379">
        <f t="shared" si="17"/>
        <v>0</v>
      </c>
      <c r="BR13" s="75">
        <f t="shared" si="34"/>
        <v>0</v>
      </c>
      <c r="BS13" s="378"/>
      <c r="BT13" s="378"/>
      <c r="BU13" s="378"/>
      <c r="BV13" s="378"/>
      <c r="BW13" s="378">
        <f t="shared" si="18"/>
        <v>0</v>
      </c>
      <c r="BX13" s="379">
        <f t="shared" si="19"/>
        <v>0</v>
      </c>
      <c r="BY13" s="75">
        <f t="shared" si="35"/>
        <v>0</v>
      </c>
      <c r="BZ13" s="378"/>
      <c r="CA13" s="378"/>
      <c r="CB13" s="378"/>
      <c r="CC13" s="378"/>
      <c r="CD13" s="378">
        <f t="shared" si="20"/>
        <v>0</v>
      </c>
      <c r="CE13" s="379">
        <f t="shared" si="21"/>
        <v>0</v>
      </c>
      <c r="CF13" s="75">
        <f t="shared" si="36"/>
        <v>0</v>
      </c>
      <c r="CG13" s="378"/>
      <c r="CH13" s="378"/>
      <c r="CI13" s="378"/>
      <c r="CJ13" s="378"/>
      <c r="CK13" s="378">
        <f t="shared" si="22"/>
        <v>0</v>
      </c>
      <c r="CL13" s="379">
        <f t="shared" si="23"/>
        <v>0</v>
      </c>
      <c r="CM13" s="75">
        <f t="shared" si="37"/>
        <v>0</v>
      </c>
      <c r="CN13" s="71">
        <f t="shared" si="24"/>
        <v>19493</v>
      </c>
      <c r="CO13" s="71">
        <f t="shared" si="38"/>
        <v>50055</v>
      </c>
      <c r="CP13" s="71">
        <f t="shared" si="25"/>
        <v>30562</v>
      </c>
      <c r="CQ13" s="75">
        <f t="shared" si="39"/>
        <v>208914</v>
      </c>
      <c r="CR13" s="73"/>
      <c r="CS13" s="73"/>
      <c r="CT13" s="80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</row>
    <row r="14" spans="1:147" x14ac:dyDescent="0.25">
      <c r="A14" s="67">
        <f>+BaseloadMarkets!A14</f>
        <v>36686</v>
      </c>
      <c r="B14" s="67" t="str">
        <f>+BaseloadMarkets!B14</f>
        <v>Fri</v>
      </c>
      <c r="C14" s="68">
        <v>9237</v>
      </c>
      <c r="D14" s="68">
        <v>1049</v>
      </c>
      <c r="E14" s="68">
        <v>2997</v>
      </c>
      <c r="F14" s="68">
        <v>1000</v>
      </c>
      <c r="G14" s="68"/>
      <c r="H14" s="69">
        <f>+Border!AD12</f>
        <v>0</v>
      </c>
      <c r="I14" s="68">
        <v>10000</v>
      </c>
      <c r="J14" s="68"/>
      <c r="K14" s="68"/>
      <c r="L14" s="70">
        <f t="shared" si="0"/>
        <v>15046</v>
      </c>
      <c r="M14" s="71">
        <f t="shared" si="1"/>
        <v>5809</v>
      </c>
      <c r="N14" s="71">
        <f t="shared" si="26"/>
        <v>80932</v>
      </c>
      <c r="O14" s="68">
        <v>1785</v>
      </c>
      <c r="P14" s="68">
        <v>1050</v>
      </c>
      <c r="Q14" s="68"/>
      <c r="R14" s="68"/>
      <c r="S14" s="72">
        <f t="shared" si="2"/>
        <v>1050</v>
      </c>
      <c r="T14" s="71">
        <f t="shared" si="3"/>
        <v>-735</v>
      </c>
      <c r="U14" s="71">
        <f t="shared" si="27"/>
        <v>2353</v>
      </c>
      <c r="V14" s="68">
        <v>1075</v>
      </c>
      <c r="W14" s="68">
        <v>1049</v>
      </c>
      <c r="X14" s="68"/>
      <c r="Y14" s="68"/>
      <c r="Z14" s="70">
        <f t="shared" si="4"/>
        <v>1049</v>
      </c>
      <c r="AA14" s="71">
        <f t="shared" si="5"/>
        <v>-26</v>
      </c>
      <c r="AB14" s="73">
        <f t="shared" si="28"/>
        <v>10676</v>
      </c>
      <c r="AC14" s="69">
        <v>208</v>
      </c>
      <c r="AD14" s="69">
        <v>420</v>
      </c>
      <c r="AE14" s="69"/>
      <c r="AF14" s="69"/>
      <c r="AG14" s="69">
        <f t="shared" si="6"/>
        <v>420</v>
      </c>
      <c r="AH14" s="74">
        <f t="shared" si="7"/>
        <v>212</v>
      </c>
      <c r="AI14" s="75">
        <f t="shared" si="29"/>
        <v>2620</v>
      </c>
      <c r="AJ14" s="69">
        <v>9156</v>
      </c>
      <c r="AK14" s="69">
        <v>12702</v>
      </c>
      <c r="AL14" s="69">
        <v>987</v>
      </c>
      <c r="AM14" s="69">
        <f>5000+2600+1400</f>
        <v>9000</v>
      </c>
      <c r="AN14" s="69">
        <f t="shared" si="8"/>
        <v>22689</v>
      </c>
      <c r="AO14" s="74">
        <f t="shared" si="9"/>
        <v>13533</v>
      </c>
      <c r="AP14" s="75">
        <f t="shared" si="30"/>
        <v>125523</v>
      </c>
      <c r="AQ14" s="69">
        <v>0</v>
      </c>
      <c r="AR14" s="69">
        <v>0</v>
      </c>
      <c r="AS14" s="69"/>
      <c r="AT14" s="69"/>
      <c r="AU14" s="69">
        <f t="shared" si="10"/>
        <v>0</v>
      </c>
      <c r="AV14" s="74">
        <f t="shared" si="11"/>
        <v>0</v>
      </c>
      <c r="AW14" s="75">
        <f t="shared" si="31"/>
        <v>0</v>
      </c>
      <c r="AX14" s="69">
        <v>207</v>
      </c>
      <c r="AY14" s="69">
        <v>546</v>
      </c>
      <c r="AZ14" s="69"/>
      <c r="BA14" s="69"/>
      <c r="BB14" s="69">
        <f t="shared" si="12"/>
        <v>546</v>
      </c>
      <c r="BC14" s="74">
        <f t="shared" si="13"/>
        <v>339</v>
      </c>
      <c r="BD14" s="75">
        <f t="shared" si="32"/>
        <v>2829</v>
      </c>
      <c r="BE14" s="69">
        <v>312</v>
      </c>
      <c r="BF14" s="69">
        <v>884</v>
      </c>
      <c r="BG14" s="69"/>
      <c r="BH14" s="69"/>
      <c r="BI14" s="69">
        <f t="shared" si="14"/>
        <v>884</v>
      </c>
      <c r="BJ14" s="74">
        <f t="shared" si="15"/>
        <v>572</v>
      </c>
      <c r="BK14" s="75">
        <f t="shared" si="33"/>
        <v>3685</v>
      </c>
      <c r="BL14" s="378"/>
      <c r="BM14" s="378"/>
      <c r="BN14" s="378"/>
      <c r="BO14" s="378"/>
      <c r="BP14" s="378">
        <f t="shared" si="16"/>
        <v>0</v>
      </c>
      <c r="BQ14" s="379">
        <f t="shared" si="17"/>
        <v>0</v>
      </c>
      <c r="BR14" s="75">
        <f t="shared" si="34"/>
        <v>0</v>
      </c>
      <c r="BS14" s="378"/>
      <c r="BT14" s="378"/>
      <c r="BU14" s="378"/>
      <c r="BV14" s="378"/>
      <c r="BW14" s="378">
        <f t="shared" si="18"/>
        <v>0</v>
      </c>
      <c r="BX14" s="379">
        <f t="shared" si="19"/>
        <v>0</v>
      </c>
      <c r="BY14" s="75">
        <f t="shared" si="35"/>
        <v>0</v>
      </c>
      <c r="BZ14" s="378"/>
      <c r="CA14" s="378"/>
      <c r="CB14" s="378"/>
      <c r="CC14" s="378"/>
      <c r="CD14" s="378">
        <f t="shared" si="20"/>
        <v>0</v>
      </c>
      <c r="CE14" s="379">
        <f t="shared" si="21"/>
        <v>0</v>
      </c>
      <c r="CF14" s="75">
        <f t="shared" si="36"/>
        <v>0</v>
      </c>
      <c r="CG14" s="378"/>
      <c r="CH14" s="378"/>
      <c r="CI14" s="378"/>
      <c r="CJ14" s="378"/>
      <c r="CK14" s="378">
        <f t="shared" si="22"/>
        <v>0</v>
      </c>
      <c r="CL14" s="379">
        <f t="shared" si="23"/>
        <v>0</v>
      </c>
      <c r="CM14" s="75">
        <f t="shared" si="37"/>
        <v>0</v>
      </c>
      <c r="CN14" s="71">
        <f t="shared" si="24"/>
        <v>21980</v>
      </c>
      <c r="CO14" s="71">
        <f t="shared" si="38"/>
        <v>41684</v>
      </c>
      <c r="CP14" s="71">
        <f t="shared" si="25"/>
        <v>19704</v>
      </c>
      <c r="CQ14" s="75">
        <f t="shared" si="39"/>
        <v>228618</v>
      </c>
      <c r="CR14" s="73"/>
      <c r="CS14" s="73"/>
      <c r="CT14" s="80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</row>
    <row r="15" spans="1:147" ht="13.5" customHeight="1" x14ac:dyDescent="0.25">
      <c r="A15" s="67">
        <f>+BaseloadMarkets!A15</f>
        <v>36687</v>
      </c>
      <c r="B15" s="67" t="str">
        <f>+BaseloadMarkets!B15</f>
        <v>Sat</v>
      </c>
      <c r="C15" s="68">
        <v>7292</v>
      </c>
      <c r="D15" s="68">
        <v>3029</v>
      </c>
      <c r="E15" s="68">
        <v>2997</v>
      </c>
      <c r="F15" s="68">
        <v>1000</v>
      </c>
      <c r="G15" s="68"/>
      <c r="H15" s="69">
        <f>+Border!AD13</f>
        <v>0</v>
      </c>
      <c r="I15" s="68"/>
      <c r="J15" s="68"/>
      <c r="K15" s="68"/>
      <c r="L15" s="70">
        <f t="shared" si="0"/>
        <v>7026</v>
      </c>
      <c r="M15" s="71">
        <f t="shared" si="1"/>
        <v>-266</v>
      </c>
      <c r="N15" s="71">
        <f t="shared" si="26"/>
        <v>80666</v>
      </c>
      <c r="O15" s="68">
        <v>1705</v>
      </c>
      <c r="P15" s="68">
        <v>1136</v>
      </c>
      <c r="Q15" s="68"/>
      <c r="R15" s="68"/>
      <c r="S15" s="72">
        <f t="shared" si="2"/>
        <v>1136</v>
      </c>
      <c r="T15" s="71">
        <f t="shared" si="3"/>
        <v>-569</v>
      </c>
      <c r="U15" s="71">
        <f t="shared" si="27"/>
        <v>1784</v>
      </c>
      <c r="V15" s="68">
        <v>1405</v>
      </c>
      <c r="W15" s="68">
        <v>757</v>
      </c>
      <c r="X15" s="68"/>
      <c r="Y15" s="68"/>
      <c r="Z15" s="70">
        <f t="shared" si="4"/>
        <v>757</v>
      </c>
      <c r="AA15" s="71">
        <f t="shared" si="5"/>
        <v>-648</v>
      </c>
      <c r="AB15" s="73">
        <f t="shared" si="28"/>
        <v>10028</v>
      </c>
      <c r="AC15" s="69">
        <v>202</v>
      </c>
      <c r="AD15" s="69">
        <v>0</v>
      </c>
      <c r="AE15" s="69"/>
      <c r="AF15" s="69"/>
      <c r="AG15" s="69">
        <f t="shared" si="6"/>
        <v>0</v>
      </c>
      <c r="AH15" s="74">
        <f t="shared" si="7"/>
        <v>-202</v>
      </c>
      <c r="AI15" s="107">
        <f t="shared" si="29"/>
        <v>2418</v>
      </c>
      <c r="AJ15" s="69">
        <v>9387</v>
      </c>
      <c r="AK15" s="69">
        <v>2651</v>
      </c>
      <c r="AL15" s="69">
        <v>987</v>
      </c>
      <c r="AM15" s="69">
        <f>5000+2600+1400</f>
        <v>9000</v>
      </c>
      <c r="AN15" s="69">
        <f t="shared" si="8"/>
        <v>12638</v>
      </c>
      <c r="AO15" s="74">
        <f t="shared" si="9"/>
        <v>3251</v>
      </c>
      <c r="AP15" s="107">
        <f t="shared" si="30"/>
        <v>128774</v>
      </c>
      <c r="AQ15" s="69">
        <v>0</v>
      </c>
      <c r="AR15" s="69">
        <v>0</v>
      </c>
      <c r="AS15" s="69"/>
      <c r="AT15" s="69"/>
      <c r="AU15" s="69">
        <f t="shared" si="10"/>
        <v>0</v>
      </c>
      <c r="AV15" s="74">
        <f t="shared" si="11"/>
        <v>0</v>
      </c>
      <c r="AW15" s="107">
        <f t="shared" si="31"/>
        <v>0</v>
      </c>
      <c r="AX15" s="69">
        <v>28</v>
      </c>
      <c r="AY15" s="69">
        <v>0</v>
      </c>
      <c r="AZ15" s="69"/>
      <c r="BA15" s="69"/>
      <c r="BB15" s="69">
        <f t="shared" si="12"/>
        <v>0</v>
      </c>
      <c r="BC15" s="74">
        <f t="shared" si="13"/>
        <v>-28</v>
      </c>
      <c r="BD15" s="107">
        <f t="shared" si="32"/>
        <v>2801</v>
      </c>
      <c r="BE15" s="69">
        <v>163</v>
      </c>
      <c r="BF15" s="69">
        <v>0</v>
      </c>
      <c r="BG15" s="69"/>
      <c r="BH15" s="69"/>
      <c r="BI15" s="69">
        <f t="shared" si="14"/>
        <v>0</v>
      </c>
      <c r="BJ15" s="74">
        <f t="shared" si="15"/>
        <v>-163</v>
      </c>
      <c r="BK15" s="107">
        <f t="shared" si="33"/>
        <v>3522</v>
      </c>
      <c r="BL15" s="378"/>
      <c r="BM15" s="378"/>
      <c r="BN15" s="378"/>
      <c r="BO15" s="378"/>
      <c r="BP15" s="378">
        <f t="shared" si="16"/>
        <v>0</v>
      </c>
      <c r="BQ15" s="379">
        <f t="shared" si="17"/>
        <v>0</v>
      </c>
      <c r="BR15" s="107">
        <f t="shared" si="34"/>
        <v>0</v>
      </c>
      <c r="BS15" s="378"/>
      <c r="BT15" s="378"/>
      <c r="BU15" s="378"/>
      <c r="BV15" s="378"/>
      <c r="BW15" s="378">
        <f t="shared" si="18"/>
        <v>0</v>
      </c>
      <c r="BX15" s="379">
        <f t="shared" si="19"/>
        <v>0</v>
      </c>
      <c r="BY15" s="107">
        <f t="shared" si="35"/>
        <v>0</v>
      </c>
      <c r="BZ15" s="378"/>
      <c r="CA15" s="378"/>
      <c r="CB15" s="378"/>
      <c r="CC15" s="378"/>
      <c r="CD15" s="378">
        <f t="shared" si="20"/>
        <v>0</v>
      </c>
      <c r="CE15" s="379">
        <f t="shared" si="21"/>
        <v>0</v>
      </c>
      <c r="CF15" s="107">
        <f t="shared" si="36"/>
        <v>0</v>
      </c>
      <c r="CG15" s="378"/>
      <c r="CH15" s="378"/>
      <c r="CI15" s="378"/>
      <c r="CJ15" s="378"/>
      <c r="CK15" s="378">
        <f t="shared" si="22"/>
        <v>0</v>
      </c>
      <c r="CL15" s="379">
        <f t="shared" si="23"/>
        <v>0</v>
      </c>
      <c r="CM15" s="107">
        <f t="shared" si="37"/>
        <v>0</v>
      </c>
      <c r="CN15" s="71">
        <f t="shared" si="24"/>
        <v>20182</v>
      </c>
      <c r="CO15" s="71">
        <f t="shared" si="38"/>
        <v>21557</v>
      </c>
      <c r="CP15" s="71">
        <f t="shared" si="25"/>
        <v>1375</v>
      </c>
      <c r="CQ15" s="75">
        <f t="shared" si="39"/>
        <v>229993</v>
      </c>
      <c r="CR15" s="73"/>
      <c r="CS15" s="73"/>
      <c r="CT15" s="80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</row>
    <row r="16" spans="1:147" x14ac:dyDescent="0.25">
      <c r="A16" s="67">
        <f>+BaseloadMarkets!A16</f>
        <v>36688</v>
      </c>
      <c r="B16" s="67" t="str">
        <f>+BaseloadMarkets!B16</f>
        <v>Sun</v>
      </c>
      <c r="C16" s="68">
        <v>9470</v>
      </c>
      <c r="D16" s="68">
        <v>2993</v>
      </c>
      <c r="E16" s="68">
        <v>2997</v>
      </c>
      <c r="F16" s="68">
        <v>1000</v>
      </c>
      <c r="G16" s="68"/>
      <c r="H16" s="69">
        <f>+Border!AD14</f>
        <v>0</v>
      </c>
      <c r="I16" s="68"/>
      <c r="J16" s="68"/>
      <c r="K16" s="68"/>
      <c r="L16" s="70">
        <f t="shared" si="0"/>
        <v>6990</v>
      </c>
      <c r="M16" s="71">
        <f t="shared" si="1"/>
        <v>-2480</v>
      </c>
      <c r="N16" s="71">
        <f t="shared" si="26"/>
        <v>78186</v>
      </c>
      <c r="O16" s="68">
        <v>1681</v>
      </c>
      <c r="P16" s="68">
        <v>1123</v>
      </c>
      <c r="Q16" s="68"/>
      <c r="R16" s="68"/>
      <c r="S16" s="72">
        <f t="shared" si="2"/>
        <v>1123</v>
      </c>
      <c r="T16" s="71">
        <f t="shared" si="3"/>
        <v>-558</v>
      </c>
      <c r="U16" s="71">
        <f t="shared" si="27"/>
        <v>1226</v>
      </c>
      <c r="V16" s="68">
        <v>1385</v>
      </c>
      <c r="W16" s="68">
        <v>749</v>
      </c>
      <c r="X16" s="68"/>
      <c r="Y16" s="68"/>
      <c r="Z16" s="70">
        <f t="shared" si="4"/>
        <v>749</v>
      </c>
      <c r="AA16" s="71">
        <f t="shared" si="5"/>
        <v>-636</v>
      </c>
      <c r="AB16" s="73">
        <f t="shared" si="28"/>
        <v>9392</v>
      </c>
      <c r="AC16" s="69">
        <v>22</v>
      </c>
      <c r="AD16" s="69">
        <v>0</v>
      </c>
      <c r="AE16" s="69"/>
      <c r="AF16" s="69"/>
      <c r="AG16" s="69">
        <f t="shared" si="6"/>
        <v>0</v>
      </c>
      <c r="AH16" s="74">
        <f t="shared" si="7"/>
        <v>-22</v>
      </c>
      <c r="AI16" s="107">
        <f t="shared" si="29"/>
        <v>2396</v>
      </c>
      <c r="AJ16" s="69">
        <v>9165</v>
      </c>
      <c r="AK16" s="69">
        <v>2620</v>
      </c>
      <c r="AL16" s="69">
        <v>987</v>
      </c>
      <c r="AM16" s="69">
        <f>5000+2600+1400</f>
        <v>9000</v>
      </c>
      <c r="AN16" s="69">
        <f t="shared" si="8"/>
        <v>12607</v>
      </c>
      <c r="AO16" s="74">
        <f t="shared" si="9"/>
        <v>3442</v>
      </c>
      <c r="AP16" s="107">
        <f t="shared" si="30"/>
        <v>132216</v>
      </c>
      <c r="AQ16" s="69">
        <v>0</v>
      </c>
      <c r="AR16" s="69">
        <v>0</v>
      </c>
      <c r="AS16" s="69"/>
      <c r="AT16" s="69"/>
      <c r="AU16" s="69">
        <f t="shared" si="10"/>
        <v>0</v>
      </c>
      <c r="AV16" s="74">
        <f t="shared" si="11"/>
        <v>0</v>
      </c>
      <c r="AW16" s="107">
        <f t="shared" si="31"/>
        <v>0</v>
      </c>
      <c r="AX16" s="69">
        <v>0</v>
      </c>
      <c r="AY16" s="69">
        <v>0</v>
      </c>
      <c r="AZ16" s="69"/>
      <c r="BA16" s="69"/>
      <c r="BB16" s="69">
        <f t="shared" si="12"/>
        <v>0</v>
      </c>
      <c r="BC16" s="74">
        <f t="shared" si="13"/>
        <v>0</v>
      </c>
      <c r="BD16" s="107">
        <f t="shared" si="32"/>
        <v>2801</v>
      </c>
      <c r="BE16" s="69">
        <v>27</v>
      </c>
      <c r="BF16" s="69">
        <v>0</v>
      </c>
      <c r="BG16" s="69"/>
      <c r="BH16" s="69"/>
      <c r="BI16" s="69">
        <f t="shared" si="14"/>
        <v>0</v>
      </c>
      <c r="BJ16" s="74">
        <f t="shared" si="15"/>
        <v>-27</v>
      </c>
      <c r="BK16" s="107">
        <f t="shared" si="33"/>
        <v>3495</v>
      </c>
      <c r="BL16" s="378"/>
      <c r="BM16" s="378"/>
      <c r="BN16" s="378"/>
      <c r="BO16" s="378"/>
      <c r="BP16" s="378">
        <f t="shared" si="16"/>
        <v>0</v>
      </c>
      <c r="BQ16" s="379">
        <f t="shared" si="17"/>
        <v>0</v>
      </c>
      <c r="BR16" s="107">
        <f t="shared" si="34"/>
        <v>0</v>
      </c>
      <c r="BS16" s="378"/>
      <c r="BT16" s="378"/>
      <c r="BU16" s="378"/>
      <c r="BV16" s="378"/>
      <c r="BW16" s="378">
        <f t="shared" si="18"/>
        <v>0</v>
      </c>
      <c r="BX16" s="379">
        <f t="shared" si="19"/>
        <v>0</v>
      </c>
      <c r="BY16" s="107">
        <f t="shared" si="35"/>
        <v>0</v>
      </c>
      <c r="BZ16" s="378"/>
      <c r="CA16" s="378"/>
      <c r="CB16" s="378"/>
      <c r="CC16" s="378"/>
      <c r="CD16" s="378">
        <f t="shared" si="20"/>
        <v>0</v>
      </c>
      <c r="CE16" s="379">
        <f t="shared" si="21"/>
        <v>0</v>
      </c>
      <c r="CF16" s="107">
        <f t="shared" si="36"/>
        <v>0</v>
      </c>
      <c r="CG16" s="378"/>
      <c r="CH16" s="378"/>
      <c r="CI16" s="378"/>
      <c r="CJ16" s="378"/>
      <c r="CK16" s="378">
        <f t="shared" si="22"/>
        <v>0</v>
      </c>
      <c r="CL16" s="379">
        <f t="shared" si="23"/>
        <v>0</v>
      </c>
      <c r="CM16" s="107">
        <f t="shared" si="37"/>
        <v>0</v>
      </c>
      <c r="CN16" s="71">
        <f t="shared" si="24"/>
        <v>21750</v>
      </c>
      <c r="CO16" s="71">
        <f t="shared" si="38"/>
        <v>21469</v>
      </c>
      <c r="CP16" s="71">
        <f t="shared" si="25"/>
        <v>-281</v>
      </c>
      <c r="CQ16" s="75">
        <f t="shared" si="39"/>
        <v>229712</v>
      </c>
      <c r="CR16" s="73"/>
      <c r="CS16" s="73"/>
      <c r="CT16" s="80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</row>
    <row r="17" spans="1:110" x14ac:dyDescent="0.25">
      <c r="A17" s="67">
        <f>+BaseloadMarkets!A17</f>
        <v>36689</v>
      </c>
      <c r="B17" s="67" t="str">
        <f>+BaseloadMarkets!B17</f>
        <v>Mon</v>
      </c>
      <c r="C17" s="68">
        <v>12545</v>
      </c>
      <c r="D17" s="68">
        <v>2643</v>
      </c>
      <c r="E17" s="68">
        <v>2997</v>
      </c>
      <c r="F17" s="68">
        <v>1000</v>
      </c>
      <c r="G17" s="68"/>
      <c r="H17" s="69">
        <f>+Border!AD15</f>
        <v>0</v>
      </c>
      <c r="I17" s="68"/>
      <c r="J17" s="68"/>
      <c r="K17" s="68"/>
      <c r="L17" s="70">
        <f>SUM(D17:K17)</f>
        <v>6640</v>
      </c>
      <c r="M17" s="71">
        <f t="shared" si="1"/>
        <v>-5905</v>
      </c>
      <c r="N17" s="71">
        <f t="shared" si="26"/>
        <v>72281</v>
      </c>
      <c r="O17" s="68">
        <v>1617</v>
      </c>
      <c r="P17" s="68">
        <v>992</v>
      </c>
      <c r="Q17" s="68"/>
      <c r="R17" s="68"/>
      <c r="S17" s="72">
        <f t="shared" si="2"/>
        <v>992</v>
      </c>
      <c r="T17" s="71">
        <f t="shared" si="3"/>
        <v>-625</v>
      </c>
      <c r="U17" s="71">
        <f t="shared" si="27"/>
        <v>601</v>
      </c>
      <c r="V17" s="68">
        <v>1316</v>
      </c>
      <c r="W17" s="68">
        <v>661</v>
      </c>
      <c r="X17" s="68"/>
      <c r="Y17" s="68"/>
      <c r="Z17" s="70">
        <f t="shared" si="4"/>
        <v>661</v>
      </c>
      <c r="AA17" s="71">
        <f t="shared" si="5"/>
        <v>-655</v>
      </c>
      <c r="AB17" s="73">
        <f t="shared" si="28"/>
        <v>8737</v>
      </c>
      <c r="AC17" s="69">
        <v>173</v>
      </c>
      <c r="AD17" s="69">
        <v>0</v>
      </c>
      <c r="AE17" s="69"/>
      <c r="AF17" s="69"/>
      <c r="AG17" s="69">
        <f t="shared" si="6"/>
        <v>0</v>
      </c>
      <c r="AH17" s="74">
        <f t="shared" si="7"/>
        <v>-173</v>
      </c>
      <c r="AI17" s="75">
        <f t="shared" si="29"/>
        <v>2223</v>
      </c>
      <c r="AJ17" s="69">
        <v>9262</v>
      </c>
      <c r="AK17" s="69">
        <v>2314</v>
      </c>
      <c r="AL17" s="69">
        <v>987</v>
      </c>
      <c r="AM17" s="69">
        <f>2600+1400+5000</f>
        <v>9000</v>
      </c>
      <c r="AN17" s="69">
        <f t="shared" si="8"/>
        <v>12301</v>
      </c>
      <c r="AO17" s="74">
        <f t="shared" si="9"/>
        <v>3039</v>
      </c>
      <c r="AP17" s="75">
        <f t="shared" si="30"/>
        <v>135255</v>
      </c>
      <c r="AQ17" s="69">
        <v>0</v>
      </c>
      <c r="AR17" s="69">
        <v>0</v>
      </c>
      <c r="AS17" s="69"/>
      <c r="AT17" s="69"/>
      <c r="AU17" s="69">
        <f t="shared" si="10"/>
        <v>0</v>
      </c>
      <c r="AV17" s="74">
        <f t="shared" si="11"/>
        <v>0</v>
      </c>
      <c r="AW17" s="75">
        <f t="shared" si="31"/>
        <v>0</v>
      </c>
      <c r="AX17" s="69">
        <v>167</v>
      </c>
      <c r="AY17" s="69">
        <v>0</v>
      </c>
      <c r="AZ17" s="69"/>
      <c r="BA17" s="69"/>
      <c r="BB17" s="69">
        <f t="shared" si="12"/>
        <v>0</v>
      </c>
      <c r="BC17" s="74">
        <f t="shared" si="13"/>
        <v>-167</v>
      </c>
      <c r="BD17" s="75">
        <f t="shared" si="32"/>
        <v>2634</v>
      </c>
      <c r="BE17" s="69">
        <v>261</v>
      </c>
      <c r="BF17" s="69">
        <v>0</v>
      </c>
      <c r="BG17" s="69"/>
      <c r="BH17" s="69"/>
      <c r="BI17" s="69">
        <f t="shared" si="14"/>
        <v>0</v>
      </c>
      <c r="BJ17" s="74">
        <f t="shared" si="15"/>
        <v>-261</v>
      </c>
      <c r="BK17" s="75">
        <f t="shared" si="33"/>
        <v>3234</v>
      </c>
      <c r="BL17" s="378"/>
      <c r="BM17" s="378"/>
      <c r="BN17" s="378"/>
      <c r="BO17" s="378"/>
      <c r="BP17" s="378">
        <f t="shared" si="16"/>
        <v>0</v>
      </c>
      <c r="BQ17" s="379">
        <f t="shared" si="17"/>
        <v>0</v>
      </c>
      <c r="BR17" s="75">
        <f t="shared" si="34"/>
        <v>0</v>
      </c>
      <c r="BS17" s="378"/>
      <c r="BT17" s="378"/>
      <c r="BU17" s="378"/>
      <c r="BV17" s="378"/>
      <c r="BW17" s="378">
        <f t="shared" si="18"/>
        <v>0</v>
      </c>
      <c r="BX17" s="379">
        <f t="shared" si="19"/>
        <v>0</v>
      </c>
      <c r="BY17" s="75">
        <f t="shared" si="35"/>
        <v>0</v>
      </c>
      <c r="BZ17" s="378"/>
      <c r="CA17" s="378"/>
      <c r="CB17" s="378"/>
      <c r="CC17" s="378"/>
      <c r="CD17" s="378">
        <f t="shared" si="20"/>
        <v>0</v>
      </c>
      <c r="CE17" s="379">
        <f t="shared" si="21"/>
        <v>0</v>
      </c>
      <c r="CF17" s="75">
        <f t="shared" si="36"/>
        <v>0</v>
      </c>
      <c r="CG17" s="378"/>
      <c r="CH17" s="378"/>
      <c r="CI17" s="378"/>
      <c r="CJ17" s="378"/>
      <c r="CK17" s="378">
        <f t="shared" si="22"/>
        <v>0</v>
      </c>
      <c r="CL17" s="379">
        <f t="shared" si="23"/>
        <v>0</v>
      </c>
      <c r="CM17" s="75">
        <f t="shared" si="37"/>
        <v>0</v>
      </c>
      <c r="CN17" s="71">
        <f t="shared" si="24"/>
        <v>25341</v>
      </c>
      <c r="CO17" s="71">
        <f t="shared" si="38"/>
        <v>20594</v>
      </c>
      <c r="CP17" s="71">
        <f t="shared" si="25"/>
        <v>-4747</v>
      </c>
      <c r="CQ17" s="75">
        <f t="shared" si="39"/>
        <v>224965</v>
      </c>
      <c r="CR17" s="73"/>
      <c r="CS17" s="73"/>
      <c r="CT17" s="80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</row>
    <row r="18" spans="1:110" x14ac:dyDescent="0.25">
      <c r="A18" s="67">
        <f>+BaseloadMarkets!A18</f>
        <v>36690</v>
      </c>
      <c r="B18" s="67" t="str">
        <f>+BaseloadMarkets!B18</f>
        <v>Tues</v>
      </c>
      <c r="C18" s="68">
        <v>16268</v>
      </c>
      <c r="D18" s="68">
        <v>0</v>
      </c>
      <c r="E18" s="68">
        <v>2997</v>
      </c>
      <c r="F18" s="68">
        <v>1000</v>
      </c>
      <c r="G18" s="68">
        <f>2143+198</f>
        <v>2341</v>
      </c>
      <c r="H18" s="69">
        <f>+Border!AD16</f>
        <v>0</v>
      </c>
      <c r="I18" s="68"/>
      <c r="J18" s="68"/>
      <c r="K18" s="68"/>
      <c r="L18" s="70">
        <f t="shared" si="0"/>
        <v>6338</v>
      </c>
      <c r="M18" s="71">
        <f t="shared" si="1"/>
        <v>-9930</v>
      </c>
      <c r="N18" s="71">
        <f t="shared" si="26"/>
        <v>62351</v>
      </c>
      <c r="O18" s="68">
        <v>1569</v>
      </c>
      <c r="P18" s="68">
        <v>0</v>
      </c>
      <c r="Q18" s="68"/>
      <c r="R18" s="68"/>
      <c r="S18" s="72">
        <f t="shared" si="2"/>
        <v>0</v>
      </c>
      <c r="T18" s="71">
        <f t="shared" si="3"/>
        <v>-1569</v>
      </c>
      <c r="U18" s="71">
        <f t="shared" si="27"/>
        <v>-968</v>
      </c>
      <c r="V18" s="68">
        <v>1165</v>
      </c>
      <c r="W18" s="68">
        <v>0</v>
      </c>
      <c r="X18" s="68"/>
      <c r="Y18" s="68"/>
      <c r="Z18" s="70">
        <f t="shared" si="4"/>
        <v>0</v>
      </c>
      <c r="AA18" s="71">
        <f t="shared" si="5"/>
        <v>-1165</v>
      </c>
      <c r="AB18" s="73">
        <f t="shared" si="28"/>
        <v>7572</v>
      </c>
      <c r="AC18" s="69">
        <v>155</v>
      </c>
      <c r="AD18" s="69">
        <v>0</v>
      </c>
      <c r="AE18" s="69"/>
      <c r="AF18" s="69"/>
      <c r="AG18" s="69">
        <f t="shared" si="6"/>
        <v>0</v>
      </c>
      <c r="AH18" s="74">
        <f t="shared" si="7"/>
        <v>-155</v>
      </c>
      <c r="AI18" s="75">
        <f t="shared" si="29"/>
        <v>2068</v>
      </c>
      <c r="AJ18" s="69">
        <v>9192</v>
      </c>
      <c r="AK18" s="69">
        <v>2693</v>
      </c>
      <c r="AL18" s="69">
        <v>987</v>
      </c>
      <c r="AM18" s="69">
        <f>2600+1400</f>
        <v>4000</v>
      </c>
      <c r="AN18" s="69">
        <f t="shared" si="8"/>
        <v>7680</v>
      </c>
      <c r="AO18" s="74">
        <f t="shared" si="9"/>
        <v>-1512</v>
      </c>
      <c r="AP18" s="75">
        <f t="shared" si="30"/>
        <v>133743</v>
      </c>
      <c r="AQ18" s="69">
        <v>0</v>
      </c>
      <c r="AR18" s="69">
        <v>0</v>
      </c>
      <c r="AS18" s="69"/>
      <c r="AT18" s="69"/>
      <c r="AU18" s="69">
        <f t="shared" si="10"/>
        <v>0</v>
      </c>
      <c r="AV18" s="74">
        <f t="shared" si="11"/>
        <v>0</v>
      </c>
      <c r="AW18" s="75">
        <f t="shared" si="31"/>
        <v>0</v>
      </c>
      <c r="AX18" s="69">
        <v>197</v>
      </c>
      <c r="AY18" s="69">
        <v>0</v>
      </c>
      <c r="AZ18" s="69"/>
      <c r="BA18" s="69"/>
      <c r="BB18" s="69">
        <f t="shared" si="12"/>
        <v>0</v>
      </c>
      <c r="BC18" s="74">
        <f t="shared" si="13"/>
        <v>-197</v>
      </c>
      <c r="BD18" s="75">
        <f t="shared" si="32"/>
        <v>2437</v>
      </c>
      <c r="BE18" s="69">
        <v>309</v>
      </c>
      <c r="BF18" s="69">
        <v>0</v>
      </c>
      <c r="BG18" s="69"/>
      <c r="BH18" s="69"/>
      <c r="BI18" s="69">
        <f t="shared" si="14"/>
        <v>0</v>
      </c>
      <c r="BJ18" s="74">
        <f t="shared" si="15"/>
        <v>-309</v>
      </c>
      <c r="BK18" s="75">
        <f t="shared" si="33"/>
        <v>2925</v>
      </c>
      <c r="BL18" s="378"/>
      <c r="BM18" s="378"/>
      <c r="BN18" s="378"/>
      <c r="BO18" s="378"/>
      <c r="BP18" s="378">
        <f t="shared" si="16"/>
        <v>0</v>
      </c>
      <c r="BQ18" s="379">
        <f t="shared" si="17"/>
        <v>0</v>
      </c>
      <c r="BR18" s="75">
        <f t="shared" si="34"/>
        <v>0</v>
      </c>
      <c r="BS18" s="378"/>
      <c r="BT18" s="378"/>
      <c r="BU18" s="378"/>
      <c r="BV18" s="378"/>
      <c r="BW18" s="378">
        <f t="shared" si="18"/>
        <v>0</v>
      </c>
      <c r="BX18" s="379">
        <f t="shared" si="19"/>
        <v>0</v>
      </c>
      <c r="BY18" s="75">
        <f t="shared" si="35"/>
        <v>0</v>
      </c>
      <c r="BZ18" s="378"/>
      <c r="CA18" s="378"/>
      <c r="CB18" s="378"/>
      <c r="CC18" s="378"/>
      <c r="CD18" s="378">
        <f t="shared" si="20"/>
        <v>0</v>
      </c>
      <c r="CE18" s="379">
        <f t="shared" si="21"/>
        <v>0</v>
      </c>
      <c r="CF18" s="75">
        <f t="shared" si="36"/>
        <v>0</v>
      </c>
      <c r="CG18" s="378"/>
      <c r="CH18" s="378"/>
      <c r="CI18" s="378"/>
      <c r="CJ18" s="378"/>
      <c r="CK18" s="378">
        <f t="shared" si="22"/>
        <v>0</v>
      </c>
      <c r="CL18" s="379">
        <f t="shared" si="23"/>
        <v>0</v>
      </c>
      <c r="CM18" s="75">
        <f t="shared" si="37"/>
        <v>0</v>
      </c>
      <c r="CN18" s="71">
        <f t="shared" si="24"/>
        <v>28855</v>
      </c>
      <c r="CO18" s="71">
        <f t="shared" si="38"/>
        <v>14018</v>
      </c>
      <c r="CP18" s="71">
        <f t="shared" si="25"/>
        <v>-14837</v>
      </c>
      <c r="CQ18" s="75">
        <f t="shared" si="39"/>
        <v>210128</v>
      </c>
      <c r="CR18" s="73"/>
      <c r="CS18" s="73"/>
      <c r="CT18" s="80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</row>
    <row r="19" spans="1:110" x14ac:dyDescent="0.25">
      <c r="A19" s="67">
        <f>+BaseloadMarkets!A19</f>
        <v>36691</v>
      </c>
      <c r="B19" s="67" t="str">
        <f>+BaseloadMarkets!B19</f>
        <v>Wed</v>
      </c>
      <c r="C19" s="68">
        <v>19529</v>
      </c>
      <c r="D19" s="68">
        <v>2953</v>
      </c>
      <c r="E19" s="68">
        <v>2997</v>
      </c>
      <c r="F19" s="68">
        <v>1000</v>
      </c>
      <c r="G19" s="68">
        <v>2341</v>
      </c>
      <c r="H19" s="69">
        <f>+Border!AD17</f>
        <v>0</v>
      </c>
      <c r="I19" s="68"/>
      <c r="J19" s="68"/>
      <c r="K19" s="68"/>
      <c r="L19" s="70">
        <f t="shared" si="0"/>
        <v>9291</v>
      </c>
      <c r="M19" s="71">
        <f t="shared" si="1"/>
        <v>-10238</v>
      </c>
      <c r="N19" s="71">
        <f t="shared" si="26"/>
        <v>52113</v>
      </c>
      <c r="O19" s="68">
        <v>1605</v>
      </c>
      <c r="P19" s="68">
        <v>1079</v>
      </c>
      <c r="Q19" s="68"/>
      <c r="R19" s="68"/>
      <c r="S19" s="72">
        <f t="shared" si="2"/>
        <v>1079</v>
      </c>
      <c r="T19" s="71">
        <f t="shared" si="3"/>
        <v>-526</v>
      </c>
      <c r="U19" s="71">
        <f t="shared" si="27"/>
        <v>-1494</v>
      </c>
      <c r="V19" s="68">
        <v>464</v>
      </c>
      <c r="W19" s="68">
        <v>1079</v>
      </c>
      <c r="X19" s="68"/>
      <c r="Y19" s="68"/>
      <c r="Z19" s="70">
        <f t="shared" si="4"/>
        <v>1079</v>
      </c>
      <c r="AA19" s="71">
        <f t="shared" si="5"/>
        <v>615</v>
      </c>
      <c r="AB19" s="73">
        <f t="shared" si="28"/>
        <v>8187</v>
      </c>
      <c r="AC19" s="69">
        <v>176</v>
      </c>
      <c r="AD19" s="69">
        <v>0</v>
      </c>
      <c r="AE19" s="69"/>
      <c r="AF19" s="69"/>
      <c r="AG19" s="69">
        <f t="shared" si="6"/>
        <v>0</v>
      </c>
      <c r="AH19" s="74">
        <f t="shared" si="7"/>
        <v>-176</v>
      </c>
      <c r="AI19" s="75">
        <f t="shared" si="29"/>
        <v>1892</v>
      </c>
      <c r="AJ19" s="69">
        <v>9556</v>
      </c>
      <c r="AK19" s="69">
        <v>4316</v>
      </c>
      <c r="AL19" s="69">
        <v>987</v>
      </c>
      <c r="AM19" s="69">
        <f>2600+1400</f>
        <v>4000</v>
      </c>
      <c r="AN19" s="69">
        <f t="shared" si="8"/>
        <v>9303</v>
      </c>
      <c r="AO19" s="74">
        <f t="shared" si="9"/>
        <v>-253</v>
      </c>
      <c r="AP19" s="75">
        <f t="shared" si="30"/>
        <v>133490</v>
      </c>
      <c r="AQ19" s="69">
        <v>0</v>
      </c>
      <c r="AR19" s="69">
        <v>0</v>
      </c>
      <c r="AS19" s="69"/>
      <c r="AT19" s="69"/>
      <c r="AU19" s="69">
        <f t="shared" si="10"/>
        <v>0</v>
      </c>
      <c r="AV19" s="74">
        <f t="shared" si="11"/>
        <v>0</v>
      </c>
      <c r="AW19" s="75">
        <f t="shared" si="31"/>
        <v>0</v>
      </c>
      <c r="AX19" s="69">
        <v>200</v>
      </c>
      <c r="AY19" s="69">
        <v>0</v>
      </c>
      <c r="AZ19" s="69"/>
      <c r="BA19" s="69"/>
      <c r="BB19" s="69">
        <f t="shared" si="12"/>
        <v>0</v>
      </c>
      <c r="BC19" s="74">
        <f t="shared" si="13"/>
        <v>-200</v>
      </c>
      <c r="BD19" s="75">
        <f t="shared" si="32"/>
        <v>2237</v>
      </c>
      <c r="BE19" s="69">
        <v>277</v>
      </c>
      <c r="BF19" s="69">
        <v>0</v>
      </c>
      <c r="BG19" s="69"/>
      <c r="BH19" s="69"/>
      <c r="BI19" s="69">
        <f t="shared" si="14"/>
        <v>0</v>
      </c>
      <c r="BJ19" s="74">
        <f t="shared" si="15"/>
        <v>-277</v>
      </c>
      <c r="BK19" s="75">
        <f t="shared" si="33"/>
        <v>2648</v>
      </c>
      <c r="BL19" s="378"/>
      <c r="BM19" s="378"/>
      <c r="BN19" s="378"/>
      <c r="BO19" s="378"/>
      <c r="BP19" s="378">
        <f t="shared" si="16"/>
        <v>0</v>
      </c>
      <c r="BQ19" s="379">
        <f t="shared" si="17"/>
        <v>0</v>
      </c>
      <c r="BR19" s="75">
        <f t="shared" si="34"/>
        <v>0</v>
      </c>
      <c r="BS19" s="378"/>
      <c r="BT19" s="378"/>
      <c r="BU19" s="378"/>
      <c r="BV19" s="378"/>
      <c r="BW19" s="378">
        <f t="shared" si="18"/>
        <v>0</v>
      </c>
      <c r="BX19" s="379">
        <f t="shared" si="19"/>
        <v>0</v>
      </c>
      <c r="BY19" s="75">
        <f t="shared" si="35"/>
        <v>0</v>
      </c>
      <c r="BZ19" s="378"/>
      <c r="CA19" s="378"/>
      <c r="CB19" s="378"/>
      <c r="CC19" s="378"/>
      <c r="CD19" s="378">
        <f t="shared" si="20"/>
        <v>0</v>
      </c>
      <c r="CE19" s="379">
        <f t="shared" si="21"/>
        <v>0</v>
      </c>
      <c r="CF19" s="75">
        <f t="shared" si="36"/>
        <v>0</v>
      </c>
      <c r="CG19" s="378"/>
      <c r="CH19" s="378"/>
      <c r="CI19" s="378"/>
      <c r="CJ19" s="378"/>
      <c r="CK19" s="378">
        <f t="shared" si="22"/>
        <v>0</v>
      </c>
      <c r="CL19" s="379">
        <f t="shared" si="23"/>
        <v>0</v>
      </c>
      <c r="CM19" s="75">
        <f t="shared" si="37"/>
        <v>0</v>
      </c>
      <c r="CN19" s="71">
        <f t="shared" si="24"/>
        <v>31807</v>
      </c>
      <c r="CO19" s="71">
        <f t="shared" si="38"/>
        <v>20752</v>
      </c>
      <c r="CP19" s="71">
        <f t="shared" si="25"/>
        <v>-11055</v>
      </c>
      <c r="CQ19" s="75">
        <f t="shared" si="39"/>
        <v>199073</v>
      </c>
      <c r="CR19" s="73"/>
      <c r="CS19" s="73"/>
      <c r="CT19" s="80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</row>
    <row r="20" spans="1:110" x14ac:dyDescent="0.25">
      <c r="A20" s="67">
        <f>+BaseloadMarkets!A20</f>
        <v>36692</v>
      </c>
      <c r="B20" s="67" t="str">
        <f>+BaseloadMarkets!B20</f>
        <v>Thu</v>
      </c>
      <c r="C20" s="68">
        <v>12735</v>
      </c>
      <c r="D20" s="68">
        <v>0</v>
      </c>
      <c r="E20" s="68">
        <v>2997</v>
      </c>
      <c r="F20" s="68">
        <v>1000</v>
      </c>
      <c r="G20" s="68">
        <v>2341</v>
      </c>
      <c r="H20" s="69">
        <f>+Border!AD18</f>
        <v>0</v>
      </c>
      <c r="I20" s="68"/>
      <c r="J20" s="68"/>
      <c r="K20" s="68"/>
      <c r="L20" s="70">
        <f t="shared" si="0"/>
        <v>6338</v>
      </c>
      <c r="M20" s="71">
        <f t="shared" si="1"/>
        <v>-6397</v>
      </c>
      <c r="N20" s="71">
        <f t="shared" si="26"/>
        <v>45716</v>
      </c>
      <c r="O20" s="68">
        <v>529</v>
      </c>
      <c r="P20" s="68">
        <v>0</v>
      </c>
      <c r="Q20" s="68"/>
      <c r="R20" s="68"/>
      <c r="S20" s="72">
        <f t="shared" si="2"/>
        <v>0</v>
      </c>
      <c r="T20" s="71">
        <f t="shared" si="3"/>
        <v>-529</v>
      </c>
      <c r="U20" s="71">
        <f t="shared" si="27"/>
        <v>-2023</v>
      </c>
      <c r="V20" s="68">
        <v>1146</v>
      </c>
      <c r="W20" s="68">
        <v>0</v>
      </c>
      <c r="X20" s="68"/>
      <c r="Y20" s="68"/>
      <c r="Z20" s="70">
        <f t="shared" si="4"/>
        <v>0</v>
      </c>
      <c r="AA20" s="71">
        <f t="shared" si="5"/>
        <v>-1146</v>
      </c>
      <c r="AB20" s="73">
        <f t="shared" si="28"/>
        <v>7041</v>
      </c>
      <c r="AC20" s="69">
        <v>167</v>
      </c>
      <c r="AD20" s="69">
        <v>0</v>
      </c>
      <c r="AE20" s="69"/>
      <c r="AF20" s="69"/>
      <c r="AG20" s="69">
        <f t="shared" si="6"/>
        <v>0</v>
      </c>
      <c r="AH20" s="74">
        <f t="shared" si="7"/>
        <v>-167</v>
      </c>
      <c r="AI20" s="75">
        <f t="shared" si="29"/>
        <v>1725</v>
      </c>
      <c r="AJ20" s="69">
        <v>9602</v>
      </c>
      <c r="AK20" s="69">
        <v>0</v>
      </c>
      <c r="AL20" s="69">
        <v>987</v>
      </c>
      <c r="AM20" s="69">
        <f>2600+1400</f>
        <v>4000</v>
      </c>
      <c r="AN20" s="69">
        <f t="shared" si="8"/>
        <v>4987</v>
      </c>
      <c r="AO20" s="74">
        <f t="shared" si="9"/>
        <v>-4615</v>
      </c>
      <c r="AP20" s="75">
        <f t="shared" si="30"/>
        <v>128875</v>
      </c>
      <c r="AQ20" s="69">
        <v>0</v>
      </c>
      <c r="AR20" s="69">
        <v>0</v>
      </c>
      <c r="AS20" s="69"/>
      <c r="AT20" s="69"/>
      <c r="AU20" s="69">
        <f t="shared" si="10"/>
        <v>0</v>
      </c>
      <c r="AV20" s="74">
        <f t="shared" si="11"/>
        <v>0</v>
      </c>
      <c r="AW20" s="75">
        <f t="shared" si="31"/>
        <v>0</v>
      </c>
      <c r="AX20" s="69">
        <v>202</v>
      </c>
      <c r="AY20" s="69">
        <v>0</v>
      </c>
      <c r="AZ20" s="69"/>
      <c r="BA20" s="69"/>
      <c r="BB20" s="69">
        <f t="shared" si="12"/>
        <v>0</v>
      </c>
      <c r="BC20" s="74">
        <f t="shared" si="13"/>
        <v>-202</v>
      </c>
      <c r="BD20" s="75">
        <f t="shared" si="32"/>
        <v>2035</v>
      </c>
      <c r="BE20" s="69">
        <v>293</v>
      </c>
      <c r="BF20" s="69">
        <v>0</v>
      </c>
      <c r="BG20" s="69"/>
      <c r="BH20" s="69"/>
      <c r="BI20" s="69">
        <f t="shared" si="14"/>
        <v>0</v>
      </c>
      <c r="BJ20" s="74">
        <f t="shared" si="15"/>
        <v>-293</v>
      </c>
      <c r="BK20" s="75">
        <f t="shared" si="33"/>
        <v>2355</v>
      </c>
      <c r="BL20" s="378"/>
      <c r="BM20" s="378"/>
      <c r="BN20" s="378"/>
      <c r="BO20" s="378"/>
      <c r="BP20" s="378">
        <f t="shared" si="16"/>
        <v>0</v>
      </c>
      <c r="BQ20" s="379">
        <f t="shared" si="17"/>
        <v>0</v>
      </c>
      <c r="BR20" s="75">
        <f t="shared" si="34"/>
        <v>0</v>
      </c>
      <c r="BS20" s="378"/>
      <c r="BT20" s="378"/>
      <c r="BU20" s="378"/>
      <c r="BV20" s="378"/>
      <c r="BW20" s="378">
        <f t="shared" si="18"/>
        <v>0</v>
      </c>
      <c r="BX20" s="379">
        <f t="shared" si="19"/>
        <v>0</v>
      </c>
      <c r="BY20" s="75">
        <f t="shared" si="35"/>
        <v>0</v>
      </c>
      <c r="BZ20" s="378"/>
      <c r="CA20" s="378"/>
      <c r="CB20" s="378"/>
      <c r="CC20" s="378"/>
      <c r="CD20" s="378">
        <f t="shared" si="20"/>
        <v>0</v>
      </c>
      <c r="CE20" s="379">
        <f t="shared" si="21"/>
        <v>0</v>
      </c>
      <c r="CF20" s="75">
        <f t="shared" si="36"/>
        <v>0</v>
      </c>
      <c r="CG20" s="378"/>
      <c r="CH20" s="378"/>
      <c r="CI20" s="378"/>
      <c r="CJ20" s="378"/>
      <c r="CK20" s="378">
        <f t="shared" si="22"/>
        <v>0</v>
      </c>
      <c r="CL20" s="379">
        <f t="shared" si="23"/>
        <v>0</v>
      </c>
      <c r="CM20" s="75">
        <f t="shared" si="37"/>
        <v>0</v>
      </c>
      <c r="CN20" s="71">
        <f t="shared" si="24"/>
        <v>24674</v>
      </c>
      <c r="CO20" s="71">
        <f t="shared" si="38"/>
        <v>11325</v>
      </c>
      <c r="CP20" s="71">
        <f t="shared" si="25"/>
        <v>-13349</v>
      </c>
      <c r="CQ20" s="75">
        <f t="shared" si="39"/>
        <v>185724</v>
      </c>
      <c r="CR20" s="73"/>
      <c r="CS20" s="73"/>
      <c r="CT20" s="80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</row>
    <row r="21" spans="1:110" x14ac:dyDescent="0.25">
      <c r="A21" s="67">
        <f>+BaseloadMarkets!A21</f>
        <v>36693</v>
      </c>
      <c r="B21" s="67" t="str">
        <f>+BaseloadMarkets!B21</f>
        <v>Fri</v>
      </c>
      <c r="C21" s="68">
        <v>11022</v>
      </c>
      <c r="D21" s="68">
        <v>0</v>
      </c>
      <c r="E21" s="68">
        <f>2000+997</f>
        <v>2997</v>
      </c>
      <c r="F21" s="68">
        <v>1000</v>
      </c>
      <c r="G21" s="68"/>
      <c r="H21" s="69">
        <f>+Border!AD19</f>
        <v>0</v>
      </c>
      <c r="I21" s="68"/>
      <c r="J21" s="68"/>
      <c r="K21" s="68"/>
      <c r="L21" s="70">
        <f t="shared" si="0"/>
        <v>3997</v>
      </c>
      <c r="M21" s="71">
        <f t="shared" si="1"/>
        <v>-7025</v>
      </c>
      <c r="N21" s="71">
        <f t="shared" si="26"/>
        <v>38691</v>
      </c>
      <c r="O21" s="68">
        <v>1137</v>
      </c>
      <c r="P21" s="68">
        <v>0</v>
      </c>
      <c r="Q21" s="68"/>
      <c r="R21" s="68"/>
      <c r="S21" s="72">
        <f t="shared" si="2"/>
        <v>0</v>
      </c>
      <c r="T21" s="71">
        <f t="shared" si="3"/>
        <v>-1137</v>
      </c>
      <c r="U21" s="71">
        <f t="shared" si="27"/>
        <v>-3160</v>
      </c>
      <c r="V21" s="68">
        <v>765</v>
      </c>
      <c r="W21" s="68">
        <v>0</v>
      </c>
      <c r="X21" s="68"/>
      <c r="Y21" s="68"/>
      <c r="Z21" s="70">
        <f t="shared" si="4"/>
        <v>0</v>
      </c>
      <c r="AA21" s="71">
        <f t="shared" si="5"/>
        <v>-765</v>
      </c>
      <c r="AB21" s="73">
        <f t="shared" si="28"/>
        <v>6276</v>
      </c>
      <c r="AC21" s="69">
        <v>165</v>
      </c>
      <c r="AD21" s="69">
        <v>0</v>
      </c>
      <c r="AE21" s="69"/>
      <c r="AF21" s="69"/>
      <c r="AG21" s="69">
        <f t="shared" si="6"/>
        <v>0</v>
      </c>
      <c r="AH21" s="74">
        <f>+AG21-AC21</f>
        <v>-165</v>
      </c>
      <c r="AI21" s="75">
        <f t="shared" si="29"/>
        <v>1560</v>
      </c>
      <c r="AJ21" s="69">
        <v>9309</v>
      </c>
      <c r="AK21" s="69">
        <v>0</v>
      </c>
      <c r="AL21" s="69">
        <v>987</v>
      </c>
      <c r="AM21" s="69">
        <v>0</v>
      </c>
      <c r="AN21" s="69">
        <v>987</v>
      </c>
      <c r="AO21" s="74">
        <f t="shared" si="9"/>
        <v>-8322</v>
      </c>
      <c r="AP21" s="75">
        <f t="shared" si="30"/>
        <v>120553</v>
      </c>
      <c r="AQ21" s="69">
        <v>0</v>
      </c>
      <c r="AR21" s="69">
        <v>0</v>
      </c>
      <c r="AS21" s="69"/>
      <c r="AT21" s="69"/>
      <c r="AU21" s="69">
        <f t="shared" si="10"/>
        <v>0</v>
      </c>
      <c r="AV21" s="74">
        <f t="shared" si="11"/>
        <v>0</v>
      </c>
      <c r="AW21" s="75">
        <f t="shared" si="31"/>
        <v>0</v>
      </c>
      <c r="AX21" s="69">
        <v>205</v>
      </c>
      <c r="AY21" s="69">
        <v>0</v>
      </c>
      <c r="AZ21" s="69"/>
      <c r="BA21" s="69"/>
      <c r="BB21" s="69">
        <f t="shared" si="12"/>
        <v>0</v>
      </c>
      <c r="BC21" s="74">
        <f t="shared" si="13"/>
        <v>-205</v>
      </c>
      <c r="BD21" s="75">
        <f t="shared" si="32"/>
        <v>1830</v>
      </c>
      <c r="BE21" s="69">
        <v>301</v>
      </c>
      <c r="BF21" s="69">
        <v>0</v>
      </c>
      <c r="BG21" s="69"/>
      <c r="BH21" s="69"/>
      <c r="BI21" s="69">
        <f t="shared" si="14"/>
        <v>0</v>
      </c>
      <c r="BJ21" s="74">
        <f t="shared" si="15"/>
        <v>-301</v>
      </c>
      <c r="BK21" s="75">
        <f t="shared" si="33"/>
        <v>2054</v>
      </c>
      <c r="BL21" s="378"/>
      <c r="BM21" s="378"/>
      <c r="BN21" s="378"/>
      <c r="BO21" s="378"/>
      <c r="BP21" s="378">
        <f t="shared" si="16"/>
        <v>0</v>
      </c>
      <c r="BQ21" s="379">
        <f t="shared" si="17"/>
        <v>0</v>
      </c>
      <c r="BR21" s="75">
        <f t="shared" si="34"/>
        <v>0</v>
      </c>
      <c r="BS21" s="378"/>
      <c r="BT21" s="378"/>
      <c r="BU21" s="378"/>
      <c r="BV21" s="378"/>
      <c r="BW21" s="378">
        <f t="shared" si="18"/>
        <v>0</v>
      </c>
      <c r="BX21" s="379">
        <f t="shared" si="19"/>
        <v>0</v>
      </c>
      <c r="BY21" s="75">
        <f t="shared" si="35"/>
        <v>0</v>
      </c>
      <c r="BZ21" s="378"/>
      <c r="CA21" s="378"/>
      <c r="CB21" s="378"/>
      <c r="CC21" s="378"/>
      <c r="CD21" s="378">
        <f t="shared" si="20"/>
        <v>0</v>
      </c>
      <c r="CE21" s="379">
        <f t="shared" si="21"/>
        <v>0</v>
      </c>
      <c r="CF21" s="75">
        <f t="shared" si="36"/>
        <v>0</v>
      </c>
      <c r="CG21" s="378"/>
      <c r="CH21" s="378"/>
      <c r="CI21" s="378"/>
      <c r="CJ21" s="378"/>
      <c r="CK21" s="378">
        <f t="shared" si="22"/>
        <v>0</v>
      </c>
      <c r="CL21" s="379">
        <f t="shared" si="23"/>
        <v>0</v>
      </c>
      <c r="CM21" s="75">
        <f t="shared" si="37"/>
        <v>0</v>
      </c>
      <c r="CN21" s="71">
        <f t="shared" si="24"/>
        <v>22904</v>
      </c>
      <c r="CO21" s="71">
        <f t="shared" si="38"/>
        <v>4984</v>
      </c>
      <c r="CP21" s="71">
        <f t="shared" si="25"/>
        <v>-17920</v>
      </c>
      <c r="CQ21" s="75">
        <f t="shared" si="39"/>
        <v>167804</v>
      </c>
      <c r="CR21" s="73"/>
      <c r="CS21" s="73"/>
      <c r="CT21" s="80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</row>
    <row r="22" spans="1:110" x14ac:dyDescent="0.25">
      <c r="A22" s="67">
        <f>+BaseloadMarkets!A22</f>
        <v>36694</v>
      </c>
      <c r="B22" s="67" t="str">
        <f>+BaseloadMarkets!B22</f>
        <v>Sat</v>
      </c>
      <c r="C22" s="68">
        <v>7208</v>
      </c>
      <c r="D22" s="68">
        <v>408</v>
      </c>
      <c r="E22" s="68">
        <v>2997</v>
      </c>
      <c r="F22" s="68">
        <v>1000</v>
      </c>
      <c r="G22" s="68"/>
      <c r="H22" s="69">
        <f>+Border!AD20</f>
        <v>0</v>
      </c>
      <c r="I22" s="68"/>
      <c r="J22" s="68"/>
      <c r="K22" s="68"/>
      <c r="L22" s="70">
        <f t="shared" si="0"/>
        <v>4405</v>
      </c>
      <c r="M22" s="71">
        <f t="shared" si="1"/>
        <v>-2803</v>
      </c>
      <c r="N22" s="71">
        <f t="shared" si="26"/>
        <v>35888</v>
      </c>
      <c r="O22" s="68">
        <v>1715</v>
      </c>
      <c r="P22" s="68">
        <v>408</v>
      </c>
      <c r="Q22" s="68"/>
      <c r="R22" s="68"/>
      <c r="S22" s="72">
        <f t="shared" si="2"/>
        <v>408</v>
      </c>
      <c r="T22" s="71">
        <f t="shared" si="3"/>
        <v>-1307</v>
      </c>
      <c r="U22" s="71">
        <f t="shared" si="27"/>
        <v>-4467</v>
      </c>
      <c r="V22" s="68">
        <v>1554</v>
      </c>
      <c r="W22" s="68">
        <v>285</v>
      </c>
      <c r="X22" s="68"/>
      <c r="Y22" s="68"/>
      <c r="Z22" s="70">
        <f t="shared" si="4"/>
        <v>285</v>
      </c>
      <c r="AA22" s="71">
        <f t="shared" si="5"/>
        <v>-1269</v>
      </c>
      <c r="AB22" s="73">
        <f t="shared" si="28"/>
        <v>5007</v>
      </c>
      <c r="AC22" s="69">
        <v>177</v>
      </c>
      <c r="AD22" s="69">
        <v>0</v>
      </c>
      <c r="AE22" s="69"/>
      <c r="AF22" s="69"/>
      <c r="AG22" s="69">
        <f t="shared" si="6"/>
        <v>0</v>
      </c>
      <c r="AH22" s="74">
        <f t="shared" si="7"/>
        <v>-177</v>
      </c>
      <c r="AI22" s="75">
        <f t="shared" si="29"/>
        <v>1383</v>
      </c>
      <c r="AJ22" s="69">
        <v>8922</v>
      </c>
      <c r="AK22" s="69">
        <v>2000</v>
      </c>
      <c r="AL22" s="69">
        <v>987</v>
      </c>
      <c r="AM22" s="69">
        <v>0</v>
      </c>
      <c r="AN22" s="69">
        <f t="shared" si="8"/>
        <v>2987</v>
      </c>
      <c r="AO22" s="74">
        <f t="shared" si="9"/>
        <v>-5935</v>
      </c>
      <c r="AP22" s="75">
        <f t="shared" si="30"/>
        <v>114618</v>
      </c>
      <c r="AQ22" s="69">
        <v>0</v>
      </c>
      <c r="AR22" s="69">
        <v>0</v>
      </c>
      <c r="AS22" s="69"/>
      <c r="AT22" s="69"/>
      <c r="AU22" s="69">
        <f t="shared" si="10"/>
        <v>0</v>
      </c>
      <c r="AV22" s="74">
        <f t="shared" si="11"/>
        <v>0</v>
      </c>
      <c r="AW22" s="75">
        <f t="shared" si="31"/>
        <v>0</v>
      </c>
      <c r="AX22" s="69">
        <v>26</v>
      </c>
      <c r="AY22" s="69">
        <v>0</v>
      </c>
      <c r="AZ22" s="69"/>
      <c r="BA22" s="69"/>
      <c r="BB22" s="69">
        <f t="shared" si="12"/>
        <v>0</v>
      </c>
      <c r="BC22" s="74">
        <f t="shared" si="13"/>
        <v>-26</v>
      </c>
      <c r="BD22" s="75">
        <f t="shared" si="32"/>
        <v>1804</v>
      </c>
      <c r="BE22" s="69">
        <v>145</v>
      </c>
      <c r="BF22" s="69">
        <v>0</v>
      </c>
      <c r="BG22" s="69"/>
      <c r="BH22" s="69"/>
      <c r="BI22" s="69">
        <f t="shared" si="14"/>
        <v>0</v>
      </c>
      <c r="BJ22" s="74">
        <f t="shared" si="15"/>
        <v>-145</v>
      </c>
      <c r="BK22" s="75">
        <f t="shared" si="33"/>
        <v>1909</v>
      </c>
      <c r="BL22" s="378"/>
      <c r="BM22" s="378"/>
      <c r="BN22" s="378"/>
      <c r="BO22" s="378"/>
      <c r="BP22" s="378">
        <f t="shared" si="16"/>
        <v>0</v>
      </c>
      <c r="BQ22" s="379">
        <f t="shared" si="17"/>
        <v>0</v>
      </c>
      <c r="BR22" s="75">
        <f t="shared" si="34"/>
        <v>0</v>
      </c>
      <c r="BS22" s="378"/>
      <c r="BT22" s="378"/>
      <c r="BU22" s="378"/>
      <c r="BV22" s="378"/>
      <c r="BW22" s="378">
        <f t="shared" si="18"/>
        <v>0</v>
      </c>
      <c r="BX22" s="379">
        <f t="shared" si="19"/>
        <v>0</v>
      </c>
      <c r="BY22" s="75">
        <f t="shared" si="35"/>
        <v>0</v>
      </c>
      <c r="BZ22" s="378"/>
      <c r="CA22" s="378"/>
      <c r="CB22" s="378"/>
      <c r="CC22" s="378"/>
      <c r="CD22" s="378">
        <f t="shared" si="20"/>
        <v>0</v>
      </c>
      <c r="CE22" s="379">
        <f t="shared" si="21"/>
        <v>0</v>
      </c>
      <c r="CF22" s="75">
        <f t="shared" si="36"/>
        <v>0</v>
      </c>
      <c r="CG22" s="378"/>
      <c r="CH22" s="378"/>
      <c r="CI22" s="378"/>
      <c r="CJ22" s="378"/>
      <c r="CK22" s="378">
        <f t="shared" si="22"/>
        <v>0</v>
      </c>
      <c r="CL22" s="379">
        <f t="shared" si="23"/>
        <v>0</v>
      </c>
      <c r="CM22" s="75">
        <f t="shared" si="37"/>
        <v>0</v>
      </c>
      <c r="CN22" s="71">
        <f t="shared" si="24"/>
        <v>19747</v>
      </c>
      <c r="CO22" s="71">
        <f t="shared" si="38"/>
        <v>8085</v>
      </c>
      <c r="CP22" s="71">
        <f t="shared" si="25"/>
        <v>-11662</v>
      </c>
      <c r="CQ22" s="75">
        <f t="shared" si="39"/>
        <v>156142</v>
      </c>
      <c r="CR22" s="73"/>
      <c r="CS22" s="73"/>
      <c r="CT22" s="80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</row>
    <row r="23" spans="1:110" x14ac:dyDescent="0.25">
      <c r="A23" s="67">
        <f>+BaseloadMarkets!A23</f>
        <v>36695</v>
      </c>
      <c r="B23" s="67" t="str">
        <f>+BaseloadMarkets!B23</f>
        <v>Sun</v>
      </c>
      <c r="C23" s="68">
        <v>7458</v>
      </c>
      <c r="D23" s="68">
        <v>524</v>
      </c>
      <c r="E23" s="68">
        <v>2997</v>
      </c>
      <c r="F23" s="68">
        <v>1000</v>
      </c>
      <c r="G23" s="68"/>
      <c r="H23" s="69">
        <f>+Border!AD21</f>
        <v>0</v>
      </c>
      <c r="I23" s="68"/>
      <c r="J23" s="68"/>
      <c r="K23" s="68"/>
      <c r="L23" s="70">
        <f t="shared" si="0"/>
        <v>4521</v>
      </c>
      <c r="M23" s="71">
        <f t="shared" si="1"/>
        <v>-2937</v>
      </c>
      <c r="N23" s="71">
        <f t="shared" si="26"/>
        <v>32951</v>
      </c>
      <c r="O23" s="68">
        <v>1776</v>
      </c>
      <c r="P23" s="68">
        <v>524</v>
      </c>
      <c r="Q23" s="68"/>
      <c r="R23" s="68"/>
      <c r="S23" s="72">
        <f t="shared" si="2"/>
        <v>524</v>
      </c>
      <c r="T23" s="71">
        <f t="shared" si="3"/>
        <v>-1252</v>
      </c>
      <c r="U23" s="71">
        <f t="shared" si="27"/>
        <v>-5719</v>
      </c>
      <c r="V23" s="68">
        <v>1217</v>
      </c>
      <c r="W23" s="68">
        <v>367</v>
      </c>
      <c r="X23" s="68"/>
      <c r="Y23" s="68"/>
      <c r="Z23" s="70">
        <f t="shared" si="4"/>
        <v>367</v>
      </c>
      <c r="AA23" s="71">
        <f t="shared" si="5"/>
        <v>-850</v>
      </c>
      <c r="AB23" s="73">
        <f t="shared" si="28"/>
        <v>4157</v>
      </c>
      <c r="AC23" s="69">
        <v>36</v>
      </c>
      <c r="AD23" s="69">
        <v>0</v>
      </c>
      <c r="AE23" s="69"/>
      <c r="AF23" s="69"/>
      <c r="AG23" s="69">
        <f t="shared" si="6"/>
        <v>0</v>
      </c>
      <c r="AH23" s="74">
        <f t="shared" si="7"/>
        <v>-36</v>
      </c>
      <c r="AI23" s="75">
        <f t="shared" si="29"/>
        <v>1347</v>
      </c>
      <c r="AJ23" s="69">
        <v>8958</v>
      </c>
      <c r="AK23" s="69">
        <v>2567</v>
      </c>
      <c r="AL23" s="69">
        <v>987</v>
      </c>
      <c r="AM23" s="69">
        <v>0</v>
      </c>
      <c r="AN23" s="69">
        <f t="shared" si="8"/>
        <v>3554</v>
      </c>
      <c r="AO23" s="74">
        <f t="shared" si="9"/>
        <v>-5404</v>
      </c>
      <c r="AP23" s="75">
        <f t="shared" si="30"/>
        <v>109214</v>
      </c>
      <c r="AQ23" s="69">
        <v>0</v>
      </c>
      <c r="AR23" s="69">
        <v>0</v>
      </c>
      <c r="AS23" s="69"/>
      <c r="AT23" s="69"/>
      <c r="AU23" s="69">
        <f t="shared" si="10"/>
        <v>0</v>
      </c>
      <c r="AV23" s="74">
        <f t="shared" si="11"/>
        <v>0</v>
      </c>
      <c r="AW23" s="75">
        <f t="shared" si="31"/>
        <v>0</v>
      </c>
      <c r="AX23" s="69">
        <v>0</v>
      </c>
      <c r="AY23" s="69">
        <v>0</v>
      </c>
      <c r="AZ23" s="69"/>
      <c r="BA23" s="69"/>
      <c r="BB23" s="69">
        <f t="shared" si="12"/>
        <v>0</v>
      </c>
      <c r="BC23" s="74">
        <f t="shared" si="13"/>
        <v>0</v>
      </c>
      <c r="BD23" s="75">
        <f t="shared" si="32"/>
        <v>1804</v>
      </c>
      <c r="BE23" s="69">
        <v>24</v>
      </c>
      <c r="BF23" s="69">
        <v>0</v>
      </c>
      <c r="BG23" s="69"/>
      <c r="BH23" s="69"/>
      <c r="BI23" s="69">
        <f t="shared" si="14"/>
        <v>0</v>
      </c>
      <c r="BJ23" s="74">
        <f t="shared" si="15"/>
        <v>-24</v>
      </c>
      <c r="BK23" s="75">
        <f t="shared" si="33"/>
        <v>1885</v>
      </c>
      <c r="BL23" s="378"/>
      <c r="BM23" s="378"/>
      <c r="BN23" s="378"/>
      <c r="BO23" s="378"/>
      <c r="BP23" s="378">
        <f t="shared" si="16"/>
        <v>0</v>
      </c>
      <c r="BQ23" s="379">
        <f t="shared" si="17"/>
        <v>0</v>
      </c>
      <c r="BR23" s="75">
        <f t="shared" si="34"/>
        <v>0</v>
      </c>
      <c r="BS23" s="378"/>
      <c r="BT23" s="378"/>
      <c r="BU23" s="378"/>
      <c r="BV23" s="378"/>
      <c r="BW23" s="378">
        <f t="shared" si="18"/>
        <v>0</v>
      </c>
      <c r="BX23" s="379">
        <f t="shared" si="19"/>
        <v>0</v>
      </c>
      <c r="BY23" s="75">
        <f t="shared" si="35"/>
        <v>0</v>
      </c>
      <c r="BZ23" s="378"/>
      <c r="CA23" s="378"/>
      <c r="CB23" s="378"/>
      <c r="CC23" s="378"/>
      <c r="CD23" s="378">
        <f t="shared" si="20"/>
        <v>0</v>
      </c>
      <c r="CE23" s="379">
        <f t="shared" si="21"/>
        <v>0</v>
      </c>
      <c r="CF23" s="75">
        <f t="shared" si="36"/>
        <v>0</v>
      </c>
      <c r="CG23" s="378"/>
      <c r="CH23" s="378"/>
      <c r="CI23" s="378"/>
      <c r="CJ23" s="378"/>
      <c r="CK23" s="378">
        <f t="shared" si="22"/>
        <v>0</v>
      </c>
      <c r="CL23" s="379">
        <f t="shared" si="23"/>
        <v>0</v>
      </c>
      <c r="CM23" s="75">
        <f t="shared" si="37"/>
        <v>0</v>
      </c>
      <c r="CN23" s="71">
        <f t="shared" si="24"/>
        <v>19469</v>
      </c>
      <c r="CO23" s="71">
        <f t="shared" si="38"/>
        <v>8966</v>
      </c>
      <c r="CP23" s="71">
        <f t="shared" si="25"/>
        <v>-10503</v>
      </c>
      <c r="CQ23" s="75">
        <f t="shared" si="39"/>
        <v>145639</v>
      </c>
      <c r="CR23" s="73"/>
      <c r="CS23" s="73"/>
      <c r="CT23" s="80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</row>
    <row r="24" spans="1:110" x14ac:dyDescent="0.25">
      <c r="A24" s="67">
        <f>+BaseloadMarkets!A24</f>
        <v>36696</v>
      </c>
      <c r="B24" s="67" t="str">
        <f>+BaseloadMarkets!B24</f>
        <v>Mon</v>
      </c>
      <c r="C24" s="68">
        <v>7180</v>
      </c>
      <c r="D24" s="68">
        <v>530</v>
      </c>
      <c r="E24" s="68">
        <v>2997</v>
      </c>
      <c r="F24" s="68">
        <v>1000</v>
      </c>
      <c r="G24" s="68"/>
      <c r="H24" s="69">
        <f>+Border!AD22</f>
        <v>0</v>
      </c>
      <c r="I24" s="68"/>
      <c r="J24" s="68"/>
      <c r="K24" s="68"/>
      <c r="L24" s="70">
        <f t="shared" si="0"/>
        <v>4527</v>
      </c>
      <c r="M24" s="71">
        <f t="shared" si="1"/>
        <v>-2653</v>
      </c>
      <c r="N24" s="71">
        <f t="shared" si="26"/>
        <v>30298</v>
      </c>
      <c r="O24" s="68">
        <v>1848</v>
      </c>
      <c r="P24" s="68">
        <v>530</v>
      </c>
      <c r="Q24" s="68"/>
      <c r="R24" s="68"/>
      <c r="S24" s="72">
        <f t="shared" si="2"/>
        <v>530</v>
      </c>
      <c r="T24" s="71">
        <f t="shared" si="3"/>
        <v>-1318</v>
      </c>
      <c r="U24" s="71">
        <f t="shared" si="27"/>
        <v>-7037</v>
      </c>
      <c r="V24" s="68">
        <v>784</v>
      </c>
      <c r="W24" s="68">
        <v>371</v>
      </c>
      <c r="X24" s="68"/>
      <c r="Y24" s="68"/>
      <c r="Z24" s="70">
        <f t="shared" si="4"/>
        <v>371</v>
      </c>
      <c r="AA24" s="71">
        <f t="shared" si="5"/>
        <v>-413</v>
      </c>
      <c r="AB24" s="73">
        <f t="shared" si="28"/>
        <v>3744</v>
      </c>
      <c r="AC24" s="69">
        <v>98</v>
      </c>
      <c r="AD24" s="69">
        <v>0</v>
      </c>
      <c r="AE24" s="69"/>
      <c r="AF24" s="69"/>
      <c r="AG24" s="69">
        <f t="shared" si="6"/>
        <v>0</v>
      </c>
      <c r="AH24" s="74">
        <f t="shared" si="7"/>
        <v>-98</v>
      </c>
      <c r="AI24" s="75">
        <f t="shared" si="29"/>
        <v>1249</v>
      </c>
      <c r="AJ24" s="69">
        <v>9034</v>
      </c>
      <c r="AK24" s="69">
        <v>2595</v>
      </c>
      <c r="AL24" s="69">
        <v>987</v>
      </c>
      <c r="AM24" s="69">
        <v>0</v>
      </c>
      <c r="AN24" s="69">
        <f t="shared" si="8"/>
        <v>3582</v>
      </c>
      <c r="AO24" s="74">
        <f t="shared" si="9"/>
        <v>-5452</v>
      </c>
      <c r="AP24" s="75">
        <f t="shared" si="30"/>
        <v>103762</v>
      </c>
      <c r="AQ24" s="69">
        <v>0</v>
      </c>
      <c r="AR24" s="69">
        <v>0</v>
      </c>
      <c r="AS24" s="69"/>
      <c r="AT24" s="69"/>
      <c r="AU24" s="69">
        <f t="shared" si="10"/>
        <v>0</v>
      </c>
      <c r="AV24" s="74">
        <f t="shared" si="11"/>
        <v>0</v>
      </c>
      <c r="AW24" s="75">
        <f t="shared" si="31"/>
        <v>0</v>
      </c>
      <c r="AX24" s="69">
        <v>116</v>
      </c>
      <c r="AY24" s="69">
        <v>0</v>
      </c>
      <c r="AZ24" s="69"/>
      <c r="BA24" s="69"/>
      <c r="BB24" s="69">
        <f t="shared" si="12"/>
        <v>0</v>
      </c>
      <c r="BC24" s="74">
        <f t="shared" si="13"/>
        <v>-116</v>
      </c>
      <c r="BD24" s="75">
        <f t="shared" si="32"/>
        <v>1688</v>
      </c>
      <c r="BE24" s="69">
        <v>269</v>
      </c>
      <c r="BF24" s="69">
        <v>0</v>
      </c>
      <c r="BG24" s="69"/>
      <c r="BH24" s="69"/>
      <c r="BI24" s="69">
        <f t="shared" si="14"/>
        <v>0</v>
      </c>
      <c r="BJ24" s="74">
        <f t="shared" si="15"/>
        <v>-269</v>
      </c>
      <c r="BK24" s="75">
        <f t="shared" si="33"/>
        <v>1616</v>
      </c>
      <c r="BL24" s="378"/>
      <c r="BM24" s="378"/>
      <c r="BN24" s="378"/>
      <c r="BO24" s="378"/>
      <c r="BP24" s="378">
        <f t="shared" si="16"/>
        <v>0</v>
      </c>
      <c r="BQ24" s="379">
        <f t="shared" si="17"/>
        <v>0</v>
      </c>
      <c r="BR24" s="75">
        <f t="shared" si="34"/>
        <v>0</v>
      </c>
      <c r="BS24" s="378"/>
      <c r="BT24" s="378"/>
      <c r="BU24" s="378"/>
      <c r="BV24" s="378"/>
      <c r="BW24" s="378">
        <f t="shared" si="18"/>
        <v>0</v>
      </c>
      <c r="BX24" s="379">
        <f t="shared" si="19"/>
        <v>0</v>
      </c>
      <c r="BY24" s="75">
        <f t="shared" si="35"/>
        <v>0</v>
      </c>
      <c r="BZ24" s="378"/>
      <c r="CA24" s="378"/>
      <c r="CB24" s="378"/>
      <c r="CC24" s="378"/>
      <c r="CD24" s="378">
        <f t="shared" si="20"/>
        <v>0</v>
      </c>
      <c r="CE24" s="379">
        <f t="shared" si="21"/>
        <v>0</v>
      </c>
      <c r="CF24" s="75">
        <f t="shared" si="36"/>
        <v>0</v>
      </c>
      <c r="CG24" s="378"/>
      <c r="CH24" s="378"/>
      <c r="CI24" s="378"/>
      <c r="CJ24" s="378"/>
      <c r="CK24" s="378">
        <f t="shared" si="22"/>
        <v>0</v>
      </c>
      <c r="CL24" s="379">
        <f t="shared" si="23"/>
        <v>0</v>
      </c>
      <c r="CM24" s="75">
        <f t="shared" si="37"/>
        <v>0</v>
      </c>
      <c r="CN24" s="71">
        <f t="shared" si="24"/>
        <v>19329</v>
      </c>
      <c r="CO24" s="71">
        <f t="shared" si="38"/>
        <v>9010</v>
      </c>
      <c r="CP24" s="71">
        <f t="shared" si="25"/>
        <v>-10319</v>
      </c>
      <c r="CQ24" s="75">
        <f t="shared" si="39"/>
        <v>135320</v>
      </c>
      <c r="CR24" s="73"/>
      <c r="CS24" s="73"/>
      <c r="CT24" s="80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</row>
    <row r="25" spans="1:110" x14ac:dyDescent="0.25">
      <c r="A25" s="67">
        <f>+BaseloadMarkets!A25</f>
        <v>36697</v>
      </c>
      <c r="B25" s="67" t="str">
        <f>+BaseloadMarkets!B25</f>
        <v>Tues</v>
      </c>
      <c r="C25" s="68">
        <v>10118</v>
      </c>
      <c r="D25" s="68">
        <v>1908</v>
      </c>
      <c r="E25" s="68">
        <v>2997</v>
      </c>
      <c r="F25" s="68">
        <v>1000</v>
      </c>
      <c r="G25" s="68"/>
      <c r="H25" s="69">
        <f>+Border!AD23</f>
        <v>0</v>
      </c>
      <c r="I25" s="68"/>
      <c r="J25" s="68"/>
      <c r="K25" s="68"/>
      <c r="L25" s="70">
        <f t="shared" si="0"/>
        <v>5905</v>
      </c>
      <c r="M25" s="71">
        <f t="shared" si="1"/>
        <v>-4213</v>
      </c>
      <c r="N25" s="71">
        <f t="shared" si="26"/>
        <v>26085</v>
      </c>
      <c r="O25" s="68">
        <v>1457</v>
      </c>
      <c r="P25" s="68">
        <v>981</v>
      </c>
      <c r="Q25" s="68"/>
      <c r="R25" s="68"/>
      <c r="S25" s="72">
        <f t="shared" si="2"/>
        <v>981</v>
      </c>
      <c r="T25" s="71">
        <f t="shared" si="3"/>
        <v>-476</v>
      </c>
      <c r="U25" s="71">
        <f t="shared" si="27"/>
        <v>-7513</v>
      </c>
      <c r="V25" s="68">
        <v>1307</v>
      </c>
      <c r="W25" s="68">
        <v>545</v>
      </c>
      <c r="X25" s="68"/>
      <c r="Y25" s="68"/>
      <c r="Z25" s="70">
        <f t="shared" si="4"/>
        <v>545</v>
      </c>
      <c r="AA25" s="71">
        <f t="shared" si="5"/>
        <v>-762</v>
      </c>
      <c r="AB25" s="73">
        <f t="shared" si="28"/>
        <v>2982</v>
      </c>
      <c r="AC25" s="69">
        <v>179</v>
      </c>
      <c r="AD25" s="69">
        <v>545</v>
      </c>
      <c r="AE25" s="69"/>
      <c r="AF25" s="69"/>
      <c r="AG25" s="69">
        <f t="shared" si="6"/>
        <v>545</v>
      </c>
      <c r="AH25" s="74">
        <f t="shared" si="7"/>
        <v>366</v>
      </c>
      <c r="AI25" s="75">
        <f t="shared" si="29"/>
        <v>1615</v>
      </c>
      <c r="AJ25" s="69">
        <v>8953</v>
      </c>
      <c r="AK25" s="69">
        <v>3982</v>
      </c>
      <c r="AL25" s="69">
        <v>987</v>
      </c>
      <c r="AM25" s="69">
        <v>0</v>
      </c>
      <c r="AN25" s="69">
        <f t="shared" si="8"/>
        <v>4969</v>
      </c>
      <c r="AO25" s="74">
        <f t="shared" si="9"/>
        <v>-3984</v>
      </c>
      <c r="AP25" s="75">
        <f t="shared" si="30"/>
        <v>99778</v>
      </c>
      <c r="AQ25" s="69">
        <v>0</v>
      </c>
      <c r="AR25" s="69">
        <v>0</v>
      </c>
      <c r="AS25" s="69"/>
      <c r="AT25" s="69"/>
      <c r="AU25" s="69">
        <f t="shared" si="10"/>
        <v>0</v>
      </c>
      <c r="AV25" s="74">
        <f t="shared" si="11"/>
        <v>0</v>
      </c>
      <c r="AW25" s="75">
        <f t="shared" si="31"/>
        <v>0</v>
      </c>
      <c r="AX25" s="69">
        <v>202</v>
      </c>
      <c r="AY25" s="69">
        <v>545</v>
      </c>
      <c r="AZ25" s="69"/>
      <c r="BA25" s="69"/>
      <c r="BB25" s="69">
        <f t="shared" si="12"/>
        <v>545</v>
      </c>
      <c r="BC25" s="74">
        <f t="shared" si="13"/>
        <v>343</v>
      </c>
      <c r="BD25" s="75">
        <f t="shared" si="32"/>
        <v>2031</v>
      </c>
      <c r="BE25" s="69">
        <v>320</v>
      </c>
      <c r="BF25" s="69">
        <v>545</v>
      </c>
      <c r="BG25" s="69"/>
      <c r="BH25" s="69"/>
      <c r="BI25" s="69">
        <f t="shared" si="14"/>
        <v>545</v>
      </c>
      <c r="BJ25" s="74">
        <f t="shared" si="15"/>
        <v>225</v>
      </c>
      <c r="BK25" s="75">
        <f t="shared" si="33"/>
        <v>1841</v>
      </c>
      <c r="BL25" s="378"/>
      <c r="BM25" s="378"/>
      <c r="BN25" s="378"/>
      <c r="BO25" s="378"/>
      <c r="BP25" s="378">
        <f t="shared" si="16"/>
        <v>0</v>
      </c>
      <c r="BQ25" s="379">
        <f t="shared" si="17"/>
        <v>0</v>
      </c>
      <c r="BR25" s="75">
        <f t="shared" si="34"/>
        <v>0</v>
      </c>
      <c r="BS25" s="378"/>
      <c r="BT25" s="378"/>
      <c r="BU25" s="378"/>
      <c r="BV25" s="378"/>
      <c r="BW25" s="378">
        <f t="shared" si="18"/>
        <v>0</v>
      </c>
      <c r="BX25" s="379">
        <f t="shared" si="19"/>
        <v>0</v>
      </c>
      <c r="BY25" s="75">
        <f t="shared" si="35"/>
        <v>0</v>
      </c>
      <c r="BZ25" s="378"/>
      <c r="CA25" s="378"/>
      <c r="CB25" s="378"/>
      <c r="CC25" s="378"/>
      <c r="CD25" s="378">
        <f t="shared" si="20"/>
        <v>0</v>
      </c>
      <c r="CE25" s="379">
        <f t="shared" si="21"/>
        <v>0</v>
      </c>
      <c r="CF25" s="75">
        <f t="shared" si="36"/>
        <v>0</v>
      </c>
      <c r="CG25" s="378"/>
      <c r="CH25" s="378"/>
      <c r="CI25" s="378"/>
      <c r="CJ25" s="378"/>
      <c r="CK25" s="378">
        <f t="shared" si="22"/>
        <v>0</v>
      </c>
      <c r="CL25" s="379">
        <f t="shared" si="23"/>
        <v>0</v>
      </c>
      <c r="CM25" s="75">
        <f t="shared" si="37"/>
        <v>0</v>
      </c>
      <c r="CN25" s="71">
        <f t="shared" si="24"/>
        <v>22536</v>
      </c>
      <c r="CO25" s="71">
        <f t="shared" si="38"/>
        <v>14035</v>
      </c>
      <c r="CP25" s="71">
        <f t="shared" si="25"/>
        <v>-8501</v>
      </c>
      <c r="CQ25" s="75">
        <f t="shared" si="39"/>
        <v>126819</v>
      </c>
      <c r="CR25" s="73"/>
      <c r="CS25" s="73"/>
      <c r="CT25" s="80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</row>
    <row r="26" spans="1:110" x14ac:dyDescent="0.25">
      <c r="A26" s="67">
        <f>+BaseloadMarkets!A26</f>
        <v>36698</v>
      </c>
      <c r="B26" s="67" t="str">
        <f>+BaseloadMarkets!B26</f>
        <v>Wed</v>
      </c>
      <c r="C26" s="68">
        <v>9883</v>
      </c>
      <c r="D26" s="68">
        <v>0</v>
      </c>
      <c r="E26" s="68">
        <v>2997</v>
      </c>
      <c r="F26" s="68">
        <v>1000</v>
      </c>
      <c r="G26" s="68"/>
      <c r="H26" s="69">
        <f>+Border!AD24</f>
        <v>0</v>
      </c>
      <c r="I26" s="68"/>
      <c r="J26" s="68"/>
      <c r="K26" s="68"/>
      <c r="L26" s="70">
        <f t="shared" si="0"/>
        <v>3997</v>
      </c>
      <c r="M26" s="71">
        <f t="shared" si="1"/>
        <v>-5886</v>
      </c>
      <c r="N26" s="71">
        <f t="shared" si="26"/>
        <v>20199</v>
      </c>
      <c r="O26" s="68">
        <v>1882</v>
      </c>
      <c r="P26" s="68">
        <v>0</v>
      </c>
      <c r="Q26" s="68"/>
      <c r="R26" s="68"/>
      <c r="S26" s="72">
        <f t="shared" si="2"/>
        <v>0</v>
      </c>
      <c r="T26" s="71">
        <f t="shared" si="3"/>
        <v>-1882</v>
      </c>
      <c r="U26" s="71">
        <f t="shared" si="27"/>
        <v>-9395</v>
      </c>
      <c r="V26" s="68">
        <v>1249</v>
      </c>
      <c r="W26" s="68">
        <v>0</v>
      </c>
      <c r="X26" s="68"/>
      <c r="Y26" s="68"/>
      <c r="Z26" s="70">
        <f t="shared" si="4"/>
        <v>0</v>
      </c>
      <c r="AA26" s="71">
        <f t="shared" si="5"/>
        <v>-1249</v>
      </c>
      <c r="AB26" s="73">
        <f t="shared" si="28"/>
        <v>1733</v>
      </c>
      <c r="AC26" s="69">
        <v>178</v>
      </c>
      <c r="AD26" s="69">
        <v>0</v>
      </c>
      <c r="AE26" s="69"/>
      <c r="AF26" s="69"/>
      <c r="AG26" s="69">
        <f t="shared" si="6"/>
        <v>0</v>
      </c>
      <c r="AH26" s="74">
        <f t="shared" si="7"/>
        <v>-178</v>
      </c>
      <c r="AI26" s="75">
        <f t="shared" si="29"/>
        <v>1437</v>
      </c>
      <c r="AJ26" s="69">
        <v>9037</v>
      </c>
      <c r="AK26" s="69">
        <v>479</v>
      </c>
      <c r="AL26" s="69">
        <v>987</v>
      </c>
      <c r="AM26" s="69">
        <v>0</v>
      </c>
      <c r="AN26" s="69">
        <f t="shared" si="8"/>
        <v>1466</v>
      </c>
      <c r="AO26" s="74">
        <f t="shared" si="9"/>
        <v>-7571</v>
      </c>
      <c r="AP26" s="75">
        <f t="shared" si="30"/>
        <v>92207</v>
      </c>
      <c r="AQ26" s="69">
        <v>0</v>
      </c>
      <c r="AR26" s="69">
        <v>0</v>
      </c>
      <c r="AS26" s="69"/>
      <c r="AT26" s="69"/>
      <c r="AU26" s="69">
        <f t="shared" si="10"/>
        <v>0</v>
      </c>
      <c r="AV26" s="74">
        <f t="shared" si="11"/>
        <v>0</v>
      </c>
      <c r="AW26" s="75">
        <f t="shared" si="31"/>
        <v>0</v>
      </c>
      <c r="AX26" s="69">
        <v>190</v>
      </c>
      <c r="AY26" s="69">
        <v>0</v>
      </c>
      <c r="AZ26" s="69"/>
      <c r="BA26" s="69"/>
      <c r="BB26" s="69">
        <f t="shared" si="12"/>
        <v>0</v>
      </c>
      <c r="BC26" s="74">
        <f t="shared" si="13"/>
        <v>-190</v>
      </c>
      <c r="BD26" s="75">
        <f t="shared" si="32"/>
        <v>1841</v>
      </c>
      <c r="BE26" s="69">
        <v>301</v>
      </c>
      <c r="BF26" s="69">
        <v>0</v>
      </c>
      <c r="BG26" s="69"/>
      <c r="BH26" s="69"/>
      <c r="BI26" s="69">
        <f t="shared" si="14"/>
        <v>0</v>
      </c>
      <c r="BJ26" s="74">
        <f t="shared" si="15"/>
        <v>-301</v>
      </c>
      <c r="BK26" s="75">
        <f t="shared" si="33"/>
        <v>1540</v>
      </c>
      <c r="BL26" s="378"/>
      <c r="BM26" s="378"/>
      <c r="BN26" s="378"/>
      <c r="BO26" s="378"/>
      <c r="BP26" s="378">
        <f t="shared" si="16"/>
        <v>0</v>
      </c>
      <c r="BQ26" s="379">
        <f t="shared" si="17"/>
        <v>0</v>
      </c>
      <c r="BR26" s="75">
        <f t="shared" si="34"/>
        <v>0</v>
      </c>
      <c r="BS26" s="378"/>
      <c r="BT26" s="378"/>
      <c r="BU26" s="378"/>
      <c r="BV26" s="378"/>
      <c r="BW26" s="378">
        <f t="shared" si="18"/>
        <v>0</v>
      </c>
      <c r="BX26" s="379">
        <f t="shared" si="19"/>
        <v>0</v>
      </c>
      <c r="BY26" s="75">
        <f t="shared" si="35"/>
        <v>0</v>
      </c>
      <c r="BZ26" s="378"/>
      <c r="CA26" s="378"/>
      <c r="CB26" s="378"/>
      <c r="CC26" s="378"/>
      <c r="CD26" s="378">
        <f t="shared" si="20"/>
        <v>0</v>
      </c>
      <c r="CE26" s="379">
        <f t="shared" si="21"/>
        <v>0</v>
      </c>
      <c r="CF26" s="75">
        <f t="shared" si="36"/>
        <v>0</v>
      </c>
      <c r="CG26" s="378"/>
      <c r="CH26" s="378"/>
      <c r="CI26" s="378"/>
      <c r="CJ26" s="378"/>
      <c r="CK26" s="378">
        <f t="shared" si="22"/>
        <v>0</v>
      </c>
      <c r="CL26" s="379">
        <f t="shared" si="23"/>
        <v>0</v>
      </c>
      <c r="CM26" s="75">
        <f t="shared" si="37"/>
        <v>0</v>
      </c>
      <c r="CN26" s="71">
        <f t="shared" si="24"/>
        <v>22720</v>
      </c>
      <c r="CO26" s="71">
        <f t="shared" si="38"/>
        <v>5463</v>
      </c>
      <c r="CP26" s="71">
        <f t="shared" si="25"/>
        <v>-17257</v>
      </c>
      <c r="CQ26" s="75">
        <f t="shared" si="39"/>
        <v>109562</v>
      </c>
      <c r="CR26" s="73"/>
      <c r="CS26" s="73"/>
      <c r="CT26" s="80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</row>
    <row r="27" spans="1:110" x14ac:dyDescent="0.25">
      <c r="A27" s="67">
        <f>+BaseloadMarkets!A27</f>
        <v>36699</v>
      </c>
      <c r="B27" s="67" t="str">
        <f>+BaseloadMarkets!B27</f>
        <v>Thu</v>
      </c>
      <c r="C27" s="68">
        <v>10297</v>
      </c>
      <c r="D27" s="68">
        <v>1593</v>
      </c>
      <c r="E27" s="68">
        <v>2997</v>
      </c>
      <c r="F27" s="68">
        <v>1000</v>
      </c>
      <c r="G27" s="68"/>
      <c r="H27" s="69">
        <f>+Border!AD25</f>
        <v>0</v>
      </c>
      <c r="I27" s="68"/>
      <c r="J27" s="68"/>
      <c r="K27" s="68"/>
      <c r="L27" s="70">
        <f t="shared" si="0"/>
        <v>5590</v>
      </c>
      <c r="M27" s="71">
        <f t="shared" si="1"/>
        <v>-4707</v>
      </c>
      <c r="N27" s="71">
        <f t="shared" si="26"/>
        <v>15492</v>
      </c>
      <c r="O27" s="68">
        <v>1689</v>
      </c>
      <c r="P27" s="68">
        <v>819</v>
      </c>
      <c r="Q27" s="68"/>
      <c r="R27" s="68"/>
      <c r="S27" s="72">
        <f t="shared" si="2"/>
        <v>819</v>
      </c>
      <c r="T27" s="71">
        <f t="shared" si="3"/>
        <v>-870</v>
      </c>
      <c r="U27" s="71">
        <f t="shared" si="27"/>
        <v>-10265</v>
      </c>
      <c r="V27" s="68">
        <v>1200</v>
      </c>
      <c r="W27" s="68">
        <v>455</v>
      </c>
      <c r="X27" s="68"/>
      <c r="Y27" s="68"/>
      <c r="Z27" s="70">
        <f t="shared" si="4"/>
        <v>455</v>
      </c>
      <c r="AA27" s="71">
        <f t="shared" si="5"/>
        <v>-745</v>
      </c>
      <c r="AB27" s="73">
        <f t="shared" si="28"/>
        <v>988</v>
      </c>
      <c r="AC27" s="69">
        <v>177</v>
      </c>
      <c r="AD27" s="69">
        <v>0</v>
      </c>
      <c r="AE27" s="69"/>
      <c r="AF27" s="69"/>
      <c r="AG27" s="69">
        <f t="shared" si="6"/>
        <v>0</v>
      </c>
      <c r="AH27" s="74">
        <f t="shared" si="7"/>
        <v>-177</v>
      </c>
      <c r="AI27" s="75">
        <f t="shared" si="29"/>
        <v>1260</v>
      </c>
      <c r="AJ27" s="69">
        <v>9084</v>
      </c>
      <c r="AK27" s="69">
        <f>2870+137</f>
        <v>3007</v>
      </c>
      <c r="AL27" s="69">
        <v>987</v>
      </c>
      <c r="AM27" s="69">
        <v>0</v>
      </c>
      <c r="AN27" s="69">
        <f t="shared" si="8"/>
        <v>3994</v>
      </c>
      <c r="AO27" s="74">
        <f t="shared" si="9"/>
        <v>-5090</v>
      </c>
      <c r="AP27" s="75">
        <f t="shared" si="30"/>
        <v>87117</v>
      </c>
      <c r="AQ27" s="69">
        <v>0</v>
      </c>
      <c r="AR27" s="69">
        <v>0</v>
      </c>
      <c r="AS27" s="69"/>
      <c r="AT27" s="69"/>
      <c r="AU27" s="69">
        <f t="shared" si="10"/>
        <v>0</v>
      </c>
      <c r="AV27" s="74">
        <f t="shared" si="11"/>
        <v>0</v>
      </c>
      <c r="AW27" s="75">
        <f t="shared" si="31"/>
        <v>0</v>
      </c>
      <c r="AX27" s="69">
        <v>206</v>
      </c>
      <c r="AY27" s="69">
        <v>0</v>
      </c>
      <c r="AZ27" s="69"/>
      <c r="BA27" s="69"/>
      <c r="BB27" s="69">
        <f t="shared" si="12"/>
        <v>0</v>
      </c>
      <c r="BC27" s="74">
        <f t="shared" si="13"/>
        <v>-206</v>
      </c>
      <c r="BD27" s="75">
        <f t="shared" si="32"/>
        <v>1635</v>
      </c>
      <c r="BE27" s="69">
        <v>308</v>
      </c>
      <c r="BF27" s="69">
        <v>0</v>
      </c>
      <c r="BG27" s="69"/>
      <c r="BH27" s="69"/>
      <c r="BI27" s="69">
        <f t="shared" si="14"/>
        <v>0</v>
      </c>
      <c r="BJ27" s="74">
        <f t="shared" si="15"/>
        <v>-308</v>
      </c>
      <c r="BK27" s="75">
        <f t="shared" si="33"/>
        <v>1232</v>
      </c>
      <c r="BL27" s="378"/>
      <c r="BM27" s="378"/>
      <c r="BN27" s="378"/>
      <c r="BO27" s="378"/>
      <c r="BP27" s="378">
        <f t="shared" si="16"/>
        <v>0</v>
      </c>
      <c r="BQ27" s="379">
        <f t="shared" si="17"/>
        <v>0</v>
      </c>
      <c r="BR27" s="75">
        <f t="shared" si="34"/>
        <v>0</v>
      </c>
      <c r="BS27" s="378"/>
      <c r="BT27" s="378"/>
      <c r="BU27" s="378"/>
      <c r="BV27" s="378"/>
      <c r="BW27" s="378">
        <f t="shared" si="18"/>
        <v>0</v>
      </c>
      <c r="BX27" s="379">
        <f t="shared" si="19"/>
        <v>0</v>
      </c>
      <c r="BY27" s="75">
        <f t="shared" si="35"/>
        <v>0</v>
      </c>
      <c r="BZ27" s="378"/>
      <c r="CA27" s="378"/>
      <c r="CB27" s="378"/>
      <c r="CC27" s="378"/>
      <c r="CD27" s="378">
        <f t="shared" si="20"/>
        <v>0</v>
      </c>
      <c r="CE27" s="379">
        <f t="shared" si="21"/>
        <v>0</v>
      </c>
      <c r="CF27" s="75">
        <f t="shared" si="36"/>
        <v>0</v>
      </c>
      <c r="CG27" s="378"/>
      <c r="CH27" s="378"/>
      <c r="CI27" s="378"/>
      <c r="CJ27" s="378"/>
      <c r="CK27" s="378">
        <f t="shared" si="22"/>
        <v>0</v>
      </c>
      <c r="CL27" s="379">
        <f t="shared" si="23"/>
        <v>0</v>
      </c>
      <c r="CM27" s="75">
        <f t="shared" si="37"/>
        <v>0</v>
      </c>
      <c r="CN27" s="71">
        <f t="shared" si="24"/>
        <v>22961</v>
      </c>
      <c r="CO27" s="71">
        <f t="shared" si="38"/>
        <v>10858</v>
      </c>
      <c r="CP27" s="71">
        <f t="shared" si="25"/>
        <v>-12103</v>
      </c>
      <c r="CQ27" s="75">
        <f t="shared" si="39"/>
        <v>97459</v>
      </c>
      <c r="CR27" s="73"/>
      <c r="CS27" s="73"/>
      <c r="CT27" s="80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</row>
    <row r="28" spans="1:110" x14ac:dyDescent="0.25">
      <c r="A28" s="67">
        <f>+BaseloadMarkets!A28</f>
        <v>36700</v>
      </c>
      <c r="B28" s="67" t="str">
        <f>+BaseloadMarkets!B28</f>
        <v>Fri</v>
      </c>
      <c r="C28" s="68">
        <v>10806</v>
      </c>
      <c r="D28" s="68">
        <v>66</v>
      </c>
      <c r="E28" s="68">
        <v>2997</v>
      </c>
      <c r="F28" s="68">
        <v>1000</v>
      </c>
      <c r="G28" s="68"/>
      <c r="H28" s="69">
        <v>0</v>
      </c>
      <c r="I28" s="68"/>
      <c r="J28" s="68"/>
      <c r="K28" s="68"/>
      <c r="L28" s="70">
        <f t="shared" si="0"/>
        <v>4063</v>
      </c>
      <c r="M28" s="71">
        <f t="shared" si="1"/>
        <v>-6743</v>
      </c>
      <c r="N28" s="71">
        <f t="shared" si="26"/>
        <v>8749</v>
      </c>
      <c r="O28" s="68">
        <v>1498</v>
      </c>
      <c r="P28" s="68">
        <v>52</v>
      </c>
      <c r="Q28" s="68"/>
      <c r="R28" s="68"/>
      <c r="S28" s="72">
        <f t="shared" si="2"/>
        <v>52</v>
      </c>
      <c r="T28" s="71">
        <f t="shared" si="3"/>
        <v>-1446</v>
      </c>
      <c r="U28" s="71">
        <f t="shared" si="27"/>
        <v>-11711</v>
      </c>
      <c r="V28" s="68">
        <v>1288</v>
      </c>
      <c r="W28" s="68">
        <v>52</v>
      </c>
      <c r="X28" s="68"/>
      <c r="Y28" s="68"/>
      <c r="Z28" s="70">
        <f t="shared" si="4"/>
        <v>52</v>
      </c>
      <c r="AA28" s="71">
        <f t="shared" si="5"/>
        <v>-1236</v>
      </c>
      <c r="AB28" s="73">
        <f t="shared" si="28"/>
        <v>-248</v>
      </c>
      <c r="AC28" s="69">
        <v>182</v>
      </c>
      <c r="AD28" s="69">
        <v>0</v>
      </c>
      <c r="AE28" s="69"/>
      <c r="AF28" s="69"/>
      <c r="AG28" s="69">
        <f t="shared" si="6"/>
        <v>0</v>
      </c>
      <c r="AH28" s="74">
        <f t="shared" si="7"/>
        <v>-182</v>
      </c>
      <c r="AI28" s="75">
        <f t="shared" si="29"/>
        <v>1078</v>
      </c>
      <c r="AJ28" s="69">
        <v>9505</v>
      </c>
      <c r="AK28" s="69">
        <f>67+1410</f>
        <v>1477</v>
      </c>
      <c r="AL28" s="69">
        <v>987</v>
      </c>
      <c r="AM28" s="69">
        <v>0</v>
      </c>
      <c r="AN28" s="69">
        <f t="shared" si="8"/>
        <v>2464</v>
      </c>
      <c r="AO28" s="74">
        <f t="shared" si="9"/>
        <v>-7041</v>
      </c>
      <c r="AP28" s="75">
        <f t="shared" si="30"/>
        <v>80076</v>
      </c>
      <c r="AQ28" s="69">
        <v>0</v>
      </c>
      <c r="AR28" s="69">
        <v>0</v>
      </c>
      <c r="AS28" s="69"/>
      <c r="AT28" s="69"/>
      <c r="AU28" s="69">
        <f t="shared" si="10"/>
        <v>0</v>
      </c>
      <c r="AV28" s="74">
        <f t="shared" si="11"/>
        <v>0</v>
      </c>
      <c r="AW28" s="75">
        <f t="shared" si="31"/>
        <v>0</v>
      </c>
      <c r="AX28" s="69">
        <v>210</v>
      </c>
      <c r="AY28" s="69">
        <v>0</v>
      </c>
      <c r="AZ28" s="69"/>
      <c r="BA28" s="69"/>
      <c r="BB28" s="69">
        <f t="shared" si="12"/>
        <v>0</v>
      </c>
      <c r="BC28" s="74">
        <f t="shared" si="13"/>
        <v>-210</v>
      </c>
      <c r="BD28" s="75">
        <f t="shared" si="32"/>
        <v>1425</v>
      </c>
      <c r="BE28" s="69">
        <v>317</v>
      </c>
      <c r="BF28" s="69">
        <v>0</v>
      </c>
      <c r="BG28" s="69"/>
      <c r="BH28" s="69"/>
      <c r="BI28" s="69">
        <f t="shared" si="14"/>
        <v>0</v>
      </c>
      <c r="BJ28" s="74">
        <f t="shared" si="15"/>
        <v>-317</v>
      </c>
      <c r="BK28" s="75">
        <f t="shared" si="33"/>
        <v>915</v>
      </c>
      <c r="BL28" s="378"/>
      <c r="BM28" s="378"/>
      <c r="BN28" s="378"/>
      <c r="BO28" s="378"/>
      <c r="BP28" s="378">
        <f t="shared" si="16"/>
        <v>0</v>
      </c>
      <c r="BQ28" s="379">
        <f t="shared" si="17"/>
        <v>0</v>
      </c>
      <c r="BR28" s="75">
        <f t="shared" si="34"/>
        <v>0</v>
      </c>
      <c r="BS28" s="378"/>
      <c r="BT28" s="378"/>
      <c r="BU28" s="378"/>
      <c r="BV28" s="378"/>
      <c r="BW28" s="378">
        <f t="shared" si="18"/>
        <v>0</v>
      </c>
      <c r="BX28" s="379">
        <f t="shared" si="19"/>
        <v>0</v>
      </c>
      <c r="BY28" s="75">
        <f t="shared" si="35"/>
        <v>0</v>
      </c>
      <c r="BZ28" s="378"/>
      <c r="CA28" s="378"/>
      <c r="CB28" s="378"/>
      <c r="CC28" s="378"/>
      <c r="CD28" s="378">
        <f t="shared" si="20"/>
        <v>0</v>
      </c>
      <c r="CE28" s="379">
        <f t="shared" si="21"/>
        <v>0</v>
      </c>
      <c r="CF28" s="75">
        <f t="shared" si="36"/>
        <v>0</v>
      </c>
      <c r="CG28" s="378"/>
      <c r="CH28" s="378"/>
      <c r="CI28" s="378"/>
      <c r="CJ28" s="378"/>
      <c r="CK28" s="378">
        <f t="shared" si="22"/>
        <v>0</v>
      </c>
      <c r="CL28" s="379">
        <f t="shared" si="23"/>
        <v>0</v>
      </c>
      <c r="CM28" s="75">
        <f t="shared" si="37"/>
        <v>0</v>
      </c>
      <c r="CN28" s="71">
        <f t="shared" si="24"/>
        <v>23806</v>
      </c>
      <c r="CO28" s="71">
        <f t="shared" si="38"/>
        <v>6631</v>
      </c>
      <c r="CP28" s="71">
        <f t="shared" si="25"/>
        <v>-17175</v>
      </c>
      <c r="CQ28" s="75">
        <f t="shared" si="39"/>
        <v>80284</v>
      </c>
      <c r="CR28" s="73"/>
      <c r="CS28" s="73"/>
      <c r="CT28" s="80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</row>
    <row r="29" spans="1:110" x14ac:dyDescent="0.25">
      <c r="A29" s="67">
        <f>+BaseloadMarkets!A29</f>
        <v>36701</v>
      </c>
      <c r="B29" s="67" t="str">
        <f>+BaseloadMarkets!B29</f>
        <v>Sat</v>
      </c>
      <c r="C29" s="68">
        <v>11323</v>
      </c>
      <c r="D29" s="68">
        <v>248</v>
      </c>
      <c r="E29" s="68">
        <v>2997</v>
      </c>
      <c r="F29" s="68">
        <v>1000</v>
      </c>
      <c r="G29" s="68"/>
      <c r="H29" s="69">
        <v>0</v>
      </c>
      <c r="I29" s="68"/>
      <c r="J29" s="68"/>
      <c r="K29" s="68"/>
      <c r="L29" s="70">
        <f t="shared" si="0"/>
        <v>4245</v>
      </c>
      <c r="M29" s="71">
        <f t="shared" si="1"/>
        <v>-7078</v>
      </c>
      <c r="N29" s="71">
        <f t="shared" si="26"/>
        <v>1671</v>
      </c>
      <c r="O29" s="68">
        <v>1717</v>
      </c>
      <c r="P29" s="68">
        <v>93</v>
      </c>
      <c r="Q29" s="68"/>
      <c r="R29" s="68"/>
      <c r="S29" s="72">
        <f t="shared" si="2"/>
        <v>93</v>
      </c>
      <c r="T29" s="71">
        <f t="shared" si="3"/>
        <v>-1624</v>
      </c>
      <c r="U29" s="71">
        <f t="shared" si="27"/>
        <v>-13335</v>
      </c>
      <c r="V29" s="68">
        <v>2</v>
      </c>
      <c r="W29" s="68">
        <v>62</v>
      </c>
      <c r="X29" s="68"/>
      <c r="Y29" s="68"/>
      <c r="Z29" s="70">
        <f t="shared" si="4"/>
        <v>62</v>
      </c>
      <c r="AA29" s="71">
        <f t="shared" si="5"/>
        <v>60</v>
      </c>
      <c r="AB29" s="73">
        <f t="shared" si="28"/>
        <v>-188</v>
      </c>
      <c r="AC29" s="69">
        <v>177</v>
      </c>
      <c r="AD29" s="69">
        <v>0</v>
      </c>
      <c r="AE29" s="69"/>
      <c r="AF29" s="69"/>
      <c r="AG29" s="69">
        <f t="shared" si="6"/>
        <v>0</v>
      </c>
      <c r="AH29" s="74">
        <f t="shared" si="7"/>
        <v>-177</v>
      </c>
      <c r="AI29" s="75">
        <f t="shared" si="29"/>
        <v>901</v>
      </c>
      <c r="AJ29" s="69">
        <v>9333</v>
      </c>
      <c r="AK29" s="69">
        <v>0</v>
      </c>
      <c r="AL29" s="69">
        <v>987</v>
      </c>
      <c r="AM29" s="69">
        <v>0</v>
      </c>
      <c r="AN29" s="69">
        <f t="shared" si="8"/>
        <v>987</v>
      </c>
      <c r="AO29" s="74">
        <f t="shared" si="9"/>
        <v>-8346</v>
      </c>
      <c r="AP29" s="75">
        <f t="shared" si="30"/>
        <v>71730</v>
      </c>
      <c r="AQ29" s="69">
        <v>0</v>
      </c>
      <c r="AR29" s="69">
        <v>0</v>
      </c>
      <c r="AS29" s="69"/>
      <c r="AT29" s="69"/>
      <c r="AU29" s="69">
        <f t="shared" si="10"/>
        <v>0</v>
      </c>
      <c r="AV29" s="74">
        <f t="shared" si="11"/>
        <v>0</v>
      </c>
      <c r="AW29" s="75">
        <f t="shared" si="31"/>
        <v>0</v>
      </c>
      <c r="AX29" s="69">
        <v>27</v>
      </c>
      <c r="AY29" s="69">
        <v>0</v>
      </c>
      <c r="AZ29" s="69"/>
      <c r="BA29" s="69"/>
      <c r="BB29" s="69">
        <f t="shared" si="12"/>
        <v>0</v>
      </c>
      <c r="BC29" s="74">
        <f t="shared" si="13"/>
        <v>-27</v>
      </c>
      <c r="BD29" s="75">
        <f t="shared" si="32"/>
        <v>1398</v>
      </c>
      <c r="BE29" s="69">
        <v>28</v>
      </c>
      <c r="BF29" s="69">
        <v>0</v>
      </c>
      <c r="BG29" s="69"/>
      <c r="BH29" s="69"/>
      <c r="BI29" s="69">
        <f t="shared" si="14"/>
        <v>0</v>
      </c>
      <c r="BJ29" s="74">
        <f t="shared" si="15"/>
        <v>-28</v>
      </c>
      <c r="BK29" s="75">
        <f t="shared" si="33"/>
        <v>887</v>
      </c>
      <c r="BL29" s="378"/>
      <c r="BM29" s="378"/>
      <c r="BN29" s="378"/>
      <c r="BO29" s="378"/>
      <c r="BP29" s="378">
        <f t="shared" si="16"/>
        <v>0</v>
      </c>
      <c r="BQ29" s="379">
        <f t="shared" si="17"/>
        <v>0</v>
      </c>
      <c r="BR29" s="75">
        <f t="shared" si="34"/>
        <v>0</v>
      </c>
      <c r="BS29" s="378"/>
      <c r="BT29" s="378"/>
      <c r="BU29" s="378"/>
      <c r="BV29" s="378"/>
      <c r="BW29" s="378">
        <f t="shared" si="18"/>
        <v>0</v>
      </c>
      <c r="BX29" s="379">
        <f t="shared" si="19"/>
        <v>0</v>
      </c>
      <c r="BY29" s="75">
        <f t="shared" si="35"/>
        <v>0</v>
      </c>
      <c r="BZ29" s="378"/>
      <c r="CA29" s="378"/>
      <c r="CB29" s="378"/>
      <c r="CC29" s="378"/>
      <c r="CD29" s="378">
        <f t="shared" si="20"/>
        <v>0</v>
      </c>
      <c r="CE29" s="379">
        <f t="shared" si="21"/>
        <v>0</v>
      </c>
      <c r="CF29" s="75">
        <f t="shared" si="36"/>
        <v>0</v>
      </c>
      <c r="CG29" s="378"/>
      <c r="CH29" s="378"/>
      <c r="CI29" s="378"/>
      <c r="CJ29" s="378"/>
      <c r="CK29" s="378">
        <f t="shared" si="22"/>
        <v>0</v>
      </c>
      <c r="CL29" s="379">
        <f t="shared" si="23"/>
        <v>0</v>
      </c>
      <c r="CM29" s="75">
        <f t="shared" si="37"/>
        <v>0</v>
      </c>
      <c r="CN29" s="71">
        <f t="shared" si="24"/>
        <v>22607</v>
      </c>
      <c r="CO29" s="71">
        <f t="shared" si="38"/>
        <v>5387</v>
      </c>
      <c r="CP29" s="71">
        <f t="shared" si="25"/>
        <v>-17220</v>
      </c>
      <c r="CQ29" s="75">
        <f t="shared" si="39"/>
        <v>63064</v>
      </c>
      <c r="CR29" s="73"/>
      <c r="CS29" s="73"/>
      <c r="CT29" s="80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</row>
    <row r="30" spans="1:110" x14ac:dyDescent="0.25">
      <c r="A30" s="67">
        <f>+BaseloadMarkets!A30</f>
        <v>36702</v>
      </c>
      <c r="B30" s="67" t="str">
        <f>+BaseloadMarkets!B30</f>
        <v>Sun</v>
      </c>
      <c r="C30" s="68">
        <v>13533</v>
      </c>
      <c r="D30" s="68">
        <v>0</v>
      </c>
      <c r="E30" s="68">
        <v>2997</v>
      </c>
      <c r="F30" s="68">
        <v>1000</v>
      </c>
      <c r="G30" s="68"/>
      <c r="H30" s="69">
        <v>0</v>
      </c>
      <c r="I30" s="68"/>
      <c r="J30" s="68"/>
      <c r="K30" s="68"/>
      <c r="L30" s="70">
        <f t="shared" si="0"/>
        <v>3997</v>
      </c>
      <c r="M30" s="71">
        <f t="shared" si="1"/>
        <v>-9536</v>
      </c>
      <c r="N30" s="71">
        <f t="shared" si="26"/>
        <v>-7865</v>
      </c>
      <c r="O30" s="68">
        <v>1789</v>
      </c>
      <c r="P30" s="68">
        <v>0</v>
      </c>
      <c r="Q30" s="68"/>
      <c r="R30" s="68"/>
      <c r="S30" s="72">
        <f t="shared" si="2"/>
        <v>0</v>
      </c>
      <c r="T30" s="71">
        <f t="shared" si="3"/>
        <v>-1789</v>
      </c>
      <c r="U30" s="71">
        <f t="shared" si="27"/>
        <v>-15124</v>
      </c>
      <c r="V30" s="68">
        <v>0</v>
      </c>
      <c r="W30" s="68">
        <v>0</v>
      </c>
      <c r="X30" s="68"/>
      <c r="Y30" s="68"/>
      <c r="Z30" s="70">
        <f t="shared" si="4"/>
        <v>0</v>
      </c>
      <c r="AA30" s="71">
        <f t="shared" si="5"/>
        <v>0</v>
      </c>
      <c r="AB30" s="73">
        <f t="shared" si="28"/>
        <v>-188</v>
      </c>
      <c r="AC30" s="69">
        <v>59</v>
      </c>
      <c r="AD30" s="69">
        <v>0</v>
      </c>
      <c r="AE30" s="69"/>
      <c r="AF30" s="69"/>
      <c r="AG30" s="69">
        <f t="shared" si="6"/>
        <v>0</v>
      </c>
      <c r="AH30" s="74">
        <f t="shared" si="7"/>
        <v>-59</v>
      </c>
      <c r="AI30" s="75">
        <f t="shared" si="29"/>
        <v>842</v>
      </c>
      <c r="AJ30" s="69">
        <v>7147</v>
      </c>
      <c r="AK30" s="69">
        <v>0</v>
      </c>
      <c r="AL30" s="69">
        <v>987</v>
      </c>
      <c r="AM30" s="69">
        <v>0</v>
      </c>
      <c r="AN30" s="69">
        <f t="shared" si="8"/>
        <v>987</v>
      </c>
      <c r="AO30" s="74">
        <f t="shared" si="9"/>
        <v>-6160</v>
      </c>
      <c r="AP30" s="75">
        <f t="shared" si="30"/>
        <v>65570</v>
      </c>
      <c r="AQ30" s="69">
        <v>0</v>
      </c>
      <c r="AR30" s="69">
        <v>0</v>
      </c>
      <c r="AS30" s="69"/>
      <c r="AT30" s="69"/>
      <c r="AU30" s="69">
        <f t="shared" si="10"/>
        <v>0</v>
      </c>
      <c r="AV30" s="74">
        <f t="shared" si="11"/>
        <v>0</v>
      </c>
      <c r="AW30" s="75">
        <f t="shared" si="31"/>
        <v>0</v>
      </c>
      <c r="AX30" s="69">
        <v>35</v>
      </c>
      <c r="AY30" s="69">
        <v>0</v>
      </c>
      <c r="AZ30" s="69"/>
      <c r="BA30" s="69"/>
      <c r="BB30" s="69">
        <f t="shared" si="12"/>
        <v>0</v>
      </c>
      <c r="BC30" s="74">
        <f t="shared" si="13"/>
        <v>-35</v>
      </c>
      <c r="BD30" s="75">
        <f t="shared" si="32"/>
        <v>1363</v>
      </c>
      <c r="BE30" s="69">
        <v>6</v>
      </c>
      <c r="BF30" s="69">
        <v>0</v>
      </c>
      <c r="BG30" s="69"/>
      <c r="BH30" s="69"/>
      <c r="BI30" s="69">
        <f t="shared" si="14"/>
        <v>0</v>
      </c>
      <c r="BJ30" s="74">
        <f t="shared" si="15"/>
        <v>-6</v>
      </c>
      <c r="BK30" s="75">
        <f t="shared" si="33"/>
        <v>881</v>
      </c>
      <c r="BL30" s="378"/>
      <c r="BM30" s="378"/>
      <c r="BN30" s="378"/>
      <c r="BO30" s="378"/>
      <c r="BP30" s="378">
        <f t="shared" si="16"/>
        <v>0</v>
      </c>
      <c r="BQ30" s="379">
        <f t="shared" si="17"/>
        <v>0</v>
      </c>
      <c r="BR30" s="75">
        <f t="shared" si="34"/>
        <v>0</v>
      </c>
      <c r="BS30" s="378"/>
      <c r="BT30" s="378"/>
      <c r="BU30" s="378"/>
      <c r="BV30" s="378"/>
      <c r="BW30" s="378">
        <f t="shared" si="18"/>
        <v>0</v>
      </c>
      <c r="BX30" s="379">
        <f t="shared" si="19"/>
        <v>0</v>
      </c>
      <c r="BY30" s="75">
        <f t="shared" si="35"/>
        <v>0</v>
      </c>
      <c r="BZ30" s="378"/>
      <c r="CA30" s="378"/>
      <c r="CB30" s="378"/>
      <c r="CC30" s="378"/>
      <c r="CD30" s="378">
        <f t="shared" si="20"/>
        <v>0</v>
      </c>
      <c r="CE30" s="379">
        <f t="shared" si="21"/>
        <v>0</v>
      </c>
      <c r="CF30" s="75">
        <f t="shared" si="36"/>
        <v>0</v>
      </c>
      <c r="CG30" s="378"/>
      <c r="CH30" s="378"/>
      <c r="CI30" s="378"/>
      <c r="CJ30" s="378"/>
      <c r="CK30" s="378">
        <f t="shared" si="22"/>
        <v>0</v>
      </c>
      <c r="CL30" s="379">
        <f t="shared" si="23"/>
        <v>0</v>
      </c>
      <c r="CM30" s="75">
        <f t="shared" si="37"/>
        <v>0</v>
      </c>
      <c r="CN30" s="71">
        <f t="shared" si="24"/>
        <v>22569</v>
      </c>
      <c r="CO30" s="71">
        <f t="shared" si="38"/>
        <v>4984</v>
      </c>
      <c r="CP30" s="71">
        <f t="shared" si="25"/>
        <v>-17585</v>
      </c>
      <c r="CQ30" s="75">
        <f t="shared" si="39"/>
        <v>45479</v>
      </c>
      <c r="CR30" s="73"/>
      <c r="CS30" s="73"/>
      <c r="CT30" s="80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</row>
    <row r="31" spans="1:110" x14ac:dyDescent="0.25">
      <c r="A31" s="67">
        <f>+BaseloadMarkets!A31</f>
        <v>36703</v>
      </c>
      <c r="B31" s="67" t="str">
        <f>+BaseloadMarkets!B31</f>
        <v>Mon</v>
      </c>
      <c r="C31" s="68">
        <v>18622</v>
      </c>
      <c r="D31" s="68">
        <v>0</v>
      </c>
      <c r="E31" s="68">
        <v>2997</v>
      </c>
      <c r="F31" s="68">
        <v>1000</v>
      </c>
      <c r="G31" s="68"/>
      <c r="H31" s="69">
        <v>0</v>
      </c>
      <c r="I31" s="68"/>
      <c r="J31" s="68"/>
      <c r="K31" s="68"/>
      <c r="L31" s="70">
        <f t="shared" si="0"/>
        <v>3997</v>
      </c>
      <c r="M31" s="71">
        <f t="shared" si="1"/>
        <v>-14625</v>
      </c>
      <c r="N31" s="71">
        <f t="shared" si="26"/>
        <v>-22490</v>
      </c>
      <c r="O31" s="68">
        <v>1749</v>
      </c>
      <c r="P31" s="68">
        <v>0</v>
      </c>
      <c r="Q31" s="68"/>
      <c r="R31" s="68"/>
      <c r="S31" s="72">
        <f t="shared" si="2"/>
        <v>0</v>
      </c>
      <c r="T31" s="71">
        <f t="shared" si="3"/>
        <v>-1749</v>
      </c>
      <c r="U31" s="71">
        <f t="shared" si="27"/>
        <v>-16873</v>
      </c>
      <c r="V31" s="68">
        <v>0</v>
      </c>
      <c r="W31" s="68">
        <v>0</v>
      </c>
      <c r="X31" s="68"/>
      <c r="Y31" s="68"/>
      <c r="Z31" s="70">
        <f t="shared" si="4"/>
        <v>0</v>
      </c>
      <c r="AA31" s="71">
        <f t="shared" si="5"/>
        <v>0</v>
      </c>
      <c r="AB31" s="73">
        <f t="shared" si="28"/>
        <v>-188</v>
      </c>
      <c r="AC31" s="69">
        <v>155</v>
      </c>
      <c r="AD31" s="69">
        <v>0</v>
      </c>
      <c r="AE31" s="69"/>
      <c r="AF31" s="69"/>
      <c r="AG31" s="69">
        <f t="shared" si="6"/>
        <v>0</v>
      </c>
      <c r="AH31" s="74">
        <f t="shared" si="7"/>
        <v>-155</v>
      </c>
      <c r="AI31" s="75">
        <f t="shared" si="29"/>
        <v>687</v>
      </c>
      <c r="AJ31" s="69">
        <v>9489</v>
      </c>
      <c r="AK31" s="69">
        <v>0</v>
      </c>
      <c r="AL31" s="69">
        <v>987</v>
      </c>
      <c r="AM31" s="69">
        <v>0</v>
      </c>
      <c r="AN31" s="69">
        <f t="shared" si="8"/>
        <v>987</v>
      </c>
      <c r="AO31" s="74">
        <f t="shared" si="9"/>
        <v>-8502</v>
      </c>
      <c r="AP31" s="75">
        <f t="shared" si="30"/>
        <v>57068</v>
      </c>
      <c r="AQ31" s="69">
        <v>0</v>
      </c>
      <c r="AR31" s="69">
        <v>0</v>
      </c>
      <c r="AS31" s="69"/>
      <c r="AT31" s="69"/>
      <c r="AU31" s="69">
        <f t="shared" si="10"/>
        <v>0</v>
      </c>
      <c r="AV31" s="74">
        <f t="shared" si="11"/>
        <v>0</v>
      </c>
      <c r="AW31" s="75">
        <f t="shared" si="31"/>
        <v>0</v>
      </c>
      <c r="AX31" s="69">
        <v>200</v>
      </c>
      <c r="AY31" s="69">
        <v>0</v>
      </c>
      <c r="AZ31" s="69"/>
      <c r="BA31" s="69"/>
      <c r="BB31" s="69">
        <f t="shared" si="12"/>
        <v>0</v>
      </c>
      <c r="BC31" s="74">
        <f t="shared" si="13"/>
        <v>-200</v>
      </c>
      <c r="BD31" s="75">
        <f t="shared" si="32"/>
        <v>1163</v>
      </c>
      <c r="BE31" s="69">
        <v>241</v>
      </c>
      <c r="BF31" s="69">
        <v>0</v>
      </c>
      <c r="BG31" s="69"/>
      <c r="BH31" s="69"/>
      <c r="BI31" s="69">
        <f t="shared" si="14"/>
        <v>0</v>
      </c>
      <c r="BJ31" s="74">
        <f t="shared" si="15"/>
        <v>-241</v>
      </c>
      <c r="BK31" s="75">
        <f t="shared" si="33"/>
        <v>640</v>
      </c>
      <c r="BL31" s="378"/>
      <c r="BM31" s="378"/>
      <c r="BN31" s="378"/>
      <c r="BO31" s="378"/>
      <c r="BP31" s="378">
        <f t="shared" si="16"/>
        <v>0</v>
      </c>
      <c r="BQ31" s="379">
        <f t="shared" si="17"/>
        <v>0</v>
      </c>
      <c r="BR31" s="75">
        <f t="shared" si="34"/>
        <v>0</v>
      </c>
      <c r="BS31" s="378"/>
      <c r="BT31" s="378"/>
      <c r="BU31" s="378"/>
      <c r="BV31" s="378"/>
      <c r="BW31" s="378">
        <f t="shared" si="18"/>
        <v>0</v>
      </c>
      <c r="BX31" s="379">
        <f t="shared" si="19"/>
        <v>0</v>
      </c>
      <c r="BY31" s="75">
        <f t="shared" si="35"/>
        <v>0</v>
      </c>
      <c r="BZ31" s="378"/>
      <c r="CA31" s="378"/>
      <c r="CB31" s="378"/>
      <c r="CC31" s="378"/>
      <c r="CD31" s="378">
        <f t="shared" si="20"/>
        <v>0</v>
      </c>
      <c r="CE31" s="379">
        <f t="shared" si="21"/>
        <v>0</v>
      </c>
      <c r="CF31" s="75">
        <f t="shared" si="36"/>
        <v>0</v>
      </c>
      <c r="CG31" s="378"/>
      <c r="CH31" s="378"/>
      <c r="CI31" s="378"/>
      <c r="CJ31" s="378"/>
      <c r="CK31" s="378">
        <f t="shared" si="22"/>
        <v>0</v>
      </c>
      <c r="CL31" s="379">
        <f t="shared" si="23"/>
        <v>0</v>
      </c>
      <c r="CM31" s="75">
        <f t="shared" si="37"/>
        <v>0</v>
      </c>
      <c r="CN31" s="71">
        <f t="shared" si="24"/>
        <v>30456</v>
      </c>
      <c r="CO31" s="71">
        <f t="shared" si="38"/>
        <v>4984</v>
      </c>
      <c r="CP31" s="71">
        <f t="shared" si="25"/>
        <v>-25472</v>
      </c>
      <c r="CQ31" s="75">
        <f t="shared" si="39"/>
        <v>20007</v>
      </c>
      <c r="CR31" s="73"/>
      <c r="CS31" s="73"/>
      <c r="CT31" s="80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</row>
    <row r="32" spans="1:110" x14ac:dyDescent="0.25">
      <c r="A32" s="67">
        <f>+BaseloadMarkets!A32</f>
        <v>36704</v>
      </c>
      <c r="B32" s="67" t="str">
        <f>+BaseloadMarkets!B32</f>
        <v>Tues</v>
      </c>
      <c r="C32" s="68">
        <v>16339</v>
      </c>
      <c r="D32" s="68">
        <f>4550+1590</f>
        <v>6140</v>
      </c>
      <c r="E32" s="68">
        <v>2997</v>
      </c>
      <c r="F32" s="68">
        <v>1000</v>
      </c>
      <c r="G32" s="68"/>
      <c r="H32" s="69">
        <v>0</v>
      </c>
      <c r="I32" s="68"/>
      <c r="J32" s="68"/>
      <c r="K32" s="68"/>
      <c r="L32" s="70">
        <f t="shared" si="0"/>
        <v>10137</v>
      </c>
      <c r="M32" s="71">
        <f t="shared" si="1"/>
        <v>-6202</v>
      </c>
      <c r="N32" s="71">
        <f t="shared" si="26"/>
        <v>-28692</v>
      </c>
      <c r="O32" s="68">
        <v>1343</v>
      </c>
      <c r="P32" s="68">
        <v>557</v>
      </c>
      <c r="Q32" s="68"/>
      <c r="R32" s="68"/>
      <c r="S32" s="72">
        <f t="shared" si="2"/>
        <v>557</v>
      </c>
      <c r="T32" s="71">
        <f t="shared" si="3"/>
        <v>-786</v>
      </c>
      <c r="U32" s="71">
        <f t="shared" si="27"/>
        <v>-17659</v>
      </c>
      <c r="V32" s="68">
        <v>0</v>
      </c>
      <c r="W32" s="68">
        <v>318</v>
      </c>
      <c r="X32" s="68"/>
      <c r="Y32" s="68"/>
      <c r="Z32" s="70">
        <f t="shared" si="4"/>
        <v>318</v>
      </c>
      <c r="AA32" s="71">
        <f t="shared" si="5"/>
        <v>318</v>
      </c>
      <c r="AB32" s="73">
        <f t="shared" si="28"/>
        <v>130</v>
      </c>
      <c r="AC32" s="69">
        <v>149</v>
      </c>
      <c r="AD32" s="69">
        <v>0</v>
      </c>
      <c r="AE32" s="69"/>
      <c r="AF32" s="69"/>
      <c r="AG32" s="69">
        <f t="shared" si="6"/>
        <v>0</v>
      </c>
      <c r="AH32" s="74">
        <f t="shared" si="7"/>
        <v>-149</v>
      </c>
      <c r="AI32" s="75">
        <f t="shared" si="29"/>
        <v>538</v>
      </c>
      <c r="AJ32" s="69">
        <v>9954</v>
      </c>
      <c r="AK32" s="69">
        <v>2389</v>
      </c>
      <c r="AL32" s="69">
        <v>987</v>
      </c>
      <c r="AM32" s="69">
        <v>0</v>
      </c>
      <c r="AN32" s="69">
        <f t="shared" si="8"/>
        <v>3376</v>
      </c>
      <c r="AO32" s="74">
        <f t="shared" si="9"/>
        <v>-6578</v>
      </c>
      <c r="AP32" s="75">
        <f t="shared" si="30"/>
        <v>50490</v>
      </c>
      <c r="AQ32" s="69">
        <v>0</v>
      </c>
      <c r="AR32" s="69">
        <v>0</v>
      </c>
      <c r="AS32" s="69"/>
      <c r="AT32" s="69"/>
      <c r="AU32" s="69">
        <f t="shared" si="10"/>
        <v>0</v>
      </c>
      <c r="AV32" s="74">
        <f t="shared" si="11"/>
        <v>0</v>
      </c>
      <c r="AW32" s="75">
        <f t="shared" si="31"/>
        <v>0</v>
      </c>
      <c r="AX32" s="69">
        <v>198</v>
      </c>
      <c r="AY32" s="69">
        <v>0</v>
      </c>
      <c r="AZ32" s="69"/>
      <c r="BA32" s="69"/>
      <c r="BB32" s="69">
        <f t="shared" si="12"/>
        <v>0</v>
      </c>
      <c r="BC32" s="74">
        <f t="shared" si="13"/>
        <v>-198</v>
      </c>
      <c r="BD32" s="75">
        <f t="shared" si="32"/>
        <v>965</v>
      </c>
      <c r="BE32" s="69">
        <v>307</v>
      </c>
      <c r="BF32" s="69">
        <v>0</v>
      </c>
      <c r="BG32" s="69"/>
      <c r="BH32" s="69"/>
      <c r="BI32" s="69">
        <f t="shared" si="14"/>
        <v>0</v>
      </c>
      <c r="BJ32" s="74">
        <f t="shared" si="15"/>
        <v>-307</v>
      </c>
      <c r="BK32" s="75">
        <f t="shared" si="33"/>
        <v>333</v>
      </c>
      <c r="BL32" s="378"/>
      <c r="BM32" s="378"/>
      <c r="BN32" s="378"/>
      <c r="BO32" s="378"/>
      <c r="BP32" s="378">
        <f t="shared" si="16"/>
        <v>0</v>
      </c>
      <c r="BQ32" s="379">
        <f t="shared" si="17"/>
        <v>0</v>
      </c>
      <c r="BR32" s="75">
        <f t="shared" si="34"/>
        <v>0</v>
      </c>
      <c r="BS32" s="378"/>
      <c r="BT32" s="378"/>
      <c r="BU32" s="378"/>
      <c r="BV32" s="378"/>
      <c r="BW32" s="378">
        <f t="shared" si="18"/>
        <v>0</v>
      </c>
      <c r="BX32" s="379">
        <f t="shared" si="19"/>
        <v>0</v>
      </c>
      <c r="BY32" s="75">
        <f t="shared" si="35"/>
        <v>0</v>
      </c>
      <c r="BZ32" s="378"/>
      <c r="CA32" s="378"/>
      <c r="CB32" s="378"/>
      <c r="CC32" s="378"/>
      <c r="CD32" s="378">
        <f t="shared" si="20"/>
        <v>0</v>
      </c>
      <c r="CE32" s="379">
        <f t="shared" si="21"/>
        <v>0</v>
      </c>
      <c r="CF32" s="75">
        <f t="shared" si="36"/>
        <v>0</v>
      </c>
      <c r="CG32" s="378"/>
      <c r="CH32" s="378"/>
      <c r="CI32" s="378"/>
      <c r="CJ32" s="378"/>
      <c r="CK32" s="378">
        <f t="shared" si="22"/>
        <v>0</v>
      </c>
      <c r="CL32" s="379">
        <f t="shared" si="23"/>
        <v>0</v>
      </c>
      <c r="CM32" s="75">
        <f t="shared" si="37"/>
        <v>0</v>
      </c>
      <c r="CN32" s="71">
        <f t="shared" si="24"/>
        <v>28290</v>
      </c>
      <c r="CO32" s="71">
        <f t="shared" si="38"/>
        <v>14388</v>
      </c>
      <c r="CP32" s="71">
        <f t="shared" si="25"/>
        <v>-13902</v>
      </c>
      <c r="CQ32" s="75">
        <f t="shared" si="39"/>
        <v>6105</v>
      </c>
      <c r="CR32" s="73"/>
      <c r="CS32" s="73"/>
      <c r="CT32" s="80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</row>
    <row r="33" spans="1:147" x14ac:dyDescent="0.25">
      <c r="A33" s="67">
        <f>+BaseloadMarkets!A33</f>
        <v>36705</v>
      </c>
      <c r="B33" s="67" t="str">
        <f>+BaseloadMarkets!B33</f>
        <v>Wed</v>
      </c>
      <c r="C33" s="68">
        <v>14563</v>
      </c>
      <c r="D33" s="68">
        <v>0</v>
      </c>
      <c r="E33" s="68">
        <v>2896</v>
      </c>
      <c r="F33" s="68">
        <v>1000</v>
      </c>
      <c r="G33" s="68">
        <f>9898+9897+20000+17030+10000</f>
        <v>66825</v>
      </c>
      <c r="H33" s="69">
        <f>+Border!AD31</f>
        <v>0</v>
      </c>
      <c r="I33" s="68"/>
      <c r="J33" s="68"/>
      <c r="K33" s="68"/>
      <c r="L33" s="70">
        <f t="shared" si="0"/>
        <v>70721</v>
      </c>
      <c r="M33" s="71">
        <f t="shared" si="1"/>
        <v>56158</v>
      </c>
      <c r="N33" s="71">
        <f t="shared" si="26"/>
        <v>27466</v>
      </c>
      <c r="O33" s="68">
        <v>1633</v>
      </c>
      <c r="P33" s="68"/>
      <c r="Q33" s="68"/>
      <c r="R33" s="68">
        <f>6696+5409</f>
        <v>12105</v>
      </c>
      <c r="S33" s="72">
        <f t="shared" si="2"/>
        <v>12105</v>
      </c>
      <c r="T33" s="71">
        <f t="shared" si="3"/>
        <v>10472</v>
      </c>
      <c r="U33" s="71">
        <f t="shared" si="27"/>
        <v>-7187</v>
      </c>
      <c r="V33" s="68">
        <v>83</v>
      </c>
      <c r="W33" s="68"/>
      <c r="X33" s="68">
        <v>2708</v>
      </c>
      <c r="Y33" s="68"/>
      <c r="Z33" s="70">
        <f t="shared" si="4"/>
        <v>2708</v>
      </c>
      <c r="AA33" s="71">
        <f t="shared" si="5"/>
        <v>2625</v>
      </c>
      <c r="AB33" s="73">
        <f t="shared" si="28"/>
        <v>2755</v>
      </c>
      <c r="AC33" s="69">
        <v>173</v>
      </c>
      <c r="AD33" s="69">
        <v>0</v>
      </c>
      <c r="AE33" s="69"/>
      <c r="AF33" s="69"/>
      <c r="AG33" s="69">
        <f t="shared" si="6"/>
        <v>0</v>
      </c>
      <c r="AH33" s="74">
        <f t="shared" si="7"/>
        <v>-173</v>
      </c>
      <c r="AI33" s="75">
        <f t="shared" si="29"/>
        <v>365</v>
      </c>
      <c r="AJ33" s="69">
        <v>9576</v>
      </c>
      <c r="AK33" s="69">
        <v>8319</v>
      </c>
      <c r="AL33" s="69">
        <v>954</v>
      </c>
      <c r="AM33" s="69">
        <f>2465+2163+2036+2522+5049+2708</f>
        <v>16943</v>
      </c>
      <c r="AN33" s="69">
        <f t="shared" si="8"/>
        <v>26216</v>
      </c>
      <c r="AO33" s="74">
        <f t="shared" si="9"/>
        <v>16640</v>
      </c>
      <c r="AP33" s="75">
        <f t="shared" si="30"/>
        <v>67130</v>
      </c>
      <c r="AQ33" s="69">
        <v>0</v>
      </c>
      <c r="AR33" s="69">
        <v>0</v>
      </c>
      <c r="AS33" s="69"/>
      <c r="AT33" s="69"/>
      <c r="AU33" s="69">
        <f t="shared" si="10"/>
        <v>0</v>
      </c>
      <c r="AV33" s="74">
        <f t="shared" si="11"/>
        <v>0</v>
      </c>
      <c r="AW33" s="75">
        <f t="shared" si="31"/>
        <v>0</v>
      </c>
      <c r="AX33" s="69">
        <v>206</v>
      </c>
      <c r="AY33" s="69">
        <v>0</v>
      </c>
      <c r="AZ33" s="69"/>
      <c r="BA33" s="69"/>
      <c r="BB33" s="69">
        <f t="shared" si="12"/>
        <v>0</v>
      </c>
      <c r="BC33" s="74">
        <f t="shared" si="13"/>
        <v>-206</v>
      </c>
      <c r="BD33" s="75">
        <f t="shared" si="32"/>
        <v>759</v>
      </c>
      <c r="BE33" s="69">
        <v>277</v>
      </c>
      <c r="BF33" s="69">
        <v>0</v>
      </c>
      <c r="BG33" s="69"/>
      <c r="BH33" s="69"/>
      <c r="BI33" s="69">
        <f t="shared" si="14"/>
        <v>0</v>
      </c>
      <c r="BJ33" s="74">
        <f t="shared" si="15"/>
        <v>-277</v>
      </c>
      <c r="BK33" s="75">
        <f t="shared" si="33"/>
        <v>56</v>
      </c>
      <c r="BL33" s="378"/>
      <c r="BM33" s="378"/>
      <c r="BN33" s="378"/>
      <c r="BO33" s="378"/>
      <c r="BP33" s="378">
        <f t="shared" si="16"/>
        <v>0</v>
      </c>
      <c r="BQ33" s="379">
        <f t="shared" si="17"/>
        <v>0</v>
      </c>
      <c r="BR33" s="75">
        <f t="shared" si="34"/>
        <v>0</v>
      </c>
      <c r="BS33" s="378"/>
      <c r="BT33" s="378"/>
      <c r="BU33" s="378"/>
      <c r="BV33" s="378"/>
      <c r="BW33" s="378">
        <f t="shared" si="18"/>
        <v>0</v>
      </c>
      <c r="BX33" s="379">
        <f t="shared" si="19"/>
        <v>0</v>
      </c>
      <c r="BY33" s="75">
        <f t="shared" si="35"/>
        <v>0</v>
      </c>
      <c r="BZ33" s="378"/>
      <c r="CA33" s="378"/>
      <c r="CB33" s="378"/>
      <c r="CC33" s="378"/>
      <c r="CD33" s="378">
        <f t="shared" si="20"/>
        <v>0</v>
      </c>
      <c r="CE33" s="379">
        <f t="shared" si="21"/>
        <v>0</v>
      </c>
      <c r="CF33" s="75">
        <f t="shared" si="36"/>
        <v>0</v>
      </c>
      <c r="CG33" s="378"/>
      <c r="CH33" s="378"/>
      <c r="CI33" s="378"/>
      <c r="CJ33" s="378"/>
      <c r="CK33" s="378">
        <f t="shared" si="22"/>
        <v>0</v>
      </c>
      <c r="CL33" s="379">
        <f t="shared" si="23"/>
        <v>0</v>
      </c>
      <c r="CM33" s="75">
        <f t="shared" si="37"/>
        <v>0</v>
      </c>
      <c r="CN33" s="71">
        <f t="shared" si="24"/>
        <v>26511</v>
      </c>
      <c r="CO33" s="71">
        <f t="shared" si="38"/>
        <v>111750</v>
      </c>
      <c r="CP33" s="71">
        <f t="shared" si="25"/>
        <v>85239</v>
      </c>
      <c r="CQ33" s="75">
        <f t="shared" si="39"/>
        <v>91344</v>
      </c>
      <c r="CR33" s="73"/>
      <c r="CS33" s="73"/>
      <c r="CT33" s="80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</row>
    <row r="34" spans="1:147" x14ac:dyDescent="0.25">
      <c r="A34" s="67">
        <f>+BaseloadMarkets!A34</f>
        <v>36706</v>
      </c>
      <c r="B34" s="67" t="str">
        <f>+BaseloadMarkets!B34</f>
        <v>Thu</v>
      </c>
      <c r="C34" s="68">
        <v>14394</v>
      </c>
      <c r="D34" s="68">
        <v>4295</v>
      </c>
      <c r="E34" s="68">
        <v>2997</v>
      </c>
      <c r="F34" s="68">
        <v>1000</v>
      </c>
      <c r="G34" s="68"/>
      <c r="H34" s="69">
        <f>+Border!AD32</f>
        <v>0</v>
      </c>
      <c r="I34" s="68"/>
      <c r="J34" s="68"/>
      <c r="K34" s="68"/>
      <c r="L34" s="70">
        <f t="shared" si="0"/>
        <v>8292</v>
      </c>
      <c r="M34" s="71">
        <f t="shared" si="1"/>
        <v>-6102</v>
      </c>
      <c r="N34" s="71">
        <f t="shared" si="26"/>
        <v>21364</v>
      </c>
      <c r="O34" s="68">
        <v>1657</v>
      </c>
      <c r="P34" s="68">
        <v>0</v>
      </c>
      <c r="Q34" s="68"/>
      <c r="R34" s="68"/>
      <c r="S34" s="72">
        <f t="shared" si="2"/>
        <v>0</v>
      </c>
      <c r="T34" s="71">
        <f t="shared" si="3"/>
        <v>-1657</v>
      </c>
      <c r="U34" s="71">
        <f t="shared" si="27"/>
        <v>-8844</v>
      </c>
      <c r="V34" s="68">
        <v>1101</v>
      </c>
      <c r="W34" s="68">
        <v>0</v>
      </c>
      <c r="X34" s="68"/>
      <c r="Y34" s="68"/>
      <c r="Z34" s="70">
        <f t="shared" si="4"/>
        <v>0</v>
      </c>
      <c r="AA34" s="71">
        <f t="shared" si="5"/>
        <v>-1101</v>
      </c>
      <c r="AB34" s="73">
        <f t="shared" si="28"/>
        <v>1654</v>
      </c>
      <c r="AC34" s="69">
        <v>147</v>
      </c>
      <c r="AD34" s="69">
        <v>0</v>
      </c>
      <c r="AE34" s="69"/>
      <c r="AF34" s="69"/>
      <c r="AG34" s="69">
        <f t="shared" si="6"/>
        <v>0</v>
      </c>
      <c r="AH34" s="74">
        <f t="shared" si="7"/>
        <v>-147</v>
      </c>
      <c r="AI34" s="75">
        <f t="shared" si="29"/>
        <v>218</v>
      </c>
      <c r="AJ34" s="69">
        <v>9468</v>
      </c>
      <c r="AK34" s="69">
        <v>4294</v>
      </c>
      <c r="AL34" s="69">
        <v>987</v>
      </c>
      <c r="AM34" s="69">
        <v>0</v>
      </c>
      <c r="AN34" s="69">
        <f t="shared" si="8"/>
        <v>5281</v>
      </c>
      <c r="AO34" s="74">
        <f t="shared" si="9"/>
        <v>-4187</v>
      </c>
      <c r="AP34" s="75">
        <f t="shared" si="30"/>
        <v>62943</v>
      </c>
      <c r="AQ34" s="69">
        <v>0</v>
      </c>
      <c r="AR34" s="69">
        <v>0</v>
      </c>
      <c r="AS34" s="69"/>
      <c r="AT34" s="69"/>
      <c r="AU34" s="69">
        <f t="shared" si="10"/>
        <v>0</v>
      </c>
      <c r="AV34" s="74">
        <f t="shared" si="11"/>
        <v>0</v>
      </c>
      <c r="AW34" s="75">
        <f t="shared" si="31"/>
        <v>0</v>
      </c>
      <c r="AX34" s="69">
        <v>197</v>
      </c>
      <c r="AY34" s="69">
        <v>0</v>
      </c>
      <c r="AZ34" s="69"/>
      <c r="BA34" s="69"/>
      <c r="BB34" s="69">
        <f t="shared" si="12"/>
        <v>0</v>
      </c>
      <c r="BC34" s="74">
        <f t="shared" si="13"/>
        <v>-197</v>
      </c>
      <c r="BD34" s="75">
        <f t="shared" si="32"/>
        <v>562</v>
      </c>
      <c r="BE34" s="69">
        <v>305</v>
      </c>
      <c r="BF34" s="69">
        <v>0</v>
      </c>
      <c r="BG34" s="69"/>
      <c r="BH34" s="69"/>
      <c r="BI34" s="69">
        <f t="shared" si="14"/>
        <v>0</v>
      </c>
      <c r="BJ34" s="74">
        <f t="shared" si="15"/>
        <v>-305</v>
      </c>
      <c r="BK34" s="75">
        <f t="shared" si="33"/>
        <v>-249</v>
      </c>
      <c r="BL34" s="378"/>
      <c r="BM34" s="378"/>
      <c r="BN34" s="378"/>
      <c r="BO34" s="378"/>
      <c r="BP34" s="378">
        <f t="shared" si="16"/>
        <v>0</v>
      </c>
      <c r="BQ34" s="379">
        <f t="shared" si="17"/>
        <v>0</v>
      </c>
      <c r="BR34" s="75">
        <f t="shared" si="34"/>
        <v>0</v>
      </c>
      <c r="BS34" s="378"/>
      <c r="BT34" s="378"/>
      <c r="BU34" s="378"/>
      <c r="BV34" s="378"/>
      <c r="BW34" s="378">
        <f t="shared" si="18"/>
        <v>0</v>
      </c>
      <c r="BX34" s="379">
        <f t="shared" si="19"/>
        <v>0</v>
      </c>
      <c r="BY34" s="75">
        <f t="shared" si="35"/>
        <v>0</v>
      </c>
      <c r="BZ34" s="378"/>
      <c r="CA34" s="378"/>
      <c r="CB34" s="378"/>
      <c r="CC34" s="378"/>
      <c r="CD34" s="378">
        <f t="shared" si="20"/>
        <v>0</v>
      </c>
      <c r="CE34" s="379">
        <f t="shared" si="21"/>
        <v>0</v>
      </c>
      <c r="CF34" s="75">
        <f t="shared" si="36"/>
        <v>0</v>
      </c>
      <c r="CG34" s="378"/>
      <c r="CH34" s="378"/>
      <c r="CI34" s="378"/>
      <c r="CJ34" s="378"/>
      <c r="CK34" s="378">
        <f t="shared" si="22"/>
        <v>0</v>
      </c>
      <c r="CL34" s="379">
        <f t="shared" si="23"/>
        <v>0</v>
      </c>
      <c r="CM34" s="75">
        <f t="shared" si="37"/>
        <v>0</v>
      </c>
      <c r="CN34" s="71">
        <f t="shared" si="24"/>
        <v>27269</v>
      </c>
      <c r="CO34" s="71">
        <f t="shared" si="38"/>
        <v>13573</v>
      </c>
      <c r="CP34" s="71">
        <f t="shared" si="25"/>
        <v>-13696</v>
      </c>
      <c r="CQ34" s="75">
        <f t="shared" si="39"/>
        <v>77648</v>
      </c>
      <c r="CR34" s="73"/>
      <c r="CS34" s="73"/>
      <c r="CT34" s="80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</row>
    <row r="35" spans="1:147" x14ac:dyDescent="0.25">
      <c r="A35" s="67">
        <f>+BaseloadMarkets!A35</f>
        <v>36707</v>
      </c>
      <c r="B35" s="67" t="str">
        <f>+BaseloadMarkets!B35</f>
        <v>Fri</v>
      </c>
      <c r="C35" s="68">
        <v>10517</v>
      </c>
      <c r="D35" s="68">
        <v>0</v>
      </c>
      <c r="E35" s="68">
        <f>14999+2000+996</f>
        <v>17995</v>
      </c>
      <c r="F35" s="68">
        <v>1000</v>
      </c>
      <c r="G35" s="68">
        <v>10806</v>
      </c>
      <c r="H35" s="69">
        <f>+Border!AD33</f>
        <v>0</v>
      </c>
      <c r="I35" s="68"/>
      <c r="J35" s="68"/>
      <c r="K35" s="68"/>
      <c r="L35" s="70">
        <f>SUM(D35:K35)</f>
        <v>29801</v>
      </c>
      <c r="M35" s="71">
        <f>+L35-C35</f>
        <v>19284</v>
      </c>
      <c r="N35" s="71">
        <f>N34+M35</f>
        <v>40648</v>
      </c>
      <c r="O35" s="68">
        <v>1729</v>
      </c>
      <c r="P35" s="68">
        <v>0</v>
      </c>
      <c r="Q35" s="68"/>
      <c r="R35" s="68">
        <f>3485+3486+3486+3486</f>
        <v>13943</v>
      </c>
      <c r="S35" s="72">
        <f>SUM(P35:R35)</f>
        <v>13943</v>
      </c>
      <c r="T35" s="71">
        <f>+S35-O35</f>
        <v>12214</v>
      </c>
      <c r="U35" s="71">
        <f>U34+T35</f>
        <v>3370</v>
      </c>
      <c r="V35" s="68">
        <v>1465</v>
      </c>
      <c r="W35" s="68">
        <v>0</v>
      </c>
      <c r="X35" s="68">
        <v>3485</v>
      </c>
      <c r="Y35" s="68"/>
      <c r="Z35" s="70">
        <f>SUM(W35:Y35)</f>
        <v>3485</v>
      </c>
      <c r="AA35" s="71">
        <f>+Z35-V35</f>
        <v>2020</v>
      </c>
      <c r="AB35" s="73">
        <f>+AB34+AA35</f>
        <v>3674</v>
      </c>
      <c r="AC35" s="69">
        <v>186</v>
      </c>
      <c r="AD35" s="69">
        <v>0</v>
      </c>
      <c r="AE35" s="69"/>
      <c r="AF35" s="69"/>
      <c r="AG35" s="69">
        <f>SUM(AD35:AF35)</f>
        <v>0</v>
      </c>
      <c r="AH35" s="74">
        <f>+AG35-AC35</f>
        <v>-186</v>
      </c>
      <c r="AI35" s="75">
        <f>AI34+AH35</f>
        <v>32</v>
      </c>
      <c r="AJ35" s="69">
        <v>9915</v>
      </c>
      <c r="AK35" s="69">
        <v>17427</v>
      </c>
      <c r="AL35" s="69">
        <v>988</v>
      </c>
      <c r="AM35" s="69">
        <v>7024</v>
      </c>
      <c r="AN35" s="69">
        <f>SUM(AK35:AM35)</f>
        <v>25439</v>
      </c>
      <c r="AO35" s="74">
        <f>+AN35-AJ35</f>
        <v>15524</v>
      </c>
      <c r="AP35" s="75">
        <f>AP34+AO35</f>
        <v>78467</v>
      </c>
      <c r="AQ35" s="69">
        <v>0</v>
      </c>
      <c r="AR35" s="69">
        <v>0</v>
      </c>
      <c r="AS35" s="69"/>
      <c r="AT35" s="69"/>
      <c r="AU35" s="69">
        <f>SUM(AR35:AT35)</f>
        <v>0</v>
      </c>
      <c r="AV35" s="74">
        <f>+AU35-AQ35</f>
        <v>0</v>
      </c>
      <c r="AW35" s="75">
        <f>AW34+AV35</f>
        <v>0</v>
      </c>
      <c r="AX35" s="69">
        <v>195</v>
      </c>
      <c r="AY35" s="69">
        <v>551</v>
      </c>
      <c r="AZ35" s="69"/>
      <c r="BA35" s="69"/>
      <c r="BB35" s="69">
        <f>SUM(AY35:BA35)</f>
        <v>551</v>
      </c>
      <c r="BC35" s="74">
        <f>+BB35-AX35</f>
        <v>356</v>
      </c>
      <c r="BD35" s="75">
        <f>BD34+BC35</f>
        <v>918</v>
      </c>
      <c r="BE35" s="69">
        <v>286</v>
      </c>
      <c r="BF35" s="69">
        <v>551</v>
      </c>
      <c r="BG35" s="69"/>
      <c r="BH35" s="69"/>
      <c r="BI35" s="69">
        <f>SUM(BF35:BH35)</f>
        <v>551</v>
      </c>
      <c r="BJ35" s="74">
        <f>+BI35-BE35</f>
        <v>265</v>
      </c>
      <c r="BK35" s="75">
        <f>BK34+BJ35</f>
        <v>16</v>
      </c>
      <c r="BL35" s="378"/>
      <c r="BM35" s="378"/>
      <c r="BN35" s="378"/>
      <c r="BO35" s="378"/>
      <c r="BP35" s="378">
        <f>SUM(BM35:BO35)</f>
        <v>0</v>
      </c>
      <c r="BQ35" s="379">
        <f>+BP35-BL35</f>
        <v>0</v>
      </c>
      <c r="BR35" s="75">
        <f>BR34+BQ35</f>
        <v>0</v>
      </c>
      <c r="BS35" s="378"/>
      <c r="BT35" s="378"/>
      <c r="BU35" s="378"/>
      <c r="BV35" s="378"/>
      <c r="BW35" s="378">
        <f>SUM(BT35:BV35)</f>
        <v>0</v>
      </c>
      <c r="BX35" s="379">
        <f>+BW35-BS35</f>
        <v>0</v>
      </c>
      <c r="BY35" s="75">
        <f>BY34+BX35</f>
        <v>0</v>
      </c>
      <c r="BZ35" s="378"/>
      <c r="CA35" s="378"/>
      <c r="CB35" s="378"/>
      <c r="CC35" s="378"/>
      <c r="CD35" s="378">
        <f>SUM(CA35:CC35)</f>
        <v>0</v>
      </c>
      <c r="CE35" s="379">
        <f>+CD35-BZ35</f>
        <v>0</v>
      </c>
      <c r="CF35" s="75">
        <f>CF34+CE35</f>
        <v>0</v>
      </c>
      <c r="CG35" s="378"/>
      <c r="CH35" s="378"/>
      <c r="CI35" s="378"/>
      <c r="CJ35" s="378"/>
      <c r="CK35" s="378">
        <f>SUM(CH35:CJ35)</f>
        <v>0</v>
      </c>
      <c r="CL35" s="379">
        <f>+CK35-CG35</f>
        <v>0</v>
      </c>
      <c r="CM35" s="75">
        <f>CM34+CL35</f>
        <v>0</v>
      </c>
      <c r="CN35" s="71">
        <f>+C35+O35+V35+AC35+AJ35+AQ35+AX35+BE35+BL35+BS35+BZ35+CG35</f>
        <v>24293</v>
      </c>
      <c r="CO35" s="71">
        <f>+L35+S35+Z35+AG35+AN35+AU35+BB35+BI35+BP35+BW35+CD35+CK35</f>
        <v>73770</v>
      </c>
      <c r="CP35" s="71">
        <f>CO35-CN35</f>
        <v>49477</v>
      </c>
      <c r="CQ35" s="75">
        <f t="shared" si="39"/>
        <v>127125</v>
      </c>
      <c r="CR35" s="73"/>
      <c r="CS35" s="73"/>
      <c r="CT35" s="80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</row>
    <row r="36" spans="1:147" x14ac:dyDescent="0.25">
      <c r="A36" s="67"/>
      <c r="B36" s="67"/>
      <c r="C36" s="68"/>
      <c r="D36" s="68"/>
      <c r="E36" s="68"/>
      <c r="F36" s="68"/>
      <c r="G36" s="68"/>
      <c r="H36" s="69"/>
      <c r="I36" s="68"/>
      <c r="J36" s="68"/>
      <c r="K36" s="68"/>
      <c r="L36" s="70"/>
      <c r="M36" s="71"/>
      <c r="N36" s="71"/>
      <c r="O36" s="68"/>
      <c r="P36" s="68"/>
      <c r="Q36" s="68"/>
      <c r="R36" s="68"/>
      <c r="S36" s="72"/>
      <c r="T36" s="71"/>
      <c r="U36" s="71"/>
      <c r="V36" s="68"/>
      <c r="W36" s="68"/>
      <c r="X36" s="68"/>
      <c r="Y36" s="68"/>
      <c r="Z36" s="70"/>
      <c r="AA36" s="71"/>
      <c r="AB36" s="73"/>
      <c r="AC36" s="69"/>
      <c r="AD36" s="69"/>
      <c r="AE36" s="69"/>
      <c r="AF36" s="69"/>
      <c r="AG36" s="69"/>
      <c r="AH36" s="74"/>
      <c r="AI36" s="75"/>
      <c r="AJ36" s="69"/>
      <c r="AK36" s="69"/>
      <c r="AL36" s="69"/>
      <c r="AM36" s="69"/>
      <c r="AN36" s="69"/>
      <c r="AO36" s="74"/>
      <c r="AP36" s="75"/>
      <c r="AQ36" s="69"/>
      <c r="AR36" s="69"/>
      <c r="AS36" s="69"/>
      <c r="AT36" s="69"/>
      <c r="AU36" s="69"/>
      <c r="AV36" s="74"/>
      <c r="AW36" s="75"/>
      <c r="AX36" s="69"/>
      <c r="AY36" s="69"/>
      <c r="AZ36" s="69"/>
      <c r="BA36" s="69"/>
      <c r="BB36" s="69"/>
      <c r="BC36" s="74"/>
      <c r="BD36" s="75"/>
      <c r="BE36" s="69"/>
      <c r="BF36" s="69"/>
      <c r="BG36" s="69"/>
      <c r="BH36" s="69"/>
      <c r="BI36" s="69"/>
      <c r="BJ36" s="74"/>
      <c r="BK36" s="75"/>
      <c r="BL36" s="378"/>
      <c r="BM36" s="378"/>
      <c r="BN36" s="378"/>
      <c r="BO36" s="378"/>
      <c r="BP36" s="378"/>
      <c r="BQ36" s="379"/>
      <c r="BR36" s="75"/>
      <c r="BS36" s="378"/>
      <c r="BT36" s="378"/>
      <c r="BU36" s="378"/>
      <c r="BV36" s="378"/>
      <c r="BW36" s="378"/>
      <c r="BX36" s="379"/>
      <c r="BY36" s="75"/>
      <c r="BZ36" s="378"/>
      <c r="CA36" s="378"/>
      <c r="CB36" s="378"/>
      <c r="CC36" s="378"/>
      <c r="CD36" s="378"/>
      <c r="CE36" s="379"/>
      <c r="CF36" s="75"/>
      <c r="CG36" s="378"/>
      <c r="CH36" s="378"/>
      <c r="CI36" s="378"/>
      <c r="CJ36" s="378"/>
      <c r="CK36" s="378"/>
      <c r="CL36" s="379"/>
      <c r="CM36" s="75"/>
      <c r="CN36" s="71"/>
      <c r="CO36" s="71"/>
      <c r="CP36" s="71"/>
      <c r="CQ36" s="75"/>
      <c r="CR36" s="73"/>
      <c r="CS36" s="73"/>
      <c r="CT36" s="80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</row>
    <row r="37" spans="1:147" s="85" customFormat="1" x14ac:dyDescent="0.25">
      <c r="A37" s="81" t="s">
        <v>17</v>
      </c>
      <c r="B37" s="28"/>
      <c r="C37" s="19">
        <f t="shared" ref="C37:M37" si="40">SUM(C6:C36)</f>
        <v>331137</v>
      </c>
      <c r="D37" s="19">
        <f>SUM(D6:D36)</f>
        <v>48077</v>
      </c>
      <c r="E37" s="19">
        <f t="shared" si="40"/>
        <v>139483</v>
      </c>
      <c r="F37" s="19">
        <f>SUM(F6:F36)</f>
        <v>30000</v>
      </c>
      <c r="G37" s="19">
        <f>SUM(G6:G36)</f>
        <v>144225</v>
      </c>
      <c r="H37" s="82">
        <f t="shared" si="40"/>
        <v>0</v>
      </c>
      <c r="I37" s="19">
        <f>SUM(I6:I36)</f>
        <v>10000</v>
      </c>
      <c r="J37" s="19">
        <f>SUM(J6:J36)</f>
        <v>0</v>
      </c>
      <c r="K37" s="19">
        <f>SUM(K6:K36)</f>
        <v>0</v>
      </c>
      <c r="L37" s="83">
        <f t="shared" si="40"/>
        <v>371785</v>
      </c>
      <c r="M37" s="84">
        <f t="shared" si="40"/>
        <v>40648</v>
      </c>
      <c r="N37" s="84"/>
      <c r="O37" s="19">
        <f t="shared" ref="O37:T37" si="41">SUM(O6:O36)</f>
        <v>50311</v>
      </c>
      <c r="P37" s="19">
        <f>SUM(P6:P36)</f>
        <v>27633</v>
      </c>
      <c r="Q37" s="19">
        <f>SUM(Q6:Q36)</f>
        <v>0</v>
      </c>
      <c r="R37" s="19">
        <f>SUM(R6:R36)</f>
        <v>26048</v>
      </c>
      <c r="S37" s="83">
        <f t="shared" si="41"/>
        <v>53681</v>
      </c>
      <c r="T37" s="84">
        <f t="shared" si="41"/>
        <v>3370</v>
      </c>
      <c r="U37" s="84"/>
      <c r="V37" s="19">
        <f t="shared" ref="V37:AA37" si="42">SUM(V6:V36)</f>
        <v>27678</v>
      </c>
      <c r="W37" s="19">
        <f>SUM(W6:W36)</f>
        <v>24927</v>
      </c>
      <c r="X37" s="19">
        <f>SUM(X6:X36)</f>
        <v>6425</v>
      </c>
      <c r="Y37" s="19">
        <f>SUM(Y6:Y36)</f>
        <v>0</v>
      </c>
      <c r="Z37" s="83">
        <f t="shared" si="42"/>
        <v>31352</v>
      </c>
      <c r="AA37" s="84">
        <f t="shared" si="42"/>
        <v>3674</v>
      </c>
      <c r="AC37" s="82">
        <f t="shared" ref="AC37:AH37" si="43">SUM(AC6:AC36)</f>
        <v>4607</v>
      </c>
      <c r="AD37" s="82">
        <f>SUM(AD6:AD36)</f>
        <v>4639</v>
      </c>
      <c r="AE37" s="82">
        <f>SUM(AE6:AE36)</f>
        <v>0</v>
      </c>
      <c r="AF37" s="82">
        <f>SUM(AF6:AF36)</f>
        <v>0</v>
      </c>
      <c r="AG37" s="82">
        <f t="shared" si="43"/>
        <v>4639</v>
      </c>
      <c r="AH37" s="86">
        <f t="shared" si="43"/>
        <v>32</v>
      </c>
      <c r="AI37" s="87"/>
      <c r="AJ37" s="82">
        <f t="shared" ref="AJ37:AO37" si="44">SUM(AJ6:AJ36)</f>
        <v>273467</v>
      </c>
      <c r="AK37" s="82">
        <f>SUM(AK6:AK36)</f>
        <v>144013</v>
      </c>
      <c r="AL37" s="82">
        <f>SUM(AL6:AL36)</f>
        <v>41689</v>
      </c>
      <c r="AM37" s="82">
        <f>SUM(AM6:AM36)</f>
        <v>166232</v>
      </c>
      <c r="AN37" s="82">
        <f t="shared" si="44"/>
        <v>351934</v>
      </c>
      <c r="AO37" s="86">
        <f t="shared" si="44"/>
        <v>78467</v>
      </c>
      <c r="AP37" s="87"/>
      <c r="AQ37" s="82">
        <f t="shared" ref="AQ37:AV37" si="45">SUM(AQ6:AQ36)</f>
        <v>0</v>
      </c>
      <c r="AR37" s="82">
        <f t="shared" si="45"/>
        <v>0</v>
      </c>
      <c r="AS37" s="82">
        <f t="shared" si="45"/>
        <v>0</v>
      </c>
      <c r="AT37" s="82">
        <f t="shared" si="45"/>
        <v>0</v>
      </c>
      <c r="AU37" s="82">
        <f t="shared" si="45"/>
        <v>0</v>
      </c>
      <c r="AV37" s="86">
        <f t="shared" si="45"/>
        <v>0</v>
      </c>
      <c r="AW37" s="87"/>
      <c r="AX37" s="82">
        <f t="shared" ref="AX37:BC37" si="46">SUM(AX6:AX36)</f>
        <v>4398</v>
      </c>
      <c r="AY37" s="82">
        <f>SUM(AY6:AY36)</f>
        <v>5316</v>
      </c>
      <c r="AZ37" s="82">
        <f>SUM(AZ6:AZ36)</f>
        <v>0</v>
      </c>
      <c r="BA37" s="82">
        <f>SUM(BA6:BA36)</f>
        <v>0</v>
      </c>
      <c r="BB37" s="82">
        <f t="shared" si="46"/>
        <v>5316</v>
      </c>
      <c r="BC37" s="86">
        <f t="shared" si="46"/>
        <v>918</v>
      </c>
      <c r="BD37" s="87"/>
      <c r="BE37" s="82">
        <f t="shared" ref="BE37:BJ37" si="47">SUM(BE6:BE36)</f>
        <v>7136</v>
      </c>
      <c r="BF37" s="82">
        <f>SUM(BF6:BF36)</f>
        <v>7152</v>
      </c>
      <c r="BG37" s="82">
        <f>SUM(BG6:BG36)</f>
        <v>0</v>
      </c>
      <c r="BH37" s="82">
        <f>SUM(BH6:BH36)</f>
        <v>0</v>
      </c>
      <c r="BI37" s="82">
        <f t="shared" si="47"/>
        <v>7152</v>
      </c>
      <c r="BJ37" s="86">
        <f t="shared" si="47"/>
        <v>16</v>
      </c>
      <c r="BK37" s="87"/>
      <c r="BL37" s="380">
        <f t="shared" ref="BL37:BQ37" si="48">SUM(BL6:BL36)</f>
        <v>0</v>
      </c>
      <c r="BM37" s="380">
        <f t="shared" si="48"/>
        <v>0</v>
      </c>
      <c r="BN37" s="380">
        <f t="shared" si="48"/>
        <v>0</v>
      </c>
      <c r="BO37" s="380">
        <f t="shared" si="48"/>
        <v>0</v>
      </c>
      <c r="BP37" s="380">
        <f t="shared" si="48"/>
        <v>0</v>
      </c>
      <c r="BQ37" s="381">
        <f t="shared" si="48"/>
        <v>0</v>
      </c>
      <c r="BR37" s="87"/>
      <c r="BS37" s="380">
        <f t="shared" ref="BS37:BX37" si="49">SUM(BS6:BS36)</f>
        <v>0</v>
      </c>
      <c r="BT37" s="380">
        <f t="shared" si="49"/>
        <v>0</v>
      </c>
      <c r="BU37" s="380">
        <f t="shared" si="49"/>
        <v>0</v>
      </c>
      <c r="BV37" s="380">
        <f t="shared" si="49"/>
        <v>0</v>
      </c>
      <c r="BW37" s="380">
        <f t="shared" si="49"/>
        <v>0</v>
      </c>
      <c r="BX37" s="381">
        <f t="shared" si="49"/>
        <v>0</v>
      </c>
      <c r="BY37" s="87"/>
      <c r="BZ37" s="380">
        <f t="shared" ref="BZ37:CE37" si="50">SUM(BZ6:BZ36)</f>
        <v>0</v>
      </c>
      <c r="CA37" s="380">
        <f t="shared" si="50"/>
        <v>0</v>
      </c>
      <c r="CB37" s="380">
        <f t="shared" si="50"/>
        <v>0</v>
      </c>
      <c r="CC37" s="380">
        <f t="shared" si="50"/>
        <v>0</v>
      </c>
      <c r="CD37" s="380">
        <f t="shared" si="50"/>
        <v>0</v>
      </c>
      <c r="CE37" s="381">
        <f t="shared" si="50"/>
        <v>0</v>
      </c>
      <c r="CF37" s="87"/>
      <c r="CG37" s="380">
        <f t="shared" ref="CG37:CL37" si="51">SUM(CG6:CG36)</f>
        <v>0</v>
      </c>
      <c r="CH37" s="380">
        <f t="shared" si="51"/>
        <v>0</v>
      </c>
      <c r="CI37" s="380">
        <f t="shared" si="51"/>
        <v>0</v>
      </c>
      <c r="CJ37" s="380">
        <f t="shared" si="51"/>
        <v>0</v>
      </c>
      <c r="CK37" s="380">
        <f t="shared" si="51"/>
        <v>0</v>
      </c>
      <c r="CL37" s="381">
        <f t="shared" si="51"/>
        <v>0</v>
      </c>
      <c r="CM37" s="87"/>
      <c r="CN37" s="88">
        <f>SUM(CN6:CN36)</f>
        <v>698734</v>
      </c>
      <c r="CO37" s="84">
        <f>SUM(CO6:CO36)</f>
        <v>825859</v>
      </c>
      <c r="CP37" s="84">
        <f>SUM(CP6:CP36)</f>
        <v>127125</v>
      </c>
      <c r="CQ37" s="19"/>
      <c r="CR37" s="19"/>
      <c r="CS37" s="19"/>
      <c r="CT37" s="8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90"/>
      <c r="DH37" s="90"/>
      <c r="DI37" s="90"/>
      <c r="DJ37" s="90"/>
      <c r="DK37" s="90"/>
      <c r="DL37" s="90"/>
      <c r="DM37" s="90"/>
      <c r="DN37" s="90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91"/>
      <c r="DZ37" s="91"/>
      <c r="EA37" s="91"/>
      <c r="EB37" s="91"/>
      <c r="EC37" s="91"/>
      <c r="ED37" s="91"/>
      <c r="EE37" s="91"/>
      <c r="EF37" s="91"/>
      <c r="EG37" s="91"/>
      <c r="EH37" s="91"/>
      <c r="EI37" s="91"/>
      <c r="EJ37" s="91"/>
      <c r="EK37" s="92"/>
      <c r="EL37" s="92"/>
      <c r="EM37" s="92"/>
      <c r="EN37" s="92"/>
      <c r="EO37" s="92"/>
      <c r="EP37" s="92"/>
      <c r="EQ37" s="92"/>
    </row>
    <row r="38" spans="1:147" s="99" customFormat="1" x14ac:dyDescent="0.25">
      <c r="A38" s="93"/>
      <c r="B38" s="28"/>
      <c r="C38" s="93"/>
      <c r="D38" s="93"/>
      <c r="E38" s="93"/>
      <c r="F38" s="93"/>
      <c r="G38" s="93"/>
      <c r="H38" s="94"/>
      <c r="I38" s="93"/>
      <c r="J38" s="93"/>
      <c r="K38" s="93"/>
      <c r="L38" s="95"/>
      <c r="M38" s="93"/>
      <c r="N38" s="93"/>
      <c r="O38" s="96"/>
      <c r="P38" s="93"/>
      <c r="Q38" s="93"/>
      <c r="R38" s="93"/>
      <c r="S38" s="98"/>
      <c r="T38" s="96"/>
      <c r="U38" s="96"/>
      <c r="V38" s="96"/>
      <c r="W38" s="93"/>
      <c r="X38" s="93"/>
      <c r="Y38" s="93"/>
      <c r="Z38" s="98"/>
      <c r="AA38" s="96"/>
      <c r="AC38" s="100"/>
      <c r="AD38" s="100"/>
      <c r="AE38" s="101"/>
      <c r="AF38" s="100"/>
      <c r="AG38" s="100"/>
      <c r="AH38" s="100"/>
      <c r="AI38" s="102"/>
      <c r="AJ38" s="100"/>
      <c r="AK38" s="100"/>
      <c r="AL38" s="101"/>
      <c r="AM38" s="100"/>
      <c r="AN38" s="100"/>
      <c r="AO38" s="100"/>
      <c r="AP38" s="102"/>
      <c r="AQ38" s="100"/>
      <c r="AR38" s="100"/>
      <c r="AS38" s="101"/>
      <c r="AT38" s="100"/>
      <c r="AU38" s="100"/>
      <c r="AV38" s="100"/>
      <c r="AW38" s="102"/>
      <c r="AX38" s="100"/>
      <c r="AY38" s="100"/>
      <c r="AZ38" s="101"/>
      <c r="BA38" s="100"/>
      <c r="BB38" s="100"/>
      <c r="BC38" s="100"/>
      <c r="BD38" s="102"/>
      <c r="BE38" s="100"/>
      <c r="BF38" s="100"/>
      <c r="BG38" s="101"/>
      <c r="BH38" s="100"/>
      <c r="BI38" s="100"/>
      <c r="BJ38" s="100"/>
      <c r="BK38" s="102"/>
      <c r="BL38" s="382"/>
      <c r="BM38" s="382"/>
      <c r="BN38" s="383"/>
      <c r="BO38" s="382"/>
      <c r="BP38" s="382"/>
      <c r="BQ38" s="382"/>
      <c r="BR38" s="102"/>
      <c r="BS38" s="382"/>
      <c r="BT38" s="382"/>
      <c r="BU38" s="383"/>
      <c r="BV38" s="382"/>
      <c r="BW38" s="382"/>
      <c r="BX38" s="382"/>
      <c r="BY38" s="102"/>
      <c r="BZ38" s="382"/>
      <c r="CA38" s="382"/>
      <c r="CB38" s="383"/>
      <c r="CC38" s="382"/>
      <c r="CD38" s="382"/>
      <c r="CE38" s="382"/>
      <c r="CF38" s="102"/>
      <c r="CG38" s="382"/>
      <c r="CH38" s="382"/>
      <c r="CI38" s="383"/>
      <c r="CJ38" s="382"/>
      <c r="CK38" s="382"/>
      <c r="CL38" s="382"/>
      <c r="CM38" s="102"/>
      <c r="CN38" s="36"/>
      <c r="CO38" s="96"/>
      <c r="CP38" s="96"/>
      <c r="CQ38" s="96"/>
      <c r="CR38" s="96"/>
      <c r="CS38" s="96"/>
      <c r="CT38" s="103"/>
      <c r="CU38" s="96"/>
      <c r="CV38" s="96"/>
      <c r="CW38" s="96"/>
      <c r="CX38" s="96"/>
      <c r="CY38" s="96"/>
      <c r="CZ38" s="96"/>
      <c r="DA38" s="96"/>
      <c r="DB38" s="96"/>
      <c r="DC38" s="96"/>
      <c r="DD38" s="96"/>
      <c r="DE38" s="96"/>
      <c r="DF38" s="96"/>
      <c r="DG38" s="104"/>
      <c r="DH38" s="104"/>
      <c r="DI38" s="104"/>
      <c r="DJ38" s="104"/>
      <c r="DK38" s="104"/>
      <c r="DL38" s="104"/>
      <c r="DM38" s="104"/>
      <c r="DN38" s="104"/>
      <c r="DO38" s="105"/>
      <c r="DP38" s="105"/>
      <c r="DQ38" s="105"/>
      <c r="DR38" s="105"/>
      <c r="DS38" s="105"/>
      <c r="DT38" s="105"/>
      <c r="DU38" s="105"/>
      <c r="DV38" s="105"/>
      <c r="DW38" s="105"/>
      <c r="DX38" s="105"/>
      <c r="DY38" s="105"/>
      <c r="DZ38" s="105"/>
      <c r="EA38" s="105"/>
      <c r="EB38" s="105"/>
      <c r="EC38" s="105"/>
      <c r="ED38" s="105"/>
      <c r="EE38" s="105"/>
      <c r="EF38" s="105"/>
      <c r="EG38" s="105"/>
      <c r="EH38" s="105"/>
      <c r="EI38" s="105"/>
      <c r="EJ38" s="105"/>
      <c r="EK38" s="106"/>
      <c r="EL38" s="106"/>
      <c r="EM38" s="106"/>
      <c r="EN38" s="106"/>
      <c r="EO38" s="106"/>
      <c r="EP38" s="106"/>
      <c r="EQ38" s="106"/>
    </row>
    <row r="39" spans="1:147" x14ac:dyDescent="0.25">
      <c r="A39" s="28"/>
      <c r="C39" s="369"/>
      <c r="E39" s="68"/>
      <c r="F39" s="68"/>
      <c r="G39" s="68"/>
      <c r="I39" s="68"/>
      <c r="J39" s="68"/>
      <c r="K39" s="68"/>
      <c r="L39" s="70"/>
      <c r="M39" s="71"/>
      <c r="P39" s="68"/>
      <c r="Q39" s="68"/>
      <c r="R39" s="68"/>
      <c r="W39" s="68"/>
      <c r="X39" s="68"/>
      <c r="Y39" s="68"/>
      <c r="AE39" s="101"/>
      <c r="AL39" s="101"/>
      <c r="AS39" s="101"/>
      <c r="AZ39" s="101"/>
      <c r="BG39" s="101"/>
      <c r="BN39" s="383"/>
      <c r="BU39" s="383"/>
      <c r="CB39" s="383"/>
      <c r="CI39" s="383"/>
      <c r="CN39" s="36"/>
    </row>
    <row r="40" spans="1:147" x14ac:dyDescent="0.25">
      <c r="A40" s="28"/>
      <c r="C40" s="68"/>
      <c r="E40" s="68"/>
      <c r="F40" s="68"/>
      <c r="G40" s="68"/>
      <c r="I40" s="68"/>
      <c r="J40" s="68"/>
      <c r="K40" s="68"/>
      <c r="L40" s="70"/>
      <c r="M40" s="71"/>
      <c r="P40" s="68"/>
      <c r="Q40" s="68"/>
      <c r="R40" s="68"/>
      <c r="W40" s="68"/>
      <c r="X40" s="68"/>
      <c r="Y40" s="68"/>
      <c r="CN40" s="36"/>
    </row>
    <row r="41" spans="1:147" x14ac:dyDescent="0.25">
      <c r="A41" s="28"/>
      <c r="C41" s="68"/>
      <c r="M41" s="71"/>
      <c r="N41" s="68"/>
    </row>
    <row r="42" spans="1:147" x14ac:dyDescent="0.25">
      <c r="A42" s="28"/>
      <c r="M42" s="68"/>
      <c r="N42" s="68"/>
    </row>
    <row r="43" spans="1:147" x14ac:dyDescent="0.25">
      <c r="A43" s="28"/>
      <c r="E43" s="68"/>
      <c r="F43" s="68"/>
      <c r="G43" s="68"/>
      <c r="H43" s="69"/>
      <c r="I43" s="68"/>
      <c r="J43" s="68"/>
      <c r="K43" s="68"/>
      <c r="N43" s="68"/>
      <c r="P43" s="68"/>
      <c r="Q43" s="68"/>
      <c r="R43" s="68"/>
      <c r="W43" s="68"/>
      <c r="X43" s="68"/>
      <c r="Y43" s="68"/>
    </row>
    <row r="44" spans="1:147" x14ac:dyDescent="0.25">
      <c r="A44" s="28"/>
    </row>
    <row r="45" spans="1:147" x14ac:dyDescent="0.25">
      <c r="A45" s="28"/>
      <c r="C45" s="68"/>
      <c r="H45" s="69"/>
    </row>
    <row r="46" spans="1:147" x14ac:dyDescent="0.25">
      <c r="A46" s="28"/>
    </row>
    <row r="47" spans="1:147" x14ac:dyDescent="0.25">
      <c r="A47" s="28"/>
    </row>
    <row r="48" spans="1:147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25" x14ac:dyDescent="0.25">
      <c r="A97" s="28"/>
    </row>
    <row r="98" spans="1:25" x14ac:dyDescent="0.25">
      <c r="A98" s="28"/>
    </row>
    <row r="99" spans="1:25" x14ac:dyDescent="0.25">
      <c r="A99" s="28"/>
    </row>
    <row r="100" spans="1:25" x14ac:dyDescent="0.25">
      <c r="A100" s="28"/>
      <c r="C100" s="107">
        <v>184</v>
      </c>
      <c r="D100" s="108">
        <f>ROUND(+C100/$C$105,4)</f>
        <v>2.8400000000000002E-2</v>
      </c>
      <c r="E100" s="107">
        <f t="shared" ref="E100:G103" si="52">ROUND(+D100*6000,0)</f>
        <v>170</v>
      </c>
      <c r="F100" s="107">
        <f t="shared" si="52"/>
        <v>1020000</v>
      </c>
      <c r="G100" s="107">
        <f t="shared" si="52"/>
        <v>6120000000</v>
      </c>
      <c r="I100" s="107">
        <f t="shared" ref="I100:K103" si="53">ROUND(+H100*6000,0)</f>
        <v>0</v>
      </c>
      <c r="J100" s="107">
        <f t="shared" si="53"/>
        <v>0</v>
      </c>
      <c r="K100" s="107">
        <f t="shared" si="53"/>
        <v>0</v>
      </c>
      <c r="P100" s="107">
        <f t="shared" ref="P100:R103" si="54">ROUND(+O100*6000,0)</f>
        <v>0</v>
      </c>
      <c r="Q100" s="107">
        <f t="shared" si="54"/>
        <v>0</v>
      </c>
      <c r="R100" s="107">
        <f t="shared" si="54"/>
        <v>0</v>
      </c>
      <c r="W100" s="107">
        <f t="shared" ref="W100:Y103" si="55">ROUND(+V100*6000,0)</f>
        <v>0</v>
      </c>
      <c r="X100" s="107">
        <f t="shared" si="55"/>
        <v>0</v>
      </c>
      <c r="Y100" s="107">
        <f t="shared" si="55"/>
        <v>0</v>
      </c>
    </row>
    <row r="101" spans="1:25" x14ac:dyDescent="0.25">
      <c r="A101" s="28"/>
      <c r="C101" s="107">
        <v>5771</v>
      </c>
      <c r="D101" s="108">
        <f>ROUND(+C101/$C$105,4)</f>
        <v>0.8911</v>
      </c>
      <c r="E101" s="107">
        <f t="shared" si="52"/>
        <v>5347</v>
      </c>
      <c r="F101" s="107">
        <f t="shared" si="52"/>
        <v>32082000</v>
      </c>
      <c r="G101" s="107">
        <f t="shared" si="52"/>
        <v>192492000000</v>
      </c>
      <c r="I101" s="107">
        <f t="shared" si="53"/>
        <v>0</v>
      </c>
      <c r="J101" s="107">
        <f t="shared" si="53"/>
        <v>0</v>
      </c>
      <c r="K101" s="107">
        <f t="shared" si="53"/>
        <v>0</v>
      </c>
      <c r="P101" s="107">
        <f t="shared" si="54"/>
        <v>0</v>
      </c>
      <c r="Q101" s="107">
        <f t="shared" si="54"/>
        <v>0</v>
      </c>
      <c r="R101" s="107">
        <f t="shared" si="54"/>
        <v>0</v>
      </c>
      <c r="W101" s="107">
        <f t="shared" si="55"/>
        <v>0</v>
      </c>
      <c r="X101" s="107">
        <f t="shared" si="55"/>
        <v>0</v>
      </c>
      <c r="Y101" s="107">
        <f t="shared" si="55"/>
        <v>0</v>
      </c>
    </row>
    <row r="102" spans="1:25" x14ac:dyDescent="0.25">
      <c r="A102" s="28"/>
      <c r="C102" s="107">
        <v>207</v>
      </c>
      <c r="D102" s="108">
        <f>ROUND(+C102/$C$105,4)</f>
        <v>3.2000000000000001E-2</v>
      </c>
      <c r="E102" s="107">
        <f t="shared" si="52"/>
        <v>192</v>
      </c>
      <c r="F102" s="107">
        <f t="shared" si="52"/>
        <v>1152000</v>
      </c>
      <c r="G102" s="107">
        <f t="shared" si="52"/>
        <v>6912000000</v>
      </c>
      <c r="I102" s="107">
        <f t="shared" si="53"/>
        <v>0</v>
      </c>
      <c r="J102" s="107">
        <f t="shared" si="53"/>
        <v>0</v>
      </c>
      <c r="K102" s="107">
        <f t="shared" si="53"/>
        <v>0</v>
      </c>
      <c r="P102" s="107">
        <f t="shared" si="54"/>
        <v>0</v>
      </c>
      <c r="Q102" s="107">
        <f t="shared" si="54"/>
        <v>0</v>
      </c>
      <c r="R102" s="107">
        <f t="shared" si="54"/>
        <v>0</v>
      </c>
      <c r="W102" s="107">
        <f t="shared" si="55"/>
        <v>0</v>
      </c>
      <c r="X102" s="107">
        <f t="shared" si="55"/>
        <v>0</v>
      </c>
      <c r="Y102" s="107">
        <f t="shared" si="55"/>
        <v>0</v>
      </c>
    </row>
    <row r="103" spans="1:25" x14ac:dyDescent="0.25">
      <c r="A103" s="28"/>
      <c r="C103" s="107">
        <v>314</v>
      </c>
      <c r="D103" s="108">
        <f>ROUND(+C103/$C$105,4)</f>
        <v>4.8500000000000001E-2</v>
      </c>
      <c r="E103" s="107">
        <f t="shared" si="52"/>
        <v>291</v>
      </c>
      <c r="F103" s="107">
        <f t="shared" si="52"/>
        <v>1746000</v>
      </c>
      <c r="G103" s="107">
        <f t="shared" si="52"/>
        <v>10476000000</v>
      </c>
      <c r="I103" s="107">
        <f t="shared" si="53"/>
        <v>0</v>
      </c>
      <c r="J103" s="107">
        <f t="shared" si="53"/>
        <v>0</v>
      </c>
      <c r="K103" s="107">
        <f t="shared" si="53"/>
        <v>0</v>
      </c>
      <c r="P103" s="107">
        <f t="shared" si="54"/>
        <v>0</v>
      </c>
      <c r="Q103" s="107">
        <f t="shared" si="54"/>
        <v>0</v>
      </c>
      <c r="R103" s="107">
        <f t="shared" si="54"/>
        <v>0</v>
      </c>
      <c r="W103" s="107">
        <f t="shared" si="55"/>
        <v>0</v>
      </c>
      <c r="X103" s="107">
        <f t="shared" si="55"/>
        <v>0</v>
      </c>
      <c r="Y103" s="107">
        <f t="shared" si="55"/>
        <v>0</v>
      </c>
    </row>
    <row r="104" spans="1:25" x14ac:dyDescent="0.25">
      <c r="A104" s="28"/>
      <c r="C104" s="107"/>
      <c r="D104" s="108"/>
      <c r="E104" s="107"/>
      <c r="F104" s="107"/>
      <c r="G104" s="107"/>
      <c r="I104" s="107"/>
      <c r="J104" s="107"/>
      <c r="K104" s="107"/>
      <c r="P104" s="107"/>
      <c r="Q104" s="107"/>
      <c r="R104" s="107"/>
      <c r="W104" s="107"/>
      <c r="X104" s="107"/>
      <c r="Y104" s="107"/>
    </row>
    <row r="105" spans="1:25" x14ac:dyDescent="0.25">
      <c r="A105" s="28"/>
      <c r="C105" s="107">
        <f>SUM(C100:C103)</f>
        <v>6476</v>
      </c>
      <c r="D105" s="108">
        <f>SUM(D100:D103)</f>
        <v>1</v>
      </c>
      <c r="E105" s="107">
        <f>SUM(E100:E103)</f>
        <v>6000</v>
      </c>
      <c r="F105" s="107">
        <f>SUM(F100:F103)</f>
        <v>36000000</v>
      </c>
      <c r="G105" s="107">
        <f>SUM(G100:G103)</f>
        <v>216000000000</v>
      </c>
      <c r="I105" s="107">
        <f>SUM(I100:I103)</f>
        <v>0</v>
      </c>
      <c r="J105" s="107">
        <f>SUM(J100:J103)</f>
        <v>0</v>
      </c>
      <c r="K105" s="107">
        <f>SUM(K100:K103)</f>
        <v>0</v>
      </c>
      <c r="P105" s="107">
        <f>SUM(P100:P103)</f>
        <v>0</v>
      </c>
      <c r="Q105" s="107">
        <f>SUM(Q100:Q103)</f>
        <v>0</v>
      </c>
      <c r="R105" s="107">
        <f>SUM(R100:R103)</f>
        <v>0</v>
      </c>
      <c r="W105" s="107">
        <f>SUM(W100:W103)</f>
        <v>0</v>
      </c>
      <c r="X105" s="107">
        <f>SUM(X100:X103)</f>
        <v>0</v>
      </c>
      <c r="Y105" s="107">
        <f>SUM(Y100:Y103)</f>
        <v>0</v>
      </c>
    </row>
    <row r="106" spans="1:25" x14ac:dyDescent="0.25">
      <c r="A106" s="28"/>
      <c r="C106" s="107"/>
      <c r="D106" s="107"/>
      <c r="E106" s="107"/>
      <c r="F106" s="107"/>
      <c r="G106" s="107"/>
      <c r="I106" s="107"/>
      <c r="J106" s="107"/>
      <c r="K106" s="107"/>
      <c r="P106" s="107"/>
      <c r="Q106" s="107"/>
      <c r="R106" s="107"/>
      <c r="W106" s="107"/>
      <c r="X106" s="107"/>
      <c r="Y106" s="107"/>
    </row>
    <row r="107" spans="1:25" x14ac:dyDescent="0.25">
      <c r="A107" s="28"/>
      <c r="C107" s="107"/>
      <c r="D107" s="107"/>
      <c r="E107" s="107"/>
      <c r="F107" s="107"/>
      <c r="G107" s="107"/>
      <c r="I107" s="107"/>
      <c r="J107" s="107"/>
      <c r="K107" s="107"/>
      <c r="P107" s="107"/>
      <c r="Q107" s="107"/>
      <c r="R107" s="107"/>
      <c r="W107" s="107"/>
      <c r="X107" s="107"/>
      <c r="Y107" s="107"/>
    </row>
    <row r="108" spans="1:25" x14ac:dyDescent="0.25">
      <c r="A108" s="28"/>
    </row>
    <row r="109" spans="1:25" x14ac:dyDescent="0.25">
      <c r="A109" s="28"/>
    </row>
    <row r="110" spans="1:25" x14ac:dyDescent="0.25">
      <c r="A110" s="28"/>
    </row>
    <row r="111" spans="1:25" x14ac:dyDescent="0.25">
      <c r="A111" s="28"/>
    </row>
    <row r="112" spans="1:25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</sheetData>
  <printOptions horizontalCentered="1" verticalCentered="1" gridLines="1" gridLinesSet="0"/>
  <pageMargins left="0" right="0" top="0" bottom="0" header="0" footer="0"/>
  <pageSetup orientation="portrait" horizontalDpi="4294967293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V38"/>
  <sheetViews>
    <sheetView tabSelected="1" zoomScale="90" workbookViewId="0">
      <pane xSplit="2" ySplit="4" topLeftCell="AG5" activePane="bottomRight" state="frozen"/>
      <selection activeCell="F4" sqref="F4"/>
      <selection pane="topRight" activeCell="F4" sqref="F4"/>
      <selection pane="bottomLeft" activeCell="F4" sqref="F4"/>
      <selection pane="bottomRight" activeCell="AI27" sqref="AI27"/>
    </sheetView>
  </sheetViews>
  <sheetFormatPr defaultColWidth="9.33203125" defaultRowHeight="13.2" x14ac:dyDescent="0.25"/>
  <cols>
    <col min="1" max="1" width="9.33203125" style="151"/>
    <col min="2" max="2" width="1.33203125" style="151" customWidth="1"/>
    <col min="3" max="3" width="12.77734375" style="163" customWidth="1"/>
    <col min="4" max="4" width="13.77734375" style="167" customWidth="1"/>
    <col min="5" max="5" width="20.109375" style="167" customWidth="1"/>
    <col min="6" max="6" width="21.6640625" style="167" customWidth="1"/>
    <col min="7" max="7" width="15" style="167" customWidth="1"/>
    <col min="8" max="9" width="12" style="167" customWidth="1"/>
    <col min="10" max="12" width="16.44140625" style="163" customWidth="1"/>
    <col min="13" max="13" width="15.77734375" style="201" customWidth="1"/>
    <col min="14" max="14" width="16.44140625" style="163" customWidth="1"/>
    <col min="15" max="15" width="15.33203125" style="163" customWidth="1"/>
    <col min="16" max="17" width="12" style="163" customWidth="1"/>
    <col min="18" max="18" width="13.77734375" style="163" customWidth="1"/>
    <col min="19" max="19" width="12" style="163" customWidth="1"/>
    <col min="20" max="20" width="15.44140625" style="163" customWidth="1"/>
    <col min="21" max="35" width="12" style="163" customWidth="1"/>
    <col min="36" max="36" width="13" style="163" customWidth="1"/>
    <col min="37" max="37" width="14.77734375" style="167" customWidth="1"/>
    <col min="38" max="38" width="5.6640625" style="151" customWidth="1"/>
    <col min="39" max="40" width="9.33203125" style="151"/>
    <col min="41" max="41" width="11.44140625" style="151" customWidth="1"/>
    <col min="42" max="44" width="9.33203125" style="151"/>
    <col min="45" max="45" width="10.109375" style="151" bestFit="1" customWidth="1"/>
    <col min="46" max="48" width="9.33203125" style="151"/>
    <col min="49" max="49" width="11.109375" style="151" customWidth="1"/>
    <col min="50" max="16384" width="9.33203125" style="151"/>
  </cols>
  <sheetData>
    <row r="1" spans="1:256" s="175" customFormat="1" ht="20.100000000000001" customHeight="1" x14ac:dyDescent="0.3">
      <c r="A1" s="175" t="s">
        <v>73</v>
      </c>
      <c r="C1" s="176"/>
      <c r="D1" s="177"/>
      <c r="E1" s="384">
        <f>+BaseloadMarkets!B1</f>
        <v>36678</v>
      </c>
      <c r="F1" s="368"/>
      <c r="G1" s="183"/>
      <c r="H1" s="183"/>
      <c r="I1" s="183"/>
      <c r="J1" s="178"/>
      <c r="K1" s="183"/>
      <c r="L1" s="183"/>
      <c r="M1" s="179"/>
      <c r="N1" s="178"/>
      <c r="O1" s="2"/>
      <c r="P1" s="2"/>
      <c r="Q1" s="2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 t="s">
        <v>298</v>
      </c>
      <c r="AI1" s="176"/>
      <c r="AJ1" s="176"/>
      <c r="AK1" s="177"/>
      <c r="AS1" s="180"/>
      <c r="AT1" s="180"/>
      <c r="AV1" s="181"/>
      <c r="AW1" s="181"/>
      <c r="AY1" s="181"/>
      <c r="AZ1" s="181"/>
    </row>
    <row r="2" spans="1:256" s="182" customFormat="1" x14ac:dyDescent="0.25">
      <c r="C2" s="178"/>
      <c r="D2" s="183" t="s">
        <v>45</v>
      </c>
      <c r="E2" s="183" t="s">
        <v>45</v>
      </c>
      <c r="F2" s="183" t="s">
        <v>45</v>
      </c>
      <c r="G2" s="178" t="s">
        <v>181</v>
      </c>
      <c r="H2" s="183" t="s">
        <v>213</v>
      </c>
      <c r="I2" s="178" t="s">
        <v>259</v>
      </c>
      <c r="J2" s="183" t="s">
        <v>213</v>
      </c>
      <c r="K2" s="183" t="s">
        <v>259</v>
      </c>
      <c r="L2" s="183" t="s">
        <v>211</v>
      </c>
      <c r="M2" s="184"/>
      <c r="N2" s="178" t="s">
        <v>229</v>
      </c>
      <c r="O2" s="2" t="s">
        <v>269</v>
      </c>
      <c r="P2" s="2" t="s">
        <v>179</v>
      </c>
      <c r="Q2" s="183" t="s">
        <v>212</v>
      </c>
      <c r="R2" s="183" t="s">
        <v>214</v>
      </c>
      <c r="S2" s="183" t="s">
        <v>281</v>
      </c>
      <c r="T2" s="178" t="s">
        <v>276</v>
      </c>
      <c r="U2" s="178" t="s">
        <v>283</v>
      </c>
      <c r="V2" s="178" t="s">
        <v>220</v>
      </c>
      <c r="W2" s="178" t="s">
        <v>178</v>
      </c>
      <c r="X2" s="178" t="s">
        <v>219</v>
      </c>
      <c r="Y2" s="178" t="s">
        <v>210</v>
      </c>
      <c r="Z2" s="178" t="s">
        <v>285</v>
      </c>
      <c r="AA2" s="178" t="s">
        <v>208</v>
      </c>
      <c r="AB2" s="178" t="s">
        <v>184</v>
      </c>
      <c r="AC2" s="178" t="s">
        <v>195</v>
      </c>
      <c r="AD2" s="178" t="s">
        <v>201</v>
      </c>
      <c r="AE2" s="178" t="s">
        <v>312</v>
      </c>
      <c r="AF2" s="178" t="s">
        <v>304</v>
      </c>
      <c r="AG2" s="178" t="s">
        <v>209</v>
      </c>
      <c r="AH2" s="178" t="s">
        <v>299</v>
      </c>
      <c r="AI2" s="178"/>
      <c r="AJ2" s="178" t="s">
        <v>75</v>
      </c>
      <c r="AK2" s="183"/>
      <c r="AL2" s="178"/>
      <c r="AP2" s="178"/>
      <c r="AQ2" s="178" t="s">
        <v>10</v>
      </c>
      <c r="AS2" s="185"/>
      <c r="AT2" s="178"/>
    </row>
    <row r="3" spans="1:256" s="421" customFormat="1" x14ac:dyDescent="0.25">
      <c r="A3" s="421" t="s">
        <v>76</v>
      </c>
      <c r="C3" s="422"/>
      <c r="D3" s="422" t="s">
        <v>77</v>
      </c>
      <c r="E3" s="422" t="s">
        <v>77</v>
      </c>
      <c r="F3" s="422" t="s">
        <v>12</v>
      </c>
      <c r="G3" s="422" t="s">
        <v>290</v>
      </c>
      <c r="H3" s="422" t="s">
        <v>290</v>
      </c>
      <c r="I3" s="422"/>
      <c r="J3" s="422"/>
      <c r="K3" s="422"/>
      <c r="L3" s="422"/>
      <c r="M3" s="423"/>
      <c r="N3" s="422"/>
      <c r="O3" s="424"/>
      <c r="P3" s="424" t="s">
        <v>289</v>
      </c>
      <c r="Q3" s="422"/>
      <c r="R3" s="422"/>
      <c r="S3" s="422"/>
      <c r="T3" s="422"/>
      <c r="U3" s="422"/>
      <c r="V3" s="422"/>
      <c r="W3" s="422"/>
      <c r="X3" s="422"/>
      <c r="Y3" s="422"/>
      <c r="Z3" s="422"/>
      <c r="AA3" s="422"/>
      <c r="AB3" s="422"/>
      <c r="AC3" s="422"/>
      <c r="AD3" s="422"/>
      <c r="AE3" s="422"/>
      <c r="AF3" s="422"/>
      <c r="AG3" s="422"/>
      <c r="AH3" s="422"/>
      <c r="AI3" s="422" t="s">
        <v>10</v>
      </c>
      <c r="AJ3" s="422" t="s">
        <v>78</v>
      </c>
      <c r="AK3" s="422"/>
      <c r="AL3" s="422"/>
      <c r="AP3" s="422"/>
      <c r="AQ3" s="422" t="s">
        <v>74</v>
      </c>
      <c r="AS3" s="422"/>
      <c r="AT3" s="422"/>
    </row>
    <row r="4" spans="1:256" s="190" customFormat="1" x14ac:dyDescent="0.25">
      <c r="A4" s="186" t="s">
        <v>56</v>
      </c>
      <c r="B4" s="187"/>
      <c r="C4" s="187" t="s">
        <v>43</v>
      </c>
      <c r="D4" s="188" t="s">
        <v>169</v>
      </c>
      <c r="E4" s="188" t="s">
        <v>34</v>
      </c>
      <c r="F4" s="188" t="s">
        <v>217</v>
      </c>
      <c r="G4" s="186" t="s">
        <v>182</v>
      </c>
      <c r="H4" s="188" t="s">
        <v>268</v>
      </c>
      <c r="I4" s="186" t="s">
        <v>265</v>
      </c>
      <c r="J4" s="186" t="s">
        <v>265</v>
      </c>
      <c r="K4" s="188" t="s">
        <v>268</v>
      </c>
      <c r="L4" s="188"/>
      <c r="M4" s="55" t="s">
        <v>39</v>
      </c>
      <c r="N4" s="186"/>
      <c r="O4" s="10" t="s">
        <v>270</v>
      </c>
      <c r="P4" s="10" t="s">
        <v>265</v>
      </c>
      <c r="Q4" s="186" t="s">
        <v>280</v>
      </c>
      <c r="R4" s="186" t="s">
        <v>280</v>
      </c>
      <c r="S4" s="188" t="s">
        <v>282</v>
      </c>
      <c r="T4" s="186" t="s">
        <v>268</v>
      </c>
      <c r="U4" s="186" t="s">
        <v>16</v>
      </c>
      <c r="V4" s="186" t="s">
        <v>287</v>
      </c>
      <c r="W4" s="186" t="s">
        <v>268</v>
      </c>
      <c r="X4" s="186"/>
      <c r="Y4" s="186" t="s">
        <v>268</v>
      </c>
      <c r="Z4" s="186" t="s">
        <v>280</v>
      </c>
      <c r="AA4" s="186" t="s">
        <v>268</v>
      </c>
      <c r="AB4" s="186" t="s">
        <v>268</v>
      </c>
      <c r="AC4" s="186" t="s">
        <v>268</v>
      </c>
      <c r="AD4" s="186" t="s">
        <v>268</v>
      </c>
      <c r="AE4" s="186" t="s">
        <v>268</v>
      </c>
      <c r="AF4" s="186" t="s">
        <v>305</v>
      </c>
      <c r="AG4" s="186" t="s">
        <v>268</v>
      </c>
      <c r="AH4" s="186" t="s">
        <v>182</v>
      </c>
      <c r="AI4" s="186" t="s">
        <v>40</v>
      </c>
      <c r="AJ4" s="186" t="s">
        <v>79</v>
      </c>
      <c r="AK4" s="188" t="s">
        <v>80</v>
      </c>
      <c r="AL4" s="186"/>
      <c r="AM4" s="189"/>
      <c r="AP4" s="187"/>
      <c r="AQ4" s="187" t="s">
        <v>167</v>
      </c>
      <c r="AS4" s="187"/>
      <c r="AT4" s="187"/>
      <c r="AV4" s="187"/>
      <c r="AW4" s="187"/>
      <c r="AX4" s="187"/>
      <c r="AY4" s="187"/>
      <c r="AZ4" s="187"/>
    </row>
    <row r="5" spans="1:256" x14ac:dyDescent="0.25">
      <c r="A5" s="191">
        <f>+BaseloadMarkets!A6</f>
        <v>36678</v>
      </c>
      <c r="B5" s="191"/>
      <c r="C5" s="192">
        <v>70000</v>
      </c>
      <c r="G5" s="167">
        <v>27899</v>
      </c>
      <c r="H5" s="167">
        <f>3157+3157+6312+3157+3157</f>
        <v>18940</v>
      </c>
      <c r="I5" s="167">
        <v>4999</v>
      </c>
      <c r="J5" s="167">
        <v>26136</v>
      </c>
      <c r="K5" s="167">
        <f>2214+4429</f>
        <v>6643</v>
      </c>
      <c r="L5" s="167">
        <f>5000+5029</f>
        <v>10029</v>
      </c>
      <c r="M5" s="193">
        <f>+Border!AD4</f>
        <v>0</v>
      </c>
      <c r="N5" s="167">
        <v>6295</v>
      </c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94">
        <f>SUM(D5:AH5)</f>
        <v>100941</v>
      </c>
      <c r="AJ5" s="194">
        <f t="shared" ref="AJ5:AJ33" si="0">C5</f>
        <v>70000</v>
      </c>
      <c r="AK5" s="192">
        <f t="shared" ref="AK5:AK33" si="1">+AI5-AJ5</f>
        <v>30941</v>
      </c>
      <c r="AL5" s="174"/>
      <c r="AM5" s="191">
        <f t="shared" ref="AM5:AM33" si="2">A5</f>
        <v>36678</v>
      </c>
      <c r="AN5" s="148"/>
      <c r="AO5" s="147">
        <f>AK5</f>
        <v>30941</v>
      </c>
      <c r="AP5" s="149"/>
      <c r="AQ5" s="149">
        <f>+AI5-D5-E5-F5</f>
        <v>100941</v>
      </c>
      <c r="AR5" s="148"/>
      <c r="AS5" s="149"/>
      <c r="AT5" s="149"/>
      <c r="AU5" s="148"/>
      <c r="AV5" s="149"/>
      <c r="AW5" s="149"/>
      <c r="AY5" s="164"/>
      <c r="AZ5" s="164"/>
      <c r="BB5" s="174"/>
      <c r="IT5" s="148"/>
      <c r="IU5" s="148"/>
      <c r="IV5" s="148"/>
    </row>
    <row r="6" spans="1:256" x14ac:dyDescent="0.25">
      <c r="A6" s="191">
        <f>+BaseloadMarkets!A7</f>
        <v>36679</v>
      </c>
      <c r="B6" s="191"/>
      <c r="C6" s="192">
        <v>70000</v>
      </c>
      <c r="G6" s="167">
        <v>29000</v>
      </c>
      <c r="H6" s="167">
        <f>14116-5000</f>
        <v>9116</v>
      </c>
      <c r="I6" s="167">
        <v>4972</v>
      </c>
      <c r="J6" s="167">
        <v>24175</v>
      </c>
      <c r="K6" s="167"/>
      <c r="L6" s="167"/>
      <c r="M6" s="193">
        <f>+Border!AD5</f>
        <v>0</v>
      </c>
      <c r="N6" s="167"/>
      <c r="O6" s="167">
        <v>5000</v>
      </c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94">
        <f t="shared" ref="AI6:AI34" si="3">SUM(D6:AH6)</f>
        <v>72263</v>
      </c>
      <c r="AJ6" s="194">
        <f t="shared" si="0"/>
        <v>70000</v>
      </c>
      <c r="AK6" s="192">
        <f t="shared" si="1"/>
        <v>2263</v>
      </c>
      <c r="AL6" s="174"/>
      <c r="AM6" s="191">
        <f t="shared" si="2"/>
        <v>36679</v>
      </c>
      <c r="AO6" s="147">
        <f t="shared" ref="AO6:AO33" si="4">AO5+AK6</f>
        <v>33204</v>
      </c>
      <c r="AP6" s="149"/>
      <c r="AQ6" s="149">
        <f t="shared" ref="AQ6:AQ34" si="5">+AI6-D6-E6-F6</f>
        <v>72263</v>
      </c>
      <c r="AS6" s="149"/>
      <c r="AT6" s="149"/>
      <c r="AV6" s="164"/>
      <c r="AW6" s="164"/>
      <c r="AY6" s="164"/>
      <c r="AZ6" s="164"/>
      <c r="BB6" s="174"/>
    </row>
    <row r="7" spans="1:256" x14ac:dyDescent="0.25">
      <c r="A7" s="191">
        <f>+BaseloadMarkets!A8</f>
        <v>36680</v>
      </c>
      <c r="B7" s="191"/>
      <c r="C7" s="192">
        <v>70000</v>
      </c>
      <c r="D7" s="167">
        <v>12095</v>
      </c>
      <c r="E7" s="167">
        <v>7608</v>
      </c>
      <c r="F7" s="167">
        <v>9550</v>
      </c>
      <c r="I7" s="167">
        <v>4233</v>
      </c>
      <c r="J7" s="167">
        <v>9490</v>
      </c>
      <c r="K7" s="167"/>
      <c r="L7" s="167"/>
      <c r="M7" s="193">
        <f>+Border!AD6</f>
        <v>0</v>
      </c>
      <c r="N7" s="167"/>
      <c r="O7" s="167"/>
      <c r="P7" s="167">
        <v>1953</v>
      </c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94">
        <f t="shared" si="3"/>
        <v>44929</v>
      </c>
      <c r="AJ7" s="194">
        <f t="shared" si="0"/>
        <v>70000</v>
      </c>
      <c r="AK7" s="192">
        <f t="shared" si="1"/>
        <v>-25071</v>
      </c>
      <c r="AL7" s="174"/>
      <c r="AM7" s="191">
        <f t="shared" si="2"/>
        <v>36680</v>
      </c>
      <c r="AO7" s="147">
        <f t="shared" si="4"/>
        <v>8133</v>
      </c>
      <c r="AP7" s="149"/>
      <c r="AQ7" s="149">
        <f t="shared" si="5"/>
        <v>15676</v>
      </c>
      <c r="AS7" s="149"/>
      <c r="AT7" s="149"/>
      <c r="AV7" s="164"/>
      <c r="AW7" s="164"/>
      <c r="AY7" s="164"/>
      <c r="AZ7" s="164"/>
      <c r="BB7" s="174"/>
    </row>
    <row r="8" spans="1:256" x14ac:dyDescent="0.25">
      <c r="A8" s="191">
        <f>+BaseloadMarkets!A9</f>
        <v>36681</v>
      </c>
      <c r="B8" s="191"/>
      <c r="C8" s="192">
        <v>70000</v>
      </c>
      <c r="D8" s="167">
        <v>10541</v>
      </c>
      <c r="E8" s="167">
        <v>6532</v>
      </c>
      <c r="I8" s="167">
        <f>429+3706</f>
        <v>4135</v>
      </c>
      <c r="J8" s="167">
        <v>25398</v>
      </c>
      <c r="K8" s="167"/>
      <c r="L8" s="167"/>
      <c r="M8" s="193">
        <f>+Border!AD7</f>
        <v>0</v>
      </c>
      <c r="N8" s="167"/>
      <c r="O8" s="167"/>
      <c r="P8" s="167">
        <v>1709</v>
      </c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371">
        <f t="shared" si="3"/>
        <v>48315</v>
      </c>
      <c r="AJ8" s="194">
        <f t="shared" si="0"/>
        <v>70000</v>
      </c>
      <c r="AK8" s="192">
        <f t="shared" si="1"/>
        <v>-21685</v>
      </c>
      <c r="AL8" s="174"/>
      <c r="AM8" s="191">
        <f t="shared" si="2"/>
        <v>36681</v>
      </c>
      <c r="AO8" s="147">
        <f t="shared" si="4"/>
        <v>-13552</v>
      </c>
      <c r="AP8" s="149"/>
      <c r="AQ8" s="149">
        <f t="shared" si="5"/>
        <v>31242</v>
      </c>
      <c r="AS8" s="149"/>
      <c r="AT8" s="149"/>
      <c r="AV8" s="164"/>
      <c r="AW8" s="164"/>
      <c r="AY8" s="164"/>
      <c r="AZ8" s="164"/>
      <c r="BB8" s="174"/>
    </row>
    <row r="9" spans="1:256" x14ac:dyDescent="0.25">
      <c r="A9" s="191">
        <f>+BaseloadMarkets!A10</f>
        <v>36682</v>
      </c>
      <c r="B9" s="191"/>
      <c r="C9" s="192">
        <v>70000</v>
      </c>
      <c r="D9" s="167">
        <v>10858</v>
      </c>
      <c r="E9" s="167">
        <v>7852</v>
      </c>
      <c r="G9" s="167">
        <v>30000</v>
      </c>
      <c r="I9" s="167">
        <f>554+4278</f>
        <v>4832</v>
      </c>
      <c r="J9" s="167">
        <v>30997</v>
      </c>
      <c r="K9" s="167"/>
      <c r="L9" s="167"/>
      <c r="M9" s="193">
        <f>+Border!AD8</f>
        <v>0</v>
      </c>
      <c r="N9" s="167"/>
      <c r="O9" s="167"/>
      <c r="P9" s="167">
        <v>1974</v>
      </c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371">
        <f t="shared" si="3"/>
        <v>86513</v>
      </c>
      <c r="AJ9" s="194">
        <f t="shared" si="0"/>
        <v>70000</v>
      </c>
      <c r="AK9" s="192">
        <f t="shared" si="1"/>
        <v>16513</v>
      </c>
      <c r="AL9" s="174"/>
      <c r="AM9" s="191">
        <f t="shared" si="2"/>
        <v>36682</v>
      </c>
      <c r="AO9" s="147">
        <f t="shared" si="4"/>
        <v>2961</v>
      </c>
      <c r="AP9" s="149"/>
      <c r="AQ9" s="149">
        <f t="shared" si="5"/>
        <v>67803</v>
      </c>
      <c r="AS9" s="149"/>
      <c r="AT9" s="149"/>
      <c r="AV9" s="164"/>
      <c r="AW9" s="164"/>
      <c r="AY9" s="164"/>
      <c r="AZ9" s="164"/>
      <c r="BB9" s="174"/>
    </row>
    <row r="10" spans="1:256" x14ac:dyDescent="0.25">
      <c r="A10" s="191">
        <f>+BaseloadMarkets!A11</f>
        <v>36683</v>
      </c>
      <c r="B10" s="191"/>
      <c r="C10" s="192">
        <v>70000</v>
      </c>
      <c r="G10" s="167">
        <v>20000</v>
      </c>
      <c r="I10" s="167">
        <v>4174</v>
      </c>
      <c r="J10" s="167">
        <v>31049</v>
      </c>
      <c r="K10" s="167"/>
      <c r="L10" s="167"/>
      <c r="M10" s="193">
        <f>+Border!AD9</f>
        <v>0</v>
      </c>
      <c r="N10" s="167"/>
      <c r="O10" s="167"/>
      <c r="P10" s="167">
        <v>5065</v>
      </c>
      <c r="Q10" s="167">
        <v>13413</v>
      </c>
      <c r="R10" s="167">
        <v>5000</v>
      </c>
      <c r="S10" s="167">
        <v>4143</v>
      </c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371">
        <f t="shared" si="3"/>
        <v>82844</v>
      </c>
      <c r="AJ10" s="194">
        <f t="shared" si="0"/>
        <v>70000</v>
      </c>
      <c r="AK10" s="192">
        <f t="shared" si="1"/>
        <v>12844</v>
      </c>
      <c r="AL10" s="174"/>
      <c r="AM10" s="191">
        <f t="shared" si="2"/>
        <v>36683</v>
      </c>
      <c r="AO10" s="147">
        <f t="shared" si="4"/>
        <v>15805</v>
      </c>
      <c r="AP10" s="149"/>
      <c r="AQ10" s="149">
        <f t="shared" si="5"/>
        <v>82844</v>
      </c>
      <c r="AS10" s="149"/>
      <c r="AT10" s="149"/>
      <c r="AV10" s="164"/>
      <c r="AW10" s="164"/>
      <c r="AY10" s="164"/>
      <c r="AZ10" s="164"/>
      <c r="BB10" s="174"/>
    </row>
    <row r="11" spans="1:256" x14ac:dyDescent="0.25">
      <c r="A11" s="191">
        <f>+BaseloadMarkets!A12</f>
        <v>36684</v>
      </c>
      <c r="B11" s="191"/>
      <c r="C11" s="192">
        <v>70000</v>
      </c>
      <c r="G11" s="167">
        <v>10000</v>
      </c>
      <c r="I11" s="167">
        <v>4248</v>
      </c>
      <c r="J11" s="167">
        <v>8998</v>
      </c>
      <c r="K11" s="167"/>
      <c r="L11" s="167">
        <v>5894</v>
      </c>
      <c r="M11" s="193">
        <f>+Border!AD10</f>
        <v>0</v>
      </c>
      <c r="N11" s="167">
        <v>6598</v>
      </c>
      <c r="O11" s="167"/>
      <c r="P11" s="167">
        <v>6778</v>
      </c>
      <c r="Q11" s="167"/>
      <c r="R11" s="167"/>
      <c r="S11" s="167"/>
      <c r="T11" s="167">
        <f>939+1730</f>
        <v>2669</v>
      </c>
      <c r="U11" s="167">
        <v>12917</v>
      </c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94">
        <f t="shared" si="3"/>
        <v>58102</v>
      </c>
      <c r="AJ11" s="194">
        <f t="shared" si="0"/>
        <v>70000</v>
      </c>
      <c r="AK11" s="192">
        <f t="shared" si="1"/>
        <v>-11898</v>
      </c>
      <c r="AL11" s="174"/>
      <c r="AM11" s="191">
        <f t="shared" si="2"/>
        <v>36684</v>
      </c>
      <c r="AO11" s="147">
        <f t="shared" si="4"/>
        <v>3907</v>
      </c>
      <c r="AP11" s="149"/>
      <c r="AQ11" s="149">
        <f t="shared" si="5"/>
        <v>58102</v>
      </c>
      <c r="AS11" s="149"/>
      <c r="AT11" s="149"/>
      <c r="AV11" s="164"/>
      <c r="AW11" s="164"/>
      <c r="AY11" s="164"/>
      <c r="AZ11" s="164"/>
      <c r="BB11" s="174"/>
    </row>
    <row r="12" spans="1:256" x14ac:dyDescent="0.25">
      <c r="A12" s="191">
        <f>+BaseloadMarkets!A13</f>
        <v>36685</v>
      </c>
      <c r="B12" s="191"/>
      <c r="C12" s="192">
        <v>70000</v>
      </c>
      <c r="G12" s="167">
        <v>30000</v>
      </c>
      <c r="H12" s="167">
        <v>10000</v>
      </c>
      <c r="I12" s="167">
        <v>4319</v>
      </c>
      <c r="J12" s="167">
        <v>25605</v>
      </c>
      <c r="K12" s="167">
        <v>5546</v>
      </c>
      <c r="L12" s="167"/>
      <c r="M12" s="193">
        <f>+Border!AD11</f>
        <v>0</v>
      </c>
      <c r="N12" s="167">
        <v>5574</v>
      </c>
      <c r="O12" s="167"/>
      <c r="P12" s="167">
        <f>5689+5689+5689+2846</f>
        <v>19913</v>
      </c>
      <c r="Q12" s="167"/>
      <c r="R12" s="167"/>
      <c r="S12" s="167"/>
      <c r="T12" s="167">
        <f>4592+1382</f>
        <v>5974</v>
      </c>
      <c r="U12" s="167">
        <v>12917</v>
      </c>
      <c r="V12" s="167">
        <v>20000</v>
      </c>
      <c r="W12" s="167">
        <f>7696+11528+2922</f>
        <v>22146</v>
      </c>
      <c r="X12" s="167">
        <f>5132+5132+4712</f>
        <v>14976</v>
      </c>
      <c r="Y12" s="167">
        <v>3202</v>
      </c>
      <c r="Z12" s="167">
        <v>5000</v>
      </c>
      <c r="AA12" s="167"/>
      <c r="AB12" s="167"/>
      <c r="AC12" s="167"/>
      <c r="AD12" s="167"/>
      <c r="AE12" s="167"/>
      <c r="AF12" s="167"/>
      <c r="AG12" s="167"/>
      <c r="AH12" s="167"/>
      <c r="AI12" s="194">
        <f t="shared" si="3"/>
        <v>185172</v>
      </c>
      <c r="AJ12" s="194">
        <f t="shared" si="0"/>
        <v>70000</v>
      </c>
      <c r="AK12" s="192">
        <f t="shared" si="1"/>
        <v>115172</v>
      </c>
      <c r="AL12" s="174"/>
      <c r="AM12" s="191">
        <f t="shared" si="2"/>
        <v>36685</v>
      </c>
      <c r="AO12" s="147">
        <f t="shared" si="4"/>
        <v>119079</v>
      </c>
      <c r="AP12" s="149"/>
      <c r="AQ12" s="149">
        <f t="shared" si="5"/>
        <v>185172</v>
      </c>
      <c r="AS12" s="149"/>
      <c r="AT12" s="149"/>
      <c r="AV12" s="164"/>
      <c r="AW12" s="164"/>
      <c r="AY12" s="164"/>
      <c r="AZ12" s="164"/>
      <c r="BB12" s="174"/>
    </row>
    <row r="13" spans="1:256" x14ac:dyDescent="0.25">
      <c r="A13" s="191">
        <f>+BaseloadMarkets!A14</f>
        <v>36686</v>
      </c>
      <c r="B13" s="191"/>
      <c r="C13" s="192">
        <v>70000</v>
      </c>
      <c r="G13" s="167">
        <v>30000</v>
      </c>
      <c r="H13" s="167">
        <v>10000</v>
      </c>
      <c r="I13" s="167">
        <v>4333</v>
      </c>
      <c r="J13" s="167">
        <v>26414</v>
      </c>
      <c r="K13" s="167">
        <v>6457</v>
      </c>
      <c r="L13" s="167">
        <v>25000</v>
      </c>
      <c r="M13" s="193">
        <f>+Border!AD12</f>
        <v>0</v>
      </c>
      <c r="N13" s="167">
        <v>6204</v>
      </c>
      <c r="O13" s="167"/>
      <c r="P13" s="167"/>
      <c r="Q13" s="167"/>
      <c r="R13" s="167"/>
      <c r="S13" s="167"/>
      <c r="T13" s="167">
        <f>1909+5383</f>
        <v>7292</v>
      </c>
      <c r="U13" s="167">
        <f>12917+14091</f>
        <v>27008</v>
      </c>
      <c r="V13" s="167"/>
      <c r="W13" s="167"/>
      <c r="X13" s="167"/>
      <c r="Y13" s="167">
        <v>10000</v>
      </c>
      <c r="Z13" s="167"/>
      <c r="AA13" s="167">
        <v>6270</v>
      </c>
      <c r="AB13" s="167"/>
      <c r="AC13" s="167"/>
      <c r="AD13" s="167"/>
      <c r="AE13" s="167"/>
      <c r="AF13" s="167"/>
      <c r="AG13" s="167"/>
      <c r="AH13" s="167"/>
      <c r="AI13" s="371">
        <f t="shared" si="3"/>
        <v>158978</v>
      </c>
      <c r="AJ13" s="194">
        <f t="shared" si="0"/>
        <v>70000</v>
      </c>
      <c r="AK13" s="192">
        <f t="shared" si="1"/>
        <v>88978</v>
      </c>
      <c r="AL13" s="174"/>
      <c r="AM13" s="191">
        <f t="shared" si="2"/>
        <v>36686</v>
      </c>
      <c r="AO13" s="147">
        <f t="shared" si="4"/>
        <v>208057</v>
      </c>
      <c r="AP13" s="149"/>
      <c r="AQ13" s="149">
        <f t="shared" si="5"/>
        <v>158978</v>
      </c>
      <c r="AS13" s="149"/>
      <c r="AT13" s="149"/>
      <c r="AV13" s="164"/>
      <c r="AW13" s="164"/>
      <c r="AY13" s="164"/>
      <c r="AZ13" s="164"/>
      <c r="BB13" s="174"/>
    </row>
    <row r="14" spans="1:256" s="17" customFormat="1" x14ac:dyDescent="0.25">
      <c r="A14" s="191">
        <f>+BaseloadMarkets!A15</f>
        <v>36687</v>
      </c>
      <c r="B14" s="370"/>
      <c r="C14" s="192">
        <v>70000</v>
      </c>
      <c r="D14" s="167">
        <v>22378</v>
      </c>
      <c r="E14" s="167">
        <v>7573</v>
      </c>
      <c r="F14" s="167"/>
      <c r="G14" s="167"/>
      <c r="H14" s="167">
        <f>10000+1603</f>
        <v>11603</v>
      </c>
      <c r="I14" s="167">
        <v>4087</v>
      </c>
      <c r="J14" s="167">
        <v>27930</v>
      </c>
      <c r="K14" s="73">
        <f>9769+6224</f>
        <v>15993</v>
      </c>
      <c r="L14" s="73"/>
      <c r="M14" s="193">
        <f>+Border!AD13</f>
        <v>0</v>
      </c>
      <c r="N14" s="167">
        <v>5140</v>
      </c>
      <c r="O14" s="73"/>
      <c r="P14" s="73">
        <f>20464+0</f>
        <v>20464</v>
      </c>
      <c r="Q14" s="167"/>
      <c r="R14" s="73">
        <v>2000</v>
      </c>
      <c r="S14" s="167">
        <v>5000</v>
      </c>
      <c r="T14" s="73"/>
      <c r="U14" s="167">
        <v>1008</v>
      </c>
      <c r="V14" s="167">
        <v>4986</v>
      </c>
      <c r="W14" s="167"/>
      <c r="X14" s="73"/>
      <c r="Y14" s="73"/>
      <c r="Z14" s="73"/>
      <c r="AA14" s="73"/>
      <c r="AB14" s="73">
        <f>2463+2463+0+1994</f>
        <v>6920</v>
      </c>
      <c r="AC14" s="73">
        <v>4929</v>
      </c>
      <c r="AD14" s="73"/>
      <c r="AE14" s="73"/>
      <c r="AF14" s="73"/>
      <c r="AG14" s="73"/>
      <c r="AH14" s="73"/>
      <c r="AI14" s="371">
        <f t="shared" si="3"/>
        <v>140011</v>
      </c>
      <c r="AJ14" s="371">
        <f t="shared" si="0"/>
        <v>70000</v>
      </c>
      <c r="AK14" s="71">
        <f t="shared" si="1"/>
        <v>70011</v>
      </c>
      <c r="AL14" s="372"/>
      <c r="AM14" s="370">
        <f t="shared" si="2"/>
        <v>36687</v>
      </c>
      <c r="AO14" s="107">
        <f t="shared" si="4"/>
        <v>278068</v>
      </c>
      <c r="AP14" s="166"/>
      <c r="AQ14" s="149">
        <f t="shared" si="5"/>
        <v>110060</v>
      </c>
      <c r="AS14" s="166"/>
      <c r="AT14" s="166"/>
      <c r="AV14" s="16"/>
      <c r="AW14" s="16"/>
      <c r="AY14" s="16"/>
      <c r="AZ14" s="16"/>
      <c r="BB14" s="372"/>
    </row>
    <row r="15" spans="1:256" x14ac:dyDescent="0.25">
      <c r="A15" s="191">
        <f>+BaseloadMarkets!A16</f>
        <v>36688</v>
      </c>
      <c r="B15" s="191"/>
      <c r="C15" s="192">
        <v>70000</v>
      </c>
      <c r="D15" s="167">
        <v>19788</v>
      </c>
      <c r="E15" s="167">
        <v>7485</v>
      </c>
      <c r="H15" s="167">
        <f>10000+1575</f>
        <v>11575</v>
      </c>
      <c r="I15" s="167">
        <v>4334</v>
      </c>
      <c r="J15" s="167">
        <v>29106</v>
      </c>
      <c r="K15" s="73">
        <f>9999+5308</f>
        <v>15307</v>
      </c>
      <c r="L15" s="167"/>
      <c r="M15" s="193">
        <f>+Border!AD14</f>
        <v>0</v>
      </c>
      <c r="N15" s="167">
        <v>5302</v>
      </c>
      <c r="O15" s="167"/>
      <c r="P15" s="73">
        <f>17491+2051</f>
        <v>19542</v>
      </c>
      <c r="Q15" s="167"/>
      <c r="R15" s="167">
        <v>1890</v>
      </c>
      <c r="S15" s="167">
        <v>4859</v>
      </c>
      <c r="T15" s="167"/>
      <c r="U15" s="167">
        <v>1008</v>
      </c>
      <c r="V15" s="167">
        <v>3317</v>
      </c>
      <c r="W15" s="167"/>
      <c r="X15" s="73"/>
      <c r="Y15" s="167"/>
      <c r="Z15" s="167"/>
      <c r="AA15" s="167"/>
      <c r="AB15" s="167">
        <f>2483+0+2490+1325</f>
        <v>6298</v>
      </c>
      <c r="AC15" s="73">
        <v>4980</v>
      </c>
      <c r="AD15" s="73"/>
      <c r="AE15" s="73"/>
      <c r="AF15" s="73"/>
      <c r="AG15" s="167"/>
      <c r="AH15" s="167"/>
      <c r="AI15" s="371">
        <f t="shared" si="3"/>
        <v>134791</v>
      </c>
      <c r="AJ15" s="194">
        <f t="shared" si="0"/>
        <v>70000</v>
      </c>
      <c r="AK15" s="192">
        <f t="shared" si="1"/>
        <v>64791</v>
      </c>
      <c r="AL15" s="174"/>
      <c r="AM15" s="191">
        <f t="shared" si="2"/>
        <v>36688</v>
      </c>
      <c r="AO15" s="147">
        <f t="shared" si="4"/>
        <v>342859</v>
      </c>
      <c r="AP15" s="149"/>
      <c r="AQ15" s="149">
        <f t="shared" si="5"/>
        <v>107518</v>
      </c>
      <c r="AS15" s="149"/>
      <c r="AT15" s="149"/>
      <c r="AV15" s="164"/>
      <c r="AW15" s="164"/>
      <c r="AY15" s="164"/>
      <c r="AZ15" s="164"/>
      <c r="BB15" s="174"/>
    </row>
    <row r="16" spans="1:256" x14ac:dyDescent="0.25">
      <c r="A16" s="191">
        <f>+BaseloadMarkets!A17</f>
        <v>36689</v>
      </c>
      <c r="B16" s="191"/>
      <c r="C16" s="192">
        <v>70000</v>
      </c>
      <c r="D16" s="167">
        <v>22829</v>
      </c>
      <c r="E16" s="167">
        <v>6610</v>
      </c>
      <c r="G16" s="167">
        <v>30000</v>
      </c>
      <c r="H16" s="167">
        <f>1488+25741+4882-25741+10000-4882</f>
        <v>11488</v>
      </c>
      <c r="I16" s="167">
        <v>4262</v>
      </c>
      <c r="J16" s="167">
        <v>25741</v>
      </c>
      <c r="K16" s="73">
        <f>6069+9163</f>
        <v>15232</v>
      </c>
      <c r="L16" s="167"/>
      <c r="M16" s="193">
        <f>+Border!AD15</f>
        <v>0</v>
      </c>
      <c r="N16" s="167">
        <f>2452+2452</f>
        <v>4904</v>
      </c>
      <c r="O16" s="167"/>
      <c r="P16" s="73">
        <f>5721+3035+5722+5722+2861</f>
        <v>23061</v>
      </c>
      <c r="Q16" s="167"/>
      <c r="R16" s="167">
        <v>1906</v>
      </c>
      <c r="S16" s="167">
        <v>4882</v>
      </c>
      <c r="T16" s="167"/>
      <c r="U16" s="167">
        <f>1008+10333</f>
        <v>11341</v>
      </c>
      <c r="V16" s="167">
        <v>3760</v>
      </c>
      <c r="W16" s="167"/>
      <c r="X16" s="73"/>
      <c r="Y16" s="167"/>
      <c r="Z16" s="167"/>
      <c r="AA16" s="167"/>
      <c r="AB16" s="167">
        <f>1503+2729+2729</f>
        <v>6961</v>
      </c>
      <c r="AC16" s="73">
        <f>2731+2730</f>
        <v>5461</v>
      </c>
      <c r="AD16" s="73"/>
      <c r="AE16" s="73"/>
      <c r="AF16" s="73"/>
      <c r="AG16" s="167"/>
      <c r="AH16" s="167"/>
      <c r="AI16" s="371">
        <f t="shared" si="3"/>
        <v>178438</v>
      </c>
      <c r="AJ16" s="194">
        <f t="shared" si="0"/>
        <v>70000</v>
      </c>
      <c r="AK16" s="192">
        <f t="shared" si="1"/>
        <v>108438</v>
      </c>
      <c r="AL16" s="174"/>
      <c r="AM16" s="191">
        <f t="shared" si="2"/>
        <v>36689</v>
      </c>
      <c r="AO16" s="147">
        <f t="shared" si="4"/>
        <v>451297</v>
      </c>
      <c r="AP16" s="149"/>
      <c r="AQ16" s="149">
        <f t="shared" si="5"/>
        <v>148999</v>
      </c>
      <c r="AS16" s="149"/>
      <c r="AT16" s="149"/>
      <c r="AV16" s="164"/>
      <c r="AW16" s="164"/>
      <c r="AY16" s="164"/>
      <c r="AZ16" s="164"/>
      <c r="BB16" s="174"/>
    </row>
    <row r="17" spans="1:55" x14ac:dyDescent="0.25">
      <c r="A17" s="191">
        <f>+BaseloadMarkets!A18</f>
        <v>36690</v>
      </c>
      <c r="B17" s="191"/>
      <c r="C17" s="192">
        <v>70000</v>
      </c>
      <c r="E17" s="167">
        <f>6550+757</f>
        <v>7307</v>
      </c>
      <c r="G17" s="167">
        <v>16000</v>
      </c>
      <c r="I17" s="167">
        <v>4319</v>
      </c>
      <c r="J17" s="167">
        <v>18957</v>
      </c>
      <c r="K17" s="167"/>
      <c r="L17" s="167"/>
      <c r="M17" s="193">
        <f>+Border!AD16</f>
        <v>0</v>
      </c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94">
        <f t="shared" si="3"/>
        <v>46583</v>
      </c>
      <c r="AJ17" s="194">
        <f t="shared" si="0"/>
        <v>70000</v>
      </c>
      <c r="AK17" s="192">
        <f t="shared" si="1"/>
        <v>-23417</v>
      </c>
      <c r="AL17" s="174"/>
      <c r="AM17" s="191">
        <f t="shared" si="2"/>
        <v>36690</v>
      </c>
      <c r="AO17" s="147">
        <f t="shared" si="4"/>
        <v>427880</v>
      </c>
      <c r="AP17" s="149"/>
      <c r="AQ17" s="149">
        <f t="shared" si="5"/>
        <v>39276</v>
      </c>
      <c r="AS17" s="149"/>
      <c r="AT17" s="149"/>
      <c r="AV17" s="164"/>
      <c r="AW17" s="164"/>
      <c r="AY17" s="164"/>
      <c r="AZ17" s="164"/>
      <c r="BB17" s="174"/>
    </row>
    <row r="18" spans="1:55" x14ac:dyDescent="0.25">
      <c r="A18" s="191">
        <f>+BaseloadMarkets!A19</f>
        <v>36691</v>
      </c>
      <c r="B18" s="191"/>
      <c r="C18" s="192">
        <v>70000</v>
      </c>
      <c r="E18" s="167">
        <f>11029+2642</f>
        <v>13671</v>
      </c>
      <c r="I18" s="167">
        <v>4216</v>
      </c>
      <c r="J18" s="167">
        <v>3654</v>
      </c>
      <c r="K18" s="167">
        <v>7456</v>
      </c>
      <c r="L18" s="167"/>
      <c r="M18" s="193">
        <f>+Border!AD17</f>
        <v>0</v>
      </c>
      <c r="N18" s="167"/>
      <c r="O18" s="167"/>
      <c r="P18" s="167">
        <v>1744</v>
      </c>
      <c r="Q18" s="167"/>
      <c r="R18" s="167"/>
      <c r="S18" s="167"/>
      <c r="T18" s="167"/>
      <c r="U18" s="167"/>
      <c r="V18" s="167">
        <v>5523</v>
      </c>
      <c r="W18" s="167"/>
      <c r="X18" s="167"/>
      <c r="Y18" s="167"/>
      <c r="Z18" s="167"/>
      <c r="AA18" s="167"/>
      <c r="AB18" s="167">
        <f>1779+2225</f>
        <v>4004</v>
      </c>
      <c r="AC18" s="167"/>
      <c r="AD18" s="167"/>
      <c r="AE18" s="167"/>
      <c r="AF18" s="167"/>
      <c r="AG18" s="167">
        <v>0</v>
      </c>
      <c r="AH18" s="167"/>
      <c r="AI18" s="371">
        <f t="shared" si="3"/>
        <v>40268</v>
      </c>
      <c r="AJ18" s="194">
        <f t="shared" si="0"/>
        <v>70000</v>
      </c>
      <c r="AK18" s="192">
        <f t="shared" si="1"/>
        <v>-29732</v>
      </c>
      <c r="AL18" s="174"/>
      <c r="AM18" s="191">
        <f t="shared" si="2"/>
        <v>36691</v>
      </c>
      <c r="AO18" s="147">
        <f t="shared" si="4"/>
        <v>398148</v>
      </c>
      <c r="AP18" s="149"/>
      <c r="AQ18" s="149">
        <f t="shared" si="5"/>
        <v>26597</v>
      </c>
      <c r="AS18" s="164"/>
      <c r="AT18" s="164"/>
      <c r="AV18" s="164"/>
      <c r="AW18" s="164"/>
      <c r="AY18" s="164"/>
      <c r="AZ18" s="164"/>
      <c r="BB18" s="174"/>
    </row>
    <row r="19" spans="1:55" x14ac:dyDescent="0.25">
      <c r="A19" s="191">
        <f>+BaseloadMarkets!A20</f>
        <v>36692</v>
      </c>
      <c r="B19" s="191"/>
      <c r="C19" s="192">
        <v>70000</v>
      </c>
      <c r="J19" s="167"/>
      <c r="K19" s="167">
        <v>5808</v>
      </c>
      <c r="L19" s="167"/>
      <c r="M19" s="193">
        <f>+Border!AD18</f>
        <v>0</v>
      </c>
      <c r="N19" s="167"/>
      <c r="O19" s="167"/>
      <c r="P19" s="167"/>
      <c r="Q19" s="167"/>
      <c r="R19" s="167"/>
      <c r="S19" s="167"/>
      <c r="T19" s="167"/>
      <c r="U19" s="167"/>
      <c r="V19" s="167">
        <f>5000+4941+5808</f>
        <v>15749</v>
      </c>
      <c r="W19" s="167"/>
      <c r="X19" s="167">
        <f>6198+6197</f>
        <v>12395</v>
      </c>
      <c r="Y19" s="167">
        <v>2906</v>
      </c>
      <c r="Z19" s="167"/>
      <c r="AA19" s="167"/>
      <c r="AB19" s="167">
        <f>1417+1772</f>
        <v>3189</v>
      </c>
      <c r="AC19" s="167"/>
      <c r="AD19" s="167"/>
      <c r="AE19" s="167"/>
      <c r="AF19" s="167"/>
      <c r="AG19" s="167">
        <v>6198</v>
      </c>
      <c r="AH19" s="167"/>
      <c r="AI19" s="371">
        <f t="shared" si="3"/>
        <v>46245</v>
      </c>
      <c r="AJ19" s="194">
        <f t="shared" si="0"/>
        <v>70000</v>
      </c>
      <c r="AK19" s="192">
        <f t="shared" si="1"/>
        <v>-23755</v>
      </c>
      <c r="AL19" s="174"/>
      <c r="AM19" s="191">
        <f t="shared" si="2"/>
        <v>36692</v>
      </c>
      <c r="AO19" s="147">
        <f t="shared" si="4"/>
        <v>374393</v>
      </c>
      <c r="AP19" s="149"/>
      <c r="AQ19" s="149">
        <f t="shared" si="5"/>
        <v>46245</v>
      </c>
      <c r="AS19" s="164"/>
      <c r="AT19" s="164"/>
      <c r="AV19" s="164"/>
      <c r="AW19" s="164"/>
      <c r="AY19" s="164"/>
      <c r="AZ19" s="164"/>
      <c r="BB19" s="174"/>
      <c r="BC19" s="151" t="s">
        <v>4</v>
      </c>
    </row>
    <row r="20" spans="1:55" x14ac:dyDescent="0.25">
      <c r="A20" s="191">
        <f>+BaseloadMarkets!A21</f>
        <v>36693</v>
      </c>
      <c r="B20" s="191"/>
      <c r="C20" s="192">
        <v>70000</v>
      </c>
      <c r="D20" s="167">
        <v>829</v>
      </c>
      <c r="G20" s="167">
        <v>2341</v>
      </c>
      <c r="J20" s="167"/>
      <c r="K20" s="167"/>
      <c r="L20" s="167"/>
      <c r="M20" s="193">
        <f>+Border!AD19</f>
        <v>0</v>
      </c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>
        <v>3072</v>
      </c>
      <c r="Z20" s="167"/>
      <c r="AA20" s="167"/>
      <c r="AB20" s="167"/>
      <c r="AC20" s="167"/>
      <c r="AD20" s="167"/>
      <c r="AE20" s="167"/>
      <c r="AF20" s="167"/>
      <c r="AG20" s="167"/>
      <c r="AH20" s="167">
        <f>2600+1400</f>
        <v>4000</v>
      </c>
      <c r="AI20" s="194">
        <f t="shared" si="3"/>
        <v>10242</v>
      </c>
      <c r="AJ20" s="194">
        <f t="shared" si="0"/>
        <v>70000</v>
      </c>
      <c r="AK20" s="192">
        <f t="shared" si="1"/>
        <v>-59758</v>
      </c>
      <c r="AL20" s="174"/>
      <c r="AM20" s="191">
        <f t="shared" si="2"/>
        <v>36693</v>
      </c>
      <c r="AO20" s="147">
        <f t="shared" si="4"/>
        <v>314635</v>
      </c>
      <c r="AP20" s="149"/>
      <c r="AQ20" s="149">
        <f t="shared" si="5"/>
        <v>9413</v>
      </c>
      <c r="AS20" s="164"/>
      <c r="AT20" s="164"/>
      <c r="AV20" s="164"/>
      <c r="AW20" s="164"/>
      <c r="AY20" s="164"/>
      <c r="AZ20" s="164"/>
      <c r="BB20" s="174"/>
    </row>
    <row r="21" spans="1:55" x14ac:dyDescent="0.25">
      <c r="A21" s="191">
        <f>+BaseloadMarkets!A22</f>
        <v>36694</v>
      </c>
      <c r="B21" s="191"/>
      <c r="C21" s="192">
        <v>70000</v>
      </c>
      <c r="G21" s="167">
        <v>8</v>
      </c>
      <c r="J21" s="167"/>
      <c r="K21" s="167"/>
      <c r="L21" s="167"/>
      <c r="M21" s="193">
        <f>+Border!AD20</f>
        <v>0</v>
      </c>
      <c r="N21" s="167"/>
      <c r="O21" s="167"/>
      <c r="P21" s="167"/>
      <c r="Q21" s="167"/>
      <c r="R21" s="167"/>
      <c r="S21" s="167"/>
      <c r="T21" s="167"/>
      <c r="U21" s="167"/>
      <c r="V21" s="167">
        <f>4998+4998+7405</f>
        <v>17401</v>
      </c>
      <c r="W21" s="167"/>
      <c r="X21" s="167">
        <v>5000</v>
      </c>
      <c r="Y21" s="167">
        <v>4165</v>
      </c>
      <c r="Z21" s="167"/>
      <c r="AA21" s="167"/>
      <c r="AB21" s="167">
        <f>2764+1747+1398</f>
        <v>5909</v>
      </c>
      <c r="AC21" s="167"/>
      <c r="AD21" s="167"/>
      <c r="AE21" s="167"/>
      <c r="AF21" s="167"/>
      <c r="AG21" s="167">
        <v>4996</v>
      </c>
      <c r="AH21" s="167">
        <v>4000</v>
      </c>
      <c r="AI21" s="194">
        <f t="shared" si="3"/>
        <v>41479</v>
      </c>
      <c r="AJ21" s="194">
        <f t="shared" si="0"/>
        <v>70000</v>
      </c>
      <c r="AK21" s="192">
        <f t="shared" si="1"/>
        <v>-28521</v>
      </c>
      <c r="AL21" s="174"/>
      <c r="AM21" s="191">
        <f t="shared" si="2"/>
        <v>36694</v>
      </c>
      <c r="AO21" s="147">
        <f t="shared" si="4"/>
        <v>286114</v>
      </c>
      <c r="AP21" s="149"/>
      <c r="AQ21" s="149">
        <f t="shared" si="5"/>
        <v>41479</v>
      </c>
      <c r="AS21" s="164"/>
      <c r="AT21" s="164"/>
      <c r="AV21" s="164"/>
      <c r="AW21" s="164"/>
      <c r="AY21" s="164"/>
      <c r="AZ21" s="164"/>
      <c r="BB21" s="174"/>
    </row>
    <row r="22" spans="1:55" x14ac:dyDescent="0.25">
      <c r="A22" s="191">
        <f>+BaseloadMarkets!A23</f>
        <v>36695</v>
      </c>
      <c r="B22" s="191"/>
      <c r="C22" s="192">
        <v>70000</v>
      </c>
      <c r="G22" s="167">
        <v>8</v>
      </c>
      <c r="J22" s="167"/>
      <c r="K22" s="167"/>
      <c r="L22" s="167"/>
      <c r="M22" s="193">
        <f>+Border!AD21</f>
        <v>0</v>
      </c>
      <c r="N22" s="167"/>
      <c r="O22" s="167"/>
      <c r="P22" s="167"/>
      <c r="Q22" s="167"/>
      <c r="R22" s="167"/>
      <c r="S22" s="167"/>
      <c r="T22" s="167"/>
      <c r="U22" s="167"/>
      <c r="V22" s="167">
        <f>9996+6928</f>
        <v>16924</v>
      </c>
      <c r="W22" s="167"/>
      <c r="X22" s="167">
        <v>5000</v>
      </c>
      <c r="Y22" s="167">
        <v>3936</v>
      </c>
      <c r="Z22" s="167"/>
      <c r="AA22" s="167"/>
      <c r="AB22" s="167">
        <f>2488+2097+1678+0</f>
        <v>6263</v>
      </c>
      <c r="AC22" s="167"/>
      <c r="AD22" s="167"/>
      <c r="AE22" s="167"/>
      <c r="AF22" s="167"/>
      <c r="AG22" s="167">
        <v>4947</v>
      </c>
      <c r="AH22" s="167">
        <v>4000</v>
      </c>
      <c r="AI22" s="371">
        <f t="shared" si="3"/>
        <v>41078</v>
      </c>
      <c r="AJ22" s="194">
        <f t="shared" si="0"/>
        <v>70000</v>
      </c>
      <c r="AK22" s="192">
        <f t="shared" si="1"/>
        <v>-28922</v>
      </c>
      <c r="AL22" s="174"/>
      <c r="AM22" s="191">
        <f t="shared" si="2"/>
        <v>36695</v>
      </c>
      <c r="AO22" s="147">
        <f t="shared" si="4"/>
        <v>257192</v>
      </c>
      <c r="AP22" s="149"/>
      <c r="AQ22" s="149">
        <f t="shared" si="5"/>
        <v>41078</v>
      </c>
      <c r="AS22" s="164"/>
      <c r="AT22" s="164"/>
      <c r="AV22" s="164"/>
      <c r="AW22" s="164"/>
      <c r="AY22" s="164"/>
      <c r="AZ22" s="164"/>
      <c r="BB22" s="174"/>
    </row>
    <row r="23" spans="1:55" x14ac:dyDescent="0.25">
      <c r="A23" s="191">
        <f>+BaseloadMarkets!A24</f>
        <v>36696</v>
      </c>
      <c r="B23" s="191"/>
      <c r="C23" s="192">
        <v>70000</v>
      </c>
      <c r="G23" s="167">
        <v>30008</v>
      </c>
      <c r="J23" s="167"/>
      <c r="K23" s="167"/>
      <c r="L23" s="167"/>
      <c r="M23" s="193">
        <f>+Border!AD22</f>
        <v>0</v>
      </c>
      <c r="N23" s="167"/>
      <c r="O23" s="167"/>
      <c r="P23" s="167"/>
      <c r="Q23" s="167"/>
      <c r="R23" s="167"/>
      <c r="S23" s="167"/>
      <c r="T23" s="167"/>
      <c r="U23" s="167">
        <v>10333</v>
      </c>
      <c r="V23" s="167">
        <f>9996+6354</f>
        <v>16350</v>
      </c>
      <c r="W23" s="167"/>
      <c r="X23" s="167">
        <v>5000</v>
      </c>
      <c r="Y23" s="167">
        <v>3243</v>
      </c>
      <c r="Z23" s="167"/>
      <c r="AA23" s="167"/>
      <c r="AB23" s="167">
        <f>2378+2169+1735+0</f>
        <v>6282</v>
      </c>
      <c r="AC23" s="167"/>
      <c r="AD23" s="167"/>
      <c r="AE23" s="167"/>
      <c r="AF23" s="167"/>
      <c r="AG23" s="167">
        <v>5228</v>
      </c>
      <c r="AH23" s="167">
        <v>4000</v>
      </c>
      <c r="AI23" s="194">
        <f t="shared" si="3"/>
        <v>80444</v>
      </c>
      <c r="AJ23" s="194">
        <f t="shared" si="0"/>
        <v>70000</v>
      </c>
      <c r="AK23" s="192">
        <f t="shared" si="1"/>
        <v>10444</v>
      </c>
      <c r="AL23" s="174"/>
      <c r="AM23" s="191">
        <f t="shared" si="2"/>
        <v>36696</v>
      </c>
      <c r="AO23" s="147">
        <f t="shared" si="4"/>
        <v>267636</v>
      </c>
      <c r="AP23" s="149"/>
      <c r="AQ23" s="149">
        <f t="shared" si="5"/>
        <v>80444</v>
      </c>
      <c r="AS23" s="164"/>
      <c r="AT23" s="164"/>
      <c r="AV23" s="164"/>
      <c r="AW23" s="164"/>
      <c r="AY23" s="164"/>
      <c r="AZ23" s="164"/>
      <c r="BB23" s="174"/>
    </row>
    <row r="24" spans="1:55" x14ac:dyDescent="0.25">
      <c r="A24" s="191">
        <f>+BaseloadMarkets!A25</f>
        <v>36697</v>
      </c>
      <c r="B24" s="191"/>
      <c r="C24" s="192">
        <v>70000</v>
      </c>
      <c r="G24" s="167">
        <v>2341</v>
      </c>
      <c r="J24" s="167"/>
      <c r="K24" s="167"/>
      <c r="L24" s="167"/>
      <c r="M24" s="193">
        <f>+Border!AD23</f>
        <v>0</v>
      </c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>
        <v>4000</v>
      </c>
      <c r="AI24" s="194">
        <f t="shared" si="3"/>
        <v>6341</v>
      </c>
      <c r="AJ24" s="194">
        <f t="shared" si="0"/>
        <v>70000</v>
      </c>
      <c r="AK24" s="192">
        <f t="shared" si="1"/>
        <v>-63659</v>
      </c>
      <c r="AL24" s="174"/>
      <c r="AM24" s="191">
        <f t="shared" si="2"/>
        <v>36697</v>
      </c>
      <c r="AO24" s="147">
        <f t="shared" si="4"/>
        <v>203977</v>
      </c>
      <c r="AP24" s="149"/>
      <c r="AQ24" s="149">
        <f t="shared" si="5"/>
        <v>6341</v>
      </c>
      <c r="AS24" s="164"/>
      <c r="AT24" s="164"/>
      <c r="AV24" s="164"/>
      <c r="AW24" s="164"/>
      <c r="AY24" s="164"/>
      <c r="AZ24" s="164"/>
      <c r="BB24" s="174"/>
    </row>
    <row r="25" spans="1:55" x14ac:dyDescent="0.25">
      <c r="A25" s="191">
        <f>+BaseloadMarkets!A26</f>
        <v>36698</v>
      </c>
      <c r="B25" s="191"/>
      <c r="C25" s="192">
        <v>70000</v>
      </c>
      <c r="J25" s="167"/>
      <c r="K25" s="167"/>
      <c r="L25" s="167"/>
      <c r="M25" s="193">
        <f>+Border!AD24</f>
        <v>0</v>
      </c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>
        <v>4000</v>
      </c>
      <c r="AI25" s="194">
        <f t="shared" si="3"/>
        <v>4000</v>
      </c>
      <c r="AJ25" s="194">
        <f t="shared" si="0"/>
        <v>70000</v>
      </c>
      <c r="AK25" s="192">
        <f t="shared" si="1"/>
        <v>-66000</v>
      </c>
      <c r="AL25" s="174"/>
      <c r="AM25" s="191">
        <f t="shared" si="2"/>
        <v>36698</v>
      </c>
      <c r="AO25" s="147">
        <f t="shared" si="4"/>
        <v>137977</v>
      </c>
      <c r="AP25" s="149"/>
      <c r="AQ25" s="149">
        <f t="shared" si="5"/>
        <v>4000</v>
      </c>
      <c r="AS25" s="164"/>
      <c r="AT25" s="164"/>
      <c r="AV25" s="164"/>
      <c r="AW25" s="164"/>
      <c r="AY25" s="164"/>
      <c r="AZ25" s="164"/>
      <c r="BB25" s="174"/>
    </row>
    <row r="26" spans="1:55" x14ac:dyDescent="0.25">
      <c r="A26" s="191">
        <f>+BaseloadMarkets!A27</f>
        <v>36699</v>
      </c>
      <c r="B26" s="191"/>
      <c r="C26" s="192">
        <v>70000</v>
      </c>
      <c r="G26" s="167">
        <v>2341</v>
      </c>
      <c r="J26" s="167"/>
      <c r="K26" s="167"/>
      <c r="L26" s="167"/>
      <c r="M26" s="193">
        <f>+Border!AD25</f>
        <v>0</v>
      </c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>
        <v>1446</v>
      </c>
      <c r="AC26" s="167"/>
      <c r="AD26" s="167"/>
      <c r="AE26" s="167"/>
      <c r="AF26" s="167"/>
      <c r="AG26" s="167"/>
      <c r="AH26" s="167">
        <v>4000</v>
      </c>
      <c r="AI26" s="371">
        <f t="shared" si="3"/>
        <v>7787</v>
      </c>
      <c r="AJ26" s="194">
        <f t="shared" si="0"/>
        <v>70000</v>
      </c>
      <c r="AK26" s="192">
        <f t="shared" si="1"/>
        <v>-62213</v>
      </c>
      <c r="AL26" s="174"/>
      <c r="AM26" s="191">
        <f t="shared" si="2"/>
        <v>36699</v>
      </c>
      <c r="AO26" s="147">
        <f t="shared" si="4"/>
        <v>75764</v>
      </c>
      <c r="AP26" s="149"/>
      <c r="AQ26" s="149">
        <f t="shared" si="5"/>
        <v>7787</v>
      </c>
      <c r="AS26" s="164"/>
      <c r="AT26" s="164"/>
      <c r="AV26" s="164"/>
      <c r="AW26" s="164"/>
      <c r="AY26" s="164"/>
      <c r="AZ26" s="164"/>
      <c r="BB26" s="174"/>
    </row>
    <row r="27" spans="1:55" x14ac:dyDescent="0.25">
      <c r="A27" s="191">
        <f>+BaseloadMarkets!A28</f>
        <v>36700</v>
      </c>
      <c r="B27" s="191"/>
      <c r="C27" s="192">
        <v>70000</v>
      </c>
      <c r="D27" s="167">
        <v>20000</v>
      </c>
      <c r="J27" s="167"/>
      <c r="K27" s="167"/>
      <c r="L27" s="167"/>
      <c r="M27" s="193">
        <v>0</v>
      </c>
      <c r="N27" s="167"/>
      <c r="O27" s="167">
        <v>5000</v>
      </c>
      <c r="P27" s="167"/>
      <c r="Q27" s="167"/>
      <c r="R27" s="167"/>
      <c r="S27" s="167"/>
      <c r="T27" s="167"/>
      <c r="U27" s="167">
        <v>1340</v>
      </c>
      <c r="V27" s="167"/>
      <c r="W27" s="167"/>
      <c r="X27" s="167"/>
      <c r="Y27" s="167">
        <f>8989+4505</f>
        <v>13494</v>
      </c>
      <c r="Z27" s="167"/>
      <c r="AA27" s="167"/>
      <c r="AB27" s="167">
        <f>2061+1698+1698+4438</f>
        <v>9895</v>
      </c>
      <c r="AC27" s="167"/>
      <c r="AD27" s="167"/>
      <c r="AE27" s="167"/>
      <c r="AF27" s="167"/>
      <c r="AG27" s="167">
        <v>5325</v>
      </c>
      <c r="AH27" s="167">
        <v>4000</v>
      </c>
      <c r="AI27" s="371">
        <f t="shared" si="3"/>
        <v>59054</v>
      </c>
      <c r="AJ27" s="194">
        <f t="shared" si="0"/>
        <v>70000</v>
      </c>
      <c r="AK27" s="192">
        <f t="shared" si="1"/>
        <v>-10946</v>
      </c>
      <c r="AL27" s="174"/>
      <c r="AM27" s="191">
        <f t="shared" si="2"/>
        <v>36700</v>
      </c>
      <c r="AO27" s="147">
        <f t="shared" si="4"/>
        <v>64818</v>
      </c>
      <c r="AP27" s="149"/>
      <c r="AQ27" s="149">
        <f t="shared" si="5"/>
        <v>39054</v>
      </c>
      <c r="AS27" s="164"/>
      <c r="AT27" s="164"/>
      <c r="AV27" s="164"/>
      <c r="AW27" s="164"/>
      <c r="AY27" s="164"/>
      <c r="AZ27" s="164"/>
      <c r="BB27" s="174"/>
    </row>
    <row r="28" spans="1:55" x14ac:dyDescent="0.25">
      <c r="A28" s="191">
        <f>+BaseloadMarkets!A29</f>
        <v>36701</v>
      </c>
      <c r="B28" s="191"/>
      <c r="C28" s="192">
        <v>70000</v>
      </c>
      <c r="D28" s="167">
        <v>8777</v>
      </c>
      <c r="J28" s="167"/>
      <c r="K28" s="167"/>
      <c r="L28" s="167"/>
      <c r="M28" s="193">
        <v>0</v>
      </c>
      <c r="N28" s="167"/>
      <c r="O28" s="167"/>
      <c r="P28" s="167"/>
      <c r="Q28" s="167"/>
      <c r="R28" s="167"/>
      <c r="S28" s="167"/>
      <c r="T28" s="167"/>
      <c r="U28" s="167">
        <v>252</v>
      </c>
      <c r="V28" s="167"/>
      <c r="W28" s="167"/>
      <c r="X28" s="167">
        <v>5000</v>
      </c>
      <c r="Y28" s="167">
        <v>3338</v>
      </c>
      <c r="Z28" s="167"/>
      <c r="AA28" s="167"/>
      <c r="AB28" s="167">
        <f>2362+2828+3010</f>
        <v>8200</v>
      </c>
      <c r="AC28" s="167"/>
      <c r="AD28" s="167">
        <v>21996</v>
      </c>
      <c r="AE28" s="167"/>
      <c r="AF28" s="167"/>
      <c r="AG28" s="167"/>
      <c r="AH28" s="167">
        <v>4000</v>
      </c>
      <c r="AI28" s="194">
        <f t="shared" si="3"/>
        <v>51563</v>
      </c>
      <c r="AJ28" s="194">
        <f t="shared" si="0"/>
        <v>70000</v>
      </c>
      <c r="AK28" s="192">
        <f t="shared" si="1"/>
        <v>-18437</v>
      </c>
      <c r="AL28" s="174"/>
      <c r="AM28" s="191">
        <f t="shared" si="2"/>
        <v>36701</v>
      </c>
      <c r="AO28" s="147">
        <f t="shared" si="4"/>
        <v>46381</v>
      </c>
      <c r="AP28" s="149"/>
      <c r="AQ28" s="149">
        <f t="shared" si="5"/>
        <v>42786</v>
      </c>
      <c r="AS28" s="164"/>
      <c r="AT28" s="164"/>
      <c r="AV28" s="164"/>
      <c r="AW28" s="164"/>
      <c r="AY28" s="164"/>
      <c r="AZ28" s="164"/>
      <c r="BB28" s="174"/>
    </row>
    <row r="29" spans="1:55" x14ac:dyDescent="0.25">
      <c r="A29" s="191">
        <f>+BaseloadMarkets!A30</f>
        <v>36702</v>
      </c>
      <c r="B29" s="191"/>
      <c r="C29" s="192">
        <v>70000</v>
      </c>
      <c r="D29" s="167">
        <v>8495</v>
      </c>
      <c r="J29" s="167"/>
      <c r="K29" s="167"/>
      <c r="L29" s="167"/>
      <c r="M29" s="193">
        <v>0</v>
      </c>
      <c r="N29" s="167"/>
      <c r="O29" s="167"/>
      <c r="P29" s="167"/>
      <c r="Q29" s="167"/>
      <c r="R29" s="167"/>
      <c r="S29" s="167"/>
      <c r="T29" s="167"/>
      <c r="U29" s="167">
        <v>252</v>
      </c>
      <c r="V29" s="167"/>
      <c r="W29" s="167"/>
      <c r="X29" s="167">
        <v>5000</v>
      </c>
      <c r="Y29" s="167">
        <v>3228</v>
      </c>
      <c r="Z29" s="167"/>
      <c r="AA29" s="167"/>
      <c r="AB29" s="167">
        <f>2262+3129+3129+2926</f>
        <v>11446</v>
      </c>
      <c r="AC29" s="167"/>
      <c r="AD29" s="167">
        <v>21700</v>
      </c>
      <c r="AE29" s="167"/>
      <c r="AF29" s="167"/>
      <c r="AG29" s="167"/>
      <c r="AH29" s="167">
        <v>4000</v>
      </c>
      <c r="AI29" s="371">
        <f t="shared" si="3"/>
        <v>54121</v>
      </c>
      <c r="AJ29" s="194">
        <f t="shared" si="0"/>
        <v>70000</v>
      </c>
      <c r="AK29" s="192">
        <f t="shared" si="1"/>
        <v>-15879</v>
      </c>
      <c r="AL29" s="174"/>
      <c r="AM29" s="191">
        <f t="shared" si="2"/>
        <v>36702</v>
      </c>
      <c r="AO29" s="147">
        <f t="shared" si="4"/>
        <v>30502</v>
      </c>
      <c r="AP29" s="149"/>
      <c r="AQ29" s="149">
        <f t="shared" si="5"/>
        <v>45626</v>
      </c>
      <c r="AS29" s="164"/>
      <c r="AT29" s="164"/>
      <c r="AV29" s="164"/>
      <c r="AW29" s="164"/>
      <c r="AY29" s="164"/>
      <c r="AZ29" s="164"/>
      <c r="BB29" s="174"/>
    </row>
    <row r="30" spans="1:55" x14ac:dyDescent="0.25">
      <c r="A30" s="191">
        <f>+BaseloadMarkets!A31</f>
        <v>36703</v>
      </c>
      <c r="B30" s="191"/>
      <c r="C30" s="192">
        <v>70000</v>
      </c>
      <c r="D30" s="167">
        <v>7811</v>
      </c>
      <c r="G30" s="167">
        <v>30000</v>
      </c>
      <c r="J30" s="167"/>
      <c r="K30" s="167"/>
      <c r="L30" s="167"/>
      <c r="M30" s="193">
        <v>0</v>
      </c>
      <c r="N30" s="167"/>
      <c r="O30" s="167"/>
      <c r="P30" s="167"/>
      <c r="Q30" s="167"/>
      <c r="R30" s="167"/>
      <c r="S30" s="167"/>
      <c r="T30" s="167"/>
      <c r="U30" s="167">
        <f>10333+252</f>
        <v>10585</v>
      </c>
      <c r="V30" s="167"/>
      <c r="W30" s="167"/>
      <c r="X30" s="167">
        <v>4640</v>
      </c>
      <c r="Y30" s="167">
        <v>3379</v>
      </c>
      <c r="Z30" s="167"/>
      <c r="AA30" s="167"/>
      <c r="AB30" s="167">
        <f>2261+3057+3057+3848</f>
        <v>12223</v>
      </c>
      <c r="AC30" s="167"/>
      <c r="AD30" s="167">
        <v>19815</v>
      </c>
      <c r="AE30" s="167"/>
      <c r="AF30" s="167"/>
      <c r="AG30" s="167"/>
      <c r="AH30" s="167">
        <v>4000</v>
      </c>
      <c r="AI30" s="194">
        <f t="shared" si="3"/>
        <v>92453</v>
      </c>
      <c r="AJ30" s="194">
        <f t="shared" si="0"/>
        <v>70000</v>
      </c>
      <c r="AK30" s="192">
        <f t="shared" si="1"/>
        <v>22453</v>
      </c>
      <c r="AL30" s="174"/>
      <c r="AM30" s="191">
        <f t="shared" si="2"/>
        <v>36703</v>
      </c>
      <c r="AO30" s="147">
        <f t="shared" si="4"/>
        <v>52955</v>
      </c>
      <c r="AP30" s="149"/>
      <c r="AQ30" s="149">
        <f t="shared" si="5"/>
        <v>84642</v>
      </c>
      <c r="AS30" s="164"/>
      <c r="AT30" s="164"/>
      <c r="AV30" s="164"/>
      <c r="AW30" s="164"/>
      <c r="AY30" s="164"/>
      <c r="AZ30" s="164"/>
      <c r="BB30" s="174"/>
    </row>
    <row r="31" spans="1:55" x14ac:dyDescent="0.25">
      <c r="A31" s="191">
        <f>+BaseloadMarkets!A32</f>
        <v>36704</v>
      </c>
      <c r="B31" s="191"/>
      <c r="C31" s="192">
        <v>70000</v>
      </c>
      <c r="D31" s="167">
        <f>4981+1000+5000+766</f>
        <v>11747</v>
      </c>
      <c r="J31" s="167"/>
      <c r="K31" s="167"/>
      <c r="L31" s="167">
        <v>4015</v>
      </c>
      <c r="M31" s="193">
        <v>0</v>
      </c>
      <c r="N31" s="167"/>
      <c r="O31" s="167"/>
      <c r="P31" s="167"/>
      <c r="Q31" s="167">
        <v>389</v>
      </c>
      <c r="R31" s="167">
        <v>4649</v>
      </c>
      <c r="S31" s="167"/>
      <c r="T31" s="167"/>
      <c r="U31" s="167">
        <v>3585</v>
      </c>
      <c r="V31" s="167"/>
      <c r="W31" s="167"/>
      <c r="X31" s="167"/>
      <c r="Y31" s="167"/>
      <c r="Z31" s="167"/>
      <c r="AA31" s="167"/>
      <c r="AB31" s="167">
        <f>2678+1564+1357+4015</f>
        <v>9614</v>
      </c>
      <c r="AC31" s="167"/>
      <c r="AD31" s="167"/>
      <c r="AE31" s="167"/>
      <c r="AF31" s="167">
        <f>1969+10000</f>
        <v>11969</v>
      </c>
      <c r="AG31" s="167"/>
      <c r="AH31" s="167">
        <v>4000</v>
      </c>
      <c r="AI31" s="371">
        <f t="shared" si="3"/>
        <v>49968</v>
      </c>
      <c r="AJ31" s="194">
        <f t="shared" si="0"/>
        <v>70000</v>
      </c>
      <c r="AK31" s="192">
        <f t="shared" si="1"/>
        <v>-20032</v>
      </c>
      <c r="AL31" s="174"/>
      <c r="AM31" s="191">
        <f t="shared" si="2"/>
        <v>36704</v>
      </c>
      <c r="AO31" s="147">
        <f t="shared" si="4"/>
        <v>32923</v>
      </c>
      <c r="AP31" s="149"/>
      <c r="AQ31" s="149">
        <f t="shared" si="5"/>
        <v>38221</v>
      </c>
      <c r="AS31" s="164"/>
      <c r="AT31" s="164"/>
      <c r="AV31" s="164"/>
      <c r="AW31" s="164"/>
      <c r="AY31" s="164"/>
      <c r="AZ31" s="164"/>
      <c r="BB31" s="174"/>
    </row>
    <row r="32" spans="1:55" x14ac:dyDescent="0.25">
      <c r="A32" s="191">
        <f>+BaseloadMarkets!A33</f>
        <v>36705</v>
      </c>
      <c r="B32" s="191"/>
      <c r="C32" s="192">
        <v>70000</v>
      </c>
      <c r="D32" s="167">
        <v>5000</v>
      </c>
      <c r="J32" s="167"/>
      <c r="K32" s="167"/>
      <c r="L32" s="167"/>
      <c r="M32" s="193">
        <f>+Border!AD31</f>
        <v>0</v>
      </c>
      <c r="N32" s="167"/>
      <c r="O32" s="167"/>
      <c r="P32" s="167"/>
      <c r="Q32" s="167">
        <f>500+25000+6247</f>
        <v>31747</v>
      </c>
      <c r="R32" s="167">
        <v>5000</v>
      </c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>
        <v>4000</v>
      </c>
      <c r="AI32" s="194">
        <f t="shared" si="3"/>
        <v>45747</v>
      </c>
      <c r="AJ32" s="194">
        <f t="shared" si="0"/>
        <v>70000</v>
      </c>
      <c r="AK32" s="192">
        <f t="shared" si="1"/>
        <v>-24253</v>
      </c>
      <c r="AL32" s="174"/>
      <c r="AM32" s="191">
        <f t="shared" si="2"/>
        <v>36705</v>
      </c>
      <c r="AO32" s="147">
        <f t="shared" si="4"/>
        <v>8670</v>
      </c>
      <c r="AP32" s="149"/>
      <c r="AQ32" s="149">
        <f t="shared" si="5"/>
        <v>40747</v>
      </c>
      <c r="AS32" s="164"/>
      <c r="AT32" s="164"/>
      <c r="AV32" s="164"/>
      <c r="AW32" s="164"/>
      <c r="AY32" s="164"/>
      <c r="AZ32" s="164"/>
      <c r="BB32" s="174"/>
    </row>
    <row r="33" spans="1:256" x14ac:dyDescent="0.25">
      <c r="A33" s="191">
        <f>+BaseloadMarkets!A34</f>
        <v>36706</v>
      </c>
      <c r="B33" s="191"/>
      <c r="C33" s="192">
        <v>70000</v>
      </c>
      <c r="D33" s="167">
        <v>3495</v>
      </c>
      <c r="J33" s="167"/>
      <c r="K33" s="167"/>
      <c r="L33" s="167"/>
      <c r="M33" s="193">
        <f>+Border!AD32</f>
        <v>0</v>
      </c>
      <c r="N33" s="167"/>
      <c r="O33" s="167"/>
      <c r="P33" s="167"/>
      <c r="Q33" s="167"/>
      <c r="R33" s="167"/>
      <c r="S33" s="167"/>
      <c r="T33" s="167"/>
      <c r="U33" s="167">
        <v>585</v>
      </c>
      <c r="V33" s="167"/>
      <c r="W33" s="167"/>
      <c r="X33" s="167"/>
      <c r="Y33" s="167"/>
      <c r="Z33" s="167"/>
      <c r="AA33" s="167"/>
      <c r="AB33" s="167">
        <f>0+1744+1755+2227</f>
        <v>5726</v>
      </c>
      <c r="AC33" s="167"/>
      <c r="AD33" s="167"/>
      <c r="AE33" s="167">
        <v>2870</v>
      </c>
      <c r="AF33" s="167"/>
      <c r="AG33" s="167"/>
      <c r="AH33" s="167">
        <v>4000</v>
      </c>
      <c r="AI33" s="194">
        <f t="shared" si="3"/>
        <v>16676</v>
      </c>
      <c r="AJ33" s="194">
        <f t="shared" si="0"/>
        <v>70000</v>
      </c>
      <c r="AK33" s="192">
        <f t="shared" si="1"/>
        <v>-53324</v>
      </c>
      <c r="AL33" s="174"/>
      <c r="AM33" s="191">
        <f t="shared" si="2"/>
        <v>36706</v>
      </c>
      <c r="AO33" s="147">
        <f t="shared" si="4"/>
        <v>-44654</v>
      </c>
      <c r="AP33" s="149"/>
      <c r="AQ33" s="149">
        <f t="shared" si="5"/>
        <v>13181</v>
      </c>
      <c r="AS33" s="164"/>
      <c r="AT33" s="164"/>
      <c r="AV33" s="164"/>
      <c r="AW33" s="164"/>
      <c r="AY33" s="164"/>
      <c r="AZ33" s="164"/>
      <c r="BB33" s="174"/>
    </row>
    <row r="34" spans="1:256" x14ac:dyDescent="0.25">
      <c r="A34" s="191">
        <f>+BaseloadMarkets!A35</f>
        <v>36707</v>
      </c>
      <c r="B34" s="191"/>
      <c r="C34" s="192">
        <v>70000</v>
      </c>
      <c r="J34" s="167"/>
      <c r="K34" s="167"/>
      <c r="L34" s="167"/>
      <c r="M34" s="193">
        <f>+Border!AD33</f>
        <v>0</v>
      </c>
      <c r="N34" s="167"/>
      <c r="O34" s="167"/>
      <c r="P34" s="167">
        <f>5931+5931+5931+2966</f>
        <v>20759</v>
      </c>
      <c r="Q34" s="167"/>
      <c r="R34" s="167"/>
      <c r="S34" s="167"/>
      <c r="T34" s="167"/>
      <c r="U34" s="167">
        <v>585</v>
      </c>
      <c r="V34" s="167">
        <f>6313+3209+5000</f>
        <v>14522</v>
      </c>
      <c r="W34" s="167"/>
      <c r="X34" s="167"/>
      <c r="Y34" s="167"/>
      <c r="Z34" s="167"/>
      <c r="AA34" s="167"/>
      <c r="AB34" s="167"/>
      <c r="AC34" s="167"/>
      <c r="AD34" s="167"/>
      <c r="AE34" s="167">
        <v>3157</v>
      </c>
      <c r="AF34" s="167"/>
      <c r="AG34" s="167">
        <v>13016</v>
      </c>
      <c r="AH34" s="167">
        <v>4000</v>
      </c>
      <c r="AI34" s="194">
        <f t="shared" si="3"/>
        <v>56039</v>
      </c>
      <c r="AJ34" s="194">
        <f>C34</f>
        <v>70000</v>
      </c>
      <c r="AK34" s="192">
        <f>+AI34-AJ34</f>
        <v>-13961</v>
      </c>
      <c r="AL34" s="174"/>
      <c r="AM34" s="191">
        <f>A34</f>
        <v>36707</v>
      </c>
      <c r="AO34" s="147">
        <f>AO33+AK34</f>
        <v>-58615</v>
      </c>
      <c r="AP34" s="149"/>
      <c r="AQ34" s="149">
        <f t="shared" si="5"/>
        <v>56039</v>
      </c>
      <c r="AS34" s="164"/>
      <c r="AT34" s="164"/>
      <c r="AV34" s="164"/>
      <c r="AW34" s="164"/>
      <c r="AY34" s="164"/>
      <c r="AZ34" s="164"/>
      <c r="BB34" s="174"/>
    </row>
    <row r="35" spans="1:256" x14ac:dyDescent="0.25">
      <c r="A35" s="191"/>
      <c r="B35" s="191"/>
      <c r="C35" s="192"/>
      <c r="J35" s="167"/>
      <c r="K35" s="167"/>
      <c r="L35" s="167"/>
      <c r="M35" s="193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94"/>
      <c r="AJ35" s="194"/>
      <c r="AK35" s="192"/>
      <c r="AL35" s="174"/>
      <c r="AM35" s="191"/>
      <c r="AO35" s="147"/>
      <c r="AP35" s="149"/>
      <c r="AQ35" s="149"/>
      <c r="AS35" s="164"/>
      <c r="AT35" s="164"/>
      <c r="AV35" s="164"/>
      <c r="AW35" s="164"/>
      <c r="AY35" s="164"/>
      <c r="AZ35" s="164"/>
      <c r="BB35" s="174"/>
    </row>
    <row r="36" spans="1:256" s="199" customFormat="1" x14ac:dyDescent="0.25">
      <c r="A36" s="195" t="s">
        <v>17</v>
      </c>
      <c r="B36" s="151"/>
      <c r="C36" s="196">
        <f t="shared" ref="C36:H36" si="6">SUM(C5:C35)</f>
        <v>2100000</v>
      </c>
      <c r="D36" s="197">
        <f t="shared" si="6"/>
        <v>164643</v>
      </c>
      <c r="E36" s="197">
        <f t="shared" si="6"/>
        <v>64638</v>
      </c>
      <c r="F36" s="197">
        <f t="shared" si="6"/>
        <v>9550</v>
      </c>
      <c r="G36" s="197">
        <f t="shared" si="6"/>
        <v>289946</v>
      </c>
      <c r="H36" s="197">
        <f t="shared" si="6"/>
        <v>82722</v>
      </c>
      <c r="I36" s="197">
        <f t="shared" ref="I36:AK36" si="7">SUM(I5:I35)</f>
        <v>61463</v>
      </c>
      <c r="J36" s="197">
        <f t="shared" si="7"/>
        <v>313650</v>
      </c>
      <c r="K36" s="197">
        <f>SUM(K5:K35)</f>
        <v>78442</v>
      </c>
      <c r="L36" s="197">
        <f>SUM(L5:L35)</f>
        <v>44938</v>
      </c>
      <c r="M36" s="197">
        <f t="shared" si="7"/>
        <v>0</v>
      </c>
      <c r="N36" s="197">
        <f t="shared" si="7"/>
        <v>40017</v>
      </c>
      <c r="O36" s="197">
        <f t="shared" si="7"/>
        <v>10000</v>
      </c>
      <c r="P36" s="197">
        <f t="shared" si="7"/>
        <v>122962</v>
      </c>
      <c r="Q36" s="197">
        <f t="shared" si="7"/>
        <v>45549</v>
      </c>
      <c r="R36" s="197">
        <f t="shared" si="7"/>
        <v>20445</v>
      </c>
      <c r="S36" s="197">
        <f t="shared" si="7"/>
        <v>18884</v>
      </c>
      <c r="T36" s="197">
        <f t="shared" si="7"/>
        <v>15935</v>
      </c>
      <c r="U36" s="197">
        <f t="shared" si="7"/>
        <v>93716</v>
      </c>
      <c r="V36" s="197">
        <f t="shared" si="7"/>
        <v>118532</v>
      </c>
      <c r="W36" s="197">
        <f t="shared" si="7"/>
        <v>22146</v>
      </c>
      <c r="X36" s="197">
        <f t="shared" si="7"/>
        <v>57011</v>
      </c>
      <c r="Y36" s="197">
        <f t="shared" si="7"/>
        <v>53963</v>
      </c>
      <c r="Z36" s="197">
        <f t="shared" si="7"/>
        <v>5000</v>
      </c>
      <c r="AA36" s="197">
        <f t="shared" si="7"/>
        <v>6270</v>
      </c>
      <c r="AB36" s="197">
        <f t="shared" si="7"/>
        <v>104376</v>
      </c>
      <c r="AC36" s="197">
        <f t="shared" ref="AC36:AH36" si="8">SUM(AC5:AC35)</f>
        <v>15370</v>
      </c>
      <c r="AD36" s="197">
        <f t="shared" si="8"/>
        <v>63511</v>
      </c>
      <c r="AE36" s="197">
        <f t="shared" si="8"/>
        <v>6027</v>
      </c>
      <c r="AF36" s="197">
        <f t="shared" si="8"/>
        <v>11969</v>
      </c>
      <c r="AG36" s="197">
        <f t="shared" si="8"/>
        <v>39710</v>
      </c>
      <c r="AH36" s="197">
        <f t="shared" si="8"/>
        <v>60000</v>
      </c>
      <c r="AI36" s="197">
        <f t="shared" si="7"/>
        <v>2041385</v>
      </c>
      <c r="AJ36" s="197">
        <f t="shared" si="7"/>
        <v>2100000</v>
      </c>
      <c r="AK36" s="196">
        <f t="shared" si="7"/>
        <v>-58615</v>
      </c>
      <c r="AL36" s="151"/>
      <c r="AM36" s="151"/>
      <c r="AN36" s="198"/>
      <c r="AO36" s="147"/>
      <c r="AP36" s="198"/>
      <c r="AQ36" s="198"/>
      <c r="AR36" s="198"/>
      <c r="AS36" s="198"/>
      <c r="AT36" s="198"/>
      <c r="AU36" s="198"/>
      <c r="AV36" s="198"/>
      <c r="AW36" s="198"/>
      <c r="AX36" s="198"/>
      <c r="AY36" s="198"/>
      <c r="AZ36" s="198"/>
      <c r="BA36" s="198"/>
      <c r="BB36" s="198"/>
      <c r="BC36" s="198"/>
      <c r="BD36" s="198"/>
      <c r="BE36" s="198"/>
      <c r="BF36" s="198"/>
      <c r="BG36" s="198"/>
      <c r="BH36" s="198"/>
      <c r="BI36" s="198"/>
      <c r="BJ36" s="198"/>
      <c r="BK36" s="198"/>
      <c r="BL36" s="198"/>
      <c r="BM36" s="198"/>
      <c r="BN36" s="198"/>
      <c r="BO36" s="198"/>
      <c r="BP36" s="198"/>
      <c r="BQ36" s="198"/>
      <c r="BR36" s="198"/>
      <c r="BS36" s="198"/>
      <c r="BT36" s="198"/>
      <c r="BU36" s="198"/>
      <c r="BV36" s="198"/>
      <c r="BW36" s="198"/>
      <c r="BX36" s="198"/>
      <c r="BY36" s="198"/>
      <c r="BZ36" s="198"/>
      <c r="CA36" s="198"/>
      <c r="CB36" s="198"/>
      <c r="CC36" s="198"/>
      <c r="CD36" s="198"/>
      <c r="CE36" s="198"/>
      <c r="CF36" s="198"/>
      <c r="CG36" s="198"/>
      <c r="CH36" s="198"/>
      <c r="CI36" s="198"/>
      <c r="CJ36" s="198"/>
      <c r="CK36" s="198"/>
      <c r="CL36" s="198"/>
      <c r="CM36" s="198"/>
      <c r="CN36" s="198"/>
      <c r="CO36" s="198"/>
      <c r="CP36" s="198"/>
      <c r="CQ36" s="198"/>
      <c r="CR36" s="198"/>
      <c r="CS36" s="198"/>
      <c r="CT36" s="198"/>
      <c r="CU36" s="198"/>
      <c r="CV36" s="198"/>
      <c r="CW36" s="198"/>
      <c r="CX36" s="198"/>
      <c r="CY36" s="198"/>
      <c r="CZ36" s="198"/>
      <c r="DA36" s="198"/>
      <c r="DB36" s="198"/>
      <c r="DC36" s="198"/>
      <c r="DD36" s="198"/>
      <c r="DE36" s="198"/>
      <c r="DF36" s="198"/>
      <c r="DG36" s="198"/>
      <c r="DH36" s="198"/>
      <c r="DI36" s="198"/>
      <c r="DJ36" s="198"/>
      <c r="DK36" s="198"/>
      <c r="DL36" s="198"/>
      <c r="DM36" s="198"/>
      <c r="DN36" s="198"/>
      <c r="DO36" s="198"/>
      <c r="DP36" s="198"/>
      <c r="DQ36" s="198"/>
      <c r="DR36" s="198"/>
      <c r="DS36" s="198"/>
      <c r="DT36" s="198"/>
      <c r="DU36" s="198"/>
      <c r="DV36" s="198"/>
      <c r="DW36" s="198"/>
      <c r="DX36" s="198"/>
      <c r="DY36" s="198"/>
      <c r="DZ36" s="198"/>
      <c r="EA36" s="198"/>
      <c r="EB36" s="198"/>
      <c r="EC36" s="198"/>
      <c r="ED36" s="198"/>
      <c r="EE36" s="198"/>
      <c r="EF36" s="198"/>
      <c r="EG36" s="198"/>
      <c r="EH36" s="198"/>
      <c r="EI36" s="198"/>
      <c r="EJ36" s="198"/>
      <c r="EK36" s="198"/>
      <c r="EL36" s="198"/>
      <c r="EM36" s="198"/>
      <c r="EN36" s="198"/>
      <c r="EO36" s="198"/>
      <c r="EP36" s="198"/>
      <c r="EQ36" s="198"/>
      <c r="ER36" s="198"/>
      <c r="ES36" s="198"/>
      <c r="ET36" s="198"/>
      <c r="EU36" s="198"/>
      <c r="EV36" s="198"/>
      <c r="EW36" s="198"/>
      <c r="EX36" s="198"/>
      <c r="EY36" s="198"/>
      <c r="EZ36" s="198"/>
      <c r="FA36" s="198"/>
      <c r="FB36" s="198"/>
      <c r="FC36" s="198"/>
      <c r="FD36" s="198"/>
      <c r="FE36" s="198"/>
      <c r="FF36" s="198"/>
      <c r="FG36" s="198"/>
      <c r="FH36" s="198"/>
      <c r="FI36" s="198"/>
      <c r="FJ36" s="198"/>
      <c r="FK36" s="198"/>
      <c r="FL36" s="198"/>
      <c r="FM36" s="198"/>
      <c r="FN36" s="198"/>
      <c r="FO36" s="198"/>
      <c r="FP36" s="198"/>
      <c r="FQ36" s="198"/>
      <c r="FR36" s="198"/>
      <c r="FS36" s="198"/>
      <c r="FT36" s="198"/>
      <c r="FU36" s="198"/>
      <c r="FV36" s="198"/>
      <c r="FW36" s="198"/>
      <c r="FX36" s="198"/>
      <c r="FY36" s="198"/>
      <c r="FZ36" s="198"/>
      <c r="GA36" s="198"/>
      <c r="GB36" s="198"/>
      <c r="GC36" s="198"/>
      <c r="GD36" s="198"/>
      <c r="GE36" s="198"/>
      <c r="GF36" s="198"/>
      <c r="GG36" s="198"/>
      <c r="GH36" s="198"/>
      <c r="GI36" s="198"/>
      <c r="GJ36" s="198"/>
      <c r="GK36" s="198"/>
      <c r="GL36" s="198"/>
      <c r="GM36" s="198"/>
      <c r="GN36" s="198"/>
      <c r="GO36" s="198"/>
      <c r="GP36" s="198"/>
      <c r="GQ36" s="198"/>
      <c r="GR36" s="198"/>
      <c r="GS36" s="198"/>
      <c r="GT36" s="198"/>
      <c r="GU36" s="198"/>
      <c r="GV36" s="198"/>
      <c r="GW36" s="198"/>
      <c r="GX36" s="198"/>
      <c r="GY36" s="198"/>
      <c r="GZ36" s="198"/>
      <c r="HA36" s="198"/>
      <c r="HB36" s="198"/>
      <c r="HC36" s="198"/>
      <c r="HD36" s="198"/>
      <c r="HE36" s="198"/>
      <c r="HF36" s="198"/>
      <c r="HG36" s="198"/>
      <c r="HH36" s="198"/>
      <c r="HI36" s="198"/>
      <c r="HJ36" s="198"/>
      <c r="HK36" s="198"/>
      <c r="HL36" s="198"/>
      <c r="HM36" s="198"/>
      <c r="HN36" s="198"/>
      <c r="HO36" s="198"/>
      <c r="HP36" s="198"/>
      <c r="HQ36" s="198"/>
      <c r="HR36" s="198"/>
      <c r="HS36" s="198"/>
      <c r="HT36" s="198"/>
      <c r="HU36" s="198"/>
      <c r="HV36" s="198"/>
      <c r="HW36" s="198"/>
      <c r="HX36" s="198"/>
      <c r="HY36" s="198"/>
      <c r="HZ36" s="198"/>
      <c r="IA36" s="198"/>
      <c r="IB36" s="198"/>
      <c r="IC36" s="198"/>
      <c r="ID36" s="198"/>
      <c r="IE36" s="198"/>
      <c r="IF36" s="198"/>
      <c r="IG36" s="198"/>
      <c r="IH36" s="198"/>
      <c r="II36" s="198"/>
      <c r="IJ36" s="198"/>
      <c r="IK36" s="198"/>
      <c r="IL36" s="198"/>
      <c r="IM36" s="198"/>
      <c r="IN36" s="198"/>
      <c r="IO36" s="198"/>
      <c r="IP36" s="198"/>
      <c r="IQ36" s="198"/>
      <c r="IR36" s="198"/>
      <c r="IS36" s="198"/>
      <c r="IT36" s="198"/>
      <c r="IU36" s="198"/>
      <c r="IV36" s="198"/>
    </row>
    <row r="37" spans="1:256" x14ac:dyDescent="0.25">
      <c r="J37" s="194"/>
      <c r="K37" s="194"/>
      <c r="L37" s="194"/>
      <c r="M37" s="200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IQ37" s="148"/>
      <c r="IR37" s="148"/>
      <c r="IS37" s="148"/>
      <c r="IT37" s="148"/>
      <c r="IU37" s="148"/>
      <c r="IV37" s="148"/>
    </row>
    <row r="38" spans="1:256" x14ac:dyDescent="0.25">
      <c r="A38" s="409">
        <v>1</v>
      </c>
      <c r="B38" s="76">
        <f t="shared" ref="B38:AA38" si="9">+A38+1</f>
        <v>2</v>
      </c>
      <c r="C38" s="76">
        <f t="shared" si="9"/>
        <v>3</v>
      </c>
      <c r="D38" s="76">
        <f t="shared" si="9"/>
        <v>4</v>
      </c>
      <c r="E38" s="76">
        <f t="shared" si="9"/>
        <v>5</v>
      </c>
      <c r="F38" s="76">
        <f t="shared" si="9"/>
        <v>6</v>
      </c>
      <c r="G38" s="76">
        <f t="shared" si="9"/>
        <v>7</v>
      </c>
      <c r="H38" s="76">
        <f t="shared" si="9"/>
        <v>8</v>
      </c>
      <c r="I38" s="76">
        <f t="shared" si="9"/>
        <v>9</v>
      </c>
      <c r="J38" s="76">
        <f t="shared" si="9"/>
        <v>10</v>
      </c>
      <c r="K38" s="76">
        <f t="shared" si="9"/>
        <v>11</v>
      </c>
      <c r="L38" s="76">
        <f t="shared" si="9"/>
        <v>12</v>
      </c>
      <c r="M38" s="76">
        <f t="shared" si="9"/>
        <v>13</v>
      </c>
      <c r="N38" s="76">
        <f t="shared" si="9"/>
        <v>14</v>
      </c>
      <c r="O38" s="76">
        <f t="shared" si="9"/>
        <v>15</v>
      </c>
      <c r="P38" s="76">
        <f t="shared" si="9"/>
        <v>16</v>
      </c>
      <c r="Q38" s="76">
        <f t="shared" si="9"/>
        <v>17</v>
      </c>
      <c r="R38" s="76">
        <f t="shared" si="9"/>
        <v>18</v>
      </c>
      <c r="S38" s="76">
        <f t="shared" si="9"/>
        <v>19</v>
      </c>
      <c r="T38" s="76">
        <f t="shared" si="9"/>
        <v>20</v>
      </c>
      <c r="U38" s="76">
        <f t="shared" si="9"/>
        <v>21</v>
      </c>
      <c r="V38" s="76">
        <f t="shared" si="9"/>
        <v>22</v>
      </c>
      <c r="W38" s="76">
        <f t="shared" si="9"/>
        <v>23</v>
      </c>
      <c r="X38" s="76">
        <f t="shared" si="9"/>
        <v>24</v>
      </c>
      <c r="Y38" s="76">
        <f t="shared" si="9"/>
        <v>25</v>
      </c>
      <c r="Z38" s="76">
        <f t="shared" si="9"/>
        <v>26</v>
      </c>
      <c r="AA38" s="76">
        <f t="shared" si="9"/>
        <v>27</v>
      </c>
      <c r="AB38" s="76">
        <f>+AA38+1</f>
        <v>28</v>
      </c>
      <c r="AC38" s="76">
        <f>+AB38+1</f>
        <v>29</v>
      </c>
      <c r="AD38" s="76">
        <f t="shared" ref="AD38:BL38" si="10">+AC38+1</f>
        <v>30</v>
      </c>
      <c r="AE38" s="76">
        <f t="shared" si="10"/>
        <v>31</v>
      </c>
      <c r="AF38" s="76">
        <f t="shared" si="10"/>
        <v>32</v>
      </c>
      <c r="AG38" s="76">
        <f t="shared" si="10"/>
        <v>33</v>
      </c>
      <c r="AH38" s="76">
        <f t="shared" si="10"/>
        <v>34</v>
      </c>
      <c r="AI38" s="76">
        <f t="shared" si="10"/>
        <v>35</v>
      </c>
      <c r="AJ38" s="76">
        <f t="shared" si="10"/>
        <v>36</v>
      </c>
      <c r="AK38" s="76">
        <f t="shared" si="10"/>
        <v>37</v>
      </c>
      <c r="AL38" s="76">
        <f t="shared" si="10"/>
        <v>38</v>
      </c>
      <c r="AM38" s="76">
        <f t="shared" si="10"/>
        <v>39</v>
      </c>
      <c r="AN38" s="76">
        <f t="shared" si="10"/>
        <v>40</v>
      </c>
      <c r="AO38" s="76">
        <f t="shared" si="10"/>
        <v>41</v>
      </c>
      <c r="AP38" s="76">
        <f t="shared" si="10"/>
        <v>42</v>
      </c>
      <c r="AQ38" s="76">
        <f t="shared" si="10"/>
        <v>43</v>
      </c>
      <c r="AR38" s="76">
        <f t="shared" si="10"/>
        <v>44</v>
      </c>
      <c r="AS38" s="76">
        <f t="shared" si="10"/>
        <v>45</v>
      </c>
      <c r="AT38" s="76">
        <f t="shared" si="10"/>
        <v>46</v>
      </c>
      <c r="AU38" s="76">
        <f t="shared" si="10"/>
        <v>47</v>
      </c>
      <c r="AV38" s="76">
        <f t="shared" si="10"/>
        <v>48</v>
      </c>
      <c r="AW38" s="76">
        <f t="shared" si="10"/>
        <v>49</v>
      </c>
      <c r="AX38" s="76">
        <f t="shared" si="10"/>
        <v>50</v>
      </c>
      <c r="AY38" s="76">
        <f t="shared" si="10"/>
        <v>51</v>
      </c>
      <c r="AZ38" s="76">
        <f t="shared" si="10"/>
        <v>52</v>
      </c>
      <c r="BA38" s="76">
        <f t="shared" si="10"/>
        <v>53</v>
      </c>
      <c r="BB38" s="76">
        <f t="shared" si="10"/>
        <v>54</v>
      </c>
      <c r="BC38" s="76">
        <f t="shared" si="10"/>
        <v>55</v>
      </c>
      <c r="BD38" s="76">
        <f t="shared" si="10"/>
        <v>56</v>
      </c>
      <c r="BE38" s="76">
        <f t="shared" si="10"/>
        <v>57</v>
      </c>
      <c r="BF38" s="76">
        <f t="shared" si="10"/>
        <v>58</v>
      </c>
      <c r="BG38" s="76">
        <f t="shared" si="10"/>
        <v>59</v>
      </c>
      <c r="BH38" s="76">
        <f t="shared" si="10"/>
        <v>60</v>
      </c>
      <c r="BI38" s="76">
        <f t="shared" si="10"/>
        <v>61</v>
      </c>
      <c r="BJ38" s="76">
        <f t="shared" si="10"/>
        <v>62</v>
      </c>
      <c r="BK38" s="76">
        <f t="shared" si="10"/>
        <v>63</v>
      </c>
      <c r="BL38" s="76">
        <f t="shared" si="10"/>
        <v>64</v>
      </c>
      <c r="IR38" s="148"/>
      <c r="IS38" s="148"/>
      <c r="IT38" s="148"/>
      <c r="IU38" s="148"/>
      <c r="IV38" s="148"/>
    </row>
  </sheetData>
  <printOptions gridLines="1" gridLinesSet="0"/>
  <pageMargins left="0.25" right="0.25" top="0.25" bottom="0.25" header="0.5" footer="0.5"/>
  <pageSetup paperSize="5" scale="26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D48"/>
  <sheetViews>
    <sheetView zoomScale="90" workbookViewId="0">
      <pane xSplit="1" ySplit="3" topLeftCell="B4" activePane="bottomRight" state="frozen"/>
      <selection activeCell="F4" sqref="F4"/>
      <selection pane="topRight" activeCell="F4" sqref="F4"/>
      <selection pane="bottomLeft" activeCell="F4" sqref="F4"/>
      <selection pane="bottomRight" activeCell="B4" sqref="B4"/>
    </sheetView>
  </sheetViews>
  <sheetFormatPr defaultColWidth="9.33203125" defaultRowHeight="13.2" x14ac:dyDescent="0.25"/>
  <cols>
    <col min="1" max="1" width="17" style="163" customWidth="1"/>
    <col min="2" max="2" width="18" style="151" customWidth="1"/>
    <col min="3" max="3" width="14" style="151" customWidth="1"/>
    <col min="4" max="4" width="15.33203125" style="164" customWidth="1"/>
    <col min="5" max="5" width="13.6640625" style="151" customWidth="1"/>
    <col min="6" max="6" width="13.33203125" style="151" customWidth="1"/>
    <col min="7" max="7" width="13.6640625" style="151" customWidth="1"/>
    <col min="8" max="8" width="12.109375" style="171" customWidth="1"/>
    <col min="9" max="9" width="13.33203125" hidden="1" customWidth="1"/>
    <col min="10" max="10" width="16.33203125" style="166" customWidth="1"/>
    <col min="11" max="11" width="14.44140625" style="79" customWidth="1"/>
    <col min="12" max="12" width="15.33203125" style="164" customWidth="1"/>
    <col min="13" max="13" width="15.33203125" style="171" customWidth="1"/>
    <col min="14" max="14" width="1" style="151" hidden="1" customWidth="1"/>
    <col min="15" max="15" width="13.77734375" style="151" customWidth="1"/>
    <col min="16" max="16" width="10.77734375" style="163" customWidth="1"/>
    <col min="17" max="17" width="2.6640625" style="172" customWidth="1"/>
    <col min="18" max="18" width="16.6640625" style="173" customWidth="1"/>
    <col min="19" max="19" width="16.6640625" style="174" customWidth="1"/>
    <col min="20" max="20" width="8.77734375" style="151" customWidth="1"/>
    <col min="21" max="21" width="2.77734375" style="151" customWidth="1"/>
    <col min="22" max="22" width="14" style="151" customWidth="1"/>
    <col min="23" max="23" width="11.109375" style="151" bestFit="1" customWidth="1"/>
    <col min="24" max="24" width="23.44140625" style="151" bestFit="1" customWidth="1"/>
    <col min="25" max="25" width="13.44140625" style="151" bestFit="1" customWidth="1"/>
    <col min="26" max="26" width="12.109375" style="151" customWidth="1"/>
    <col min="27" max="16384" width="9.33203125" style="151"/>
  </cols>
  <sheetData>
    <row r="1" spans="1:30" s="113" customFormat="1" ht="24.9" customHeight="1" x14ac:dyDescent="0.5">
      <c r="A1" s="110" t="s">
        <v>53</v>
      </c>
      <c r="B1" s="111"/>
      <c r="C1" s="111"/>
      <c r="D1" s="112"/>
      <c r="G1"/>
      <c r="H1"/>
      <c r="I1"/>
      <c r="J1"/>
      <c r="K1" s="114"/>
      <c r="L1" s="115"/>
      <c r="M1" s="111"/>
      <c r="P1" s="115"/>
      <c r="Q1" s="116"/>
      <c r="R1" s="117"/>
      <c r="S1" s="118"/>
      <c r="T1" s="119"/>
      <c r="U1" s="118"/>
      <c r="V1" s="118"/>
      <c r="W1" s="118"/>
      <c r="X1" s="120"/>
    </row>
    <row r="2" spans="1:30" s="125" customFormat="1" ht="15" customHeight="1" thickBot="1" x14ac:dyDescent="0.3">
      <c r="A2" s="121">
        <f ca="1">NOW()</f>
        <v>36714.560631018518</v>
      </c>
      <c r="B2" s="122" t="s">
        <v>54</v>
      </c>
      <c r="C2" s="123"/>
      <c r="D2" s="124"/>
      <c r="E2" s="123"/>
      <c r="F2" s="123"/>
      <c r="G2" s="123"/>
      <c r="I2"/>
      <c r="J2" s="126" t="s">
        <v>55</v>
      </c>
      <c r="L2" s="127"/>
      <c r="N2" s="128"/>
      <c r="O2" s="123"/>
      <c r="P2" s="129"/>
      <c r="R2" s="130"/>
      <c r="S2" s="129"/>
      <c r="T2" s="123"/>
    </row>
    <row r="3" spans="1:30" s="137" customFormat="1" ht="57.9" customHeight="1" thickTop="1" thickBot="1" x14ac:dyDescent="0.3">
      <c r="A3" s="131" t="s">
        <v>56</v>
      </c>
      <c r="B3" s="131" t="s">
        <v>57</v>
      </c>
      <c r="C3" s="131" t="s">
        <v>58</v>
      </c>
      <c r="D3" s="132" t="s">
        <v>59</v>
      </c>
      <c r="E3" s="133" t="s">
        <v>60</v>
      </c>
      <c r="F3" s="134" t="s">
        <v>61</v>
      </c>
      <c r="G3" s="131" t="s">
        <v>62</v>
      </c>
      <c r="H3" s="131" t="s">
        <v>63</v>
      </c>
      <c r="I3"/>
      <c r="J3" s="132" t="s">
        <v>64</v>
      </c>
      <c r="K3" s="131" t="s">
        <v>65</v>
      </c>
      <c r="L3" s="132" t="s">
        <v>176</v>
      </c>
      <c r="M3" s="131" t="s">
        <v>66</v>
      </c>
      <c r="N3" s="131" t="s">
        <v>67</v>
      </c>
      <c r="O3" s="131" t="s">
        <v>68</v>
      </c>
      <c r="P3" s="131" t="s">
        <v>69</v>
      </c>
      <c r="Q3" s="135"/>
      <c r="R3" s="136" t="s">
        <v>70</v>
      </c>
      <c r="S3" s="136" t="s">
        <v>71</v>
      </c>
      <c r="T3" s="131" t="s">
        <v>72</v>
      </c>
      <c r="X3" s="441" t="s">
        <v>317</v>
      </c>
      <c r="Y3" s="442" t="s">
        <v>318</v>
      </c>
      <c r="Z3" s="443" t="s">
        <v>85</v>
      </c>
    </row>
    <row r="4" spans="1:30" s="148" customFormat="1" ht="13.8" thickBot="1" x14ac:dyDescent="0.3">
      <c r="A4" s="138">
        <f>BaseloadMarkets!A6</f>
        <v>36678</v>
      </c>
      <c r="B4" s="139">
        <f>+EES!C5</f>
        <v>70000</v>
      </c>
      <c r="C4" s="140">
        <v>0</v>
      </c>
      <c r="D4" s="141">
        <v>0</v>
      </c>
      <c r="E4" s="141">
        <v>0</v>
      </c>
      <c r="F4" s="139">
        <v>0</v>
      </c>
      <c r="G4" s="139">
        <f>+BaseloadMarkets!DS6+OCCMarkets!CN6+SwingMarkets!DS6+EOLMarkets!ER6</f>
        <v>583177</v>
      </c>
      <c r="H4" s="142">
        <f>SUM(B4:G4)</f>
        <v>653177</v>
      </c>
      <c r="I4"/>
      <c r="J4" s="141">
        <v>0</v>
      </c>
      <c r="K4" s="143">
        <v>0</v>
      </c>
      <c r="L4" s="141">
        <f>28904+15117</f>
        <v>44021</v>
      </c>
      <c r="M4" s="139">
        <f>Supplies!BD6+EOLSupplies!DT6</f>
        <v>678463</v>
      </c>
      <c r="N4" s="139">
        <v>0</v>
      </c>
      <c r="O4" s="142">
        <f t="shared" ref="O4:O32" si="0">SUM(J4:N4)</f>
        <v>722484</v>
      </c>
      <c r="P4" s="144">
        <f t="shared" ref="P4:P32" si="1">A4</f>
        <v>36678</v>
      </c>
      <c r="Q4" s="75"/>
      <c r="R4" s="145">
        <f t="shared" ref="R4:R32" si="2">+O4-H4</f>
        <v>69307</v>
      </c>
      <c r="S4" s="145">
        <f>R4</f>
        <v>69307</v>
      </c>
      <c r="T4" s="146">
        <f t="shared" ref="T4:T32" si="3">A4</f>
        <v>36678</v>
      </c>
      <c r="U4" s="147"/>
      <c r="V4" s="147">
        <f>M4+L4-B4-(+BaseloadMarkets!DT6+OCCMarkets!CO6+SwingMarkets!DT6+EOLMarkets!ER6)-EES!AK5</f>
        <v>0</v>
      </c>
      <c r="W4" s="147"/>
      <c r="X4" s="147">
        <f>+O4</f>
        <v>722484</v>
      </c>
      <c r="Y4" s="147"/>
      <c r="Z4" s="150" t="str">
        <f>IF(Y4="","",X4-Y4)</f>
        <v/>
      </c>
      <c r="AB4" s="17">
        <f t="shared" ref="AB4:AB33" si="4">ROUND(+V4/2,0)</f>
        <v>0</v>
      </c>
      <c r="AD4" s="148">
        <v>0</v>
      </c>
    </row>
    <row r="5" spans="1:30" s="148" customFormat="1" ht="13.8" thickBot="1" x14ac:dyDescent="0.3">
      <c r="A5" s="138">
        <f>BaseloadMarkets!A7</f>
        <v>36679</v>
      </c>
      <c r="B5" s="139">
        <f>+EES!C6</f>
        <v>70000</v>
      </c>
      <c r="C5" s="140">
        <v>0</v>
      </c>
      <c r="D5" s="141">
        <v>0</v>
      </c>
      <c r="E5" s="141">
        <v>0</v>
      </c>
      <c r="F5" s="139">
        <v>0</v>
      </c>
      <c r="G5" s="139">
        <f>+BaseloadMarkets!DS7+OCCMarkets!CN7+SwingMarkets!DS7+EOLMarkets!ER7</f>
        <v>601714</v>
      </c>
      <c r="H5" s="142">
        <f>SUM(B5:G5)</f>
        <v>671714</v>
      </c>
      <c r="I5"/>
      <c r="J5" s="141">
        <v>0</v>
      </c>
      <c r="K5" s="143">
        <v>0</v>
      </c>
      <c r="L5" s="141">
        <f>28071+19693</f>
        <v>47764</v>
      </c>
      <c r="M5" s="139">
        <f>Supplies!BD7+EOLSupplies!DT7</f>
        <v>660998</v>
      </c>
      <c r="N5" s="139">
        <v>0</v>
      </c>
      <c r="O5" s="142">
        <f t="shared" si="0"/>
        <v>708762</v>
      </c>
      <c r="P5" s="144">
        <f t="shared" si="1"/>
        <v>36679</v>
      </c>
      <c r="Q5" s="75"/>
      <c r="R5" s="145">
        <f t="shared" si="2"/>
        <v>37048</v>
      </c>
      <c r="S5" s="145">
        <f t="shared" ref="S5:S32" si="5">S4+R5</f>
        <v>106355</v>
      </c>
      <c r="T5" s="146">
        <f t="shared" si="3"/>
        <v>36679</v>
      </c>
      <c r="U5" s="147"/>
      <c r="V5" s="147">
        <f>M5+L5-B5-(+BaseloadMarkets!DT7+OCCMarkets!CO7+SwingMarkets!DT7+EOLMarkets!ER7)-EES!AK6</f>
        <v>0</v>
      </c>
      <c r="W5" s="147"/>
      <c r="X5" s="147">
        <f t="shared" ref="X5:X32" si="6">+X4+O5</f>
        <v>1431246</v>
      </c>
      <c r="Y5" s="149"/>
      <c r="Z5" s="150" t="str">
        <f t="shared" ref="Z5:Z33" si="7">IF(Y5="","",X5-Y5)</f>
        <v/>
      </c>
      <c r="AB5" s="17">
        <f t="shared" si="4"/>
        <v>0</v>
      </c>
      <c r="AD5" s="148">
        <v>0</v>
      </c>
    </row>
    <row r="6" spans="1:30" ht="13.8" thickBot="1" x14ac:dyDescent="0.3">
      <c r="A6" s="138">
        <f>BaseloadMarkets!A8</f>
        <v>36680</v>
      </c>
      <c r="B6" s="139">
        <f>+EES!C7</f>
        <v>70000</v>
      </c>
      <c r="C6" s="140">
        <v>0</v>
      </c>
      <c r="D6" s="141">
        <v>0</v>
      </c>
      <c r="E6" s="141">
        <v>0</v>
      </c>
      <c r="F6" s="139">
        <v>0</v>
      </c>
      <c r="G6" s="139">
        <f>+BaseloadMarkets!DS8+OCCMarkets!CN8+SwingMarkets!DS8+EOLMarkets!ER8</f>
        <v>414074</v>
      </c>
      <c r="H6" s="142">
        <f>SUM(B6:G6)</f>
        <v>484074</v>
      </c>
      <c r="J6" s="141">
        <v>0</v>
      </c>
      <c r="K6" s="143">
        <v>0</v>
      </c>
      <c r="L6" s="141">
        <f>20951+9576</f>
        <v>30527</v>
      </c>
      <c r="M6" s="139">
        <f>Supplies!BD8+EOLSupplies!DT8</f>
        <v>424656</v>
      </c>
      <c r="N6" s="139">
        <v>0</v>
      </c>
      <c r="O6" s="142">
        <f t="shared" si="0"/>
        <v>455183</v>
      </c>
      <c r="P6" s="144">
        <f t="shared" si="1"/>
        <v>36680</v>
      </c>
      <c r="Q6" s="75"/>
      <c r="R6" s="145">
        <f t="shared" si="2"/>
        <v>-28891</v>
      </c>
      <c r="S6" s="145">
        <f t="shared" si="5"/>
        <v>77464</v>
      </c>
      <c r="T6" s="146">
        <f t="shared" si="3"/>
        <v>36680</v>
      </c>
      <c r="U6" s="150"/>
      <c r="V6" s="147">
        <f>M6+L6-B6-(+BaseloadMarkets!DT8+OCCMarkets!CO8+SwingMarkets!DT8+EOLMarkets!ER8)-EES!AK7</f>
        <v>0</v>
      </c>
      <c r="W6" s="147"/>
      <c r="X6" s="147">
        <f t="shared" si="6"/>
        <v>1886429</v>
      </c>
      <c r="Y6" s="150"/>
      <c r="Z6" s="150" t="str">
        <f t="shared" si="7"/>
        <v/>
      </c>
      <c r="AB6" s="17">
        <f t="shared" si="4"/>
        <v>0</v>
      </c>
      <c r="AD6" s="148">
        <v>0</v>
      </c>
    </row>
    <row r="7" spans="1:30" ht="13.8" thickBot="1" x14ac:dyDescent="0.3">
      <c r="A7" s="138">
        <f>BaseloadMarkets!A9</f>
        <v>36681</v>
      </c>
      <c r="B7" s="139">
        <f>+EES!C8</f>
        <v>70000</v>
      </c>
      <c r="C7" s="140">
        <v>0</v>
      </c>
      <c r="D7" s="141">
        <v>0</v>
      </c>
      <c r="E7" s="141">
        <v>0</v>
      </c>
      <c r="F7" s="139">
        <v>0</v>
      </c>
      <c r="G7" s="139">
        <f>+BaseloadMarkets!DS9+OCCMarkets!CN9+SwingMarkets!DS9+EOLMarkets!ER9</f>
        <v>399388</v>
      </c>
      <c r="H7" s="142">
        <f>SUM(B7:G7)</f>
        <v>469388</v>
      </c>
      <c r="J7" s="141">
        <v>0</v>
      </c>
      <c r="K7" s="143">
        <v>0</v>
      </c>
      <c r="L7" s="141">
        <f>9802+21738</f>
        <v>31540</v>
      </c>
      <c r="M7" s="139">
        <f>Supplies!BD9+EOLSupplies!DT9</f>
        <v>408658</v>
      </c>
      <c r="N7" s="139">
        <v>0</v>
      </c>
      <c r="O7" s="142">
        <f t="shared" si="0"/>
        <v>440198</v>
      </c>
      <c r="P7" s="144">
        <f t="shared" si="1"/>
        <v>36681</v>
      </c>
      <c r="Q7" s="75"/>
      <c r="R7" s="145">
        <f t="shared" si="2"/>
        <v>-29190</v>
      </c>
      <c r="S7" s="145">
        <f t="shared" si="5"/>
        <v>48274</v>
      </c>
      <c r="T7" s="146">
        <f t="shared" si="3"/>
        <v>36681</v>
      </c>
      <c r="U7" s="150"/>
      <c r="V7" s="147">
        <f>M7+L7-B7-(+BaseloadMarkets!DT9+OCCMarkets!CO9+SwingMarkets!DT9+EOLMarkets!ER9)-EES!AK8</f>
        <v>0</v>
      </c>
      <c r="W7" s="147"/>
      <c r="X7" s="147">
        <f t="shared" si="6"/>
        <v>2326627</v>
      </c>
      <c r="Y7" s="150"/>
      <c r="Z7" s="150" t="str">
        <f t="shared" si="7"/>
        <v/>
      </c>
      <c r="AB7" s="17">
        <f t="shared" si="4"/>
        <v>0</v>
      </c>
      <c r="AD7" s="148">
        <v>0</v>
      </c>
    </row>
    <row r="8" spans="1:30" s="79" customFormat="1" ht="13.8" thickBot="1" x14ac:dyDescent="0.3">
      <c r="A8" s="138">
        <f>BaseloadMarkets!A10</f>
        <v>36682</v>
      </c>
      <c r="B8" s="139">
        <f>+EES!C9</f>
        <v>70000</v>
      </c>
      <c r="C8" s="140">
        <v>0</v>
      </c>
      <c r="D8" s="141">
        <v>0</v>
      </c>
      <c r="E8" s="141">
        <v>0</v>
      </c>
      <c r="F8" s="139">
        <v>0</v>
      </c>
      <c r="G8" s="139">
        <f>+BaseloadMarkets!DS10+OCCMarkets!CN10+SwingMarkets!DS10+EOLMarkets!ER10</f>
        <v>407944</v>
      </c>
      <c r="H8" s="142">
        <f t="shared" ref="H8:H32" si="8">SUM(B8:G8)</f>
        <v>477944</v>
      </c>
      <c r="I8"/>
      <c r="J8" s="141">
        <v>0</v>
      </c>
      <c r="K8" s="143">
        <v>0</v>
      </c>
      <c r="L8" s="141">
        <f>16488+23522</f>
        <v>40010</v>
      </c>
      <c r="M8" s="139">
        <f>Supplies!BD10+EOLSupplies!DT10</f>
        <v>445230</v>
      </c>
      <c r="N8" s="139">
        <v>0</v>
      </c>
      <c r="O8" s="142">
        <f t="shared" si="0"/>
        <v>485240</v>
      </c>
      <c r="P8" s="144">
        <f t="shared" si="1"/>
        <v>36682</v>
      </c>
      <c r="Q8" s="107"/>
      <c r="R8" s="145">
        <f t="shared" si="2"/>
        <v>7296</v>
      </c>
      <c r="S8" s="145">
        <f t="shared" si="5"/>
        <v>55570</v>
      </c>
      <c r="T8" s="146">
        <f t="shared" si="3"/>
        <v>36682</v>
      </c>
      <c r="U8" s="107"/>
      <c r="V8" s="147">
        <f>M8+L8-B8-(+BaseloadMarkets!DT10+OCCMarkets!CO10+SwingMarkets!DT10+EOLMarkets!ER10)-EES!AK9</f>
        <v>0</v>
      </c>
      <c r="W8" s="147"/>
      <c r="X8" s="147">
        <f t="shared" si="6"/>
        <v>2811867</v>
      </c>
      <c r="Y8" s="107"/>
      <c r="Z8" s="150" t="str">
        <f t="shared" si="7"/>
        <v/>
      </c>
      <c r="AB8" s="17">
        <f t="shared" si="4"/>
        <v>0</v>
      </c>
      <c r="AD8" s="148">
        <v>0</v>
      </c>
    </row>
    <row r="9" spans="1:30" s="79" customFormat="1" ht="13.8" thickBot="1" x14ac:dyDescent="0.3">
      <c r="A9" s="138">
        <f>BaseloadMarkets!A11</f>
        <v>36683</v>
      </c>
      <c r="B9" s="139">
        <f>+EES!C10</f>
        <v>70000</v>
      </c>
      <c r="C9" s="140">
        <v>0</v>
      </c>
      <c r="D9" s="141">
        <v>0</v>
      </c>
      <c r="E9" s="141">
        <v>0</v>
      </c>
      <c r="F9" s="139">
        <v>0</v>
      </c>
      <c r="G9" s="139">
        <f>+BaseloadMarkets!DS11+OCCMarkets!CN11+SwingMarkets!DS11+EOLMarkets!ER11</f>
        <v>774336</v>
      </c>
      <c r="H9" s="142">
        <f t="shared" si="8"/>
        <v>844336</v>
      </c>
      <c r="I9"/>
      <c r="J9" s="141">
        <v>0</v>
      </c>
      <c r="K9" s="143">
        <v>0</v>
      </c>
      <c r="L9" s="141">
        <f>17310+20093</f>
        <v>37403</v>
      </c>
      <c r="M9" s="139">
        <f>Supplies!BD11+EOLSupplies!DT11</f>
        <v>836655</v>
      </c>
      <c r="N9" s="139">
        <v>0</v>
      </c>
      <c r="O9" s="142">
        <f t="shared" si="0"/>
        <v>874058</v>
      </c>
      <c r="P9" s="144">
        <f t="shared" si="1"/>
        <v>36683</v>
      </c>
      <c r="Q9" s="107"/>
      <c r="R9" s="145">
        <f t="shared" si="2"/>
        <v>29722</v>
      </c>
      <c r="S9" s="145">
        <f t="shared" si="5"/>
        <v>85292</v>
      </c>
      <c r="T9" s="146">
        <f t="shared" si="3"/>
        <v>36683</v>
      </c>
      <c r="U9" s="107"/>
      <c r="V9" s="147">
        <f>M9+L9-B9-(+BaseloadMarkets!DT11+OCCMarkets!CO11+SwingMarkets!DT11+EOLMarkets!ER11)-EES!AK10</f>
        <v>0</v>
      </c>
      <c r="W9" s="147"/>
      <c r="X9" s="147">
        <f t="shared" si="6"/>
        <v>3685925</v>
      </c>
      <c r="Y9" s="107"/>
      <c r="Z9" s="150" t="str">
        <f t="shared" si="7"/>
        <v/>
      </c>
      <c r="AB9" s="17">
        <f t="shared" si="4"/>
        <v>0</v>
      </c>
      <c r="AD9" s="148">
        <v>0</v>
      </c>
    </row>
    <row r="10" spans="1:30" s="79" customFormat="1" ht="13.8" thickBot="1" x14ac:dyDescent="0.3">
      <c r="A10" s="138">
        <f>BaseloadMarkets!A12</f>
        <v>36684</v>
      </c>
      <c r="B10" s="139">
        <f>+EES!C11</f>
        <v>70000</v>
      </c>
      <c r="C10" s="140">
        <v>0</v>
      </c>
      <c r="D10" s="141">
        <v>0</v>
      </c>
      <c r="E10" s="141">
        <v>0</v>
      </c>
      <c r="F10" s="139">
        <v>0</v>
      </c>
      <c r="G10" s="139">
        <f>+BaseloadMarkets!DS12+OCCMarkets!CN12+SwingMarkets!DS12+EOLMarkets!ER12</f>
        <v>412582</v>
      </c>
      <c r="H10" s="142">
        <f t="shared" si="8"/>
        <v>482582</v>
      </c>
      <c r="I10"/>
      <c r="J10" s="141">
        <v>0</v>
      </c>
      <c r="K10" s="143">
        <v>0</v>
      </c>
      <c r="L10" s="141">
        <f>19721+20000</f>
        <v>39721</v>
      </c>
      <c r="M10" s="139">
        <f>Supplies!BD12+EOLSupplies!DT12</f>
        <v>536879</v>
      </c>
      <c r="N10" s="139">
        <v>0</v>
      </c>
      <c r="O10" s="142">
        <f t="shared" si="0"/>
        <v>576600</v>
      </c>
      <c r="P10" s="144">
        <f t="shared" si="1"/>
        <v>36684</v>
      </c>
      <c r="Q10" s="107"/>
      <c r="R10" s="145">
        <f t="shared" si="2"/>
        <v>94018</v>
      </c>
      <c r="S10" s="145">
        <f t="shared" si="5"/>
        <v>179310</v>
      </c>
      <c r="T10" s="146">
        <f t="shared" si="3"/>
        <v>36684</v>
      </c>
      <c r="U10" s="107"/>
      <c r="V10" s="147">
        <f>M10+L10-B10-(+BaseloadMarkets!DT12+OCCMarkets!CO12+SwingMarkets!DT12+EOLMarkets!ER12)-EES!AK11</f>
        <v>0</v>
      </c>
      <c r="W10" s="147"/>
      <c r="X10" s="147">
        <f t="shared" si="6"/>
        <v>4262525</v>
      </c>
      <c r="Z10" s="150" t="str">
        <f t="shared" si="7"/>
        <v/>
      </c>
      <c r="AB10" s="17">
        <f t="shared" si="4"/>
        <v>0</v>
      </c>
      <c r="AD10" s="148">
        <v>0</v>
      </c>
    </row>
    <row r="11" spans="1:30" s="79" customFormat="1" ht="13.8" thickBot="1" x14ac:dyDescent="0.3">
      <c r="A11" s="138">
        <f>BaseloadMarkets!A13</f>
        <v>36685</v>
      </c>
      <c r="B11" s="139">
        <f>+EES!C12</f>
        <v>70000</v>
      </c>
      <c r="C11" s="140">
        <v>0</v>
      </c>
      <c r="D11" s="141">
        <v>0</v>
      </c>
      <c r="E11" s="141">
        <v>0</v>
      </c>
      <c r="F11" s="139">
        <v>0</v>
      </c>
      <c r="G11" s="139">
        <f>+BaseloadMarkets!DS13+OCCMarkets!CN13+SwingMarkets!DS13+EOLMarkets!ER13</f>
        <v>462731</v>
      </c>
      <c r="H11" s="142">
        <f t="shared" si="8"/>
        <v>532731</v>
      </c>
      <c r="I11"/>
      <c r="J11" s="141">
        <v>0</v>
      </c>
      <c r="K11" s="143">
        <v>0</v>
      </c>
      <c r="L11" s="141">
        <f>20155+16726</f>
        <v>36881</v>
      </c>
      <c r="M11" s="139">
        <f>Supplies!BD13+EOLSupplies!DT13</f>
        <v>641223</v>
      </c>
      <c r="N11" s="139">
        <v>0</v>
      </c>
      <c r="O11" s="142">
        <f t="shared" si="0"/>
        <v>678104</v>
      </c>
      <c r="P11" s="144">
        <f t="shared" si="1"/>
        <v>36685</v>
      </c>
      <c r="Q11" s="107"/>
      <c r="R11" s="145">
        <f t="shared" si="2"/>
        <v>145373</v>
      </c>
      <c r="S11" s="145">
        <f t="shared" si="5"/>
        <v>324683</v>
      </c>
      <c r="T11" s="146">
        <f t="shared" si="3"/>
        <v>36685</v>
      </c>
      <c r="U11" s="107"/>
      <c r="V11" s="147">
        <f>M11+L11-B11-(+BaseloadMarkets!DT13+OCCMarkets!CO13+SwingMarkets!DT13+EOLMarkets!ER13)-EES!AK12</f>
        <v>0</v>
      </c>
      <c r="W11" s="147"/>
      <c r="X11" s="147">
        <f t="shared" si="6"/>
        <v>4940629</v>
      </c>
      <c r="Z11" s="150" t="str">
        <f t="shared" si="7"/>
        <v/>
      </c>
      <c r="AB11" s="17">
        <f t="shared" si="4"/>
        <v>0</v>
      </c>
      <c r="AD11" s="148">
        <v>0</v>
      </c>
    </row>
    <row r="12" spans="1:30" ht="13.8" thickBot="1" x14ac:dyDescent="0.3">
      <c r="A12" s="138">
        <f>BaseloadMarkets!A14</f>
        <v>36686</v>
      </c>
      <c r="B12" s="139">
        <f>+EES!C13</f>
        <v>70000</v>
      </c>
      <c r="C12" s="140">
        <v>0</v>
      </c>
      <c r="D12" s="141">
        <v>0</v>
      </c>
      <c r="E12" s="141">
        <v>0</v>
      </c>
      <c r="F12" s="139">
        <v>0</v>
      </c>
      <c r="G12" s="139">
        <f>+BaseloadMarkets!DS14+OCCMarkets!CN14+SwingMarkets!DS14+EOLMarkets!ER14</f>
        <v>596182</v>
      </c>
      <c r="H12" s="142">
        <f t="shared" si="8"/>
        <v>666182</v>
      </c>
      <c r="J12" s="141">
        <v>0</v>
      </c>
      <c r="K12" s="143">
        <v>0</v>
      </c>
      <c r="L12" s="141">
        <f>18806+19999+1</f>
        <v>38806</v>
      </c>
      <c r="M12" s="139">
        <f>Supplies!BD14+EOLSupplies!DT14</f>
        <v>736053</v>
      </c>
      <c r="N12" s="139">
        <v>0</v>
      </c>
      <c r="O12" s="142">
        <f t="shared" si="0"/>
        <v>774859</v>
      </c>
      <c r="P12" s="144">
        <f t="shared" si="1"/>
        <v>36686</v>
      </c>
      <c r="Q12" s="75"/>
      <c r="R12" s="145">
        <f t="shared" si="2"/>
        <v>108677</v>
      </c>
      <c r="S12" s="145">
        <f t="shared" si="5"/>
        <v>433360</v>
      </c>
      <c r="T12" s="146">
        <f t="shared" si="3"/>
        <v>36686</v>
      </c>
      <c r="U12" s="150"/>
      <c r="V12" s="147">
        <f>M12+L12-B12-(+BaseloadMarkets!DT14+OCCMarkets!CO14+SwingMarkets!DT14+EOLMarkets!ER14)-EES!AK13</f>
        <v>0</v>
      </c>
      <c r="W12" s="147"/>
      <c r="X12" s="147">
        <f t="shared" si="6"/>
        <v>5715488</v>
      </c>
      <c r="Z12" s="150" t="str">
        <f t="shared" si="7"/>
        <v/>
      </c>
      <c r="AB12" s="17">
        <f t="shared" si="4"/>
        <v>0</v>
      </c>
      <c r="AD12" s="148">
        <v>0</v>
      </c>
    </row>
    <row r="13" spans="1:30" ht="13.8" thickBot="1" x14ac:dyDescent="0.3">
      <c r="A13" s="138">
        <f>BaseloadMarkets!A15</f>
        <v>36687</v>
      </c>
      <c r="B13" s="139">
        <f>+EES!C14</f>
        <v>70000</v>
      </c>
      <c r="C13" s="140">
        <v>0</v>
      </c>
      <c r="D13" s="141">
        <v>0</v>
      </c>
      <c r="E13" s="141">
        <v>0</v>
      </c>
      <c r="F13" s="139">
        <v>0</v>
      </c>
      <c r="G13" s="139">
        <f>+BaseloadMarkets!DS15+OCCMarkets!CN15+SwingMarkets!DS15+EOLMarkets!ER15</f>
        <v>417026</v>
      </c>
      <c r="H13" s="142">
        <f t="shared" si="8"/>
        <v>487026</v>
      </c>
      <c r="J13" s="141">
        <v>0</v>
      </c>
      <c r="K13" s="143">
        <v>0</v>
      </c>
      <c r="L13" s="141">
        <f>15146+22378</f>
        <v>37524</v>
      </c>
      <c r="M13" s="139">
        <f>Supplies!BD15+EOLSupplies!DT15</f>
        <v>520887</v>
      </c>
      <c r="N13" s="139">
        <v>0</v>
      </c>
      <c r="O13" s="142">
        <f t="shared" si="0"/>
        <v>558411</v>
      </c>
      <c r="P13" s="144">
        <f t="shared" si="1"/>
        <v>36687</v>
      </c>
      <c r="Q13" s="75"/>
      <c r="R13" s="145">
        <f t="shared" si="2"/>
        <v>71385</v>
      </c>
      <c r="S13" s="145">
        <f t="shared" si="5"/>
        <v>504745</v>
      </c>
      <c r="T13" s="146">
        <f t="shared" si="3"/>
        <v>36687</v>
      </c>
      <c r="U13" s="150"/>
      <c r="V13" s="147">
        <f>M13+L13-B13-(+BaseloadMarkets!DT15+OCCMarkets!CO15+SwingMarkets!DT15+EOLMarkets!ER15)-EES!AK14</f>
        <v>0</v>
      </c>
      <c r="W13" s="147"/>
      <c r="X13" s="147">
        <f t="shared" si="6"/>
        <v>6273899</v>
      </c>
      <c r="Z13" s="150" t="str">
        <f t="shared" si="7"/>
        <v/>
      </c>
      <c r="AB13" s="17">
        <f t="shared" si="4"/>
        <v>0</v>
      </c>
      <c r="AD13" s="148">
        <v>0</v>
      </c>
    </row>
    <row r="14" spans="1:30" ht="13.8" thickBot="1" x14ac:dyDescent="0.3">
      <c r="A14" s="138">
        <f>BaseloadMarkets!A16</f>
        <v>36688</v>
      </c>
      <c r="B14" s="139">
        <f>+EES!C15</f>
        <v>70000</v>
      </c>
      <c r="C14" s="140">
        <v>0</v>
      </c>
      <c r="D14" s="141">
        <v>0</v>
      </c>
      <c r="E14" s="141">
        <v>0</v>
      </c>
      <c r="F14" s="139">
        <v>0</v>
      </c>
      <c r="G14" s="139">
        <f>+BaseloadMarkets!DS16+OCCMarkets!CN16+SwingMarkets!DS16+EOLMarkets!ER16</f>
        <v>418317</v>
      </c>
      <c r="H14" s="142">
        <f t="shared" si="8"/>
        <v>488317</v>
      </c>
      <c r="J14" s="141">
        <v>0</v>
      </c>
      <c r="K14" s="143">
        <v>0</v>
      </c>
      <c r="L14" s="141">
        <f>14970+19788</f>
        <v>34758</v>
      </c>
      <c r="M14" s="139">
        <f>Supplies!BD16+EOLSupplies!DT16</f>
        <v>517647</v>
      </c>
      <c r="N14" s="139">
        <v>0</v>
      </c>
      <c r="O14" s="142">
        <f t="shared" si="0"/>
        <v>552405</v>
      </c>
      <c r="P14" s="144">
        <f t="shared" si="1"/>
        <v>36688</v>
      </c>
      <c r="Q14" s="75"/>
      <c r="R14" s="145">
        <f t="shared" si="2"/>
        <v>64088</v>
      </c>
      <c r="S14" s="145">
        <f t="shared" si="5"/>
        <v>568833</v>
      </c>
      <c r="T14" s="146">
        <f t="shared" si="3"/>
        <v>36688</v>
      </c>
      <c r="U14" s="150"/>
      <c r="V14" s="147">
        <f>M14+L14-B14-(+BaseloadMarkets!DT16+OCCMarkets!CO16+SwingMarkets!DT16+EOLMarkets!ER16)-EES!AK15</f>
        <v>0</v>
      </c>
      <c r="W14" s="147"/>
      <c r="X14" s="147">
        <f t="shared" si="6"/>
        <v>6826304</v>
      </c>
      <c r="Z14" s="150" t="str">
        <f t="shared" si="7"/>
        <v/>
      </c>
      <c r="AB14" s="17">
        <f t="shared" si="4"/>
        <v>0</v>
      </c>
      <c r="AD14" s="148">
        <v>0</v>
      </c>
    </row>
    <row r="15" spans="1:30" s="17" customFormat="1" ht="13.8" thickBot="1" x14ac:dyDescent="0.3">
      <c r="A15" s="138">
        <f>BaseloadMarkets!A17</f>
        <v>36689</v>
      </c>
      <c r="B15" s="139">
        <f>+EES!C16</f>
        <v>70000</v>
      </c>
      <c r="C15" s="140">
        <v>0</v>
      </c>
      <c r="D15" s="141">
        <v>0</v>
      </c>
      <c r="E15" s="141">
        <v>0</v>
      </c>
      <c r="F15" s="139">
        <v>0</v>
      </c>
      <c r="G15" s="139">
        <f>+BaseloadMarkets!DS17+OCCMarkets!CN17+SwingMarkets!DS17+EOLMarkets!ER17</f>
        <v>422185</v>
      </c>
      <c r="H15" s="142">
        <f t="shared" si="8"/>
        <v>492185</v>
      </c>
      <c r="I15"/>
      <c r="J15" s="141">
        <v>0</v>
      </c>
      <c r="K15" s="143">
        <v>0</v>
      </c>
      <c r="L15" s="141">
        <f>13220+22829</f>
        <v>36049</v>
      </c>
      <c r="M15" s="139">
        <f>Supplies!BD17+EOLSupplies!DT17</f>
        <v>559473</v>
      </c>
      <c r="N15" s="139">
        <v>0</v>
      </c>
      <c r="O15" s="142">
        <f t="shared" si="0"/>
        <v>595522</v>
      </c>
      <c r="P15" s="144">
        <f t="shared" si="1"/>
        <v>36689</v>
      </c>
      <c r="Q15" s="107"/>
      <c r="R15" s="145">
        <f t="shared" si="2"/>
        <v>103337</v>
      </c>
      <c r="S15" s="152">
        <f t="shared" si="5"/>
        <v>672170</v>
      </c>
      <c r="T15" s="146">
        <f t="shared" si="3"/>
        <v>36689</v>
      </c>
      <c r="U15" s="15"/>
      <c r="V15" s="147">
        <f>M15+L15-B15-(+BaseloadMarkets!DT17+OCCMarkets!CO17+SwingMarkets!DT17+EOLMarkets!ER17)-EES!AK16</f>
        <v>0</v>
      </c>
      <c r="W15" s="147"/>
      <c r="X15" s="147">
        <f t="shared" si="6"/>
        <v>7421826</v>
      </c>
      <c r="Y15" s="440"/>
      <c r="Z15" s="150" t="str">
        <f t="shared" si="7"/>
        <v/>
      </c>
      <c r="AB15" s="17">
        <f t="shared" si="4"/>
        <v>0</v>
      </c>
      <c r="AD15" s="148">
        <v>0</v>
      </c>
    </row>
    <row r="16" spans="1:30" s="17" customFormat="1" ht="13.8" thickBot="1" x14ac:dyDescent="0.3">
      <c r="A16" s="138">
        <f>BaseloadMarkets!A18</f>
        <v>36690</v>
      </c>
      <c r="B16" s="139">
        <f>+EES!C17</f>
        <v>70000</v>
      </c>
      <c r="C16" s="140">
        <v>0</v>
      </c>
      <c r="D16" s="141">
        <v>0</v>
      </c>
      <c r="E16" s="141">
        <v>0</v>
      </c>
      <c r="F16" s="139">
        <v>0</v>
      </c>
      <c r="G16" s="139">
        <f>+BaseloadMarkets!DS18+OCCMarkets!CN18+SwingMarkets!DS18+EOLMarkets!ER18</f>
        <v>968142</v>
      </c>
      <c r="H16" s="142">
        <f t="shared" si="8"/>
        <v>1038142</v>
      </c>
      <c r="I16"/>
      <c r="J16" s="141">
        <v>0</v>
      </c>
      <c r="K16" s="143">
        <v>0</v>
      </c>
      <c r="L16" s="141">
        <f>20000+20443</f>
        <v>40443</v>
      </c>
      <c r="M16" s="139">
        <f>Supplies!BD18+EOLSupplies!DT18</f>
        <v>955237</v>
      </c>
      <c r="N16" s="139">
        <v>0</v>
      </c>
      <c r="O16" s="142">
        <f t="shared" si="0"/>
        <v>995680</v>
      </c>
      <c r="P16" s="144">
        <f t="shared" si="1"/>
        <v>36690</v>
      </c>
      <c r="Q16" s="75"/>
      <c r="R16" s="145">
        <f t="shared" si="2"/>
        <v>-42462</v>
      </c>
      <c r="S16" s="145">
        <f t="shared" si="5"/>
        <v>629708</v>
      </c>
      <c r="T16" s="146">
        <f t="shared" si="3"/>
        <v>36690</v>
      </c>
      <c r="U16" s="15"/>
      <c r="V16" s="147">
        <f>M16+L16-B16-(+BaseloadMarkets!DT18+OCCMarkets!CO18+SwingMarkets!DT18+EOLMarkets!ER18)-EES!AK17</f>
        <v>0</v>
      </c>
      <c r="W16" s="147"/>
      <c r="X16" s="147">
        <f t="shared" si="6"/>
        <v>8417506</v>
      </c>
      <c r="Z16" s="150" t="str">
        <f t="shared" si="7"/>
        <v/>
      </c>
      <c r="AB16" s="17">
        <f t="shared" si="4"/>
        <v>0</v>
      </c>
      <c r="AD16" s="148">
        <v>0</v>
      </c>
    </row>
    <row r="17" spans="1:30" s="17" customFormat="1" ht="14.25" customHeight="1" thickBot="1" x14ac:dyDescent="0.3">
      <c r="A17" s="138">
        <f>BaseloadMarkets!A19</f>
        <v>36691</v>
      </c>
      <c r="B17" s="139">
        <f>+EES!C18</f>
        <v>70000</v>
      </c>
      <c r="C17" s="140">
        <v>0</v>
      </c>
      <c r="D17" s="141">
        <v>0</v>
      </c>
      <c r="E17" s="141">
        <v>0</v>
      </c>
      <c r="F17" s="139">
        <v>0</v>
      </c>
      <c r="G17" s="139">
        <f>+BaseloadMarkets!DS19+OCCMarkets!CN19+SwingMarkets!DS19+EOLMarkets!ER19</f>
        <v>782651</v>
      </c>
      <c r="H17" s="142">
        <f t="shared" si="8"/>
        <v>852651</v>
      </c>
      <c r="I17"/>
      <c r="J17" s="141">
        <v>0</v>
      </c>
      <c r="K17" s="143">
        <v>0</v>
      </c>
      <c r="L17" s="141">
        <f>29428+12642+11029+20000</f>
        <v>73099</v>
      </c>
      <c r="M17" s="139">
        <f>Supplies!BD19+EOLSupplies!DT19</f>
        <v>738048</v>
      </c>
      <c r="N17" s="139">
        <v>0</v>
      </c>
      <c r="O17" s="142">
        <f t="shared" si="0"/>
        <v>811147</v>
      </c>
      <c r="P17" s="144">
        <f t="shared" si="1"/>
        <v>36691</v>
      </c>
      <c r="Q17" s="107"/>
      <c r="R17" s="145">
        <f t="shared" si="2"/>
        <v>-41504</v>
      </c>
      <c r="S17" s="152">
        <f t="shared" si="5"/>
        <v>588204</v>
      </c>
      <c r="T17" s="146">
        <f t="shared" si="3"/>
        <v>36691</v>
      </c>
      <c r="U17" s="15"/>
      <c r="V17" s="147">
        <f>M17+L17-B17-(+BaseloadMarkets!DT19+OCCMarkets!CO19+SwingMarkets!DT19+EOLMarkets!ER19)-EES!AK18</f>
        <v>1</v>
      </c>
      <c r="W17" s="147"/>
      <c r="X17" s="147">
        <f t="shared" si="6"/>
        <v>9228653</v>
      </c>
      <c r="Z17" s="150" t="str">
        <f t="shared" si="7"/>
        <v/>
      </c>
      <c r="AB17" s="17">
        <f t="shared" si="4"/>
        <v>1</v>
      </c>
      <c r="AD17" s="148">
        <v>0</v>
      </c>
    </row>
    <row r="18" spans="1:30" s="17" customFormat="1" ht="13.8" thickBot="1" x14ac:dyDescent="0.3">
      <c r="A18" s="138">
        <f>BaseloadMarkets!A20</f>
        <v>36692</v>
      </c>
      <c r="B18" s="139">
        <f>+EES!C19</f>
        <v>70000</v>
      </c>
      <c r="C18" s="140">
        <v>0</v>
      </c>
      <c r="D18" s="141">
        <v>0</v>
      </c>
      <c r="E18" s="141">
        <v>0</v>
      </c>
      <c r="F18" s="139">
        <v>0</v>
      </c>
      <c r="G18" s="139">
        <f>+BaseloadMarkets!DS20+OCCMarkets!CN20+SwingMarkets!DS20+EOLMarkets!ER20</f>
        <v>636993</v>
      </c>
      <c r="H18" s="142">
        <f t="shared" si="8"/>
        <v>706993</v>
      </c>
      <c r="I18"/>
      <c r="J18" s="141">
        <v>0</v>
      </c>
      <c r="K18" s="143">
        <v>0</v>
      </c>
      <c r="L18" s="141">
        <f>22456+19019</f>
        <v>41475</v>
      </c>
      <c r="M18" s="139">
        <f>Supplies!BD20+EOLSupplies!DT20</f>
        <v>627908</v>
      </c>
      <c r="N18" s="139">
        <v>0</v>
      </c>
      <c r="O18" s="142">
        <f t="shared" si="0"/>
        <v>669383</v>
      </c>
      <c r="P18" s="144">
        <f t="shared" si="1"/>
        <v>36692</v>
      </c>
      <c r="Q18" s="107"/>
      <c r="R18" s="145">
        <f t="shared" si="2"/>
        <v>-37610</v>
      </c>
      <c r="S18" s="152">
        <f t="shared" si="5"/>
        <v>550594</v>
      </c>
      <c r="T18" s="146">
        <f t="shared" si="3"/>
        <v>36692</v>
      </c>
      <c r="U18" s="15"/>
      <c r="V18" s="147">
        <f>M18+L18-B18-(+BaseloadMarkets!DT20+OCCMarkets!CO20+SwingMarkets!DT20+EOLMarkets!ER20)-EES!AK19</f>
        <v>0</v>
      </c>
      <c r="W18" s="147"/>
      <c r="X18" s="147">
        <f t="shared" si="6"/>
        <v>9898036</v>
      </c>
      <c r="Y18" s="15"/>
      <c r="Z18" s="150" t="str">
        <f t="shared" si="7"/>
        <v/>
      </c>
      <c r="AB18" s="17">
        <f t="shared" si="4"/>
        <v>0</v>
      </c>
      <c r="AD18" s="148">
        <v>0</v>
      </c>
    </row>
    <row r="19" spans="1:30" s="17" customFormat="1" ht="13.8" thickBot="1" x14ac:dyDescent="0.3">
      <c r="A19" s="138">
        <f>BaseloadMarkets!A21</f>
        <v>36693</v>
      </c>
      <c r="B19" s="139">
        <f>+EES!C20</f>
        <v>70000</v>
      </c>
      <c r="C19" s="140">
        <v>0</v>
      </c>
      <c r="D19" s="141">
        <v>0</v>
      </c>
      <c r="E19" s="141">
        <v>0</v>
      </c>
      <c r="F19" s="139">
        <v>0</v>
      </c>
      <c r="G19" s="139">
        <f>+BaseloadMarkets!DS21+OCCMarkets!CN21+SwingMarkets!DS21+EOLMarkets!ER21</f>
        <v>618686</v>
      </c>
      <c r="H19" s="142">
        <f t="shared" si="8"/>
        <v>688686</v>
      </c>
      <c r="I19"/>
      <c r="J19" s="141">
        <v>0</v>
      </c>
      <c r="K19" s="143">
        <v>0</v>
      </c>
      <c r="L19" s="141">
        <f>24988+11779</f>
        <v>36767</v>
      </c>
      <c r="M19" s="139">
        <f>Supplies!BD21+EOLSupplies!DT21</f>
        <v>573087</v>
      </c>
      <c r="N19" s="139">
        <v>0</v>
      </c>
      <c r="O19" s="142">
        <f t="shared" si="0"/>
        <v>609854</v>
      </c>
      <c r="P19" s="144">
        <f t="shared" si="1"/>
        <v>36693</v>
      </c>
      <c r="Q19" s="107"/>
      <c r="R19" s="145">
        <f t="shared" si="2"/>
        <v>-78832</v>
      </c>
      <c r="S19" s="152">
        <f t="shared" si="5"/>
        <v>471762</v>
      </c>
      <c r="T19" s="146">
        <f t="shared" si="3"/>
        <v>36693</v>
      </c>
      <c r="U19" s="20"/>
      <c r="V19" s="147">
        <f>M19+L19-B19-(+BaseloadMarkets!DT21+OCCMarkets!CO21+SwingMarkets!DT21+EOLMarkets!ER21)-EES!AK20</f>
        <v>0</v>
      </c>
      <c r="W19" s="147"/>
      <c r="X19" s="147">
        <f t="shared" si="6"/>
        <v>10507890</v>
      </c>
      <c r="Y19" s="15"/>
      <c r="Z19" s="150" t="str">
        <f t="shared" si="7"/>
        <v/>
      </c>
      <c r="AB19" s="17">
        <f t="shared" si="4"/>
        <v>0</v>
      </c>
      <c r="AD19" s="148">
        <v>0</v>
      </c>
    </row>
    <row r="20" spans="1:30" ht="13.8" thickBot="1" x14ac:dyDescent="0.3">
      <c r="A20" s="138">
        <f>BaseloadMarkets!A22</f>
        <v>36694</v>
      </c>
      <c r="B20" s="139">
        <f>+EES!C21</f>
        <v>70000</v>
      </c>
      <c r="C20" s="140">
        <v>0</v>
      </c>
      <c r="D20" s="141">
        <v>0</v>
      </c>
      <c r="E20" s="141">
        <v>0</v>
      </c>
      <c r="F20" s="139">
        <v>0</v>
      </c>
      <c r="G20" s="139">
        <f>+BaseloadMarkets!DS22+OCCMarkets!CN22+SwingMarkets!DS22+EOLMarkets!ER22</f>
        <v>476871</v>
      </c>
      <c r="H20" s="142">
        <f t="shared" si="8"/>
        <v>546871</v>
      </c>
      <c r="J20" s="141">
        <v>0</v>
      </c>
      <c r="K20" s="143">
        <v>0</v>
      </c>
      <c r="L20" s="141">
        <f>8914+16048</f>
        <v>24962</v>
      </c>
      <c r="M20" s="139">
        <f>Supplies!BD22+EOLSupplies!DT22</f>
        <v>480810</v>
      </c>
      <c r="N20" s="139">
        <v>0</v>
      </c>
      <c r="O20" s="142">
        <f t="shared" si="0"/>
        <v>505772</v>
      </c>
      <c r="P20" s="144">
        <f t="shared" si="1"/>
        <v>36694</v>
      </c>
      <c r="Q20" s="75"/>
      <c r="R20" s="145">
        <f t="shared" si="2"/>
        <v>-41099</v>
      </c>
      <c r="S20" s="145">
        <f t="shared" si="5"/>
        <v>430663</v>
      </c>
      <c r="T20" s="146">
        <f t="shared" si="3"/>
        <v>36694</v>
      </c>
      <c r="U20" s="150"/>
      <c r="V20" s="147">
        <f>M20+L20-B20-(+BaseloadMarkets!DT22+OCCMarkets!CO22+SwingMarkets!DT22+EOLMarkets!ER22)-EES!AK21</f>
        <v>0</v>
      </c>
      <c r="W20" s="147"/>
      <c r="X20" s="147">
        <f t="shared" si="6"/>
        <v>11013662</v>
      </c>
      <c r="Y20" s="15"/>
      <c r="Z20" s="150" t="str">
        <f t="shared" si="7"/>
        <v/>
      </c>
      <c r="AA20" s="17"/>
      <c r="AB20" s="17">
        <f t="shared" si="4"/>
        <v>0</v>
      </c>
      <c r="AD20" s="148">
        <v>0</v>
      </c>
    </row>
    <row r="21" spans="1:30" ht="13.8" thickBot="1" x14ac:dyDescent="0.3">
      <c r="A21" s="138">
        <f>BaseloadMarkets!A23</f>
        <v>36695</v>
      </c>
      <c r="B21" s="139">
        <f>+EES!C22</f>
        <v>70000</v>
      </c>
      <c r="C21" s="140">
        <v>0</v>
      </c>
      <c r="D21" s="141">
        <v>0</v>
      </c>
      <c r="E21" s="141">
        <v>0</v>
      </c>
      <c r="F21" s="139">
        <v>0</v>
      </c>
      <c r="G21" s="139">
        <f>+BaseloadMarkets!DS23+OCCMarkets!CN23+SwingMarkets!DS23+EOLMarkets!ER23</f>
        <v>498297</v>
      </c>
      <c r="H21" s="142">
        <f t="shared" si="8"/>
        <v>568297</v>
      </c>
      <c r="J21" s="141">
        <v>0</v>
      </c>
      <c r="K21" s="143">
        <v>0</v>
      </c>
      <c r="L21" s="141">
        <f>14989+28117</f>
        <v>43106</v>
      </c>
      <c r="M21" s="139">
        <f>Supplies!BD23+EOLSupplies!DT23</f>
        <v>479967</v>
      </c>
      <c r="N21" s="139">
        <v>0</v>
      </c>
      <c r="O21" s="142">
        <f t="shared" si="0"/>
        <v>523073</v>
      </c>
      <c r="P21" s="144">
        <f t="shared" si="1"/>
        <v>36695</v>
      </c>
      <c r="Q21" s="107"/>
      <c r="R21" s="145">
        <f t="shared" si="2"/>
        <v>-45224</v>
      </c>
      <c r="S21" s="152">
        <f t="shared" si="5"/>
        <v>385439</v>
      </c>
      <c r="T21" s="146">
        <f t="shared" si="3"/>
        <v>36695</v>
      </c>
      <c r="U21" s="150"/>
      <c r="V21" s="147">
        <f>M21+L21-B21-(+BaseloadMarkets!DT23+OCCMarkets!CO23+SwingMarkets!DT23+EOLMarkets!ER23)-EES!AK22</f>
        <v>0</v>
      </c>
      <c r="W21" s="147"/>
      <c r="X21" s="147">
        <f t="shared" si="6"/>
        <v>11536735</v>
      </c>
      <c r="Y21" s="15"/>
      <c r="Z21" s="150" t="str">
        <f t="shared" si="7"/>
        <v/>
      </c>
      <c r="AA21" s="17"/>
      <c r="AB21" s="17">
        <f t="shared" si="4"/>
        <v>0</v>
      </c>
      <c r="AD21" s="148">
        <v>0</v>
      </c>
    </row>
    <row r="22" spans="1:30" s="17" customFormat="1" ht="13.8" thickBot="1" x14ac:dyDescent="0.3">
      <c r="A22" s="138">
        <f>BaseloadMarkets!A24</f>
        <v>36696</v>
      </c>
      <c r="B22" s="139">
        <f>+EES!C23</f>
        <v>70000</v>
      </c>
      <c r="C22" s="140">
        <v>0</v>
      </c>
      <c r="D22" s="141">
        <v>0</v>
      </c>
      <c r="E22" s="141">
        <v>0</v>
      </c>
      <c r="F22" s="139">
        <v>0</v>
      </c>
      <c r="G22" s="139">
        <f>+BaseloadMarkets!DS24+OCCMarkets!CN24+SwingMarkets!DS24+EOLMarkets!ER24</f>
        <v>498763</v>
      </c>
      <c r="H22" s="142">
        <f t="shared" si="8"/>
        <v>568763</v>
      </c>
      <c r="I22"/>
      <c r="J22" s="141">
        <v>0</v>
      </c>
      <c r="K22" s="143">
        <v>0</v>
      </c>
      <c r="L22" s="141">
        <f>14581+30591</f>
        <v>45172</v>
      </c>
      <c r="M22" s="139">
        <f>Supplies!BD24+EOLSupplies!DT24</f>
        <v>517251</v>
      </c>
      <c r="N22" s="139">
        <v>0</v>
      </c>
      <c r="O22" s="142">
        <f t="shared" si="0"/>
        <v>562423</v>
      </c>
      <c r="P22" s="144">
        <f t="shared" si="1"/>
        <v>36696</v>
      </c>
      <c r="Q22" s="75"/>
      <c r="R22" s="145">
        <f t="shared" si="2"/>
        <v>-6340</v>
      </c>
      <c r="S22" s="145">
        <f t="shared" si="5"/>
        <v>379099</v>
      </c>
      <c r="T22" s="146">
        <f t="shared" si="3"/>
        <v>36696</v>
      </c>
      <c r="U22" s="15"/>
      <c r="V22" s="147">
        <f>M22+L22-B22-(+BaseloadMarkets!DT24+OCCMarkets!CO24+SwingMarkets!DT24+EOLMarkets!ER24)-EES!AK23</f>
        <v>0</v>
      </c>
      <c r="W22" s="147"/>
      <c r="X22" s="147">
        <f t="shared" si="6"/>
        <v>12099158</v>
      </c>
      <c r="Y22" s="15"/>
      <c r="Z22" s="150" t="str">
        <f t="shared" si="7"/>
        <v/>
      </c>
      <c r="AB22" s="17">
        <f t="shared" si="4"/>
        <v>0</v>
      </c>
      <c r="AD22" s="148">
        <v>0</v>
      </c>
    </row>
    <row r="23" spans="1:30" s="17" customFormat="1" ht="13.8" thickBot="1" x14ac:dyDescent="0.3">
      <c r="A23" s="138">
        <f>BaseloadMarkets!A25</f>
        <v>36697</v>
      </c>
      <c r="B23" s="139">
        <f>+EES!C24</f>
        <v>70000</v>
      </c>
      <c r="C23" s="140">
        <v>0</v>
      </c>
      <c r="D23" s="141">
        <v>0</v>
      </c>
      <c r="E23" s="141">
        <v>0</v>
      </c>
      <c r="F23" s="139">
        <v>0</v>
      </c>
      <c r="G23" s="139">
        <f>+BaseloadMarkets!DS25+OCCMarkets!CN25+SwingMarkets!DS25+EOLMarkets!ER25</f>
        <v>653380</v>
      </c>
      <c r="H23" s="142">
        <f t="shared" si="8"/>
        <v>723380</v>
      </c>
      <c r="I23"/>
      <c r="J23" s="141">
        <v>0</v>
      </c>
      <c r="K23" s="143">
        <v>0</v>
      </c>
      <c r="L23" s="141">
        <f>18455+30050</f>
        <v>48505</v>
      </c>
      <c r="M23" s="139">
        <f>Supplies!BD25+EOLSupplies!DT25</f>
        <v>601167</v>
      </c>
      <c r="N23" s="139">
        <v>0</v>
      </c>
      <c r="O23" s="142">
        <f t="shared" si="0"/>
        <v>649672</v>
      </c>
      <c r="P23" s="144">
        <f t="shared" si="1"/>
        <v>36697</v>
      </c>
      <c r="Q23" s="107"/>
      <c r="R23" s="145">
        <f t="shared" si="2"/>
        <v>-73708</v>
      </c>
      <c r="S23" s="152">
        <f t="shared" si="5"/>
        <v>305391</v>
      </c>
      <c r="T23" s="146">
        <f t="shared" si="3"/>
        <v>36697</v>
      </c>
      <c r="U23" s="15"/>
      <c r="V23" s="147">
        <f>M23+L23-B23-(+BaseloadMarkets!DT25+OCCMarkets!CO25+SwingMarkets!DT25+EOLMarkets!ER25)-EES!AK24</f>
        <v>0</v>
      </c>
      <c r="W23" s="147"/>
      <c r="X23" s="147">
        <f t="shared" si="6"/>
        <v>12748830</v>
      </c>
      <c r="Y23" s="15"/>
      <c r="Z23" s="150" t="str">
        <f t="shared" si="7"/>
        <v/>
      </c>
      <c r="AB23" s="17">
        <f t="shared" si="4"/>
        <v>0</v>
      </c>
      <c r="AD23" s="148">
        <v>0</v>
      </c>
    </row>
    <row r="24" spans="1:30" s="17" customFormat="1" ht="13.8" thickBot="1" x14ac:dyDescent="0.3">
      <c r="A24" s="138">
        <f>BaseloadMarkets!A26</f>
        <v>36698</v>
      </c>
      <c r="B24" s="139">
        <f>+EES!C25</f>
        <v>70000</v>
      </c>
      <c r="C24" s="140">
        <v>0</v>
      </c>
      <c r="D24" s="141">
        <v>0</v>
      </c>
      <c r="E24" s="141">
        <v>0</v>
      </c>
      <c r="F24" s="139">
        <v>0</v>
      </c>
      <c r="G24" s="139">
        <f>+BaseloadMarkets!DS26+OCCMarkets!CN26+SwingMarkets!DS26+EOLMarkets!ER26</f>
        <v>667905</v>
      </c>
      <c r="H24" s="142">
        <f t="shared" si="8"/>
        <v>737905</v>
      </c>
      <c r="I24"/>
      <c r="J24" s="141">
        <v>0</v>
      </c>
      <c r="K24" s="143">
        <v>0</v>
      </c>
      <c r="L24" s="141">
        <f>1000+14679</f>
        <v>15679</v>
      </c>
      <c r="M24" s="139">
        <f>Supplies!BD26+EOLSupplies!DT26</f>
        <v>628045</v>
      </c>
      <c r="N24" s="139">
        <v>0</v>
      </c>
      <c r="O24" s="142">
        <f t="shared" si="0"/>
        <v>643724</v>
      </c>
      <c r="P24" s="144">
        <f t="shared" si="1"/>
        <v>36698</v>
      </c>
      <c r="Q24" s="75"/>
      <c r="R24" s="145">
        <f t="shared" si="2"/>
        <v>-94181</v>
      </c>
      <c r="S24" s="145">
        <f t="shared" si="5"/>
        <v>211210</v>
      </c>
      <c r="T24" s="146">
        <f t="shared" si="3"/>
        <v>36698</v>
      </c>
      <c r="U24" s="15"/>
      <c r="V24" s="147">
        <f>M24+L24-B24-(+BaseloadMarkets!DT26+OCCMarkets!CO26+SwingMarkets!DT26+EOLMarkets!ER26)-EES!AK25</f>
        <v>0</v>
      </c>
      <c r="W24" s="147"/>
      <c r="X24" s="147">
        <f t="shared" si="6"/>
        <v>13392554</v>
      </c>
      <c r="Y24" s="15"/>
      <c r="Z24" s="150" t="str">
        <f t="shared" si="7"/>
        <v/>
      </c>
      <c r="AB24" s="17">
        <f t="shared" si="4"/>
        <v>0</v>
      </c>
      <c r="AD24" s="148">
        <v>0</v>
      </c>
    </row>
    <row r="25" spans="1:30" s="17" customFormat="1" ht="13.8" thickBot="1" x14ac:dyDescent="0.3">
      <c r="A25" s="138">
        <f>BaseloadMarkets!A27</f>
        <v>36699</v>
      </c>
      <c r="B25" s="139">
        <f>+EES!C26</f>
        <v>70000</v>
      </c>
      <c r="C25" s="140">
        <v>0</v>
      </c>
      <c r="D25" s="141">
        <v>0</v>
      </c>
      <c r="E25" s="141">
        <v>0</v>
      </c>
      <c r="F25" s="139">
        <v>0</v>
      </c>
      <c r="G25" s="139">
        <f>+BaseloadMarkets!DS27+OCCMarkets!CN27+SwingMarkets!DS27+EOLMarkets!ER27</f>
        <v>752805</v>
      </c>
      <c r="H25" s="142">
        <f t="shared" si="8"/>
        <v>822805</v>
      </c>
      <c r="I25"/>
      <c r="J25" s="141">
        <v>0</v>
      </c>
      <c r="K25" s="143">
        <v>0</v>
      </c>
      <c r="L25" s="141">
        <f>13406+20289</f>
        <v>33695</v>
      </c>
      <c r="M25" s="139">
        <f>Supplies!BD27+EOLSupplies!DT27</f>
        <v>702298</v>
      </c>
      <c r="N25" s="139">
        <v>0</v>
      </c>
      <c r="O25" s="142">
        <f t="shared" si="0"/>
        <v>735993</v>
      </c>
      <c r="P25" s="144">
        <f t="shared" si="1"/>
        <v>36699</v>
      </c>
      <c r="Q25" s="107"/>
      <c r="R25" s="145">
        <f t="shared" si="2"/>
        <v>-86812</v>
      </c>
      <c r="S25" s="152">
        <f t="shared" si="5"/>
        <v>124398</v>
      </c>
      <c r="T25" s="146">
        <f t="shared" si="3"/>
        <v>36699</v>
      </c>
      <c r="U25" s="15"/>
      <c r="V25" s="147">
        <f>M25+L25-B25-(+BaseloadMarkets!DT27+OCCMarkets!CO27+SwingMarkets!DT27+EOLMarkets!ER27)-EES!AK26</f>
        <v>1</v>
      </c>
      <c r="W25" s="147"/>
      <c r="X25" s="147">
        <f t="shared" si="6"/>
        <v>14128547</v>
      </c>
      <c r="Y25" s="15"/>
      <c r="Z25" s="150" t="str">
        <f t="shared" si="7"/>
        <v/>
      </c>
      <c r="AB25" s="17">
        <f t="shared" si="4"/>
        <v>1</v>
      </c>
      <c r="AD25" s="148">
        <v>0</v>
      </c>
    </row>
    <row r="26" spans="1:30" ht="13.8" thickBot="1" x14ac:dyDescent="0.3">
      <c r="A26" s="138">
        <f>BaseloadMarkets!A28</f>
        <v>36700</v>
      </c>
      <c r="B26" s="139">
        <f>+EES!C27</f>
        <v>70000</v>
      </c>
      <c r="C26" s="140">
        <v>0</v>
      </c>
      <c r="D26" s="141">
        <v>0</v>
      </c>
      <c r="E26" s="141">
        <v>0</v>
      </c>
      <c r="F26" s="139">
        <v>0</v>
      </c>
      <c r="G26" s="139">
        <f>+BaseloadMarkets!DS28+OCCMarkets!CN28+SwingMarkets!DS28+EOLMarkets!ER28</f>
        <v>1079650</v>
      </c>
      <c r="H26" s="142">
        <f t="shared" si="8"/>
        <v>1149650</v>
      </c>
      <c r="J26" s="141">
        <v>0</v>
      </c>
      <c r="K26" s="143">
        <v>0</v>
      </c>
      <c r="L26" s="141">
        <f>13911+20237</f>
        <v>34148</v>
      </c>
      <c r="M26" s="139">
        <f>Supplies!BD28+EOLSupplies!DT28</f>
        <v>1079882</v>
      </c>
      <c r="N26" s="139">
        <v>0</v>
      </c>
      <c r="O26" s="142">
        <f t="shared" si="0"/>
        <v>1114030</v>
      </c>
      <c r="P26" s="144">
        <f t="shared" si="1"/>
        <v>36700</v>
      </c>
      <c r="Q26" s="75"/>
      <c r="R26" s="145">
        <f t="shared" si="2"/>
        <v>-35620</v>
      </c>
      <c r="S26" s="145">
        <f t="shared" si="5"/>
        <v>88778</v>
      </c>
      <c r="T26" s="146">
        <f t="shared" si="3"/>
        <v>36700</v>
      </c>
      <c r="U26" s="150"/>
      <c r="V26" s="147">
        <f>M26+L26-B26-(+BaseloadMarkets!DT28+OCCMarkets!CO28+SwingMarkets!DT28+EOLMarkets!ER28)-EES!AK27</f>
        <v>0</v>
      </c>
      <c r="W26" s="147"/>
      <c r="X26" s="147">
        <f t="shared" si="6"/>
        <v>15242577</v>
      </c>
      <c r="Y26" s="15"/>
      <c r="Z26" s="150" t="str">
        <f t="shared" si="7"/>
        <v/>
      </c>
      <c r="AA26" s="17"/>
      <c r="AB26" s="17">
        <f t="shared" si="4"/>
        <v>0</v>
      </c>
      <c r="AD26" s="148">
        <v>0</v>
      </c>
    </row>
    <row r="27" spans="1:30" ht="13.8" thickBot="1" x14ac:dyDescent="0.3">
      <c r="A27" s="138">
        <f>BaseloadMarkets!A29</f>
        <v>36701</v>
      </c>
      <c r="B27" s="139">
        <f>+EES!C28</f>
        <v>70000</v>
      </c>
      <c r="C27" s="140">
        <v>0</v>
      </c>
      <c r="D27" s="141">
        <v>0</v>
      </c>
      <c r="E27" s="141">
        <v>0</v>
      </c>
      <c r="F27" s="139">
        <v>0</v>
      </c>
      <c r="G27" s="139">
        <f>+BaseloadMarkets!DS29+OCCMarkets!CN29+SwingMarkets!DS29+EOLMarkets!ER29</f>
        <v>574266</v>
      </c>
      <c r="H27" s="142">
        <f t="shared" si="8"/>
        <v>644266</v>
      </c>
      <c r="J27" s="141">
        <v>0</v>
      </c>
      <c r="K27" s="143">
        <v>0</v>
      </c>
      <c r="L27" s="141">
        <f>12223+23995</f>
        <v>36218</v>
      </c>
      <c r="M27" s="139">
        <f>Supplies!BD29+EOLSupplies!DT29</f>
        <v>567369</v>
      </c>
      <c r="N27" s="139">
        <v>0</v>
      </c>
      <c r="O27" s="142">
        <f t="shared" si="0"/>
        <v>603587</v>
      </c>
      <c r="P27" s="144">
        <f t="shared" si="1"/>
        <v>36701</v>
      </c>
      <c r="Q27" s="107"/>
      <c r="R27" s="145">
        <f t="shared" si="2"/>
        <v>-40679</v>
      </c>
      <c r="S27" s="152">
        <f t="shared" si="5"/>
        <v>48099</v>
      </c>
      <c r="T27" s="146">
        <f t="shared" si="3"/>
        <v>36701</v>
      </c>
      <c r="U27" s="150"/>
      <c r="V27" s="147">
        <f>M27+L27-B27-(+BaseloadMarkets!DT29+OCCMarkets!CO29+SwingMarkets!DT29+EOLMarkets!ER29)-EES!AK28</f>
        <v>0</v>
      </c>
      <c r="W27" s="147"/>
      <c r="X27" s="147">
        <f t="shared" si="6"/>
        <v>15846164</v>
      </c>
      <c r="Y27" s="15"/>
      <c r="Z27" s="150" t="str">
        <f t="shared" si="7"/>
        <v/>
      </c>
      <c r="AA27" s="17"/>
      <c r="AB27" s="17">
        <f t="shared" si="4"/>
        <v>0</v>
      </c>
      <c r="AD27" s="148">
        <v>0</v>
      </c>
    </row>
    <row r="28" spans="1:30" ht="13.8" thickBot="1" x14ac:dyDescent="0.3">
      <c r="A28" s="138">
        <f>BaseloadMarkets!A30</f>
        <v>36702</v>
      </c>
      <c r="B28" s="139">
        <f>+EES!C29</f>
        <v>70000</v>
      </c>
      <c r="C28" s="140">
        <v>0</v>
      </c>
      <c r="D28" s="141">
        <v>0</v>
      </c>
      <c r="E28" s="141">
        <v>0</v>
      </c>
      <c r="F28" s="139">
        <v>0</v>
      </c>
      <c r="G28" s="139">
        <f>+BaseloadMarkets!DS30+OCCMarkets!CN30+SwingMarkets!DS30+EOLMarkets!ER30</f>
        <v>573813</v>
      </c>
      <c r="H28" s="142">
        <f t="shared" si="8"/>
        <v>643813</v>
      </c>
      <c r="J28" s="153">
        <v>0</v>
      </c>
      <c r="K28" s="143">
        <v>0</v>
      </c>
      <c r="L28" s="141">
        <f>11998+22895</f>
        <v>34893</v>
      </c>
      <c r="M28" s="139">
        <f>Supplies!BD30+EOLSupplies!DT30</f>
        <v>570209</v>
      </c>
      <c r="N28" s="139">
        <v>0</v>
      </c>
      <c r="O28" s="142">
        <f t="shared" si="0"/>
        <v>605102</v>
      </c>
      <c r="P28" s="144">
        <f t="shared" si="1"/>
        <v>36702</v>
      </c>
      <c r="Q28" s="75"/>
      <c r="R28" s="145">
        <f t="shared" si="2"/>
        <v>-38711</v>
      </c>
      <c r="S28" s="145">
        <f t="shared" si="5"/>
        <v>9388</v>
      </c>
      <c r="T28" s="146">
        <f t="shared" si="3"/>
        <v>36702</v>
      </c>
      <c r="U28" s="150"/>
      <c r="V28" s="147">
        <f>M28+L28-B28-(+BaseloadMarkets!DT30+OCCMarkets!CO30+SwingMarkets!DT30+EOLMarkets!ER30)-EES!AK29</f>
        <v>0</v>
      </c>
      <c r="W28" s="147"/>
      <c r="X28" s="147">
        <f t="shared" si="6"/>
        <v>16451266</v>
      </c>
      <c r="Y28" s="15"/>
      <c r="Z28" s="150" t="str">
        <f t="shared" si="7"/>
        <v/>
      </c>
      <c r="AA28" s="17"/>
      <c r="AB28" s="17">
        <f t="shared" si="4"/>
        <v>0</v>
      </c>
      <c r="AD28" s="148">
        <v>0</v>
      </c>
    </row>
    <row r="29" spans="1:30" ht="13.8" thickBot="1" x14ac:dyDescent="0.3">
      <c r="A29" s="138">
        <f>BaseloadMarkets!A31</f>
        <v>36703</v>
      </c>
      <c r="B29" s="139">
        <f>+EES!C30</f>
        <v>70000</v>
      </c>
      <c r="C29" s="140">
        <v>0</v>
      </c>
      <c r="D29" s="141">
        <v>0</v>
      </c>
      <c r="E29" s="141">
        <v>0</v>
      </c>
      <c r="F29" s="139">
        <v>0</v>
      </c>
      <c r="G29" s="139">
        <f>+BaseloadMarkets!DS31+OCCMarkets!CN31+SwingMarkets!DS31+EOLMarkets!ER31</f>
        <v>580683</v>
      </c>
      <c r="H29" s="142">
        <f t="shared" si="8"/>
        <v>650683</v>
      </c>
      <c r="J29" s="141">
        <v>0</v>
      </c>
      <c r="K29" s="143">
        <v>0</v>
      </c>
      <c r="L29" s="141">
        <f>11266+21194</f>
        <v>32460</v>
      </c>
      <c r="M29" s="139">
        <f>Supplies!BD31+EOLSupplies!DT31</f>
        <v>609225</v>
      </c>
      <c r="N29" s="139">
        <v>0</v>
      </c>
      <c r="O29" s="142">
        <f t="shared" si="0"/>
        <v>641685</v>
      </c>
      <c r="P29" s="144">
        <f t="shared" si="1"/>
        <v>36703</v>
      </c>
      <c r="Q29" s="107"/>
      <c r="R29" s="145">
        <f t="shared" si="2"/>
        <v>-8998</v>
      </c>
      <c r="S29" s="152">
        <f t="shared" si="5"/>
        <v>390</v>
      </c>
      <c r="T29" s="146">
        <f t="shared" si="3"/>
        <v>36703</v>
      </c>
      <c r="U29" s="150"/>
      <c r="V29" s="147">
        <f>M29+L29-B29-(+BaseloadMarkets!DT31+OCCMarkets!CO31+SwingMarkets!DT31+EOLMarkets!ER31)-EES!AK30</f>
        <v>0</v>
      </c>
      <c r="W29" s="147"/>
      <c r="X29" s="147">
        <f t="shared" si="6"/>
        <v>17092951</v>
      </c>
      <c r="Y29" s="15"/>
      <c r="Z29" s="150" t="str">
        <f t="shared" si="7"/>
        <v/>
      </c>
      <c r="AA29" s="17"/>
      <c r="AB29" s="17">
        <f t="shared" si="4"/>
        <v>0</v>
      </c>
      <c r="AD29" s="148">
        <v>0</v>
      </c>
    </row>
    <row r="30" spans="1:30" s="17" customFormat="1" ht="13.8" thickBot="1" x14ac:dyDescent="0.3">
      <c r="A30" s="138">
        <f>BaseloadMarkets!A32</f>
        <v>36704</v>
      </c>
      <c r="B30" s="139">
        <f>+EES!C31</f>
        <v>70000</v>
      </c>
      <c r="C30" s="140">
        <v>0</v>
      </c>
      <c r="D30" s="141">
        <v>0</v>
      </c>
      <c r="E30" s="141">
        <v>0</v>
      </c>
      <c r="F30" s="139">
        <v>0</v>
      </c>
      <c r="G30" s="139">
        <f>+BaseloadMarkets!DS32+OCCMarkets!CN32+SwingMarkets!DS32+EOLMarkets!ER32</f>
        <v>1069134</v>
      </c>
      <c r="H30" s="142">
        <f t="shared" si="8"/>
        <v>1139134</v>
      </c>
      <c r="I30"/>
      <c r="J30" s="141">
        <v>0</v>
      </c>
      <c r="K30" s="143">
        <v>0</v>
      </c>
      <c r="L30" s="141">
        <f>20000+26600</f>
        <v>46600</v>
      </c>
      <c r="M30" s="139">
        <f>Supplies!BD32+EOLSupplies!DT32</f>
        <v>1056804</v>
      </c>
      <c r="N30" s="139">
        <v>0</v>
      </c>
      <c r="O30" s="142">
        <f t="shared" si="0"/>
        <v>1103404</v>
      </c>
      <c r="P30" s="144">
        <f t="shared" si="1"/>
        <v>36704</v>
      </c>
      <c r="Q30" s="107"/>
      <c r="R30" s="145">
        <f t="shared" si="2"/>
        <v>-35730</v>
      </c>
      <c r="S30" s="152">
        <f t="shared" si="5"/>
        <v>-35340</v>
      </c>
      <c r="T30" s="146">
        <f t="shared" si="3"/>
        <v>36704</v>
      </c>
      <c r="U30" s="150"/>
      <c r="V30" s="147">
        <f>M30+L30-B30-(+BaseloadMarkets!DT32+OCCMarkets!CO32+SwingMarkets!DT32+EOLMarkets!ER32)-EES!AK31</f>
        <v>-1</v>
      </c>
      <c r="W30" s="147"/>
      <c r="X30" s="147">
        <f t="shared" si="6"/>
        <v>18196355</v>
      </c>
      <c r="Y30" s="15"/>
      <c r="Z30" s="150" t="str">
        <f t="shared" si="7"/>
        <v/>
      </c>
      <c r="AB30" s="17">
        <f t="shared" si="4"/>
        <v>-1</v>
      </c>
      <c r="AD30" s="148">
        <v>0</v>
      </c>
    </row>
    <row r="31" spans="1:30" s="17" customFormat="1" ht="13.8" thickBot="1" x14ac:dyDescent="0.3">
      <c r="A31" s="138">
        <f>BaseloadMarkets!A33</f>
        <v>36705</v>
      </c>
      <c r="B31" s="139">
        <f>+EES!C32</f>
        <v>70000</v>
      </c>
      <c r="C31" s="140">
        <v>0</v>
      </c>
      <c r="D31" s="141">
        <v>0</v>
      </c>
      <c r="E31" s="141">
        <v>0</v>
      </c>
      <c r="F31" s="139">
        <v>0</v>
      </c>
      <c r="G31" s="139">
        <f>+BaseloadMarkets!DS33+OCCMarkets!CN33+SwingMarkets!DS33+EOLMarkets!ER33</f>
        <v>916227</v>
      </c>
      <c r="H31" s="142">
        <f t="shared" si="8"/>
        <v>986227</v>
      </c>
      <c r="I31"/>
      <c r="J31" s="141">
        <v>0</v>
      </c>
      <c r="K31" s="143">
        <v>0</v>
      </c>
      <c r="L31" s="141">
        <f>17651+28606</f>
        <v>46257</v>
      </c>
      <c r="M31" s="139">
        <f>Supplies!BD33+EOLSupplies!DT33</f>
        <v>1001362</v>
      </c>
      <c r="N31" s="139">
        <v>0</v>
      </c>
      <c r="O31" s="142">
        <f t="shared" si="0"/>
        <v>1047619</v>
      </c>
      <c r="P31" s="144">
        <f t="shared" si="1"/>
        <v>36705</v>
      </c>
      <c r="Q31" s="107"/>
      <c r="R31" s="145">
        <f t="shared" si="2"/>
        <v>61392</v>
      </c>
      <c r="S31" s="152">
        <f t="shared" si="5"/>
        <v>26052</v>
      </c>
      <c r="T31" s="146">
        <f t="shared" si="3"/>
        <v>36705</v>
      </c>
      <c r="U31" s="150"/>
      <c r="V31" s="147">
        <f>M31+L31-B31-(+BaseloadMarkets!DT33+OCCMarkets!CO33+SwingMarkets!DT33+EOLMarkets!ER33)-EES!AK32</f>
        <v>0</v>
      </c>
      <c r="W31" s="147"/>
      <c r="X31" s="147">
        <f t="shared" si="6"/>
        <v>19243974</v>
      </c>
      <c r="Y31" s="15"/>
      <c r="Z31" s="150" t="str">
        <f t="shared" si="7"/>
        <v/>
      </c>
      <c r="AB31" s="17">
        <f t="shared" si="4"/>
        <v>0</v>
      </c>
      <c r="AD31" s="148">
        <v>0</v>
      </c>
    </row>
    <row r="32" spans="1:30" s="17" customFormat="1" ht="13.8" thickBot="1" x14ac:dyDescent="0.3">
      <c r="A32" s="138">
        <f>BaseloadMarkets!A34</f>
        <v>36706</v>
      </c>
      <c r="B32" s="139">
        <f>+EES!C33</f>
        <v>70000</v>
      </c>
      <c r="C32" s="140">
        <v>0</v>
      </c>
      <c r="D32" s="141">
        <v>0</v>
      </c>
      <c r="E32" s="141">
        <v>0</v>
      </c>
      <c r="F32" s="139">
        <v>0</v>
      </c>
      <c r="G32" s="139">
        <f>+BaseloadMarkets!DS34+OCCMarkets!CN34+SwingMarkets!DS34+EOLMarkets!ER34</f>
        <v>1001548</v>
      </c>
      <c r="H32" s="142">
        <f t="shared" si="8"/>
        <v>1071548</v>
      </c>
      <c r="I32"/>
      <c r="J32" s="141">
        <v>0</v>
      </c>
      <c r="K32" s="143">
        <v>0</v>
      </c>
      <c r="L32" s="141">
        <f>20000+15519</f>
        <v>35519</v>
      </c>
      <c r="M32" s="139">
        <f>Supplies!BD34+EOLSupplies!DT34</f>
        <v>971764</v>
      </c>
      <c r="N32" s="139">
        <v>0</v>
      </c>
      <c r="O32" s="142">
        <f t="shared" si="0"/>
        <v>1007283</v>
      </c>
      <c r="P32" s="144">
        <f t="shared" si="1"/>
        <v>36706</v>
      </c>
      <c r="Q32" s="107"/>
      <c r="R32" s="145">
        <f t="shared" si="2"/>
        <v>-64265</v>
      </c>
      <c r="S32" s="152">
        <f t="shared" si="5"/>
        <v>-38213</v>
      </c>
      <c r="T32" s="146">
        <f t="shared" si="3"/>
        <v>36706</v>
      </c>
      <c r="U32" s="150"/>
      <c r="V32" s="147">
        <f>M32+L32-B32-(+BaseloadMarkets!DT34+OCCMarkets!CO34+SwingMarkets!DT34+EOLMarkets!ER34)-EES!AK33</f>
        <v>0</v>
      </c>
      <c r="W32" s="147"/>
      <c r="X32" s="147">
        <f t="shared" si="6"/>
        <v>20251257</v>
      </c>
      <c r="Y32" s="15"/>
      <c r="Z32" s="150" t="str">
        <f t="shared" si="7"/>
        <v/>
      </c>
      <c r="AB32" s="17">
        <f t="shared" si="4"/>
        <v>0</v>
      </c>
      <c r="AD32" s="148">
        <v>0</v>
      </c>
    </row>
    <row r="33" spans="1:30" s="17" customFormat="1" ht="13.8" thickBot="1" x14ac:dyDescent="0.3">
      <c r="A33" s="138">
        <f>BaseloadMarkets!A35</f>
        <v>36707</v>
      </c>
      <c r="B33" s="139">
        <f>+EES!C34</f>
        <v>70000</v>
      </c>
      <c r="C33" s="140">
        <v>0</v>
      </c>
      <c r="D33" s="141">
        <v>0</v>
      </c>
      <c r="E33" s="141">
        <v>0</v>
      </c>
      <c r="F33" s="139">
        <v>0</v>
      </c>
      <c r="G33" s="139">
        <f>+BaseloadMarkets!DS35+OCCMarkets!CN35+SwingMarkets!DS35+EOLMarkets!ER35</f>
        <v>534137</v>
      </c>
      <c r="H33" s="142">
        <f>SUM(B33:G33)</f>
        <v>604137</v>
      </c>
      <c r="I33"/>
      <c r="J33" s="141">
        <v>0</v>
      </c>
      <c r="K33" s="143">
        <v>0</v>
      </c>
      <c r="L33" s="141">
        <f>20734+12640</f>
        <v>33374</v>
      </c>
      <c r="M33" s="139">
        <f>Supplies!BD35+EOLSupplies!DT35</f>
        <v>598981</v>
      </c>
      <c r="N33" s="139">
        <v>0</v>
      </c>
      <c r="O33" s="142">
        <f>SUM(J33:N33)</f>
        <v>632355</v>
      </c>
      <c r="P33" s="144">
        <f>A33</f>
        <v>36707</v>
      </c>
      <c r="Q33" s="107"/>
      <c r="R33" s="145">
        <f>+O33-H33</f>
        <v>28218</v>
      </c>
      <c r="S33" s="152">
        <f>S32+R33</f>
        <v>-9995</v>
      </c>
      <c r="T33" s="146">
        <f>A33</f>
        <v>36707</v>
      </c>
      <c r="U33" s="150"/>
      <c r="V33" s="147">
        <f>M33+L33-B33-(+BaseloadMarkets!DT35+OCCMarkets!CO35+SwingMarkets!DT35+EOLMarkets!ER35)-EES!AK34</f>
        <v>0</v>
      </c>
      <c r="W33" s="147"/>
      <c r="X33" s="147">
        <f>+X32+O33</f>
        <v>20883612</v>
      </c>
      <c r="Y33" s="15">
        <v>20883618</v>
      </c>
      <c r="Z33" s="150">
        <f t="shared" si="7"/>
        <v>-6</v>
      </c>
      <c r="AB33" s="17">
        <f t="shared" si="4"/>
        <v>0</v>
      </c>
      <c r="AD33" s="148">
        <v>0</v>
      </c>
    </row>
    <row r="34" spans="1:30" s="17" customFormat="1" ht="13.8" thickBot="1" x14ac:dyDescent="0.3">
      <c r="A34" s="138"/>
      <c r="B34" s="139"/>
      <c r="C34" s="140"/>
      <c r="D34" s="141"/>
      <c r="E34" s="141"/>
      <c r="F34" s="139"/>
      <c r="G34" s="139"/>
      <c r="H34" s="142"/>
      <c r="I34"/>
      <c r="J34" s="141"/>
      <c r="K34" s="143"/>
      <c r="L34" s="141"/>
      <c r="M34" s="139"/>
      <c r="N34" s="139"/>
      <c r="O34" s="142"/>
      <c r="P34" s="144"/>
      <c r="Q34" s="107"/>
      <c r="R34" s="145"/>
      <c r="S34" s="152"/>
      <c r="T34" s="146"/>
      <c r="U34" s="150"/>
      <c r="V34" s="147"/>
      <c r="W34" s="147"/>
      <c r="X34" s="147"/>
      <c r="Y34" s="15"/>
      <c r="AB34" s="148"/>
      <c r="AD34" s="148"/>
    </row>
    <row r="35" spans="1:30" s="20" customFormat="1" ht="13.8" thickBot="1" x14ac:dyDescent="0.3">
      <c r="A35" s="154" t="s">
        <v>17</v>
      </c>
      <c r="B35" s="155">
        <f t="shared" ref="B35:H35" si="9">SUM(B4:B34)</f>
        <v>2100000</v>
      </c>
      <c r="C35" s="156">
        <f t="shared" si="9"/>
        <v>0</v>
      </c>
      <c r="D35" s="157">
        <f t="shared" si="9"/>
        <v>0</v>
      </c>
      <c r="E35" s="156">
        <f t="shared" si="9"/>
        <v>0</v>
      </c>
      <c r="F35" s="156">
        <f t="shared" si="9"/>
        <v>0</v>
      </c>
      <c r="G35" s="158">
        <f t="shared" si="9"/>
        <v>18793607</v>
      </c>
      <c r="H35" s="159">
        <f t="shared" si="9"/>
        <v>20893607</v>
      </c>
      <c r="I35"/>
      <c r="J35" s="160">
        <f t="shared" ref="J35:O35" si="10">SUM(J4:J34)</f>
        <v>0</v>
      </c>
      <c r="K35" s="158">
        <f t="shared" si="10"/>
        <v>0</v>
      </c>
      <c r="L35" s="161">
        <f t="shared" si="10"/>
        <v>1157376</v>
      </c>
      <c r="M35" s="158">
        <f t="shared" si="10"/>
        <v>19726236</v>
      </c>
      <c r="N35" s="158">
        <f t="shared" si="10"/>
        <v>0</v>
      </c>
      <c r="O35" s="158">
        <f t="shared" si="10"/>
        <v>20883612</v>
      </c>
      <c r="P35" s="20" t="s">
        <v>4</v>
      </c>
      <c r="Q35" s="20" t="s">
        <v>4</v>
      </c>
      <c r="R35" s="162">
        <f>SUM(R4:R34)</f>
        <v>-9995</v>
      </c>
      <c r="V35" s="156">
        <f>SUM(V4:V34)</f>
        <v>1</v>
      </c>
      <c r="AB35" s="151">
        <f>SUM(AB26:AB33)</f>
        <v>-1</v>
      </c>
    </row>
    <row r="36" spans="1:30" x14ac:dyDescent="0.25">
      <c r="B36" s="150"/>
      <c r="C36" s="150" t="s">
        <v>4</v>
      </c>
      <c r="F36" s="150" t="s">
        <v>4</v>
      </c>
      <c r="G36" s="165"/>
      <c r="H36" s="165"/>
      <c r="K36" s="107"/>
      <c r="M36" s="165"/>
      <c r="N36" s="150"/>
      <c r="O36" s="150"/>
      <c r="P36" s="167"/>
      <c r="Q36" s="75"/>
      <c r="R36" s="151"/>
      <c r="S36" s="150"/>
      <c r="T36" s="150"/>
      <c r="U36" s="150"/>
      <c r="V36" s="147" t="s">
        <v>4</v>
      </c>
      <c r="W36" s="150"/>
      <c r="X36" s="150"/>
    </row>
    <row r="37" spans="1:30" x14ac:dyDescent="0.25">
      <c r="B37" s="150" t="s">
        <v>4</v>
      </c>
      <c r="C37" s="150"/>
      <c r="D37" s="168"/>
      <c r="F37" s="150" t="s">
        <v>4</v>
      </c>
      <c r="G37" s="165"/>
      <c r="H37" s="165" t="s">
        <v>4</v>
      </c>
      <c r="K37" s="107"/>
      <c r="M37" s="165"/>
      <c r="N37" s="150"/>
      <c r="O37" s="150"/>
      <c r="P37" s="167"/>
      <c r="Q37" s="75"/>
      <c r="R37" s="169"/>
      <c r="S37" s="150"/>
      <c r="T37" s="150"/>
      <c r="U37" s="150"/>
      <c r="V37" s="147" t="s">
        <v>319</v>
      </c>
      <c r="W37" s="150"/>
      <c r="X37" s="150"/>
    </row>
    <row r="38" spans="1:30" x14ac:dyDescent="0.25">
      <c r="B38" s="150"/>
      <c r="D38" s="170"/>
      <c r="F38" s="150"/>
      <c r="G38" s="165"/>
      <c r="H38" s="165"/>
      <c r="K38" s="107"/>
      <c r="M38" s="165"/>
      <c r="N38" s="150"/>
      <c r="O38" s="150"/>
      <c r="P38" s="167"/>
      <c r="Q38" s="75"/>
      <c r="R38" s="169"/>
      <c r="S38" s="150"/>
      <c r="T38" s="150"/>
      <c r="U38" s="150"/>
      <c r="V38" s="147" t="s">
        <v>320</v>
      </c>
      <c r="W38" s="150"/>
      <c r="X38" s="150"/>
    </row>
    <row r="39" spans="1:30" x14ac:dyDescent="0.25">
      <c r="B39" s="150"/>
      <c r="C39" s="150"/>
      <c r="D39" s="168" t="s">
        <v>4</v>
      </c>
      <c r="F39" s="150"/>
      <c r="G39" s="165"/>
      <c r="H39" s="165" t="s">
        <v>4</v>
      </c>
      <c r="K39" s="107"/>
      <c r="M39" s="165"/>
      <c r="N39" s="150"/>
      <c r="O39" s="150"/>
      <c r="P39" s="167"/>
      <c r="Q39" s="75"/>
      <c r="R39" s="169"/>
      <c r="S39" s="150"/>
      <c r="T39" s="150"/>
      <c r="U39" s="150"/>
      <c r="V39" s="150"/>
      <c r="W39" s="150"/>
      <c r="X39" s="150"/>
    </row>
    <row r="40" spans="1:30" x14ac:dyDescent="0.25">
      <c r="B40" s="150"/>
      <c r="C40" s="150"/>
      <c r="D40" s="168" t="s">
        <v>4</v>
      </c>
      <c r="F40" s="150"/>
      <c r="G40" s="165"/>
      <c r="H40" s="165"/>
      <c r="K40" s="107"/>
      <c r="M40" s="165"/>
      <c r="N40" s="150"/>
      <c r="O40" s="150"/>
      <c r="P40" s="167"/>
      <c r="Q40" s="75"/>
      <c r="R40" s="169"/>
      <c r="S40" s="150"/>
      <c r="T40" s="150"/>
      <c r="U40" s="150"/>
      <c r="V40" s="150"/>
      <c r="W40" s="150"/>
      <c r="X40" s="150"/>
    </row>
    <row r="41" spans="1:30" x14ac:dyDescent="0.25">
      <c r="B41" s="150"/>
      <c r="D41" s="168" t="s">
        <v>4</v>
      </c>
      <c r="G41" s="165"/>
    </row>
    <row r="42" spans="1:30" x14ac:dyDescent="0.25">
      <c r="D42" s="168" t="s">
        <v>4</v>
      </c>
      <c r="G42" s="165"/>
    </row>
    <row r="43" spans="1:30" x14ac:dyDescent="0.25">
      <c r="D43" s="168" t="s">
        <v>4</v>
      </c>
      <c r="G43" s="165"/>
    </row>
    <row r="44" spans="1:30" x14ac:dyDescent="0.25">
      <c r="D44" s="168" t="s">
        <v>4</v>
      </c>
      <c r="G44" s="165"/>
    </row>
    <row r="45" spans="1:30" x14ac:dyDescent="0.25">
      <c r="D45" s="168" t="s">
        <v>4</v>
      </c>
      <c r="G45" s="165"/>
    </row>
    <row r="46" spans="1:30" x14ac:dyDescent="0.25">
      <c r="D46" s="168" t="s">
        <v>4</v>
      </c>
      <c r="G46" s="165"/>
    </row>
    <row r="47" spans="1:30" x14ac:dyDescent="0.25">
      <c r="D47" s="168" t="s">
        <v>4</v>
      </c>
      <c r="G47" s="165"/>
    </row>
    <row r="48" spans="1:30" x14ac:dyDescent="0.25">
      <c r="G48" s="165"/>
    </row>
  </sheetData>
  <printOptions horizontalCentered="1" verticalCentered="1" gridLines="1" gridLinesSet="0"/>
  <pageMargins left="0.25" right="0.24" top="1" bottom="1" header="0.5" footer="0.5"/>
  <pageSetup paperSize="5" scale="72" orientation="landscape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R119"/>
  <sheetViews>
    <sheetView zoomScale="80" workbookViewId="0"/>
  </sheetViews>
  <sheetFormatPr defaultColWidth="25.109375" defaultRowHeight="12.9" customHeight="1" x14ac:dyDescent="0.25"/>
  <cols>
    <col min="1" max="1" width="37.33203125" style="229" customWidth="1"/>
    <col min="2" max="2" width="16.77734375" style="228" customWidth="1"/>
    <col min="3" max="3" width="11.77734375" style="228" customWidth="1"/>
    <col min="4" max="4" width="25.109375" style="237" customWidth="1"/>
    <col min="5" max="5" width="1.77734375" style="237" customWidth="1"/>
    <col min="6" max="6" width="18.77734375" style="237" customWidth="1"/>
    <col min="7" max="7" width="1.77734375" style="228" customWidth="1"/>
    <col min="8" max="8" width="30.6640625" style="228" customWidth="1"/>
    <col min="9" max="9" width="4.44140625" style="253" customWidth="1"/>
    <col min="10" max="10" width="23.77734375" style="228" customWidth="1"/>
    <col min="11" max="11" width="12.77734375" style="228" customWidth="1"/>
    <col min="12" max="12" width="18.77734375" style="228" customWidth="1"/>
    <col min="13" max="13" width="13" style="228" customWidth="1"/>
    <col min="14" max="14" width="12.33203125" style="230" customWidth="1"/>
    <col min="15" max="15" width="13.109375" style="228" customWidth="1"/>
    <col min="16" max="16" width="12.109375" style="228" customWidth="1"/>
    <col min="17" max="16384" width="25.109375" style="228"/>
  </cols>
  <sheetData>
    <row r="1" spans="1:13" ht="27" customHeight="1" x14ac:dyDescent="0.3">
      <c r="A1" s="221" t="s">
        <v>89</v>
      </c>
      <c r="B1" s="222"/>
      <c r="C1" s="445">
        <v>36707</v>
      </c>
      <c r="D1" s="445"/>
      <c r="E1" s="224"/>
      <c r="F1" s="224"/>
      <c r="G1" s="225"/>
      <c r="H1" s="225"/>
      <c r="I1" s="226"/>
      <c r="J1" s="227"/>
      <c r="L1" s="229"/>
      <c r="M1" s="229"/>
    </row>
    <row r="2" spans="1:13" ht="18" customHeight="1" x14ac:dyDescent="0.25">
      <c r="B2" s="222"/>
      <c r="C2" s="231"/>
      <c r="D2" s="223"/>
      <c r="E2" s="224"/>
      <c r="F2" s="232"/>
      <c r="G2" s="225"/>
      <c r="H2" s="233"/>
      <c r="I2" s="233"/>
      <c r="J2" s="233"/>
      <c r="K2" s="233"/>
      <c r="L2" s="233"/>
      <c r="M2" s="233"/>
    </row>
    <row r="3" spans="1:13" ht="18" customHeight="1" x14ac:dyDescent="0.25">
      <c r="B3" s="233"/>
      <c r="C3" s="233"/>
      <c r="D3" s="225"/>
      <c r="E3" s="234"/>
      <c r="F3" s="235" t="s">
        <v>90</v>
      </c>
      <c r="G3" s="236"/>
      <c r="H3" s="230" t="s">
        <v>91</v>
      </c>
      <c r="I3" s="230"/>
      <c r="J3" s="230" t="s">
        <v>83</v>
      </c>
      <c r="K3" s="230"/>
      <c r="L3" s="230"/>
      <c r="M3" s="230"/>
    </row>
    <row r="4" spans="1:13" ht="18" customHeight="1" thickBot="1" x14ac:dyDescent="0.3">
      <c r="A4" s="405" t="s">
        <v>92</v>
      </c>
      <c r="F4" s="238" t="s">
        <v>41</v>
      </c>
      <c r="G4" s="236"/>
      <c r="H4" s="238" t="s">
        <v>41</v>
      </c>
      <c r="I4" s="238"/>
      <c r="J4" s="238" t="s">
        <v>93</v>
      </c>
      <c r="K4" s="238"/>
      <c r="L4" s="239"/>
      <c r="M4" s="239"/>
    </row>
    <row r="5" spans="1:13" ht="18" customHeight="1" x14ac:dyDescent="0.3">
      <c r="A5" s="397" t="str">
        <f>+OCCMarkets!C4</f>
        <v>Pasadena</v>
      </c>
      <c r="B5" s="398">
        <f>VLOOKUP(+$C$1,Pasadena,3)</f>
        <v>10517</v>
      </c>
      <c r="D5" s="241"/>
      <c r="F5" s="400">
        <f>+OCCMarkets!M37</f>
        <v>40648</v>
      </c>
      <c r="G5" s="401"/>
      <c r="H5" s="400">
        <f>VLOOKUP(+$C$1,Pasadena,13)</f>
        <v>19284</v>
      </c>
      <c r="I5" s="400"/>
      <c r="J5" s="400">
        <f>+VLOOKUP($C$1,Pasadena,14)</f>
        <v>40648</v>
      </c>
      <c r="K5" s="239"/>
      <c r="L5" s="239"/>
      <c r="M5" s="239"/>
    </row>
    <row r="6" spans="1:13" ht="18" customHeight="1" x14ac:dyDescent="0.3">
      <c r="A6" s="399" t="str">
        <f>+OCCMarkets!O4</f>
        <v>Akzo/Filtrol</v>
      </c>
      <c r="B6" s="398">
        <f>VLOOKUP(+$C$1,Filtrol,15)</f>
        <v>1729</v>
      </c>
      <c r="D6" s="241"/>
      <c r="F6" s="400">
        <f>+OCCMarkets!T37</f>
        <v>3370</v>
      </c>
      <c r="G6" s="401"/>
      <c r="H6" s="400">
        <f>VLOOKUP(+C1,Filtrol,20)</f>
        <v>12214</v>
      </c>
      <c r="I6" s="400"/>
      <c r="J6" s="400">
        <f>+VLOOKUP($C$1,Filtrol,21)</f>
        <v>3370</v>
      </c>
      <c r="K6" s="239"/>
      <c r="L6" s="239"/>
      <c r="M6" s="239"/>
    </row>
    <row r="7" spans="1:13" ht="18" customHeight="1" x14ac:dyDescent="0.3">
      <c r="A7" s="399" t="str">
        <f>+OCCMarkets!V4</f>
        <v>CanFibre</v>
      </c>
      <c r="B7" s="398">
        <f>VLOOKUP(+$C$1,CanFibre,22)</f>
        <v>1465</v>
      </c>
      <c r="D7" s="241"/>
      <c r="F7" s="400">
        <f>+OCCMarkets!AA37</f>
        <v>3674</v>
      </c>
      <c r="G7" s="401"/>
      <c r="H7" s="400">
        <f>VLOOKUP($C$1,CanFibre,27)</f>
        <v>2020</v>
      </c>
      <c r="I7" s="400"/>
      <c r="J7" s="400">
        <f>VLOOKUP($C$1,CanFibre,28)</f>
        <v>3674</v>
      </c>
      <c r="K7" s="239"/>
      <c r="L7" s="239"/>
      <c r="M7" s="239"/>
    </row>
    <row r="8" spans="1:13" ht="18" customHeight="1" x14ac:dyDescent="0.3">
      <c r="A8" s="399" t="s">
        <v>94</v>
      </c>
      <c r="B8" s="398">
        <f>VLOOKUP(+$C$1,Smurfit,38)</f>
        <v>10582</v>
      </c>
      <c r="D8" s="241"/>
      <c r="F8" s="400">
        <f>+Smurfit!AN38</f>
        <v>79433</v>
      </c>
      <c r="G8" s="402"/>
      <c r="H8" s="400">
        <f>VLOOKUP($C$1,Smurfit,40)</f>
        <v>15959</v>
      </c>
      <c r="I8" s="403"/>
      <c r="J8" s="400">
        <f>VLOOKUP($C$1,Smurfit,41)</f>
        <v>79433</v>
      </c>
      <c r="K8" s="242"/>
      <c r="L8" s="242"/>
      <c r="M8" s="242"/>
    </row>
    <row r="9" spans="1:13" ht="18" customHeight="1" x14ac:dyDescent="0.25">
      <c r="A9" s="229" t="s">
        <v>95</v>
      </c>
      <c r="B9" s="438">
        <v>4178</v>
      </c>
      <c r="C9" s="237"/>
      <c r="D9" s="225"/>
      <c r="E9" s="228"/>
      <c r="F9" s="239"/>
      <c r="H9" s="239"/>
      <c r="I9" s="242"/>
      <c r="J9" s="242"/>
      <c r="K9" s="242"/>
      <c r="L9" s="242"/>
      <c r="M9" s="242"/>
    </row>
    <row r="10" spans="1:13" ht="18" customHeight="1" x14ac:dyDescent="0.25">
      <c r="A10" s="436" t="s">
        <v>240</v>
      </c>
      <c r="B10" s="438">
        <v>23421</v>
      </c>
      <c r="C10" s="237"/>
      <c r="D10" s="225"/>
      <c r="F10" s="239"/>
      <c r="G10" s="237"/>
      <c r="H10" s="239"/>
      <c r="I10" s="242"/>
      <c r="J10" s="242"/>
      <c r="K10" s="242"/>
      <c r="L10" s="242"/>
      <c r="M10" s="242"/>
    </row>
    <row r="11" spans="1:13" ht="18" customHeight="1" x14ac:dyDescent="0.25">
      <c r="A11" s="436" t="s">
        <v>220</v>
      </c>
      <c r="B11" s="438">
        <v>15000</v>
      </c>
      <c r="C11" s="237"/>
      <c r="D11" s="225"/>
      <c r="F11" s="239"/>
      <c r="G11" s="237"/>
      <c r="H11" s="239"/>
      <c r="I11" s="242"/>
      <c r="J11" s="242"/>
      <c r="K11" s="242"/>
      <c r="L11" s="242"/>
      <c r="M11" s="242"/>
    </row>
    <row r="12" spans="1:13" ht="18" customHeight="1" x14ac:dyDescent="0.25">
      <c r="A12" s="436" t="s">
        <v>178</v>
      </c>
      <c r="B12" s="438">
        <v>30000</v>
      </c>
      <c r="C12" s="237"/>
      <c r="D12" s="225"/>
      <c r="F12" s="239"/>
      <c r="G12" s="237"/>
      <c r="H12" s="242"/>
      <c r="I12" s="242"/>
      <c r="J12" s="242"/>
      <c r="K12" s="242"/>
      <c r="L12" s="242"/>
      <c r="M12" s="242"/>
    </row>
    <row r="13" spans="1:13" ht="18" customHeight="1" x14ac:dyDescent="0.25">
      <c r="A13" s="229" t="s">
        <v>259</v>
      </c>
      <c r="B13" s="438">
        <v>5000</v>
      </c>
      <c r="D13" s="225"/>
      <c r="F13" s="239"/>
      <c r="G13" s="237"/>
      <c r="H13" s="242"/>
      <c r="I13" s="242"/>
      <c r="J13" s="242"/>
      <c r="K13" s="242"/>
      <c r="L13" s="242"/>
      <c r="M13" s="242"/>
    </row>
    <row r="14" spans="1:13" ht="18" customHeight="1" x14ac:dyDescent="0.25">
      <c r="A14" s="436" t="s">
        <v>184</v>
      </c>
      <c r="B14" s="438">
        <f>5000+15000+2740+2740</f>
        <v>25480</v>
      </c>
      <c r="C14" s="237"/>
      <c r="D14" s="225"/>
      <c r="G14" s="237"/>
      <c r="H14" s="242"/>
      <c r="I14" s="242"/>
      <c r="J14" s="242"/>
      <c r="K14" s="242"/>
      <c r="L14" s="242"/>
      <c r="M14" s="242"/>
    </row>
    <row r="15" spans="1:13" ht="18" customHeight="1" x14ac:dyDescent="0.25">
      <c r="A15" s="436" t="s">
        <v>263</v>
      </c>
      <c r="B15" s="438">
        <v>20000</v>
      </c>
      <c r="C15" s="237"/>
      <c r="D15" s="225"/>
      <c r="F15" s="239"/>
      <c r="G15" s="237"/>
      <c r="H15" s="242"/>
      <c r="I15" s="242"/>
      <c r="J15" s="242"/>
      <c r="K15" s="242"/>
      <c r="L15" s="242"/>
      <c r="M15" s="242"/>
    </row>
    <row r="16" spans="1:13" ht="18" customHeight="1" x14ac:dyDescent="0.25">
      <c r="A16" s="436" t="s">
        <v>193</v>
      </c>
      <c r="B16" s="438">
        <v>10000</v>
      </c>
      <c r="D16" s="225"/>
      <c r="F16" s="239"/>
      <c r="G16" s="237"/>
      <c r="H16" s="242"/>
      <c r="I16" s="242"/>
      <c r="J16" s="242"/>
      <c r="K16" s="242"/>
      <c r="L16" s="242"/>
      <c r="M16" s="242"/>
    </row>
    <row r="17" spans="1:18" ht="18" customHeight="1" x14ac:dyDescent="0.25">
      <c r="A17" s="436" t="s">
        <v>214</v>
      </c>
      <c r="B17" s="438">
        <v>5000</v>
      </c>
      <c r="C17" s="237"/>
      <c r="D17" s="225"/>
      <c r="F17" s="239"/>
      <c r="G17" s="237"/>
      <c r="H17" s="242"/>
      <c r="I17" s="242"/>
      <c r="J17" s="242"/>
      <c r="K17" s="242"/>
      <c r="L17" s="242"/>
      <c r="M17" s="242"/>
    </row>
    <row r="18" spans="1:18" ht="18" customHeight="1" x14ac:dyDescent="0.25">
      <c r="A18" s="436" t="s">
        <v>212</v>
      </c>
      <c r="B18" s="438">
        <v>20000</v>
      </c>
      <c r="C18" s="237"/>
      <c r="D18" s="225"/>
      <c r="F18" s="242"/>
      <c r="G18" s="237"/>
      <c r="H18" s="242"/>
      <c r="I18" s="242"/>
      <c r="J18" s="242"/>
      <c r="K18" s="242"/>
      <c r="L18" s="242"/>
      <c r="M18" s="242"/>
    </row>
    <row r="19" spans="1:18" ht="18" customHeight="1" x14ac:dyDescent="0.25">
      <c r="A19" s="436" t="s">
        <v>208</v>
      </c>
      <c r="B19" s="438">
        <v>20000</v>
      </c>
      <c r="C19" s="237"/>
      <c r="D19" s="225"/>
      <c r="F19" s="239"/>
      <c r="G19" s="237"/>
      <c r="H19" s="242"/>
      <c r="I19" s="242"/>
      <c r="J19" s="242"/>
      <c r="K19" s="242"/>
      <c r="L19" s="242"/>
      <c r="M19" s="242"/>
    </row>
    <row r="20" spans="1:18" ht="18" customHeight="1" x14ac:dyDescent="0.25">
      <c r="A20" s="229" t="s">
        <v>266</v>
      </c>
      <c r="B20" s="438">
        <f>2205+1102</f>
        <v>3307</v>
      </c>
      <c r="C20" s="237"/>
      <c r="D20" s="225"/>
      <c r="F20" s="239"/>
      <c r="G20" s="237"/>
      <c r="H20" s="242"/>
      <c r="I20" s="242"/>
      <c r="J20" s="242"/>
      <c r="K20" s="242"/>
      <c r="L20" s="242"/>
      <c r="M20" s="242"/>
    </row>
    <row r="21" spans="1:18" ht="18" customHeight="1" x14ac:dyDescent="0.25">
      <c r="A21" s="436"/>
      <c r="B21" s="299"/>
      <c r="C21" s="237"/>
      <c r="D21" s="225"/>
      <c r="F21" s="239"/>
      <c r="G21" s="237"/>
      <c r="H21" s="242"/>
      <c r="I21" s="242"/>
      <c r="J21" s="242"/>
      <c r="K21" s="242"/>
      <c r="L21" s="242"/>
      <c r="M21" s="242"/>
    </row>
    <row r="22" spans="1:18" ht="18" customHeight="1" thickBot="1" x14ac:dyDescent="0.3">
      <c r="A22" s="240" t="s">
        <v>96</v>
      </c>
      <c r="D22" s="244">
        <f>SUM(B5:B21)</f>
        <v>205679</v>
      </c>
      <c r="F22" s="239"/>
      <c r="G22" s="237"/>
      <c r="H22" s="242"/>
      <c r="I22" s="242"/>
      <c r="J22" s="242"/>
      <c r="K22" s="242"/>
      <c r="L22" s="242"/>
      <c r="M22" s="242"/>
    </row>
    <row r="23" spans="1:18" ht="18" customHeight="1" thickTop="1" x14ac:dyDescent="0.25">
      <c r="A23" s="406" t="s">
        <v>97</v>
      </c>
      <c r="B23" s="237"/>
      <c r="F23" s="239"/>
      <c r="G23" s="237"/>
      <c r="H23" s="242"/>
      <c r="I23" s="242"/>
      <c r="J23" s="242"/>
      <c r="K23" s="242"/>
      <c r="L23" s="242"/>
      <c r="M23" s="242"/>
    </row>
    <row r="24" spans="1:18" ht="18" customHeight="1" x14ac:dyDescent="0.25">
      <c r="A24" s="229" t="s">
        <v>234</v>
      </c>
      <c r="B24" s="410">
        <f>VLOOKUP(+$C$1,EOLMarkets,153)</f>
        <v>65000</v>
      </c>
      <c r="C24" s="233"/>
      <c r="D24" s="225"/>
      <c r="F24" s="239"/>
      <c r="G24" s="237"/>
      <c r="H24" s="400">
        <f>VLOOKUP(+$C$1,EOLMarkets,154)</f>
        <v>0</v>
      </c>
      <c r="I24" s="242"/>
      <c r="J24" s="400">
        <f>VLOOKUP(+$C$1,EOLMarkets,155)</f>
        <v>-68773</v>
      </c>
      <c r="K24" s="242"/>
      <c r="L24" s="242"/>
      <c r="M24" s="242"/>
    </row>
    <row r="25" spans="1:18" ht="18" customHeight="1" x14ac:dyDescent="0.25">
      <c r="A25" s="229" t="s">
        <v>273</v>
      </c>
      <c r="B25" s="410">
        <f>VLOOKUP(+$C$1,EOLMarkets,34)</f>
        <v>140000</v>
      </c>
      <c r="C25" s="233"/>
      <c r="D25" s="225"/>
      <c r="F25" s="239"/>
      <c r="G25" s="237"/>
      <c r="H25" s="400">
        <f>VLOOKUP(+$C$1,EOLMarkets,157)</f>
        <v>0</v>
      </c>
      <c r="I25" s="242"/>
      <c r="J25" s="400">
        <f>VLOOKUP(+$C$1,EOLMarkets,158)</f>
        <v>-88701</v>
      </c>
      <c r="K25" s="242"/>
      <c r="L25" s="242"/>
      <c r="M25" s="242"/>
    </row>
    <row r="26" spans="1:18" ht="18" customHeight="1" x14ac:dyDescent="0.25">
      <c r="A26" s="240" t="s">
        <v>195</v>
      </c>
      <c r="B26" s="438">
        <v>20000</v>
      </c>
      <c r="D26" s="225"/>
      <c r="F26" s="239"/>
      <c r="G26" s="237"/>
      <c r="H26" s="242"/>
      <c r="I26" s="242"/>
      <c r="J26" s="242"/>
      <c r="K26" s="242"/>
      <c r="L26" s="242"/>
      <c r="M26" s="242"/>
    </row>
    <row r="27" spans="1:18" ht="18" customHeight="1" x14ac:dyDescent="0.25">
      <c r="A27" s="245" t="s">
        <v>208</v>
      </c>
      <c r="B27" s="228">
        <f>50000+19000+15000-10000+3715+3445</f>
        <v>81160</v>
      </c>
      <c r="D27" s="225"/>
      <c r="F27" s="239"/>
      <c r="G27" s="237"/>
      <c r="H27" s="242"/>
      <c r="I27" s="242"/>
      <c r="J27" s="242"/>
      <c r="K27" s="242"/>
      <c r="L27" s="446" t="s">
        <v>138</v>
      </c>
      <c r="M27" s="446"/>
      <c r="N27" s="446"/>
      <c r="O27" s="446"/>
      <c r="P27" s="446"/>
      <c r="Q27" s="446"/>
      <c r="R27" s="446"/>
    </row>
    <row r="28" spans="1:18" ht="18" customHeight="1" x14ac:dyDescent="0.25">
      <c r="A28" s="245" t="s">
        <v>302</v>
      </c>
      <c r="B28" s="228">
        <v>15000</v>
      </c>
      <c r="C28" s="233"/>
      <c r="D28" s="225"/>
      <c r="F28" s="239"/>
      <c r="G28" s="237"/>
      <c r="H28" s="242"/>
      <c r="I28" s="242"/>
      <c r="J28" s="242"/>
      <c r="K28" s="242"/>
      <c r="L28" s="329"/>
      <c r="M28" s="266"/>
      <c r="N28" s="330" t="s">
        <v>140</v>
      </c>
      <c r="O28" s="331">
        <v>20000</v>
      </c>
      <c r="P28" s="331"/>
      <c r="Q28" s="266"/>
      <c r="R28" s="266"/>
    </row>
    <row r="29" spans="1:18" ht="18" customHeight="1" x14ac:dyDescent="0.25">
      <c r="D29" s="225"/>
      <c r="F29" s="239"/>
      <c r="G29" s="237"/>
      <c r="H29" s="242"/>
      <c r="I29" s="242"/>
      <c r="J29" s="242"/>
      <c r="K29" s="242"/>
      <c r="L29" s="266"/>
      <c r="M29" s="266"/>
      <c r="N29" s="330" t="s">
        <v>141</v>
      </c>
      <c r="O29" s="331">
        <f>+O28*30</f>
        <v>600000</v>
      </c>
      <c r="P29" s="331"/>
      <c r="Q29" s="266"/>
      <c r="R29" s="286"/>
    </row>
    <row r="30" spans="1:18" ht="18" customHeight="1" x14ac:dyDescent="0.25">
      <c r="A30" s="245"/>
      <c r="D30" s="225"/>
      <c r="F30" s="239"/>
      <c r="G30" s="237"/>
      <c r="H30" s="242"/>
      <c r="I30" s="242"/>
      <c r="J30" s="242"/>
      <c r="K30" s="242"/>
      <c r="L30" s="266"/>
      <c r="M30" s="266"/>
      <c r="N30" s="263"/>
      <c r="O30" s="263"/>
      <c r="P30" s="263"/>
      <c r="Q30" s="266"/>
      <c r="R30" s="286"/>
    </row>
    <row r="31" spans="1:18" ht="18" customHeight="1" x14ac:dyDescent="0.25">
      <c r="C31" s="233"/>
      <c r="D31" s="225"/>
      <c r="F31" s="239"/>
      <c r="G31" s="237"/>
      <c r="H31" s="242"/>
      <c r="I31" s="242"/>
      <c r="J31" s="242"/>
      <c r="K31" s="242"/>
      <c r="L31" s="316"/>
      <c r="M31" s="332" t="s">
        <v>144</v>
      </c>
      <c r="N31" s="333">
        <f>+O28</f>
        <v>20000</v>
      </c>
      <c r="O31" s="263"/>
      <c r="P31" s="334"/>
      <c r="Q31" s="330" t="s">
        <v>145</v>
      </c>
      <c r="R31" s="334">
        <f>+VLOOKUP($C$1,Oxy,5)</f>
        <v>600000</v>
      </c>
    </row>
    <row r="32" spans="1:18" ht="18" customHeight="1" thickBot="1" x14ac:dyDescent="0.3">
      <c r="A32" s="245" t="s">
        <v>98</v>
      </c>
      <c r="B32" s="246"/>
      <c r="C32" s="233"/>
      <c r="D32" s="244">
        <f>SUM(B24:B31)</f>
        <v>321160</v>
      </c>
      <c r="F32" s="247"/>
      <c r="G32" s="237"/>
      <c r="H32" s="247"/>
      <c r="I32" s="247"/>
      <c r="J32" s="247"/>
      <c r="K32"/>
      <c r="L32" s="316"/>
      <c r="M32" s="332" t="s">
        <v>147</v>
      </c>
      <c r="N32" s="334">
        <f>+VLOOKUP($C$1,Oxy,3)</f>
        <v>0</v>
      </c>
      <c r="O32" s="263"/>
      <c r="P32" s="334"/>
      <c r="Q32" s="330" t="s">
        <v>148</v>
      </c>
      <c r="R32" s="334">
        <f>+VLOOKUP($C$1,Oxy,6)</f>
        <v>600000</v>
      </c>
    </row>
    <row r="33" spans="1:18" s="233" customFormat="1" ht="23.25" customHeight="1" thickTop="1" x14ac:dyDescent="0.25">
      <c r="A33" s="245"/>
      <c r="B33" s="248">
        <f>SUM(B5:B32)</f>
        <v>526839</v>
      </c>
      <c r="F33" s="247">
        <f>SUM(F5:F21)</f>
        <v>127125</v>
      </c>
      <c r="G33" s="249"/>
      <c r="H33" s="247">
        <f>SUM(H5:H31)</f>
        <v>49477</v>
      </c>
      <c r="I33" s="247"/>
      <c r="J33" s="247">
        <f>SUM(J5:J31)</f>
        <v>-30349</v>
      </c>
      <c r="K33"/>
      <c r="L33" s="332"/>
      <c r="M33" s="332" t="s">
        <v>149</v>
      </c>
      <c r="N33" s="335">
        <f>+N32-N31</f>
        <v>-20000</v>
      </c>
      <c r="O33" s="263"/>
      <c r="P33" s="334"/>
      <c r="Q33" s="336" t="s">
        <v>150</v>
      </c>
      <c r="R33" s="335">
        <f>+VLOOKUP($C$1,Oxy,7)</f>
        <v>0</v>
      </c>
    </row>
    <row r="34" spans="1:18" ht="18" customHeight="1" x14ac:dyDescent="0.25">
      <c r="B34" s="233"/>
      <c r="F34" s="250"/>
      <c r="G34" s="250"/>
      <c r="H34" s="250"/>
      <c r="I34" s="251"/>
      <c r="J34" s="242"/>
      <c r="K34" s="242"/>
    </row>
    <row r="35" spans="1:18" ht="18" customHeight="1" x14ac:dyDescent="0.25">
      <c r="B35" s="248"/>
      <c r="F35" s="252"/>
      <c r="H35" s="250"/>
      <c r="L35" s="444" t="s">
        <v>251</v>
      </c>
      <c r="M35" s="444"/>
      <c r="N35" s="444"/>
      <c r="O35" s="444"/>
      <c r="P35" s="444"/>
      <c r="Q35" s="444"/>
      <c r="R35" s="444"/>
    </row>
    <row r="36" spans="1:18" ht="18" customHeight="1" x14ac:dyDescent="0.25">
      <c r="A36" s="229" t="s">
        <v>99</v>
      </c>
      <c r="B36" s="254"/>
      <c r="F36" s="233"/>
      <c r="H36" s="250"/>
      <c r="L36" s="329"/>
      <c r="M36" s="266"/>
      <c r="N36" s="330" t="s">
        <v>140</v>
      </c>
      <c r="O36" s="331">
        <f>4666+16000</f>
        <v>20666</v>
      </c>
      <c r="P36" s="331"/>
      <c r="Q36" s="266"/>
      <c r="R36" s="266"/>
    </row>
    <row r="37" spans="1:18" ht="18" customHeight="1" x14ac:dyDescent="0.25">
      <c r="A37" s="229" t="s">
        <v>100</v>
      </c>
      <c r="B37" s="255">
        <v>70000</v>
      </c>
      <c r="F37" s="256"/>
      <c r="H37" s="250"/>
      <c r="L37" s="266"/>
      <c r="M37" s="266"/>
      <c r="N37" s="330" t="s">
        <v>141</v>
      </c>
      <c r="O37" s="331">
        <f>+Hub!V37</f>
        <v>619980</v>
      </c>
      <c r="P37" s="331"/>
      <c r="Q37" s="266"/>
      <c r="R37" s="286"/>
    </row>
    <row r="38" spans="1:18" ht="18" customHeight="1" x14ac:dyDescent="0.25">
      <c r="A38" s="229" t="s">
        <v>101</v>
      </c>
      <c r="B38" s="228">
        <f>SUM(B33:B37)</f>
        <v>596839</v>
      </c>
      <c r="F38" s="252"/>
      <c r="H38" s="250"/>
      <c r="L38" s="266"/>
      <c r="M38" s="266"/>
      <c r="N38" s="263"/>
      <c r="O38" s="263"/>
      <c r="P38" s="263"/>
      <c r="Q38" s="266"/>
      <c r="R38" s="286"/>
    </row>
    <row r="39" spans="1:18" ht="18" customHeight="1" x14ac:dyDescent="0.25">
      <c r="H39" s="250"/>
      <c r="L39" s="316"/>
      <c r="M39" s="332" t="s">
        <v>144</v>
      </c>
      <c r="N39" s="333">
        <f>+O36</f>
        <v>20666</v>
      </c>
      <c r="O39" s="263"/>
      <c r="P39" s="334"/>
      <c r="Q39" s="330" t="s">
        <v>145</v>
      </c>
      <c r="R39" s="334">
        <f>+VLOOKUP($C$1,Hub,25)</f>
        <v>619980</v>
      </c>
    </row>
    <row r="40" spans="1:18" ht="18" customHeight="1" thickBot="1" x14ac:dyDescent="0.3">
      <c r="H40" s="250"/>
      <c r="L40" s="316"/>
      <c r="M40" s="332" t="s">
        <v>147</v>
      </c>
      <c r="N40" s="334">
        <f>+VLOOKUP($C$1,Hub,23)</f>
        <v>23421</v>
      </c>
      <c r="O40" s="263"/>
      <c r="P40" s="334"/>
      <c r="Q40" s="330" t="s">
        <v>148</v>
      </c>
      <c r="R40" s="334">
        <f>+VLOOKUP($C$1,Hub,26)</f>
        <v>621080</v>
      </c>
    </row>
    <row r="41" spans="1:18" ht="18" customHeight="1" thickTop="1" x14ac:dyDescent="0.3">
      <c r="A41" s="257" t="s">
        <v>102</v>
      </c>
      <c r="B41" s="366"/>
      <c r="E41" s="228"/>
      <c r="F41" s="258" t="s">
        <v>41</v>
      </c>
      <c r="G41" s="233"/>
      <c r="H41" s="250"/>
      <c r="L41" s="332"/>
      <c r="M41" s="332" t="s">
        <v>149</v>
      </c>
      <c r="N41" s="335">
        <f>+N40-N39</f>
        <v>2755</v>
      </c>
      <c r="O41" s="263"/>
      <c r="P41" s="334"/>
      <c r="Q41" s="336" t="s">
        <v>150</v>
      </c>
      <c r="R41" s="335">
        <f>+R40-R39</f>
        <v>1100</v>
      </c>
    </row>
    <row r="42" spans="1:18" ht="18" customHeight="1" x14ac:dyDescent="0.25">
      <c r="A42" s="229" t="s">
        <v>172</v>
      </c>
      <c r="B42" s="438">
        <v>4178</v>
      </c>
      <c r="D42" s="259"/>
      <c r="E42" s="260"/>
      <c r="F42" s="261"/>
      <c r="G42" s="233"/>
      <c r="H42" s="250"/>
      <c r="I42" s="233"/>
      <c r="J42" s="233"/>
      <c r="K42" s="233"/>
    </row>
    <row r="43" spans="1:18" ht="18" customHeight="1" x14ac:dyDescent="0.25">
      <c r="A43" s="229" t="s">
        <v>207</v>
      </c>
      <c r="B43" s="438">
        <v>1000</v>
      </c>
      <c r="D43" s="259"/>
      <c r="E43" s="260"/>
      <c r="F43" s="262"/>
      <c r="G43" s="233"/>
      <c r="H43" s="250"/>
      <c r="L43" s="444" t="s">
        <v>248</v>
      </c>
      <c r="M43" s="444"/>
      <c r="N43" s="444"/>
      <c r="O43" s="444"/>
      <c r="P43" s="444"/>
      <c r="Q43" s="444"/>
      <c r="R43" s="444"/>
    </row>
    <row r="44" spans="1:18" ht="18" customHeight="1" x14ac:dyDescent="0.25">
      <c r="A44" s="229" t="s">
        <v>259</v>
      </c>
      <c r="B44" s="438">
        <v>5000</v>
      </c>
      <c r="D44" s="243"/>
      <c r="E44" s="260"/>
      <c r="F44" s="262"/>
      <c r="G44" s="233"/>
      <c r="H44" s="250"/>
      <c r="L44" s="329"/>
      <c r="M44" s="266"/>
      <c r="N44" s="330" t="s">
        <v>140</v>
      </c>
      <c r="O44" s="331">
        <v>10000</v>
      </c>
      <c r="P44" s="331"/>
      <c r="Q44" s="266"/>
      <c r="R44" s="266"/>
    </row>
    <row r="45" spans="1:18" ht="18" customHeight="1" x14ac:dyDescent="0.25">
      <c r="A45" s="229" t="s">
        <v>209</v>
      </c>
      <c r="B45" s="438">
        <v>10000</v>
      </c>
      <c r="D45" s="259"/>
      <c r="E45" s="260"/>
      <c r="F45" s="268"/>
      <c r="G45" s="233"/>
      <c r="H45" s="250"/>
      <c r="L45" s="266"/>
      <c r="M45" s="266"/>
      <c r="N45" s="330" t="s">
        <v>141</v>
      </c>
      <c r="O45" s="331">
        <f>+Hub!B37</f>
        <v>300000</v>
      </c>
      <c r="P45" s="331"/>
      <c r="Q45" s="266"/>
      <c r="R45" s="286"/>
    </row>
    <row r="46" spans="1:18" ht="18" customHeight="1" x14ac:dyDescent="0.25">
      <c r="A46" s="229" t="s">
        <v>240</v>
      </c>
      <c r="B46" s="438">
        <v>24999</v>
      </c>
      <c r="D46" s="259"/>
      <c r="E46" s="260"/>
      <c r="F46" s="262"/>
      <c r="G46" s="233"/>
      <c r="H46" s="250"/>
      <c r="L46" s="266"/>
      <c r="M46" s="266"/>
      <c r="N46" s="263"/>
      <c r="O46" s="263"/>
      <c r="P46" s="263"/>
      <c r="Q46" s="266"/>
      <c r="R46" s="286"/>
    </row>
    <row r="47" spans="1:18" ht="18" customHeight="1" x14ac:dyDescent="0.25">
      <c r="A47" s="229" t="s">
        <v>229</v>
      </c>
      <c r="B47" s="438">
        <v>15000</v>
      </c>
      <c r="D47" s="259"/>
      <c r="E47" s="260"/>
      <c r="F47" s="262"/>
      <c r="G47" s="233"/>
      <c r="H47" s="250"/>
      <c r="L47" s="316"/>
      <c r="M47" s="332" t="s">
        <v>144</v>
      </c>
      <c r="N47" s="333">
        <f>+O44</f>
        <v>10000</v>
      </c>
      <c r="O47" s="263"/>
      <c r="P47" s="334"/>
      <c r="Q47" s="330" t="s">
        <v>145</v>
      </c>
      <c r="R47" s="334">
        <f>+VLOOKUP($C$1,Hub,5)</f>
        <v>300000</v>
      </c>
    </row>
    <row r="48" spans="1:18" ht="18" customHeight="1" thickBot="1" x14ac:dyDescent="0.3">
      <c r="A48" s="229" t="s">
        <v>218</v>
      </c>
      <c r="B48" s="438">
        <v>10000</v>
      </c>
      <c r="D48" s="259"/>
      <c r="E48" s="260"/>
      <c r="F48" s="262"/>
      <c r="G48" s="233"/>
      <c r="H48" s="250"/>
      <c r="L48" s="316"/>
      <c r="M48" s="332" t="s">
        <v>147</v>
      </c>
      <c r="N48" s="334">
        <f>+VLOOKUP($C$1,Hub,3)</f>
        <v>10000</v>
      </c>
      <c r="O48" s="263"/>
      <c r="P48" s="334"/>
      <c r="Q48" s="330" t="s">
        <v>148</v>
      </c>
      <c r="R48" s="334">
        <f>+VLOOKUP($C$1,Hub,6)</f>
        <v>300000</v>
      </c>
    </row>
    <row r="49" spans="1:18" ht="18" customHeight="1" thickTop="1" x14ac:dyDescent="0.25">
      <c r="A49" s="229" t="s">
        <v>220</v>
      </c>
      <c r="B49" s="438">
        <v>10000</v>
      </c>
      <c r="D49" s="259"/>
      <c r="E49" s="260"/>
      <c r="F49" s="262"/>
      <c r="G49" s="233"/>
      <c r="H49" s="250"/>
      <c r="L49" s="332"/>
      <c r="M49" s="332" t="s">
        <v>149</v>
      </c>
      <c r="N49" s="335">
        <f>+N48-N47</f>
        <v>0</v>
      </c>
      <c r="O49" s="263"/>
      <c r="P49" s="334"/>
      <c r="Q49" s="336" t="s">
        <v>150</v>
      </c>
      <c r="R49" s="335">
        <f>+R48-R47</f>
        <v>0</v>
      </c>
    </row>
    <row r="50" spans="1:18" ht="18" customHeight="1" x14ac:dyDescent="0.25">
      <c r="A50" s="229" t="s">
        <v>178</v>
      </c>
      <c r="B50" s="438">
        <v>10000</v>
      </c>
      <c r="D50" s="259"/>
      <c r="E50" s="260"/>
      <c r="F50" s="262"/>
      <c r="G50" s="233"/>
      <c r="H50" s="250"/>
      <c r="I50" s="233"/>
      <c r="J50" s="233"/>
      <c r="K50" s="233"/>
    </row>
    <row r="51" spans="1:18" ht="18" customHeight="1" x14ac:dyDescent="0.25">
      <c r="A51" s="229" t="s">
        <v>240</v>
      </c>
      <c r="B51" s="438">
        <f>27007</f>
        <v>27007</v>
      </c>
      <c r="D51" s="259"/>
      <c r="E51" s="260"/>
      <c r="F51" s="262"/>
      <c r="G51" s="233"/>
      <c r="H51" s="250"/>
      <c r="I51" s="233"/>
      <c r="J51" s="233"/>
      <c r="K51" s="233"/>
      <c r="L51" s="444" t="s">
        <v>249</v>
      </c>
      <c r="M51" s="444"/>
      <c r="N51" s="444"/>
      <c r="O51" s="444"/>
      <c r="P51" s="444"/>
      <c r="Q51" s="444"/>
      <c r="R51" s="444"/>
    </row>
    <row r="52" spans="1:18" ht="18" customHeight="1" x14ac:dyDescent="0.25">
      <c r="A52" s="245" t="s">
        <v>181</v>
      </c>
      <c r="B52" s="438">
        <v>5000</v>
      </c>
      <c r="D52" s="259"/>
      <c r="E52" s="260"/>
      <c r="F52" s="262"/>
      <c r="G52" s="233"/>
      <c r="H52" s="250"/>
      <c r="I52" s="233"/>
      <c r="J52" s="233"/>
      <c r="K52" s="233"/>
      <c r="L52" s="329"/>
      <c r="M52" s="266"/>
      <c r="N52" s="330" t="s">
        <v>140</v>
      </c>
      <c r="O52" s="331">
        <v>3333</v>
      </c>
      <c r="P52" s="331"/>
      <c r="Q52" s="266"/>
      <c r="R52" s="266"/>
    </row>
    <row r="53" spans="1:18" ht="18" customHeight="1" x14ac:dyDescent="0.25">
      <c r="A53" s="229" t="s">
        <v>275</v>
      </c>
      <c r="B53" s="438">
        <v>1400</v>
      </c>
      <c r="D53" s="259"/>
      <c r="E53" s="260"/>
      <c r="F53" s="262"/>
      <c r="G53" s="233"/>
      <c r="H53" s="250"/>
      <c r="I53" s="233"/>
      <c r="J53" s="233"/>
      <c r="K53" s="233"/>
      <c r="L53" s="266"/>
      <c r="M53" s="266"/>
      <c r="N53" s="330" t="s">
        <v>141</v>
      </c>
      <c r="O53" s="331">
        <f>+Hub!I37</f>
        <v>99990</v>
      </c>
      <c r="P53" s="331"/>
      <c r="Q53" s="266"/>
      <c r="R53" s="286"/>
    </row>
    <row r="54" spans="1:18" ht="18" customHeight="1" x14ac:dyDescent="0.25">
      <c r="A54" s="229" t="s">
        <v>213</v>
      </c>
      <c r="B54" s="438">
        <f>125000</f>
        <v>125000</v>
      </c>
      <c r="D54" s="259"/>
      <c r="E54" s="260"/>
      <c r="F54" s="262"/>
      <c r="G54" s="233"/>
      <c r="H54" s="250"/>
      <c r="L54" s="266"/>
      <c r="M54" s="266"/>
      <c r="N54" s="263"/>
      <c r="O54" s="263"/>
      <c r="P54" s="263"/>
      <c r="Q54" s="266"/>
      <c r="R54" s="286"/>
    </row>
    <row r="55" spans="1:18" ht="18" customHeight="1" x14ac:dyDescent="0.25">
      <c r="A55" s="229" t="s">
        <v>210</v>
      </c>
      <c r="B55" s="438">
        <v>15000</v>
      </c>
      <c r="D55" s="259"/>
      <c r="E55" s="260"/>
      <c r="F55" s="262"/>
      <c r="G55" s="233"/>
      <c r="H55" s="250"/>
      <c r="L55" s="316"/>
      <c r="M55" s="332" t="s">
        <v>144</v>
      </c>
      <c r="N55" s="333">
        <f>+O52</f>
        <v>3333</v>
      </c>
      <c r="O55" s="263"/>
      <c r="P55" s="334"/>
      <c r="Q55" s="330" t="s">
        <v>145</v>
      </c>
      <c r="R55" s="334">
        <f>+VLOOKUP($C$1,Hub,12)</f>
        <v>99990</v>
      </c>
    </row>
    <row r="56" spans="1:18" ht="18" customHeight="1" thickBot="1" x14ac:dyDescent="0.3">
      <c r="A56" s="245" t="s">
        <v>181</v>
      </c>
      <c r="B56" s="438">
        <v>0</v>
      </c>
      <c r="D56" s="259"/>
      <c r="E56" s="260"/>
      <c r="F56" s="262"/>
      <c r="G56" s="233"/>
      <c r="H56" s="250"/>
      <c r="L56" s="316"/>
      <c r="M56" s="332" t="s">
        <v>147</v>
      </c>
      <c r="N56" s="334">
        <f>+VLOOKUP($C$1,Hub,10)</f>
        <v>3333</v>
      </c>
      <c r="O56" s="263"/>
      <c r="P56" s="334"/>
      <c r="Q56" s="330" t="s">
        <v>148</v>
      </c>
      <c r="R56" s="334">
        <f>+VLOOKUP($C$1,Hub,13)</f>
        <v>99990</v>
      </c>
    </row>
    <row r="57" spans="1:18" ht="18" customHeight="1" thickTop="1" x14ac:dyDescent="0.25">
      <c r="A57" s="229" t="s">
        <v>179</v>
      </c>
      <c r="B57" s="438">
        <v>5501</v>
      </c>
      <c r="C57" s="225"/>
      <c r="D57" s="259"/>
      <c r="E57" s="260"/>
      <c r="F57" s="262"/>
      <c r="G57" s="233"/>
      <c r="H57" s="250"/>
      <c r="L57" s="332"/>
      <c r="M57" s="332" t="s">
        <v>149</v>
      </c>
      <c r="N57" s="335">
        <f>+N56-N55</f>
        <v>0</v>
      </c>
      <c r="O57" s="263"/>
      <c r="P57" s="334"/>
      <c r="Q57" s="336" t="s">
        <v>150</v>
      </c>
      <c r="R57" s="335">
        <f>+R56-R55</f>
        <v>0</v>
      </c>
    </row>
    <row r="58" spans="1:18" ht="18" customHeight="1" x14ac:dyDescent="0.25">
      <c r="A58" s="229" t="s">
        <v>214</v>
      </c>
      <c r="B58" s="438">
        <v>10000</v>
      </c>
      <c r="D58" s="259"/>
      <c r="E58" s="260"/>
      <c r="F58" s="262"/>
      <c r="G58" s="233"/>
      <c r="H58" s="250"/>
    </row>
    <row r="59" spans="1:18" ht="18" customHeight="1" x14ac:dyDescent="0.25">
      <c r="A59" s="229" t="s">
        <v>245</v>
      </c>
      <c r="B59" s="438">
        <v>3600</v>
      </c>
      <c r="D59" s="259"/>
      <c r="E59" s="260"/>
      <c r="F59" s="262"/>
      <c r="G59" s="233"/>
      <c r="H59" s="250"/>
      <c r="L59" s="444" t="s">
        <v>250</v>
      </c>
      <c r="M59" s="444"/>
      <c r="N59" s="444"/>
      <c r="O59" s="444"/>
      <c r="P59" s="444"/>
      <c r="Q59" s="444"/>
      <c r="R59" s="444"/>
    </row>
    <row r="60" spans="1:18" ht="18" customHeight="1" thickBot="1" x14ac:dyDescent="0.3">
      <c r="A60" s="229" t="s">
        <v>105</v>
      </c>
      <c r="D60" s="244">
        <f>SUM(B42:B59)</f>
        <v>282685</v>
      </c>
      <c r="E60" s="228"/>
      <c r="F60" s="269"/>
      <c r="G60" s="233"/>
      <c r="H60" s="250"/>
      <c r="L60" s="329"/>
      <c r="M60" s="266"/>
      <c r="N60" s="330" t="s">
        <v>140</v>
      </c>
      <c r="O60" s="331">
        <v>1333</v>
      </c>
      <c r="P60" s="331"/>
      <c r="Q60" s="266"/>
      <c r="R60" s="266"/>
    </row>
    <row r="61" spans="1:18" ht="18" customHeight="1" thickTop="1" x14ac:dyDescent="0.25">
      <c r="E61" s="228"/>
      <c r="F61" s="269"/>
      <c r="G61" s="233"/>
      <c r="H61" s="250"/>
      <c r="I61" s="233"/>
      <c r="J61" s="233"/>
      <c r="K61" s="233"/>
      <c r="L61" s="266"/>
      <c r="M61" s="266"/>
      <c r="N61" s="330" t="s">
        <v>141</v>
      </c>
      <c r="O61" s="331">
        <f>+Hub!P37</f>
        <v>39990</v>
      </c>
      <c r="P61" s="331"/>
      <c r="Q61" s="266"/>
      <c r="R61" s="286"/>
    </row>
    <row r="62" spans="1:18" ht="18" customHeight="1" x14ac:dyDescent="0.25">
      <c r="A62" s="257" t="s">
        <v>107</v>
      </c>
      <c r="F62" s="230" t="s">
        <v>91</v>
      </c>
      <c r="G62" s="233"/>
      <c r="H62" s="230" t="s">
        <v>83</v>
      </c>
      <c r="L62" s="266"/>
      <c r="M62" s="266"/>
      <c r="N62" s="263"/>
      <c r="O62" s="263"/>
      <c r="P62" s="263"/>
      <c r="Q62" s="266"/>
      <c r="R62" s="286"/>
    </row>
    <row r="63" spans="1:18" ht="18" customHeight="1" thickBot="1" x14ac:dyDescent="0.3">
      <c r="E63" s="228"/>
      <c r="F63" s="238" t="s">
        <v>41</v>
      </c>
      <c r="G63" s="233"/>
      <c r="H63" s="238" t="s">
        <v>41</v>
      </c>
      <c r="L63" s="316"/>
      <c r="M63" s="332" t="s">
        <v>144</v>
      </c>
      <c r="N63" s="333">
        <f>+O60</f>
        <v>1333</v>
      </c>
      <c r="O63" s="263"/>
      <c r="P63" s="334"/>
      <c r="Q63" s="330" t="s">
        <v>145</v>
      </c>
      <c r="R63" s="334">
        <f>+VLOOKUP($C$1,Hub,19)</f>
        <v>39990</v>
      </c>
    </row>
    <row r="64" spans="1:18" ht="18" customHeight="1" thickBot="1" x14ac:dyDescent="0.3">
      <c r="A64" s="229" t="s">
        <v>233</v>
      </c>
      <c r="B64" s="228">
        <f>VLOOKUP(+$C$1,EOLSupplies,129)</f>
        <v>89016</v>
      </c>
      <c r="E64" s="228"/>
      <c r="F64" s="400">
        <f>VLOOKUP(+$C$1,EOLSupplies,130)</f>
        <v>-35984</v>
      </c>
      <c r="G64" s="242"/>
      <c r="H64" s="400">
        <f>VLOOKUP(+$C$1,EOLSupplies,131)</f>
        <v>-219708</v>
      </c>
      <c r="L64" s="316"/>
      <c r="M64" s="332" t="s">
        <v>147</v>
      </c>
      <c r="N64" s="334">
        <f>+VLOOKUP($C$1,Hub,17)</f>
        <v>1333</v>
      </c>
      <c r="O64" s="263"/>
      <c r="P64" s="334"/>
      <c r="Q64" s="330" t="s">
        <v>148</v>
      </c>
      <c r="R64" s="334">
        <f>+VLOOKUP($C$1,Hub,20)</f>
        <v>39990</v>
      </c>
    </row>
    <row r="65" spans="1:18" ht="18" customHeight="1" thickTop="1" x14ac:dyDescent="0.25">
      <c r="A65" s="229" t="s">
        <v>274</v>
      </c>
      <c r="B65" s="228">
        <f>VLOOKUP(+$C$1,EOLSupplies,49)</f>
        <v>194851</v>
      </c>
      <c r="E65" s="228"/>
      <c r="F65" s="400">
        <f>VLOOKUP(+$C$1,EOLSupplies,133)</f>
        <v>-5149</v>
      </c>
      <c r="G65" s="242"/>
      <c r="H65" s="400">
        <f>VLOOKUP(+$C$1,EOLSupplies,134)</f>
        <v>-5149</v>
      </c>
      <c r="L65" s="332"/>
      <c r="M65" s="332" t="s">
        <v>149</v>
      </c>
      <c r="N65" s="335">
        <f>+N64-N63</f>
        <v>0</v>
      </c>
      <c r="O65" s="263"/>
      <c r="P65" s="334"/>
      <c r="Q65" s="336" t="s">
        <v>150</v>
      </c>
      <c r="R65" s="335">
        <f>+R64-R63</f>
        <v>0</v>
      </c>
    </row>
    <row r="66" spans="1:18" ht="18" customHeight="1" x14ac:dyDescent="0.25">
      <c r="D66" s="225"/>
      <c r="E66" s="228"/>
      <c r="F66" s="268"/>
      <c r="G66" s="233"/>
      <c r="H66" s="250"/>
    </row>
    <row r="67" spans="1:18" ht="18" customHeight="1" x14ac:dyDescent="0.25">
      <c r="A67" s="229" t="s">
        <v>209</v>
      </c>
      <c r="B67" s="228">
        <v>13235</v>
      </c>
      <c r="D67" s="259"/>
      <c r="E67" s="228"/>
      <c r="F67" s="268"/>
      <c r="G67" s="233"/>
      <c r="H67" s="233"/>
      <c r="L67" s="444" t="s">
        <v>293</v>
      </c>
      <c r="M67" s="444"/>
      <c r="N67" s="444"/>
      <c r="O67" s="444"/>
      <c r="P67" s="444"/>
      <c r="Q67" s="444"/>
      <c r="R67" s="444"/>
    </row>
    <row r="68" spans="1:18" ht="18" customHeight="1" x14ac:dyDescent="0.25">
      <c r="D68" s="259"/>
      <c r="E68" s="228"/>
      <c r="F68" s="268"/>
      <c r="G68" s="233"/>
      <c r="H68" s="233"/>
      <c r="L68" s="329"/>
      <c r="M68" s="266"/>
      <c r="N68" s="330" t="s">
        <v>140</v>
      </c>
      <c r="O68" s="331">
        <v>10333</v>
      </c>
      <c r="P68" s="439" t="s">
        <v>294</v>
      </c>
      <c r="Q68" s="266"/>
      <c r="R68" s="266"/>
    </row>
    <row r="69" spans="1:18" ht="18" customHeight="1" x14ac:dyDescent="0.25">
      <c r="D69" s="259"/>
      <c r="E69" s="228"/>
      <c r="F69" s="268"/>
      <c r="G69" s="233"/>
      <c r="H69" s="233"/>
      <c r="I69" s="228"/>
      <c r="L69" s="266"/>
      <c r="M69" s="266"/>
      <c r="N69" s="330" t="s">
        <v>141</v>
      </c>
      <c r="O69" s="331">
        <f>+Hub!AB37</f>
        <v>155000</v>
      </c>
      <c r="P69" s="331"/>
      <c r="Q69" s="266"/>
      <c r="R69" s="286"/>
    </row>
    <row r="70" spans="1:18" ht="18" customHeight="1" x14ac:dyDescent="0.25">
      <c r="B70" s="272"/>
      <c r="D70" s="233"/>
      <c r="E70" s="228"/>
      <c r="F70" s="268"/>
      <c r="G70" s="233"/>
      <c r="H70" s="233"/>
      <c r="I70" s="228"/>
      <c r="L70" s="266"/>
      <c r="M70" s="266"/>
      <c r="N70" s="263"/>
      <c r="O70" s="263"/>
      <c r="P70" s="263"/>
      <c r="Q70" s="266"/>
      <c r="R70" s="286"/>
    </row>
    <row r="71" spans="1:18" ht="18" customHeight="1" x14ac:dyDescent="0.25">
      <c r="B71" s="272"/>
      <c r="D71" s="233"/>
      <c r="E71" s="228"/>
      <c r="F71" s="268"/>
      <c r="G71" s="233"/>
      <c r="H71" s="233"/>
      <c r="I71" s="228"/>
      <c r="L71" s="316"/>
      <c r="M71" s="332" t="s">
        <v>144</v>
      </c>
      <c r="N71" s="334">
        <f>+VLOOKUP($C$1,Hub,28)</f>
        <v>10338</v>
      </c>
      <c r="O71" s="263"/>
      <c r="P71" s="334"/>
      <c r="Q71" s="330" t="s">
        <v>145</v>
      </c>
      <c r="R71" s="334">
        <f>+VLOOKUP($C$1,Hub,31)</f>
        <v>155000</v>
      </c>
    </row>
    <row r="72" spans="1:18" ht="18" customHeight="1" thickBot="1" x14ac:dyDescent="0.3">
      <c r="A72" s="229" t="s">
        <v>110</v>
      </c>
      <c r="B72" s="274"/>
      <c r="D72" s="244">
        <f>SUM(B62:B71)</f>
        <v>297102</v>
      </c>
      <c r="E72" s="228"/>
      <c r="F72" s="244">
        <f>SUM(F64:F71)</f>
        <v>-41133</v>
      </c>
      <c r="I72" s="228"/>
      <c r="L72" s="316"/>
      <c r="M72" s="332" t="s">
        <v>147</v>
      </c>
      <c r="N72" s="334">
        <f>+VLOOKUP($C$1,Hub,29)</f>
        <v>10338</v>
      </c>
      <c r="O72" s="263"/>
      <c r="P72" s="334"/>
      <c r="Q72" s="330" t="s">
        <v>148</v>
      </c>
      <c r="R72" s="334">
        <f>+VLOOKUP($C$1,Hub,32)</f>
        <v>155000</v>
      </c>
    </row>
    <row r="73" spans="1:18" ht="18" customHeight="1" thickTop="1" thickBot="1" x14ac:dyDescent="0.3">
      <c r="A73" s="229" t="s">
        <v>111</v>
      </c>
      <c r="B73" s="244">
        <f>+D60+D72</f>
        <v>579787</v>
      </c>
      <c r="C73" s="233"/>
      <c r="D73" s="228"/>
      <c r="E73" s="233"/>
      <c r="F73" s="275"/>
      <c r="L73" s="332"/>
      <c r="M73" s="332" t="s">
        <v>149</v>
      </c>
      <c r="N73" s="335">
        <f>+N72-N71</f>
        <v>0</v>
      </c>
      <c r="O73" s="263"/>
      <c r="P73" s="334"/>
      <c r="Q73" s="336" t="s">
        <v>150</v>
      </c>
      <c r="R73" s="335">
        <f>+R72-R71</f>
        <v>0</v>
      </c>
    </row>
    <row r="74" spans="1:18" ht="18" customHeight="1" thickTop="1" x14ac:dyDescent="0.25">
      <c r="C74" s="276"/>
      <c r="E74" s="228"/>
      <c r="F74" s="228"/>
    </row>
    <row r="75" spans="1:18" ht="18" customHeight="1" thickBot="1" x14ac:dyDescent="0.3">
      <c r="A75" s="229" t="s">
        <v>112</v>
      </c>
      <c r="B75" s="277">
        <f>B38-B73</f>
        <v>17052</v>
      </c>
      <c r="C75" s="233"/>
      <c r="E75" s="228"/>
      <c r="F75" s="276"/>
      <c r="I75" s="263"/>
      <c r="J75" s="264" t="s">
        <v>103</v>
      </c>
      <c r="K75" s="264"/>
      <c r="L75" s="265"/>
      <c r="M75" s="263"/>
      <c r="N75" s="284"/>
      <c r="O75" s="263"/>
      <c r="P75" s="263"/>
    </row>
    <row r="76" spans="1:18" ht="18" customHeight="1" thickTop="1" x14ac:dyDescent="0.25">
      <c r="E76" s="228"/>
      <c r="F76" s="228"/>
      <c r="G76" s="237"/>
      <c r="H76" s="237"/>
      <c r="I76" s="263"/>
      <c r="J76" s="266" t="s">
        <v>104</v>
      </c>
      <c r="K76" s="266"/>
      <c r="L76" s="267"/>
      <c r="M76" s="263"/>
      <c r="N76" s="284"/>
      <c r="O76" s="263"/>
      <c r="P76" s="263"/>
    </row>
    <row r="77" spans="1:18" ht="18" customHeight="1" x14ac:dyDescent="0.25">
      <c r="A77" s="245"/>
      <c r="B77" s="279" t="s">
        <v>113</v>
      </c>
      <c r="C77" s="233"/>
      <c r="D77" s="279" t="s">
        <v>19</v>
      </c>
      <c r="E77" s="233"/>
      <c r="F77" s="280" t="s">
        <v>114</v>
      </c>
      <c r="G77" s="233"/>
      <c r="I77" s="263"/>
      <c r="J77" s="266" t="s">
        <v>196</v>
      </c>
      <c r="K77" s="266"/>
      <c r="L77" s="403">
        <f>+B64+B65</f>
        <v>283867</v>
      </c>
      <c r="M77" s="263"/>
      <c r="N77" s="284"/>
      <c r="O77" s="263"/>
      <c r="P77" s="263"/>
    </row>
    <row r="78" spans="1:18" ht="18" customHeight="1" x14ac:dyDescent="0.25">
      <c r="A78" s="229" t="s">
        <v>43</v>
      </c>
      <c r="B78" s="404">
        <f>VLOOKUP(+$C$1,EES,4)+VLOOKUP(+$C$1,EES,5)</f>
        <v>0</v>
      </c>
      <c r="C78" s="233"/>
      <c r="D78" s="274">
        <f>F78-B78</f>
        <v>33375</v>
      </c>
      <c r="E78" s="274">
        <v>49999</v>
      </c>
      <c r="F78" s="274">
        <f>12640+20735</f>
        <v>33375</v>
      </c>
      <c r="G78" s="233"/>
      <c r="I78" s="263"/>
      <c r="J78" s="266" t="s">
        <v>197</v>
      </c>
      <c r="K78" s="266"/>
      <c r="L78" s="403">
        <f>(+B24+B25)*-1</f>
        <v>-205000</v>
      </c>
      <c r="M78" s="263"/>
      <c r="N78" s="284"/>
      <c r="O78" s="263"/>
      <c r="P78" s="263"/>
    </row>
    <row r="79" spans="1:18" ht="18" customHeight="1" x14ac:dyDescent="0.25">
      <c r="A79" s="229" t="s">
        <v>14</v>
      </c>
      <c r="B79" s="252">
        <v>0</v>
      </c>
      <c r="C79" s="233"/>
      <c r="D79" s="274">
        <f>F79-B79</f>
        <v>0</v>
      </c>
      <c r="E79" s="274"/>
      <c r="F79" s="274">
        <v>0</v>
      </c>
      <c r="G79" s="233"/>
      <c r="I79" s="263"/>
      <c r="J79" s="266" t="s">
        <v>198</v>
      </c>
      <c r="K79" s="266"/>
      <c r="L79" s="403">
        <f>+D72-L77</f>
        <v>13235</v>
      </c>
      <c r="M79" s="263"/>
      <c r="N79" s="284"/>
      <c r="O79" s="263"/>
      <c r="P79" s="263"/>
    </row>
    <row r="80" spans="1:18" ht="18" customHeight="1" x14ac:dyDescent="0.25">
      <c r="A80" s="229" t="s">
        <v>12</v>
      </c>
      <c r="B80" s="404">
        <f>VLOOKUP(+$C$1,EES,6)</f>
        <v>0</v>
      </c>
      <c r="C80" s="233"/>
      <c r="D80" s="274">
        <f>F80-B80</f>
        <v>18988</v>
      </c>
      <c r="E80" s="274"/>
      <c r="F80" s="274">
        <f>3988+15000</f>
        <v>18988</v>
      </c>
      <c r="G80" s="233"/>
      <c r="I80" s="263"/>
      <c r="J80" s="266" t="s">
        <v>199</v>
      </c>
      <c r="K80" s="266"/>
      <c r="L80" s="403">
        <f>(+D32-(L78*-1))*-1</f>
        <v>-116160</v>
      </c>
      <c r="M80" s="263"/>
      <c r="N80" s="284"/>
      <c r="O80" s="263"/>
      <c r="P80" s="263"/>
    </row>
    <row r="81" spans="1:16" ht="18" customHeight="1" x14ac:dyDescent="0.25">
      <c r="A81" s="229" t="s">
        <v>119</v>
      </c>
      <c r="B81" s="252">
        <v>0</v>
      </c>
      <c r="C81" s="233"/>
      <c r="D81" s="274">
        <f>F81-B81</f>
        <v>0</v>
      </c>
      <c r="E81" s="274"/>
      <c r="F81" s="274">
        <v>0</v>
      </c>
      <c r="G81" s="233"/>
      <c r="I81" s="263"/>
      <c r="J81" s="270" t="s">
        <v>202</v>
      </c>
      <c r="K81" s="266"/>
      <c r="L81" s="267">
        <v>0</v>
      </c>
      <c r="M81" s="263"/>
      <c r="N81" s="284"/>
      <c r="O81" s="263"/>
      <c r="P81" s="263"/>
    </row>
    <row r="82" spans="1:16" ht="18" customHeight="1" x14ac:dyDescent="0.25">
      <c r="A82" s="229" t="s">
        <v>16</v>
      </c>
      <c r="B82" s="252">
        <v>0</v>
      </c>
      <c r="C82" s="233"/>
      <c r="D82" s="274">
        <v>0</v>
      </c>
      <c r="E82" s="233"/>
      <c r="F82" s="290">
        <v>0</v>
      </c>
      <c r="G82" s="233"/>
      <c r="I82" s="263"/>
      <c r="J82" s="270" t="s">
        <v>106</v>
      </c>
      <c r="K82" s="266"/>
      <c r="L82" s="267">
        <f>+F80-3988</f>
        <v>15000</v>
      </c>
      <c r="M82" s="263"/>
      <c r="N82" s="284"/>
      <c r="O82" s="263"/>
      <c r="P82" s="263"/>
    </row>
    <row r="83" spans="1:16" ht="18" customHeight="1" x14ac:dyDescent="0.25">
      <c r="A83" s="229" t="s">
        <v>121</v>
      </c>
      <c r="B83" s="252">
        <v>0</v>
      </c>
      <c r="C83" s="294"/>
      <c r="D83" s="295">
        <v>0</v>
      </c>
      <c r="E83" s="294"/>
      <c r="F83" s="296">
        <v>0</v>
      </c>
      <c r="G83" s="233"/>
      <c r="I83" s="263"/>
      <c r="J83" s="271" t="s">
        <v>174</v>
      </c>
      <c r="K83" s="266"/>
      <c r="L83" s="267">
        <v>0</v>
      </c>
      <c r="M83" s="263"/>
      <c r="N83" s="284"/>
      <c r="O83" s="263"/>
      <c r="P83" s="263"/>
    </row>
    <row r="84" spans="1:16" ht="18" customHeight="1" x14ac:dyDescent="0.25">
      <c r="A84" s="229" t="s">
        <v>122</v>
      </c>
      <c r="B84" s="299">
        <f>SUM(B78:B83)</f>
        <v>0</v>
      </c>
      <c r="C84" s="233"/>
      <c r="D84" s="300">
        <f>SUM(D78:D83)</f>
        <v>52363</v>
      </c>
      <c r="E84" s="233"/>
      <c r="F84" s="290">
        <f>SUM(F78:F83)</f>
        <v>52363</v>
      </c>
      <c r="G84" s="233"/>
      <c r="I84" s="263"/>
      <c r="J84" s="266" t="s">
        <v>108</v>
      </c>
      <c r="K84" s="266"/>
      <c r="L84" s="267">
        <f>+F78-37605-20000</f>
        <v>-24230</v>
      </c>
      <c r="M84" s="263"/>
      <c r="N84" s="284"/>
      <c r="O84" s="263"/>
      <c r="P84" s="263"/>
    </row>
    <row r="85" spans="1:16" ht="18" customHeight="1" x14ac:dyDescent="0.25">
      <c r="A85" s="229" t="s">
        <v>124</v>
      </c>
      <c r="B85" s="404">
        <f>VLOOKUP(+$C$1,EES,43)</f>
        <v>56039</v>
      </c>
      <c r="C85" s="301"/>
      <c r="D85" s="302"/>
      <c r="F85" s="301"/>
      <c r="G85" s="303"/>
      <c r="I85" s="263"/>
      <c r="J85" s="271" t="s">
        <v>188</v>
      </c>
      <c r="K85" s="266"/>
      <c r="L85" s="267">
        <v>0</v>
      </c>
      <c r="M85" s="263"/>
      <c r="N85" s="284"/>
      <c r="O85" s="263"/>
      <c r="P85" s="263"/>
    </row>
    <row r="86" spans="1:16" ht="18" customHeight="1" thickBot="1" x14ac:dyDescent="0.3">
      <c r="A86" s="229" t="s">
        <v>126</v>
      </c>
      <c r="B86" s="304">
        <f>SUM(B84:B85)</f>
        <v>56039</v>
      </c>
      <c r="C86" s="301"/>
      <c r="G86" s="303"/>
      <c r="I86" s="263"/>
      <c r="J86" s="266" t="s">
        <v>109</v>
      </c>
      <c r="K86" s="266"/>
      <c r="L86" s="273">
        <f>SUM(L76:L85)</f>
        <v>-33288</v>
      </c>
      <c r="M86" s="263"/>
      <c r="N86" s="284"/>
      <c r="O86" s="263"/>
      <c r="P86" s="263"/>
    </row>
    <row r="87" spans="1:16" ht="18" customHeight="1" thickTop="1" x14ac:dyDescent="0.25">
      <c r="A87" s="245"/>
      <c r="B87" s="233"/>
      <c r="C87" s="301"/>
      <c r="G87" s="303"/>
    </row>
    <row r="88" spans="1:16" ht="18" customHeight="1" x14ac:dyDescent="0.25">
      <c r="A88" s="245"/>
      <c r="B88" s="233"/>
      <c r="C88" s="301"/>
      <c r="G88" s="303"/>
      <c r="I88" s="278"/>
      <c r="J88" s="278"/>
      <c r="K88" s="278"/>
      <c r="L88" s="278"/>
      <c r="M88" s="278"/>
      <c r="N88" s="278"/>
      <c r="O88" s="278"/>
      <c r="P88" s="278"/>
    </row>
    <row r="89" spans="1:16" ht="18" customHeight="1" x14ac:dyDescent="0.25">
      <c r="B89" s="306"/>
      <c r="C89" s="301"/>
      <c r="G89" s="303"/>
      <c r="I89" s="278"/>
      <c r="J89" s="278"/>
      <c r="K89" s="278"/>
      <c r="L89" s="278"/>
      <c r="M89" s="278"/>
      <c r="N89" s="278"/>
      <c r="O89" s="278"/>
      <c r="P89" s="278"/>
    </row>
    <row r="90" spans="1:16" ht="18" customHeight="1" x14ac:dyDescent="0.25">
      <c r="A90" s="245"/>
      <c r="C90" s="301"/>
      <c r="E90" s="228"/>
      <c r="F90" s="228"/>
      <c r="I90" s="346"/>
      <c r="J90" s="346"/>
      <c r="K90" s="396" t="s">
        <v>115</v>
      </c>
      <c r="L90" s="211">
        <f>+C1+1</f>
        <v>36708</v>
      </c>
      <c r="M90" s="346"/>
      <c r="N90" s="346"/>
      <c r="O90" s="346"/>
      <c r="P90" s="346"/>
    </row>
    <row r="91" spans="1:16" ht="18" customHeight="1" x14ac:dyDescent="0.25">
      <c r="A91" s="229" t="s">
        <v>128</v>
      </c>
      <c r="B91" s="314">
        <f>B86-B37</f>
        <v>-13961</v>
      </c>
      <c r="C91" s="237"/>
      <c r="D91" s="314">
        <f>D84-B33+B73-B85</f>
        <v>49272</v>
      </c>
      <c r="E91" s="239"/>
      <c r="F91" s="314">
        <f>D91+B91</f>
        <v>35311</v>
      </c>
      <c r="G91" s="315" t="s">
        <v>4</v>
      </c>
      <c r="I91" s="263"/>
      <c r="J91" s="264" t="s">
        <v>116</v>
      </c>
      <c r="K91" s="264"/>
      <c r="L91" s="283"/>
      <c r="M91" s="282"/>
      <c r="N91" s="281"/>
      <c r="O91" s="284"/>
      <c r="P91" s="284" t="s">
        <v>17</v>
      </c>
    </row>
    <row r="92" spans="1:16" ht="18" customHeight="1" x14ac:dyDescent="0.25">
      <c r="C92" s="237"/>
      <c r="D92" s="230"/>
      <c r="E92" s="230"/>
      <c r="F92" s="317"/>
      <c r="I92" s="263"/>
      <c r="J92" s="285"/>
      <c r="K92" s="285"/>
      <c r="L92" s="286" t="s">
        <v>117</v>
      </c>
      <c r="M92" s="286"/>
      <c r="N92" s="284" t="s">
        <v>118</v>
      </c>
      <c r="O92" s="287"/>
      <c r="P92" s="284"/>
    </row>
    <row r="93" spans="1:16" ht="18" customHeight="1" x14ac:dyDescent="0.25">
      <c r="A93" s="229" t="s">
        <v>131</v>
      </c>
      <c r="C93" s="237"/>
      <c r="F93" s="239">
        <f>+H5+H6+H7+H8</f>
        <v>49477</v>
      </c>
      <c r="I93" s="263"/>
      <c r="J93" s="288" t="s">
        <v>223</v>
      </c>
      <c r="K93" s="288"/>
      <c r="L93" s="284">
        <v>0</v>
      </c>
      <c r="M93" s="263"/>
      <c r="N93" s="284">
        <f>-78857+139657</f>
        <v>60800</v>
      </c>
      <c r="O93" s="263"/>
      <c r="P93" s="311">
        <f>SUM(L93:N93)</f>
        <v>60800</v>
      </c>
    </row>
    <row r="94" spans="1:16" ht="18" customHeight="1" x14ac:dyDescent="0.25">
      <c r="A94" s="229" t="s">
        <v>133</v>
      </c>
      <c r="F94" s="239">
        <f>+VLOOKUP($C$1,EES,37)</f>
        <v>-13961</v>
      </c>
      <c r="G94" s="315"/>
      <c r="I94" s="263"/>
      <c r="J94" s="288" t="s">
        <v>200</v>
      </c>
      <c r="K94" s="288"/>
      <c r="L94" s="289">
        <v>0</v>
      </c>
      <c r="M94" s="289"/>
      <c r="N94" s="284">
        <v>0</v>
      </c>
      <c r="O94" s="287"/>
      <c r="P94" s="311">
        <f>SUM(L94:N94)</f>
        <v>0</v>
      </c>
    </row>
    <row r="95" spans="1:16" ht="18" customHeight="1" x14ac:dyDescent="0.25">
      <c r="A95" s="229" t="s">
        <v>135</v>
      </c>
      <c r="F95" s="314">
        <f>SUM(F93:F94)</f>
        <v>35516</v>
      </c>
      <c r="G95" s="301"/>
      <c r="I95" s="263"/>
      <c r="J95" s="291" t="s">
        <v>192</v>
      </c>
      <c r="K95" s="266"/>
      <c r="L95" s="289">
        <v>52869</v>
      </c>
      <c r="M95" s="289"/>
      <c r="N95" s="284">
        <f>72057-52869</f>
        <v>19188</v>
      </c>
      <c r="O95" s="292" t="s">
        <v>120</v>
      </c>
      <c r="P95" s="311">
        <f>SUM(L95:N95)</f>
        <v>72057</v>
      </c>
    </row>
    <row r="96" spans="1:16" ht="18" customHeight="1" x14ac:dyDescent="0.25">
      <c r="G96" s="301"/>
      <c r="I96" s="263"/>
      <c r="J96" s="291" t="s">
        <v>222</v>
      </c>
      <c r="K96" s="266"/>
      <c r="L96" s="297">
        <v>0</v>
      </c>
      <c r="M96" s="266"/>
      <c r="N96" s="284">
        <v>0</v>
      </c>
      <c r="O96" s="298"/>
      <c r="P96" s="311">
        <f t="shared" ref="P96:P103" si="0">SUM(L96:N96)</f>
        <v>0</v>
      </c>
    </row>
    <row r="97" spans="1:16" ht="18" customHeight="1" x14ac:dyDescent="0.25">
      <c r="A97" s="229" t="s">
        <v>136</v>
      </c>
      <c r="C97" s="237"/>
      <c r="D97" s="233"/>
      <c r="E97" s="301"/>
      <c r="F97" s="239">
        <f>+J5+J6+J7+J8</f>
        <v>127125</v>
      </c>
      <c r="G97" s="233"/>
      <c r="I97" s="263"/>
      <c r="J97" s="291" t="s">
        <v>123</v>
      </c>
      <c r="K97" s="266"/>
      <c r="L97" s="293">
        <v>0</v>
      </c>
      <c r="M97" s="266"/>
      <c r="N97" s="284">
        <v>0</v>
      </c>
      <c r="O97" s="287" t="s">
        <v>120</v>
      </c>
      <c r="P97" s="311">
        <f t="shared" si="0"/>
        <v>0</v>
      </c>
    </row>
    <row r="98" spans="1:16" ht="18" customHeight="1" x14ac:dyDescent="0.25">
      <c r="A98" s="229" t="s">
        <v>137</v>
      </c>
      <c r="C98" s="237"/>
      <c r="D98" s="233"/>
      <c r="E98" s="301"/>
      <c r="F98" s="239">
        <f>+VLOOKUP($C$1,EES,41)</f>
        <v>-58615</v>
      </c>
      <c r="I98" s="263"/>
      <c r="J98" s="291" t="s">
        <v>125</v>
      </c>
      <c r="K98" s="266"/>
      <c r="L98" s="289">
        <v>20000</v>
      </c>
      <c r="M98" s="266"/>
      <c r="N98" s="284">
        <f>45000-20000</f>
        <v>25000</v>
      </c>
      <c r="O98" s="287" t="s">
        <v>120</v>
      </c>
      <c r="P98" s="311">
        <f t="shared" si="0"/>
        <v>45000</v>
      </c>
    </row>
    <row r="99" spans="1:16" s="233" customFormat="1" ht="15" customHeight="1" x14ac:dyDescent="0.25">
      <c r="A99" s="328" t="s">
        <v>139</v>
      </c>
      <c r="F99" s="314">
        <f>SUM(F97:F98)</f>
        <v>68510</v>
      </c>
      <c r="G99" s="301"/>
      <c r="I99" s="263"/>
      <c r="J99" s="291"/>
      <c r="K99" s="266"/>
      <c r="L99" s="289">
        <v>0</v>
      </c>
      <c r="M99" s="266"/>
      <c r="N99" s="284">
        <v>0</v>
      </c>
      <c r="O99" s="287"/>
      <c r="P99" s="311">
        <f t="shared" si="0"/>
        <v>0</v>
      </c>
    </row>
    <row r="100" spans="1:16" ht="18" customHeight="1" x14ac:dyDescent="0.25">
      <c r="I100" s="263"/>
      <c r="J100" s="305" t="s">
        <v>182</v>
      </c>
      <c r="K100" s="288"/>
      <c r="L100" s="289">
        <v>0</v>
      </c>
      <c r="M100" s="266"/>
      <c r="N100" s="284">
        <v>53600</v>
      </c>
      <c r="O100" s="284"/>
      <c r="P100" s="311">
        <f t="shared" si="0"/>
        <v>53600</v>
      </c>
    </row>
    <row r="101" spans="1:16" ht="18" customHeight="1" x14ac:dyDescent="0.25">
      <c r="A101" s="229" t="s">
        <v>142</v>
      </c>
      <c r="C101" s="237"/>
      <c r="D101" s="233"/>
      <c r="E101" s="239"/>
      <c r="F101" s="239">
        <f>+F33</f>
        <v>127125</v>
      </c>
      <c r="I101" s="263"/>
      <c r="J101" s="288" t="s">
        <v>127</v>
      </c>
      <c r="K101" s="288"/>
      <c r="L101" s="289">
        <v>0</v>
      </c>
      <c r="M101" s="289"/>
      <c r="N101" s="284">
        <v>0</v>
      </c>
      <c r="O101" s="284"/>
      <c r="P101" s="311">
        <f t="shared" si="0"/>
        <v>0</v>
      </c>
    </row>
    <row r="102" spans="1:16" ht="18" customHeight="1" x14ac:dyDescent="0.25">
      <c r="A102" s="229" t="s">
        <v>143</v>
      </c>
      <c r="D102" s="233"/>
      <c r="E102" s="233"/>
      <c r="F102" s="239">
        <f>+EES!AK36</f>
        <v>-58615</v>
      </c>
      <c r="I102" s="263"/>
      <c r="J102" s="307" t="s">
        <v>12</v>
      </c>
      <c r="K102" s="307"/>
      <c r="L102" s="289">
        <v>0</v>
      </c>
      <c r="M102" s="289"/>
      <c r="N102" s="284">
        <v>0</v>
      </c>
      <c r="O102" s="308" t="s">
        <v>120</v>
      </c>
      <c r="P102" s="311">
        <f t="shared" si="0"/>
        <v>0</v>
      </c>
    </row>
    <row r="103" spans="1:16" ht="18" customHeight="1" x14ac:dyDescent="0.25">
      <c r="A103" s="229" t="s">
        <v>146</v>
      </c>
      <c r="F103" s="314">
        <f>SUM(F101:F102)</f>
        <v>68510</v>
      </c>
      <c r="I103" s="263"/>
      <c r="J103" s="309" t="s">
        <v>262</v>
      </c>
      <c r="K103" s="309"/>
      <c r="L103" s="310">
        <v>0</v>
      </c>
      <c r="M103" s="311"/>
      <c r="N103" s="312">
        <v>-1000</v>
      </c>
      <c r="O103" s="313"/>
      <c r="P103" s="311">
        <f t="shared" si="0"/>
        <v>-1000</v>
      </c>
    </row>
    <row r="104" spans="1:16" ht="13.5" customHeight="1" x14ac:dyDescent="0.25">
      <c r="I104" s="263"/>
      <c r="J104" s="316" t="s">
        <v>129</v>
      </c>
      <c r="K104" s="266"/>
      <c r="L104" s="312">
        <f>SUM(L93:L103)</f>
        <v>72869</v>
      </c>
      <c r="M104" s="312"/>
      <c r="N104" s="312">
        <f>SUM(N93:N103)</f>
        <v>157588</v>
      </c>
      <c r="O104" s="283"/>
      <c r="P104" s="311"/>
    </row>
    <row r="105" spans="1:16" ht="14.1" customHeight="1" x14ac:dyDescent="0.25">
      <c r="F105" s="301"/>
      <c r="I105" s="263"/>
      <c r="J105" s="318" t="s">
        <v>130</v>
      </c>
      <c r="K105" s="266"/>
      <c r="L105" s="319"/>
      <c r="M105" s="313">
        <f>L104+N104</f>
        <v>230457</v>
      </c>
      <c r="N105" s="283"/>
      <c r="O105" s="319"/>
      <c r="P105" s="284"/>
    </row>
    <row r="106" spans="1:16" ht="14.1" customHeight="1" x14ac:dyDescent="0.25">
      <c r="F106" s="237" t="s">
        <v>151</v>
      </c>
      <c r="I106" s="320" t="s">
        <v>132</v>
      </c>
      <c r="J106" s="320"/>
      <c r="K106" s="266"/>
      <c r="L106" s="297"/>
      <c r="M106" s="311">
        <f>SUM(B5:B8)*-1</f>
        <v>-24293</v>
      </c>
      <c r="N106" s="319"/>
      <c r="O106" s="319"/>
      <c r="P106" s="284"/>
    </row>
    <row r="107" spans="1:16" ht="14.1" customHeight="1" x14ac:dyDescent="0.25">
      <c r="A107" s="337"/>
      <c r="B107" s="338"/>
      <c r="C107" s="339"/>
      <c r="D107" s="340" t="s">
        <v>152</v>
      </c>
      <c r="E107" s="233"/>
      <c r="F107" s="242">
        <f>+OCCMarkets!H37</f>
        <v>0</v>
      </c>
      <c r="G107" s="233"/>
      <c r="H107" s="233" t="s">
        <v>260</v>
      </c>
      <c r="I107" s="263"/>
      <c r="J107" s="321" t="s">
        <v>134</v>
      </c>
      <c r="K107" s="316"/>
      <c r="L107" s="297"/>
      <c r="M107" s="311">
        <f>-B37</f>
        <v>-70000</v>
      </c>
      <c r="N107" s="319"/>
      <c r="O107" s="319"/>
      <c r="P107" s="284"/>
    </row>
    <row r="108" spans="1:16" ht="15" customHeight="1" x14ac:dyDescent="0.25">
      <c r="A108" s="337"/>
      <c r="B108" s="338"/>
      <c r="C108" s="341"/>
      <c r="D108" s="340" t="s">
        <v>152</v>
      </c>
      <c r="E108" s="233"/>
      <c r="F108" s="242">
        <f>+EES!M36</f>
        <v>0</v>
      </c>
      <c r="G108" s="233"/>
      <c r="H108" s="233" t="s">
        <v>261</v>
      </c>
      <c r="I108" s="263"/>
      <c r="J108" s="316" t="s">
        <v>194</v>
      </c>
      <c r="K108" s="266"/>
      <c r="L108" s="322"/>
      <c r="M108" s="407"/>
      <c r="N108" s="323"/>
      <c r="O108" s="324"/>
      <c r="P108" s="284"/>
    </row>
    <row r="109" spans="1:16" s="346" customFormat="1" ht="15" customHeight="1" thickBot="1" x14ac:dyDescent="0.3">
      <c r="A109" s="342"/>
      <c r="B109" s="343"/>
      <c r="C109" s="344"/>
      <c r="D109" s="345"/>
      <c r="E109" s="345"/>
      <c r="F109" s="345" t="s">
        <v>189</v>
      </c>
      <c r="I109" s="263"/>
      <c r="J109" s="316"/>
      <c r="K109" s="266"/>
      <c r="L109" s="325"/>
      <c r="M109" s="326">
        <f>+M105+M106+M107+M108</f>
        <v>136164</v>
      </c>
      <c r="N109" s="327"/>
      <c r="O109" s="324"/>
      <c r="P109" s="284"/>
    </row>
    <row r="110" spans="1:16" s="346" customFormat="1" ht="14.1" customHeight="1" thickTop="1" x14ac:dyDescent="0.25">
      <c r="A110" s="347"/>
      <c r="B110" s="348"/>
      <c r="C110" s="344"/>
      <c r="D110" s="345"/>
      <c r="E110" s="345"/>
      <c r="F110" s="345"/>
    </row>
    <row r="111" spans="1:16" s="346" customFormat="1" ht="12.9" customHeight="1" x14ac:dyDescent="0.25">
      <c r="A111" s="12"/>
      <c r="B111" s="349"/>
      <c r="C111" s="350"/>
      <c r="D111" s="345"/>
      <c r="E111" s="345"/>
      <c r="F111" s="345"/>
    </row>
    <row r="112" spans="1:16" s="346" customFormat="1" ht="14.1" customHeight="1" x14ac:dyDescent="0.25">
      <c r="A112" s="12"/>
      <c r="C112" s="351"/>
      <c r="D112" s="345"/>
      <c r="E112" s="345"/>
      <c r="F112" s="345"/>
    </row>
    <row r="113" spans="1:3" ht="12.9" customHeight="1" x14ac:dyDescent="0.25">
      <c r="A113" s="352"/>
      <c r="C113" s="302"/>
    </row>
    <row r="114" spans="1:3" ht="12.9" customHeight="1" x14ac:dyDescent="0.25">
      <c r="C114" s="272"/>
    </row>
    <row r="115" spans="1:3" ht="12.9" customHeight="1" x14ac:dyDescent="0.25">
      <c r="C115" s="272"/>
    </row>
    <row r="116" spans="1:3" ht="12.9" customHeight="1" x14ac:dyDescent="0.25">
      <c r="C116" s="272"/>
    </row>
    <row r="117" spans="1:3" ht="12.9" customHeight="1" x14ac:dyDescent="0.25">
      <c r="C117" s="272"/>
    </row>
    <row r="118" spans="1:3" ht="12.9" customHeight="1" x14ac:dyDescent="0.25">
      <c r="C118" s="272"/>
    </row>
    <row r="119" spans="1:3" ht="12.9" customHeight="1" x14ac:dyDescent="0.25">
      <c r="C119" s="272"/>
    </row>
  </sheetData>
  <mergeCells count="7">
    <mergeCell ref="L59:R59"/>
    <mergeCell ref="L67:R67"/>
    <mergeCell ref="L43:R43"/>
    <mergeCell ref="C1:D1"/>
    <mergeCell ref="L27:R27"/>
    <mergeCell ref="L35:R35"/>
    <mergeCell ref="L51:R51"/>
  </mergeCells>
  <printOptions horizontalCentered="1"/>
  <pageMargins left="0" right="0" top="0.27" bottom="0.25" header="0.75" footer="0.5"/>
  <pageSetup scale="37" orientation="portrait" r:id="rId1"/>
  <headerFooter alignWithMargins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42</vt:i4>
      </vt:variant>
    </vt:vector>
  </HeadingPairs>
  <TitlesOfParts>
    <vt:vector size="55" baseType="lpstr">
      <vt:lpstr>Supplies</vt:lpstr>
      <vt:lpstr>EOLSupplies</vt:lpstr>
      <vt:lpstr>BaseloadMarkets</vt:lpstr>
      <vt:lpstr>SwingMarkets</vt:lpstr>
      <vt:lpstr>EOLMarkets</vt:lpstr>
      <vt:lpstr>OCCMarkets</vt:lpstr>
      <vt:lpstr>EES</vt:lpstr>
      <vt:lpstr>Border</vt:lpstr>
      <vt:lpstr>Summary</vt:lpstr>
      <vt:lpstr>5 Day</vt:lpstr>
      <vt:lpstr>Hub</vt:lpstr>
      <vt:lpstr>Oxy</vt:lpstr>
      <vt:lpstr>Smurfit</vt:lpstr>
      <vt:lpstr>BaseloadMarkets</vt:lpstr>
      <vt:lpstr>EOLMarkets!CanFibre</vt:lpstr>
      <vt:lpstr>EOLSupplies!CanFibre</vt:lpstr>
      <vt:lpstr>SwingMarkets!CanFibre</vt:lpstr>
      <vt:lpstr>CanFibre</vt:lpstr>
      <vt:lpstr>Summary!EES</vt:lpstr>
      <vt:lpstr>EES</vt:lpstr>
      <vt:lpstr>EOLMarkets</vt:lpstr>
      <vt:lpstr>EOLSupplies</vt:lpstr>
      <vt:lpstr>EOLMarkets!Filtrol</vt:lpstr>
      <vt:lpstr>EOLSupplies!Filtrol</vt:lpstr>
      <vt:lpstr>SwingMarkets!Filtrol</vt:lpstr>
      <vt:lpstr>Filtrol</vt:lpstr>
      <vt:lpstr>Hub</vt:lpstr>
      <vt:lpstr>Hub!Oxy</vt:lpstr>
      <vt:lpstr>Summary!Oxy</vt:lpstr>
      <vt:lpstr>Oxy</vt:lpstr>
      <vt:lpstr>EOLMarkets!Pasadena</vt:lpstr>
      <vt:lpstr>EOLSupplies!Pasadena</vt:lpstr>
      <vt:lpstr>SwingMarkets!Pasadena</vt:lpstr>
      <vt:lpstr>Pasadena</vt:lpstr>
      <vt:lpstr>Border!Print_Area</vt:lpstr>
      <vt:lpstr>EOLMarkets!Print_Area</vt:lpstr>
      <vt:lpstr>EOLSupplies!Print_Area</vt:lpstr>
      <vt:lpstr>Summary!Print_Area</vt:lpstr>
      <vt:lpstr>BaseloadMarkets!Print_Titles</vt:lpstr>
      <vt:lpstr>Border!Print_Titles</vt:lpstr>
      <vt:lpstr>EOLMarkets!Print_Titles</vt:lpstr>
      <vt:lpstr>EOLSupplies!Print_Titles</vt:lpstr>
      <vt:lpstr>OCCMarkets!Print_Titles</vt:lpstr>
      <vt:lpstr>SwingMarkets!Print_Titles</vt:lpstr>
      <vt:lpstr>EOLMarkets!Smurfit</vt:lpstr>
      <vt:lpstr>EOLSupplies!Smurfit</vt:lpstr>
      <vt:lpstr>OCCMarkets!Smurfit</vt:lpstr>
      <vt:lpstr>SwingMarkets!Smurfit</vt:lpstr>
      <vt:lpstr>Smurfit</vt:lpstr>
      <vt:lpstr>Supplies</vt:lpstr>
      <vt:lpstr>EOLMarkets!Top</vt:lpstr>
      <vt:lpstr>EOLSupplies!Top</vt:lpstr>
      <vt:lpstr>OCCMarkets!Top</vt:lpstr>
      <vt:lpstr>SwingMarkets!Top</vt:lpstr>
      <vt:lpstr>Top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dsquirr</dc:creator>
  <cp:lastModifiedBy>Havlíček Jan</cp:lastModifiedBy>
  <cp:lastPrinted>2000-06-30T13:05:39Z</cp:lastPrinted>
  <dcterms:created xsi:type="dcterms:W3CDTF">1999-12-20T20:52:21Z</dcterms:created>
  <dcterms:modified xsi:type="dcterms:W3CDTF">2023-09-10T15:16:42Z</dcterms:modified>
</cp:coreProperties>
</file>