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Rolling Quarters" sheetId="1" r:id="rId1"/>
  </sheets>
  <definedNames>
    <definedName name="_xlnm.Print_Area" localSheetId="0">'Rolling Quarters'!$A$1:$AF$33</definedName>
  </definedNames>
  <calcPr calcId="92512"/>
</workbook>
</file>

<file path=xl/calcChain.xml><?xml version="1.0" encoding="utf-8"?>
<calcChain xmlns="http://schemas.openxmlformats.org/spreadsheetml/2006/main">
  <c r="B8" i="1" l="1"/>
  <c r="C8" i="1"/>
  <c r="D8" i="1"/>
  <c r="E8" i="1"/>
  <c r="I8" i="1"/>
  <c r="M8" i="1"/>
  <c r="Q8" i="1"/>
  <c r="U8" i="1"/>
  <c r="Y8" i="1"/>
  <c r="AC8" i="1"/>
  <c r="AD8" i="1"/>
  <c r="A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D10" i="1"/>
  <c r="E10" i="1"/>
  <c r="I10" i="1"/>
  <c r="M10" i="1"/>
  <c r="Q10" i="1"/>
  <c r="U10" i="1"/>
  <c r="Y10" i="1"/>
  <c r="AC10" i="1"/>
  <c r="AD10" i="1"/>
  <c r="B11" i="1"/>
  <c r="C11" i="1"/>
  <c r="D11" i="1"/>
  <c r="E11" i="1"/>
  <c r="I11" i="1"/>
  <c r="M11" i="1"/>
  <c r="Q11" i="1"/>
  <c r="U11" i="1"/>
  <c r="Y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</calcChain>
</file>

<file path=xl/sharedStrings.xml><?xml version="1.0" encoding="utf-8"?>
<sst xmlns="http://schemas.openxmlformats.org/spreadsheetml/2006/main" count="47" uniqueCount="35">
  <si>
    <t>North America Volumes (physical)</t>
  </si>
  <si>
    <t>Gas by Region</t>
  </si>
  <si>
    <t>1Q00</t>
  </si>
  <si>
    <t>2Q00</t>
  </si>
  <si>
    <t>3Q00</t>
  </si>
  <si>
    <t>4Q00</t>
  </si>
  <si>
    <t>Central</t>
  </si>
  <si>
    <t>East</t>
  </si>
  <si>
    <t>Texas</t>
  </si>
  <si>
    <t>West</t>
  </si>
  <si>
    <t>Canada</t>
  </si>
  <si>
    <t>Power by Region</t>
  </si>
  <si>
    <t>1Q99</t>
  </si>
  <si>
    <t>2Q99</t>
  </si>
  <si>
    <t>3Q99</t>
  </si>
  <si>
    <t>4Q99</t>
  </si>
  <si>
    <t>(Bbtu/d)</t>
  </si>
  <si>
    <t>(Thousand Mwh)</t>
  </si>
  <si>
    <t>2Q01</t>
  </si>
  <si>
    <t>Power was not able to breakout mwh by region</t>
  </si>
  <si>
    <t>Total number is in 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</si>
  <si>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</si>
  <si>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</si>
  <si>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</si>
  <si>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</si>
  <si>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</si>
  <si>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</si>
  <si>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</si>
  <si>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</si>
  <si>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</si>
  <si>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</si>
  <si>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</si>
  <si>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</si>
  <si>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Monthly and quarterly power volumes are based on Mwh</t>
  </si>
  <si>
    <t>Note: Monthly and quarterly gas volumes are reported based on monthly average and quarterly average of bbtu/d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</si>
</sst>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1" applyNumberFormat="1" applyFont="1"/>
    <xf numFmtId="17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/>
    <xf numFmtId="165" fontId="0" fillId="0" borderId="0" xfId="1" applyNumberFormat="1" applyFont="1" applyFill="1" applyBorder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3" fillId="0" borderId="0" xfId="1" applyNumberFormat="1" applyFont="1"/>
    <xf numFmtId="165" fontId="3" fillId="0" borderId="0" xfId="1" applyNumberFormat="1" applyFont="1" applyBorder="1"/>
    <xf numFmtId="165" fontId="3" fillId="0" borderId="1" xfId="1" applyNumberFormat="1" applyFont="1" applyBorder="1"/>
    <xf numFmtId="0" fontId="3" fillId="0" borderId="0" xfId="0" applyFont="1" applyAlignment="1">
      <alignment horizontal="right"/>
    </xf>
    <xf numFmtId="165" fontId="3" fillId="0" borderId="0" xfId="1" applyNumberFormat="1" applyFont="1" applyBorder="1" applyAlignment="1">
      <alignment horizontal="right"/>
    </xf>
    <xf numFmtId="17" fontId="3" fillId="0" borderId="0" xfId="0" applyNumberFormat="1" applyFont="1" applyAlignment="1">
      <alignment horizontal="center"/>
    </xf>
    <xf numFmtId="165" fontId="3" fillId="0" borderId="0" xfId="0" applyNumberFormat="1" applyFont="1"/>
    <xf numFmtId="165" fontId="0" fillId="0" borderId="2" xfId="1" applyNumberFormat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165" fontId="0" fillId="0" borderId="2" xfId="1" applyNumberFormat="1" applyFont="1" applyFill="1" applyBorder="1" applyAlignment="1">
      <alignment horizontal="right"/>
    </xf>
    <xf numFmtId="165" fontId="3" fillId="0" borderId="2" xfId="1" applyNumberFormat="1" applyFont="1" applyBorder="1"/>
    <xf numFmtId="165" fontId="0" fillId="0" borderId="2" xfId="1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26</xdr:col>
      <xdr:colOff>7620</xdr:colOff>
      <xdr:row>28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0" y="4389120"/>
          <a:ext cx="73685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tabSelected="1" workbookViewId="0">
      <selection activeCell="A32" sqref="A32"/>
    </sheetView>
  </sheetViews>
  <sheetFormatPr defaultRowHeight="13.2" x14ac:dyDescent="0.25"/>
  <cols>
    <col min="1" max="1" width="16.6640625" customWidth="1"/>
    <col min="2" max="3" width="10.44140625" hidden="1" customWidth="1"/>
    <col min="4" max="4" width="11.33203125" hidden="1" customWidth="1"/>
    <col min="5" max="8" width="10.44140625" hidden="1" customWidth="1"/>
    <col min="9" max="9" width="11.33203125" bestFit="1" customWidth="1"/>
    <col min="10" max="12" width="11.33203125" hidden="1" customWidth="1"/>
    <col min="13" max="13" width="11.33203125" bestFit="1" customWidth="1"/>
    <col min="14" max="16" width="11.33203125" hidden="1" customWidth="1"/>
    <col min="17" max="17" width="11.33203125" bestFit="1" customWidth="1"/>
    <col min="18" max="20" width="11.33203125" hidden="1" customWidth="1"/>
    <col min="21" max="21" width="11.33203125" bestFit="1" customWidth="1"/>
    <col min="22" max="24" width="11.33203125" customWidth="1"/>
    <col min="25" max="25" width="11.33203125" hidden="1" customWidth="1"/>
    <col min="26" max="28" width="11.33203125" customWidth="1"/>
    <col min="29" max="29" width="11.33203125" hidden="1" customWidth="1"/>
    <col min="30" max="30" width="11.33203125" bestFit="1" customWidth="1"/>
    <col min="31" max="31" width="11.33203125" customWidth="1"/>
  </cols>
  <sheetData>
    <row r="1" spans="1:33" ht="15.6" x14ac:dyDescent="0.3">
      <c r="A1" s="34" t="s">
        <v>0</v>
      </c>
    </row>
    <row r="2" spans="1:33" x14ac:dyDescent="0.25">
      <c r="A2" s="1"/>
    </row>
    <row r="3" spans="1:33" x14ac:dyDescent="0.25">
      <c r="A3" s="1"/>
    </row>
    <row r="5" spans="1:33" x14ac:dyDescent="0.25">
      <c r="A5" s="3" t="s">
        <v>1</v>
      </c>
      <c r="Y5" s="2"/>
      <c r="Z5" s="2"/>
      <c r="AA5" s="2"/>
      <c r="AB5" s="2"/>
    </row>
    <row r="6" spans="1:33" x14ac:dyDescent="0.25">
      <c r="A6" s="3" t="s">
        <v>16</v>
      </c>
      <c r="Y6" s="2"/>
      <c r="Z6" s="2"/>
      <c r="AA6" s="2"/>
      <c r="AB6" s="2"/>
    </row>
    <row r="7" spans="1:33" x14ac:dyDescent="0.25">
      <c r="B7" s="4" t="s">
        <v>12</v>
      </c>
      <c r="C7" s="4" t="s">
        <v>13</v>
      </c>
      <c r="D7" s="4" t="s">
        <v>14</v>
      </c>
      <c r="E7" s="4" t="s">
        <v>15</v>
      </c>
      <c r="F7" s="4" t="s">
        <v>21</v>
      </c>
      <c r="G7" s="4" t="s">
        <v>22</v>
      </c>
      <c r="H7" s="4" t="s">
        <v>23</v>
      </c>
      <c r="I7" s="19" t="s">
        <v>2</v>
      </c>
      <c r="J7" s="4" t="s">
        <v>24</v>
      </c>
      <c r="K7" s="4" t="s">
        <v>25</v>
      </c>
      <c r="L7" s="4" t="s">
        <v>26</v>
      </c>
      <c r="M7" s="19" t="s">
        <v>3</v>
      </c>
      <c r="N7" s="4" t="s">
        <v>27</v>
      </c>
      <c r="O7" s="4" t="s">
        <v>28</v>
      </c>
      <c r="P7" s="4" t="s">
        <v>29</v>
      </c>
      <c r="Q7" s="19" t="s">
        <v>4</v>
      </c>
      <c r="R7" s="4" t="s">
        <v>30</v>
      </c>
      <c r="S7" s="4" t="s">
        <v>31</v>
      </c>
      <c r="T7" s="4" t="s">
        <v>32</v>
      </c>
      <c r="U7" s="19" t="s">
        <v>5</v>
      </c>
      <c r="V7" s="7">
        <v>36892</v>
      </c>
      <c r="W7" s="7">
        <v>36923</v>
      </c>
      <c r="X7" s="7">
        <v>36951</v>
      </c>
      <c r="Y7" s="7">
        <v>37073</v>
      </c>
      <c r="Z7" s="7">
        <v>36982</v>
      </c>
      <c r="AA7" s="7">
        <v>37012</v>
      </c>
      <c r="AB7" s="7">
        <v>37043</v>
      </c>
      <c r="AC7" s="27" t="s">
        <v>18</v>
      </c>
      <c r="AD7" s="7">
        <v>37073</v>
      </c>
      <c r="AE7" s="7">
        <v>37104</v>
      </c>
    </row>
    <row r="8" spans="1:33" x14ac:dyDescent="0.25">
      <c r="A8" s="5" t="s">
        <v>6</v>
      </c>
      <c r="B8" s="8">
        <f>1567</f>
        <v>1567</v>
      </c>
      <c r="C8" s="8">
        <f>1414</f>
        <v>1414</v>
      </c>
      <c r="D8" s="8">
        <f>1773</f>
        <v>1773</v>
      </c>
      <c r="E8" s="8">
        <f>2302</f>
        <v>2302</v>
      </c>
      <c r="F8" s="8">
        <v>3418</v>
      </c>
      <c r="G8" s="8">
        <v>3762</v>
      </c>
      <c r="H8" s="8">
        <v>4388</v>
      </c>
      <c r="I8" s="20">
        <f>3858+65</f>
        <v>3923</v>
      </c>
      <c r="J8" s="8">
        <v>3086</v>
      </c>
      <c r="K8" s="8">
        <v>3673</v>
      </c>
      <c r="L8" s="8">
        <v>4404</v>
      </c>
      <c r="M8" s="20">
        <f>3720+52</f>
        <v>3772</v>
      </c>
      <c r="N8" s="8">
        <v>3604</v>
      </c>
      <c r="O8" s="8">
        <v>3841</v>
      </c>
      <c r="P8" s="8">
        <v>4085</v>
      </c>
      <c r="Q8" s="20">
        <f>3841+55</f>
        <v>3896</v>
      </c>
      <c r="R8" s="8">
        <v>3976</v>
      </c>
      <c r="S8" s="8">
        <v>4155</v>
      </c>
      <c r="T8" s="8">
        <v>4037</v>
      </c>
      <c r="U8" s="20">
        <f>93+4055</f>
        <v>4148</v>
      </c>
      <c r="V8" s="8">
        <v>4177</v>
      </c>
      <c r="W8" s="8">
        <v>4779</v>
      </c>
      <c r="X8" s="8">
        <v>5162</v>
      </c>
      <c r="Y8" s="20">
        <f>55+4724</f>
        <v>4779</v>
      </c>
      <c r="Z8" s="8">
        <v>4364</v>
      </c>
      <c r="AA8" s="8">
        <v>4760</v>
      </c>
      <c r="AB8" s="8">
        <v>6625</v>
      </c>
      <c r="AC8" s="22">
        <f>5244+90</f>
        <v>5334</v>
      </c>
      <c r="AD8" s="9">
        <f>6088+111</f>
        <v>6199</v>
      </c>
      <c r="AE8" s="9">
        <f>4625+97</f>
        <v>4722</v>
      </c>
      <c r="AG8" s="18"/>
    </row>
    <row r="9" spans="1:33" x14ac:dyDescent="0.25">
      <c r="A9" s="5" t="s">
        <v>7</v>
      </c>
      <c r="B9" s="8">
        <f>4242+126+369-27-126</f>
        <v>4584</v>
      </c>
      <c r="C9" s="10">
        <f>217+2774+432-182+496-432</f>
        <v>3305</v>
      </c>
      <c r="D9" s="8">
        <f>2831+251+677+171+166-677</f>
        <v>3419</v>
      </c>
      <c r="E9" s="8">
        <f>412+3033+921+330+502-921</f>
        <v>4277</v>
      </c>
      <c r="F9" s="8">
        <f>6362+745+908+412</f>
        <v>8427</v>
      </c>
      <c r="G9" s="8">
        <f>6166+670+556+947</f>
        <v>8339</v>
      </c>
      <c r="H9" s="8">
        <f>6288+459+411+832</f>
        <v>7990</v>
      </c>
      <c r="I9" s="20">
        <f>624+6274+1273+108+518-1273</f>
        <v>7524</v>
      </c>
      <c r="J9" s="8">
        <f>6113+514+768</f>
        <v>7395</v>
      </c>
      <c r="K9" s="8">
        <f>6051+799+681</f>
        <v>7531</v>
      </c>
      <c r="L9" s="8">
        <f>7282+465+720</f>
        <v>8467</v>
      </c>
      <c r="M9" s="20">
        <f>6481+949+414+198-949</f>
        <v>7093</v>
      </c>
      <c r="N9" s="8">
        <f>6950+581+623</f>
        <v>8154</v>
      </c>
      <c r="O9" s="8">
        <f>7636+510+749</f>
        <v>8895</v>
      </c>
      <c r="P9" s="8">
        <f>7258+785+799</f>
        <v>8842</v>
      </c>
      <c r="Q9" s="20">
        <f>7282+1126-71+441-1126</f>
        <v>7652</v>
      </c>
      <c r="R9" s="8">
        <f>8026+753+829</f>
        <v>9608</v>
      </c>
      <c r="S9" s="8">
        <f>9081+902+836</f>
        <v>10819</v>
      </c>
      <c r="T9" s="8">
        <f>8320+1120+1079</f>
        <v>10519</v>
      </c>
      <c r="U9" s="20">
        <f>585+8469+2017-71-2017</f>
        <v>8983</v>
      </c>
      <c r="V9" s="8">
        <f>6030+554+1100</f>
        <v>7684</v>
      </c>
      <c r="W9" s="8">
        <f>7745+522+1100</f>
        <v>9367</v>
      </c>
      <c r="X9" s="8">
        <f>8353+441+1083</f>
        <v>9877</v>
      </c>
      <c r="Y9" s="20">
        <f>527+9572-2208</f>
        <v>7891</v>
      </c>
      <c r="Z9" s="8">
        <f>8586+410+926</f>
        <v>9922</v>
      </c>
      <c r="AA9" s="8">
        <f>7842+540+700</f>
        <v>9082</v>
      </c>
      <c r="AB9" s="8">
        <f>9740+700</f>
        <v>10440</v>
      </c>
      <c r="AC9" s="22">
        <f>8713+304</f>
        <v>9017</v>
      </c>
      <c r="AD9" s="9">
        <f>9681+275</f>
        <v>9956</v>
      </c>
      <c r="AE9" s="9">
        <f>8888+248</f>
        <v>9136</v>
      </c>
    </row>
    <row r="10" spans="1:33" x14ac:dyDescent="0.25">
      <c r="A10" s="5" t="s">
        <v>8</v>
      </c>
      <c r="B10" s="8">
        <f>1560+489-33</f>
        <v>2016</v>
      </c>
      <c r="C10" s="8">
        <f>1717+513-2</f>
        <v>2228</v>
      </c>
      <c r="D10" s="8">
        <f>1549+537</f>
        <v>2086</v>
      </c>
      <c r="E10" s="8">
        <f>1552+693</f>
        <v>2245</v>
      </c>
      <c r="F10" s="8">
        <v>1796</v>
      </c>
      <c r="G10" s="8">
        <v>1618</v>
      </c>
      <c r="H10" s="8">
        <v>1806</v>
      </c>
      <c r="I10" s="20">
        <f>1743+456+39</f>
        <v>2238</v>
      </c>
      <c r="J10" s="8">
        <v>1762</v>
      </c>
      <c r="K10" s="8">
        <v>2161</v>
      </c>
      <c r="L10" s="8">
        <v>2294</v>
      </c>
      <c r="M10" s="20">
        <f>2071+31+595</f>
        <v>2697</v>
      </c>
      <c r="N10" s="8">
        <v>2152</v>
      </c>
      <c r="O10" s="8">
        <v>2142</v>
      </c>
      <c r="P10" s="8">
        <v>2056</v>
      </c>
      <c r="Q10" s="20">
        <f>2117+618+33</f>
        <v>2768</v>
      </c>
      <c r="R10" s="8">
        <v>2146</v>
      </c>
      <c r="S10" s="8">
        <v>2626</v>
      </c>
      <c r="T10" s="8">
        <v>2591</v>
      </c>
      <c r="U10" s="20">
        <f>47+2452+925</f>
        <v>3424</v>
      </c>
      <c r="V10" s="8">
        <v>2326</v>
      </c>
      <c r="W10" s="8">
        <v>2330</v>
      </c>
      <c r="X10" s="8">
        <v>1881</v>
      </c>
      <c r="Y10" s="20">
        <f>303+2174+506</f>
        <v>2983</v>
      </c>
      <c r="Z10" s="8">
        <v>1771</v>
      </c>
      <c r="AA10" s="8">
        <v>1725</v>
      </c>
      <c r="AB10" s="8">
        <v>1235</v>
      </c>
      <c r="AC10" s="22">
        <f>1579+319+14</f>
        <v>1912</v>
      </c>
      <c r="AD10" s="9">
        <f>805</f>
        <v>805</v>
      </c>
      <c r="AE10" s="9">
        <v>609</v>
      </c>
    </row>
    <row r="11" spans="1:33" x14ac:dyDescent="0.25">
      <c r="A11" s="5" t="s">
        <v>9</v>
      </c>
      <c r="B11" s="8">
        <f>837+514</f>
        <v>1351</v>
      </c>
      <c r="C11" s="8">
        <f>960+212</f>
        <v>1172</v>
      </c>
      <c r="D11" s="8">
        <f>926+229</f>
        <v>1155</v>
      </c>
      <c r="E11" s="8">
        <f>952+215</f>
        <v>1167</v>
      </c>
      <c r="F11" s="8">
        <v>1401</v>
      </c>
      <c r="G11" s="8">
        <v>1441</v>
      </c>
      <c r="H11" s="8">
        <v>1451</v>
      </c>
      <c r="I11" s="20">
        <f>1431+283</f>
        <v>1714</v>
      </c>
      <c r="J11" s="8">
        <v>1400</v>
      </c>
      <c r="K11" s="8">
        <v>1774</v>
      </c>
      <c r="L11" s="8">
        <v>1957</v>
      </c>
      <c r="M11" s="20">
        <f>225+1710</f>
        <v>1935</v>
      </c>
      <c r="N11" s="8">
        <v>1816</v>
      </c>
      <c r="O11" s="8">
        <v>2118</v>
      </c>
      <c r="P11" s="8">
        <v>2409</v>
      </c>
      <c r="Q11" s="20">
        <f>2111+241</f>
        <v>2352</v>
      </c>
      <c r="R11" s="8">
        <v>1943</v>
      </c>
      <c r="S11" s="8">
        <v>4238</v>
      </c>
      <c r="T11" s="8">
        <v>4415</v>
      </c>
      <c r="U11" s="20">
        <f>246+3524</f>
        <v>3770</v>
      </c>
      <c r="V11" s="8">
        <v>3196</v>
      </c>
      <c r="W11" s="8">
        <v>3247</v>
      </c>
      <c r="X11" s="8">
        <v>3583</v>
      </c>
      <c r="Y11" s="20">
        <f>198+3345</f>
        <v>3543</v>
      </c>
      <c r="Z11" s="8">
        <v>3524</v>
      </c>
      <c r="AA11" s="8">
        <v>3959</v>
      </c>
      <c r="AB11" s="8">
        <v>3509</v>
      </c>
      <c r="AC11" s="22">
        <f>3667+195</f>
        <v>3862</v>
      </c>
      <c r="AD11" s="9">
        <f>3117+171</f>
        <v>3288</v>
      </c>
      <c r="AE11" s="9">
        <f>4211+150</f>
        <v>4361</v>
      </c>
    </row>
    <row r="12" spans="1:33" x14ac:dyDescent="0.25">
      <c r="A12" s="5" t="s">
        <v>10</v>
      </c>
      <c r="B12" s="11">
        <f>3954+126</f>
        <v>4080</v>
      </c>
      <c r="C12" s="11">
        <f>4475+432</f>
        <v>4907</v>
      </c>
      <c r="D12" s="11">
        <f>4748+677</f>
        <v>5425</v>
      </c>
      <c r="E12" s="11">
        <f>4406+921</f>
        <v>5327</v>
      </c>
      <c r="F12" s="11">
        <f>1114+3992</f>
        <v>5106</v>
      </c>
      <c r="G12" s="11">
        <f>1293+4025</f>
        <v>5318</v>
      </c>
      <c r="H12" s="11">
        <f>1413+4600</f>
        <v>6013</v>
      </c>
      <c r="I12" s="21">
        <f>4389+1273</f>
        <v>5662</v>
      </c>
      <c r="J12" s="11">
        <f>926+5600</f>
        <v>6526</v>
      </c>
      <c r="K12" s="11">
        <f>1003+6000</f>
        <v>7003</v>
      </c>
      <c r="L12" s="11">
        <f>917+6300</f>
        <v>7217</v>
      </c>
      <c r="M12" s="21">
        <f>6587+949</f>
        <v>7536</v>
      </c>
      <c r="N12" s="11">
        <f>690+8000</f>
        <v>8690</v>
      </c>
      <c r="O12" s="11">
        <f>1397+7200</f>
        <v>8597</v>
      </c>
      <c r="P12" s="11">
        <f>1295+6600</f>
        <v>7895</v>
      </c>
      <c r="Q12" s="21">
        <f>7449+1126</f>
        <v>8575</v>
      </c>
      <c r="R12" s="11">
        <f>1405+7000</f>
        <v>8405</v>
      </c>
      <c r="S12" s="11">
        <f>2187+7100</f>
        <v>9287</v>
      </c>
      <c r="T12" s="11">
        <f>2463+6800</f>
        <v>9263</v>
      </c>
      <c r="U12" s="21">
        <f>6993+2017</f>
        <v>9010</v>
      </c>
      <c r="V12" s="11">
        <f>2205+5497</f>
        <v>7702</v>
      </c>
      <c r="W12" s="11">
        <f>2057+6810</f>
        <v>8867</v>
      </c>
      <c r="X12" s="11">
        <f>2347+6902</f>
        <v>9249</v>
      </c>
      <c r="Y12" s="21">
        <f>6358+2208</f>
        <v>8566</v>
      </c>
      <c r="Z12" s="11">
        <f>1413+3998</f>
        <v>5411</v>
      </c>
      <c r="AA12" s="11">
        <f>1104+4468</f>
        <v>5572</v>
      </c>
      <c r="AB12" s="11">
        <f>1572+4781</f>
        <v>6353</v>
      </c>
      <c r="AC12" s="24">
        <f>4448+1360</f>
        <v>5808</v>
      </c>
      <c r="AD12" s="9">
        <f>1637+5309</f>
        <v>6946</v>
      </c>
      <c r="AE12" s="12">
        <f>1890+4498</f>
        <v>6388</v>
      </c>
    </row>
    <row r="13" spans="1:33" x14ac:dyDescent="0.25">
      <c r="B13" s="8">
        <f t="shared" ref="B13:AE13" si="0">SUM(B8:B12)</f>
        <v>13598</v>
      </c>
      <c r="C13" s="8">
        <f t="shared" si="0"/>
        <v>13026</v>
      </c>
      <c r="D13" s="8">
        <f t="shared" si="0"/>
        <v>13858</v>
      </c>
      <c r="E13" s="8">
        <f t="shared" si="0"/>
        <v>15318</v>
      </c>
      <c r="F13" s="29">
        <f t="shared" si="0"/>
        <v>20148</v>
      </c>
      <c r="G13" s="29">
        <f t="shared" si="0"/>
        <v>20478</v>
      </c>
      <c r="H13" s="29">
        <f t="shared" si="0"/>
        <v>21648</v>
      </c>
      <c r="I13" s="30">
        <f t="shared" si="0"/>
        <v>21061</v>
      </c>
      <c r="J13" s="29">
        <f t="shared" si="0"/>
        <v>20169</v>
      </c>
      <c r="K13" s="29">
        <f t="shared" si="0"/>
        <v>22142</v>
      </c>
      <c r="L13" s="29">
        <f t="shared" si="0"/>
        <v>24339</v>
      </c>
      <c r="M13" s="30">
        <f t="shared" si="0"/>
        <v>23033</v>
      </c>
      <c r="N13" s="29">
        <f t="shared" si="0"/>
        <v>24416</v>
      </c>
      <c r="O13" s="29">
        <f t="shared" si="0"/>
        <v>25593</v>
      </c>
      <c r="P13" s="29">
        <f t="shared" si="0"/>
        <v>25287</v>
      </c>
      <c r="Q13" s="30">
        <f t="shared" si="0"/>
        <v>25243</v>
      </c>
      <c r="R13" s="29">
        <f t="shared" si="0"/>
        <v>26078</v>
      </c>
      <c r="S13" s="29">
        <f t="shared" si="0"/>
        <v>31125</v>
      </c>
      <c r="T13" s="29">
        <f t="shared" si="0"/>
        <v>30825</v>
      </c>
      <c r="U13" s="30">
        <f t="shared" si="0"/>
        <v>29335</v>
      </c>
      <c r="V13" s="29">
        <f t="shared" si="0"/>
        <v>25085</v>
      </c>
      <c r="W13" s="29">
        <f t="shared" si="0"/>
        <v>28590</v>
      </c>
      <c r="X13" s="29">
        <f t="shared" si="0"/>
        <v>29752</v>
      </c>
      <c r="Y13" s="30">
        <f t="shared" si="0"/>
        <v>27762</v>
      </c>
      <c r="Z13" s="29">
        <f t="shared" si="0"/>
        <v>24992</v>
      </c>
      <c r="AA13" s="29">
        <f t="shared" si="0"/>
        <v>25098</v>
      </c>
      <c r="AB13" s="29">
        <f t="shared" si="0"/>
        <v>28162</v>
      </c>
      <c r="AC13" s="30">
        <f t="shared" si="0"/>
        <v>25933</v>
      </c>
      <c r="AD13" s="29">
        <f t="shared" si="0"/>
        <v>27194</v>
      </c>
      <c r="AE13" s="31">
        <f t="shared" si="0"/>
        <v>25216</v>
      </c>
    </row>
    <row r="14" spans="1:33" x14ac:dyDescent="0.25">
      <c r="B14" s="8"/>
      <c r="C14" s="8"/>
      <c r="D14" s="8"/>
      <c r="E14" s="8"/>
      <c r="F14" s="8"/>
      <c r="G14" s="8"/>
      <c r="H14" s="8"/>
      <c r="I14" s="20"/>
      <c r="J14" s="8"/>
      <c r="K14" s="8"/>
      <c r="L14" s="8"/>
      <c r="M14" s="20"/>
      <c r="N14" s="8"/>
      <c r="O14" s="8"/>
      <c r="P14" s="8"/>
      <c r="Q14" s="20"/>
      <c r="R14" s="8"/>
      <c r="S14" s="8"/>
      <c r="T14" s="8"/>
      <c r="U14" s="20"/>
      <c r="V14" s="8"/>
      <c r="W14" s="8"/>
      <c r="X14" s="8"/>
      <c r="Y14" s="20"/>
      <c r="Z14" s="8"/>
      <c r="AA14" s="8"/>
      <c r="AB14" s="8"/>
      <c r="AC14" s="20"/>
      <c r="AD14" s="13"/>
      <c r="AE14" s="15"/>
    </row>
    <row r="15" spans="1:33" x14ac:dyDescent="0.25">
      <c r="I15" s="3"/>
      <c r="M15" s="3"/>
      <c r="Q15" s="3"/>
      <c r="U15" s="3"/>
      <c r="Y15" s="3"/>
      <c r="AC15" s="28"/>
    </row>
    <row r="16" spans="1:33" x14ac:dyDescent="0.25">
      <c r="A16" s="3" t="s">
        <v>11</v>
      </c>
      <c r="I16" s="3"/>
      <c r="M16" s="3"/>
      <c r="Q16" s="3"/>
      <c r="U16" s="3"/>
      <c r="Y16" s="25"/>
      <c r="Z16" s="2"/>
      <c r="AA16" s="2"/>
      <c r="AB16" s="2"/>
      <c r="AC16" s="3"/>
    </row>
    <row r="17" spans="1:32" x14ac:dyDescent="0.25">
      <c r="A17" s="3" t="s">
        <v>17</v>
      </c>
      <c r="I17" s="3"/>
      <c r="M17" s="3"/>
      <c r="Q17" s="3"/>
      <c r="U17" s="3"/>
      <c r="Y17" s="25"/>
      <c r="Z17" s="2"/>
      <c r="AA17" s="2"/>
      <c r="AB17" s="2"/>
      <c r="AC17" s="3"/>
    </row>
    <row r="18" spans="1:32" x14ac:dyDescent="0.25">
      <c r="B18" s="4" t="s">
        <v>12</v>
      </c>
      <c r="C18" s="4" t="s">
        <v>13</v>
      </c>
      <c r="D18" s="4" t="s">
        <v>14</v>
      </c>
      <c r="E18" s="4" t="s">
        <v>15</v>
      </c>
      <c r="F18" s="4"/>
      <c r="G18" s="4"/>
      <c r="H18" s="4"/>
      <c r="I18" s="19" t="s">
        <v>2</v>
      </c>
      <c r="J18" s="4"/>
      <c r="K18" s="4"/>
      <c r="L18" s="4"/>
      <c r="M18" s="19" t="s">
        <v>3</v>
      </c>
      <c r="N18" s="4"/>
      <c r="O18" s="4"/>
      <c r="P18" s="4"/>
      <c r="Q18" s="19" t="s">
        <v>4</v>
      </c>
      <c r="R18" s="4"/>
      <c r="S18" s="4"/>
      <c r="T18" s="4"/>
      <c r="U18" s="19" t="s">
        <v>5</v>
      </c>
      <c r="V18" s="7">
        <v>36892</v>
      </c>
      <c r="W18" s="7">
        <v>36923</v>
      </c>
      <c r="X18" s="7">
        <v>36951</v>
      </c>
      <c r="Y18" s="7">
        <v>37073</v>
      </c>
      <c r="Z18" s="7">
        <v>36982</v>
      </c>
      <c r="AA18" s="7">
        <v>37012</v>
      </c>
      <c r="AB18" s="7">
        <v>37043</v>
      </c>
      <c r="AC18" s="27" t="s">
        <v>18</v>
      </c>
      <c r="AD18" s="7">
        <v>37073</v>
      </c>
      <c r="AE18" s="7">
        <v>37104</v>
      </c>
    </row>
    <row r="19" spans="1:32" x14ac:dyDescent="0.25">
      <c r="A19" s="5" t="s">
        <v>7</v>
      </c>
      <c r="B19" s="8">
        <f>255+68167+60</f>
        <v>68482</v>
      </c>
      <c r="C19" s="8">
        <f>254+70202-60</f>
        <v>70396</v>
      </c>
      <c r="D19" s="8">
        <f>298+59712</f>
        <v>60010</v>
      </c>
      <c r="E19" s="8">
        <f>338+60183</f>
        <v>60521</v>
      </c>
      <c r="F19" s="8">
        <f>56+6068+3224+8195</f>
        <v>17543</v>
      </c>
      <c r="G19" s="8">
        <f>51+9446+5934+11739</f>
        <v>27170</v>
      </c>
      <c r="H19" s="8">
        <f>1168+11873+6522+7954-177+364</f>
        <v>27704</v>
      </c>
      <c r="I19" s="22">
        <f>364+72229-177</f>
        <v>72416</v>
      </c>
      <c r="J19" s="9">
        <f>74+8747+6679+10514</f>
        <v>26014</v>
      </c>
      <c r="K19" s="9">
        <f>125+13106+8437+10690</f>
        <v>32358</v>
      </c>
      <c r="L19" s="9">
        <f>102+6002+3376+9226+685+506</f>
        <v>19897</v>
      </c>
      <c r="M19" s="22">
        <f>506+77077+685</f>
        <v>78268</v>
      </c>
      <c r="N19" s="9">
        <f>227+5734+2500+9165</f>
        <v>17626</v>
      </c>
      <c r="O19" s="9">
        <f>219+7537+3427+11885</f>
        <v>23068</v>
      </c>
      <c r="P19" s="9">
        <f>243+12016+6744+13724-518</f>
        <v>32209</v>
      </c>
      <c r="Q19" s="22">
        <f>666+73423-1184</f>
        <v>72905</v>
      </c>
      <c r="R19" s="9">
        <f>305+9750+6195+16652</f>
        <v>32902</v>
      </c>
      <c r="S19" s="9">
        <f>426+10829+6527+15353</f>
        <v>33135</v>
      </c>
      <c r="T19" s="9">
        <f>692+12132+6422+21649+722+8076</f>
        <v>49693</v>
      </c>
      <c r="U19" s="22">
        <f>722+106931+8076</f>
        <v>115729</v>
      </c>
      <c r="V19" s="9">
        <f>925+14109+7591+24809</f>
        <v>47434</v>
      </c>
      <c r="W19" s="9">
        <f>1327+16509+7964+25169</f>
        <v>50969</v>
      </c>
      <c r="X19" s="9">
        <f>1236+14171+4174+23165+2328+675</f>
        <v>45749</v>
      </c>
      <c r="Y19" s="20">
        <f>143477+675</f>
        <v>144152</v>
      </c>
      <c r="Z19" s="8">
        <v>43843</v>
      </c>
      <c r="AA19" s="8">
        <v>52362</v>
      </c>
      <c r="AB19" s="8">
        <f>60123+114+527</f>
        <v>60764</v>
      </c>
      <c r="AC19" s="22">
        <f>156442+527</f>
        <v>156969</v>
      </c>
      <c r="AD19" s="9">
        <f>2427+16322+8174+25295+284</f>
        <v>52502</v>
      </c>
      <c r="AE19" s="9">
        <v>101826</v>
      </c>
    </row>
    <row r="20" spans="1:32" x14ac:dyDescent="0.25">
      <c r="A20" s="5" t="s">
        <v>9</v>
      </c>
      <c r="B20" s="13">
        <f>636+16844</f>
        <v>17480</v>
      </c>
      <c r="C20" s="13">
        <f>605+23965</f>
        <v>24570</v>
      </c>
      <c r="D20" s="13">
        <f>710+50616</f>
        <v>51326</v>
      </c>
      <c r="E20" s="13">
        <f>804+26929</f>
        <v>27733</v>
      </c>
      <c r="F20" s="13">
        <f>1255+2622+5022</f>
        <v>8899</v>
      </c>
      <c r="G20" s="13">
        <f>1389+2840+4737</f>
        <v>8966</v>
      </c>
      <c r="H20" s="13">
        <f>1530+3661+6563+868</f>
        <v>12622</v>
      </c>
      <c r="I20" s="23">
        <f>868+29619</f>
        <v>30487</v>
      </c>
      <c r="J20" s="9">
        <f>2217+3975+7208</f>
        <v>13400</v>
      </c>
      <c r="K20" s="14">
        <f>2625+4416+7807</f>
        <v>14848</v>
      </c>
      <c r="L20" s="14">
        <f>3124+5284+7960+1204</f>
        <v>17572</v>
      </c>
      <c r="M20" s="23">
        <f>1204+44617</f>
        <v>45821</v>
      </c>
      <c r="N20" s="14">
        <f>5268+12512+10138</f>
        <v>27918</v>
      </c>
      <c r="O20" s="14">
        <f>6216+13105+10439</f>
        <v>29760</v>
      </c>
      <c r="P20" s="14">
        <f>6769+12937+10355+2320</f>
        <v>32381</v>
      </c>
      <c r="Q20" s="23">
        <f>2320+87738</f>
        <v>90058</v>
      </c>
      <c r="R20" s="14">
        <f>6426+9880+7855</f>
        <v>24161</v>
      </c>
      <c r="S20" s="14">
        <f>7342+7528+7053</f>
        <v>21923</v>
      </c>
      <c r="T20" s="14">
        <f>7657+8423+8424+2515</f>
        <v>27019</v>
      </c>
      <c r="U20" s="23">
        <f>2515+70588</f>
        <v>73103</v>
      </c>
      <c r="V20" s="14">
        <f>5606+5213+6035</f>
        <v>16854</v>
      </c>
      <c r="W20" s="14">
        <f>5180+4289+5374</f>
        <v>14843</v>
      </c>
      <c r="X20" s="14">
        <f>5934+5556+6250+1648+10</f>
        <v>19398</v>
      </c>
      <c r="Y20" s="26">
        <f>49446+1648</f>
        <v>51094</v>
      </c>
      <c r="Z20" s="13">
        <f>17650-630</f>
        <v>17020</v>
      </c>
      <c r="AA20" s="13">
        <f>18049-434</f>
        <v>17615</v>
      </c>
      <c r="AB20" s="8">
        <f>20317+11-420+952</f>
        <v>20860</v>
      </c>
      <c r="AC20" s="22">
        <f>54543+952</f>
        <v>55495</v>
      </c>
      <c r="AD20" s="9">
        <f>8633+10624+7019+694</f>
        <v>26970</v>
      </c>
      <c r="AE20" s="9"/>
      <c r="AF20" s="16"/>
    </row>
    <row r="21" spans="1:32" x14ac:dyDescent="0.25">
      <c r="A21" s="5" t="s">
        <v>10</v>
      </c>
      <c r="B21" s="11">
        <v>0</v>
      </c>
      <c r="C21" s="11">
        <v>0</v>
      </c>
      <c r="D21" s="11">
        <v>0</v>
      </c>
      <c r="E21" s="11">
        <v>0</v>
      </c>
      <c r="F21" s="11"/>
      <c r="G21" s="11"/>
      <c r="H21" s="11"/>
      <c r="I21" s="24">
        <v>0</v>
      </c>
      <c r="J21" s="12"/>
      <c r="K21" s="12"/>
      <c r="L21" s="12"/>
      <c r="M21" s="24">
        <v>0</v>
      </c>
      <c r="N21" s="12"/>
      <c r="O21" s="12"/>
      <c r="P21" s="12"/>
      <c r="Q21" s="24">
        <v>0</v>
      </c>
      <c r="R21" s="12"/>
      <c r="S21" s="12"/>
      <c r="T21" s="12"/>
      <c r="U21" s="24">
        <v>0</v>
      </c>
      <c r="V21" s="12"/>
      <c r="W21" s="12"/>
      <c r="X21" s="12"/>
      <c r="Y21" s="21">
        <v>1</v>
      </c>
      <c r="Z21" s="11">
        <v>630</v>
      </c>
      <c r="AA21" s="11">
        <v>434</v>
      </c>
      <c r="AB21" s="11">
        <v>420</v>
      </c>
      <c r="AC21" s="24">
        <v>1484</v>
      </c>
      <c r="AD21" s="12">
        <v>495</v>
      </c>
      <c r="AE21" s="12">
        <v>496</v>
      </c>
    </row>
    <row r="22" spans="1:32" x14ac:dyDescent="0.25">
      <c r="B22" s="8">
        <f t="shared" ref="B22:AE22" si="1">SUM(B19:B21)</f>
        <v>85962</v>
      </c>
      <c r="C22" s="8">
        <f t="shared" si="1"/>
        <v>94966</v>
      </c>
      <c r="D22" s="8">
        <f t="shared" si="1"/>
        <v>111336</v>
      </c>
      <c r="E22" s="8">
        <f t="shared" si="1"/>
        <v>88254</v>
      </c>
      <c r="F22" s="29">
        <f t="shared" si="1"/>
        <v>26442</v>
      </c>
      <c r="G22" s="29">
        <f t="shared" si="1"/>
        <v>36136</v>
      </c>
      <c r="H22" s="29">
        <f t="shared" si="1"/>
        <v>40326</v>
      </c>
      <c r="I22" s="32">
        <f t="shared" si="1"/>
        <v>102903</v>
      </c>
      <c r="J22" s="29">
        <f t="shared" si="1"/>
        <v>39414</v>
      </c>
      <c r="K22" s="29">
        <f t="shared" si="1"/>
        <v>47206</v>
      </c>
      <c r="L22" s="29">
        <f t="shared" si="1"/>
        <v>37469</v>
      </c>
      <c r="M22" s="32">
        <f t="shared" si="1"/>
        <v>124089</v>
      </c>
      <c r="N22" s="29">
        <f t="shared" si="1"/>
        <v>45544</v>
      </c>
      <c r="O22" s="29">
        <f t="shared" si="1"/>
        <v>52828</v>
      </c>
      <c r="P22" s="29">
        <f t="shared" si="1"/>
        <v>64590</v>
      </c>
      <c r="Q22" s="32">
        <f t="shared" si="1"/>
        <v>162963</v>
      </c>
      <c r="R22" s="29">
        <f t="shared" si="1"/>
        <v>57063</v>
      </c>
      <c r="S22" s="29">
        <f t="shared" si="1"/>
        <v>55058</v>
      </c>
      <c r="T22" s="29">
        <f t="shared" si="1"/>
        <v>76712</v>
      </c>
      <c r="U22" s="32">
        <f t="shared" si="1"/>
        <v>188832</v>
      </c>
      <c r="V22" s="29">
        <f t="shared" si="1"/>
        <v>64288</v>
      </c>
      <c r="W22" s="29">
        <f t="shared" si="1"/>
        <v>65812</v>
      </c>
      <c r="X22" s="29">
        <f t="shared" si="1"/>
        <v>65147</v>
      </c>
      <c r="Y22" s="30">
        <f t="shared" si="1"/>
        <v>195247</v>
      </c>
      <c r="Z22" s="29">
        <f t="shared" si="1"/>
        <v>61493</v>
      </c>
      <c r="AA22" s="29">
        <f t="shared" si="1"/>
        <v>70411</v>
      </c>
      <c r="AB22" s="29">
        <f t="shared" si="1"/>
        <v>82044</v>
      </c>
      <c r="AC22" s="32">
        <f t="shared" si="1"/>
        <v>213948</v>
      </c>
      <c r="AD22" s="33">
        <f t="shared" si="1"/>
        <v>79967</v>
      </c>
      <c r="AE22" s="33">
        <f t="shared" si="1"/>
        <v>102322</v>
      </c>
    </row>
    <row r="23" spans="1:32" x14ac:dyDescent="0.25">
      <c r="B23" s="2"/>
      <c r="C23" s="2"/>
      <c r="D23" s="2"/>
      <c r="E23" s="2"/>
      <c r="F23" s="2"/>
      <c r="G23" s="2"/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</row>
    <row r="24" spans="1:32" x14ac:dyDescent="0.25">
      <c r="Z24" s="17"/>
      <c r="AA24" s="17"/>
      <c r="AB24" s="17"/>
      <c r="AC24" t="s">
        <v>19</v>
      </c>
    </row>
    <row r="25" spans="1:32" x14ac:dyDescent="0.25">
      <c r="AC25" t="s">
        <v>20</v>
      </c>
    </row>
    <row r="27" spans="1:32" x14ac:dyDescent="0.25">
      <c r="A27" s="35" t="s">
        <v>34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1:32" x14ac:dyDescent="0.25">
      <c r="A28" s="37" t="s">
        <v>33</v>
      </c>
    </row>
    <row r="29" spans="1:32" x14ac:dyDescent="0.25">
      <c r="AC29" s="18"/>
    </row>
  </sheetData>
  <phoneticPr fontId="0" type="noConversion"/>
  <pageMargins left="0.5" right="0.25" top="1" bottom="1" header="0.5" footer="0.5"/>
  <pageSetup paperSize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Rolling Quarters</vt:lpstr>
      <vt:lpstr>'Rolling Quarters'!Print_Area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lgillet</dc:creator>
  <cp:lastModifiedBy>Havlíček Jan</cp:lastModifiedBy>
  <cp:lastPrinted>2001-09-12T21:37:31Z</cp:lastPrinted>
  <dcterms:created xsi:type="dcterms:W3CDTF">2001-04-09T14:03:20Z</dcterms:created>
  <dcterms:modified xsi:type="dcterms:W3CDTF">2023-09-10T15:18:28Z</dcterms:modified>
</cp:coreProperties>
</file>