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ummary 2002 Revised" sheetId="46" r:id="rId1"/>
    <sheet name="Summary 2002" sheetId="44" state="hidden" r:id="rId2"/>
    <sheet name="Texas-Trading w-o AA" sheetId="96" r:id="rId3"/>
    <sheet name="East-Trading w-o AA" sheetId="88" r:id="rId4"/>
    <sheet name="Central-Trading w-o AA" sheetId="74" r:id="rId5"/>
    <sheet name="West-Trading w-o AA" sheetId="82" r:id="rId6"/>
    <sheet name="Financial w-o AA" sheetId="78" r:id="rId7"/>
    <sheet name="Texas - Orig" sheetId="68" r:id="rId8"/>
    <sheet name="East - Orig" sheetId="87" r:id="rId9"/>
    <sheet name="Central Gas - Orig" sheetId="70" r:id="rId10"/>
    <sheet name="West - Orig" sheetId="83" r:id="rId11"/>
    <sheet name="Derivatives w-o  AA" sheetId="86" r:id="rId12"/>
    <sheet name="Mexico" sheetId="84" r:id="rId13"/>
    <sheet name="Crude" sheetId="69" r:id="rId14"/>
    <sheet name="East-Trading AA" sheetId="89" state="hidden" r:id="rId15"/>
    <sheet name="West-Trading AA" sheetId="81" state="hidden" r:id="rId16"/>
    <sheet name="Texas-Trading AA" sheetId="97" state="hidden" r:id="rId17"/>
    <sheet name="Financial - AA" sheetId="79" state="hidden" r:id="rId18"/>
    <sheet name="Derivatives AA" sheetId="85" state="hidden" r:id="rId19"/>
    <sheet name="Central - Trading AA" sheetId="75" state="hidden" r:id="rId20"/>
    <sheet name="Financial Gas" sheetId="66" state="hidden" r:id="rId21"/>
    <sheet name="East Power" sheetId="27" state="hidden" r:id="rId22"/>
    <sheet name="East Power Trading" sheetId="51" r:id="rId23"/>
    <sheet name="East Power Origination" sheetId="53" r:id="rId24"/>
    <sheet name="West Power Trading" sheetId="90" r:id="rId25"/>
    <sheet name="West Power Origination" sheetId="92" r:id="rId26"/>
    <sheet name="Canada Trading" sheetId="61" r:id="rId27"/>
    <sheet name="Canada Origination" sheetId="62" r:id="rId28"/>
    <sheet name="Office of the Chair" sheetId="21" r:id="rId29"/>
    <sheet name="East Power A&amp;A" sheetId="54" r:id="rId30"/>
    <sheet name="Gas A&amp;A" sheetId="98" r:id="rId31"/>
    <sheet name="West Power A&amp;A" sheetId="91" r:id="rId32"/>
    <sheet name="Canada A&amp;A" sheetId="63" r:id="rId33"/>
    <sheet name="Natural Gas Admin" sheetId="50" r:id="rId34"/>
    <sheet name="East Power Admins" sheetId="55" r:id="rId35"/>
    <sheet name="West Power Admins" sheetId="93" r:id="rId36"/>
    <sheet name="Canada" sheetId="5" state="hidden" r:id="rId37"/>
    <sheet name="Canada Admins" sheetId="64" state="hidden" r:id="rId38"/>
    <sheet name="Fin Ops" sheetId="7" r:id="rId39"/>
    <sheet name="Cash Ops" sheetId="8" r:id="rId40"/>
    <sheet name="SAP" sheetId="15" state="hidden" r:id="rId41"/>
    <sheet name="Tax" sheetId="6" r:id="rId42"/>
    <sheet name="Reg Affairs" sheetId="9" r:id="rId43"/>
    <sheet name="Credit" sheetId="12" r:id="rId44"/>
    <sheet name="Research" sheetId="31" state="hidden" r:id="rId45"/>
    <sheet name="Mkt Risk" sheetId="11" r:id="rId46"/>
    <sheet name="EOPs" sheetId="28" r:id="rId47"/>
    <sheet name="HR" sheetId="13" r:id="rId48"/>
    <sheet name="IT Dev-EOL" sheetId="42" r:id="rId49"/>
    <sheet name="IT Infra" sheetId="16" r:id="rId50"/>
    <sheet name="EOL Support" sheetId="19" r:id="rId51"/>
    <sheet name="Canada Support" sheetId="14" r:id="rId52"/>
    <sheet name="Legal" sheetId="20" r:id="rId53"/>
    <sheet name="Fundies-All" sheetId="41" r:id="rId54"/>
    <sheet name="Struct" sheetId="40" r:id="rId55"/>
    <sheet name="Weather" sheetId="30" r:id="rId56"/>
    <sheet name="IT Dev" sheetId="17" state="hidden" r:id="rId57"/>
    <sheet name="IT EOL" sheetId="18" state="hidden" r:id="rId58"/>
    <sheet name="IT All" sheetId="43" state="hidden" r:id="rId59"/>
    <sheet name="Fundies-Hou" sheetId="29" r:id="rId60"/>
    <sheet name="Competitive Ana" sheetId="10" r:id="rId61"/>
    <sheet name="Gas - Fund" sheetId="34" r:id="rId62"/>
    <sheet name="East - Fund" sheetId="38" r:id="rId63"/>
    <sheet name="West - Fund" sheetId="36" r:id="rId64"/>
    <sheet name="West - Struct" sheetId="37" state="hidden" r:id="rId65"/>
    <sheet name="Gas - Struct" sheetId="35" state="hidden" r:id="rId66"/>
    <sheet name="East - Struct" sheetId="39" state="hidden" r:id="rId67"/>
  </sheets>
  <externalReferences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</externalReferences>
  <definedNames>
    <definedName name="_xlnm.Print_Area" localSheetId="36">Canada!$B$1:$L$39</definedName>
    <definedName name="_xlnm.Print_Area" localSheetId="32">'Canada A&amp;A'!$B$1:$L$39</definedName>
    <definedName name="_xlnm.Print_Area" localSheetId="37">'Canada Admins'!$B$1:$L$39</definedName>
    <definedName name="_xlnm.Print_Area" localSheetId="27">'Canada Origination'!$B$1:$L$39</definedName>
    <definedName name="_xlnm.Print_Area" localSheetId="51">'Canada Support'!$A$1:$N$51</definedName>
    <definedName name="_xlnm.Print_Area" localSheetId="26">'Canada Trading'!$B$1:$L$39</definedName>
    <definedName name="_xlnm.Print_Area" localSheetId="39">'Cash Ops'!$B$1:$H$29</definedName>
    <definedName name="_xlnm.Print_Area" localSheetId="19">'Central - Trading AA'!$B$1:$L$34</definedName>
    <definedName name="_xlnm.Print_Area" localSheetId="9">'Central Gas - Orig'!$B$1:$L$34</definedName>
    <definedName name="_xlnm.Print_Area" localSheetId="4">'Central-Trading w-o AA'!$B$1:$L$34</definedName>
    <definedName name="_xlnm.Print_Area" localSheetId="60">'Competitive Ana'!$B$1:$L$43</definedName>
    <definedName name="_xlnm.Print_Area" localSheetId="43">Credit!$A$1:$M$40</definedName>
    <definedName name="_xlnm.Print_Area" localSheetId="13">Crude!$B$1:$L$34</definedName>
    <definedName name="_xlnm.Print_Area" localSheetId="18">'Derivatives AA'!$B$1:$L$40</definedName>
    <definedName name="_xlnm.Print_Area" localSheetId="11">'Derivatives w-o  AA'!$B$1:$L$40</definedName>
    <definedName name="_xlnm.Print_Area" localSheetId="62">'East - Fund'!$B$1:$H$29</definedName>
    <definedName name="_xlnm.Print_Area" localSheetId="8">'East - Orig'!$B$1:$L$34</definedName>
    <definedName name="_xlnm.Print_Area" localSheetId="66">'East - Struct'!$B$1:$H$29</definedName>
    <definedName name="_xlnm.Print_Area" localSheetId="21">'East Power'!$B$1:$H$29</definedName>
    <definedName name="_xlnm.Print_Area" localSheetId="29">'East Power A&amp;A'!$B$1:$H$29</definedName>
    <definedName name="_xlnm.Print_Area" localSheetId="34">'East Power Admins'!$B$1:$H$29</definedName>
    <definedName name="_xlnm.Print_Area" localSheetId="23">'East Power Origination'!$B$1:$H$29</definedName>
    <definedName name="_xlnm.Print_Area" localSheetId="22">'East Power Trading'!$B$1:$H$29</definedName>
    <definedName name="_xlnm.Print_Area" localSheetId="14">'East-Trading AA'!$B$1:$L$34</definedName>
    <definedName name="_xlnm.Print_Area" localSheetId="3">'East-Trading w-o AA'!$B$1:$L$34</definedName>
    <definedName name="_xlnm.Print_Area" localSheetId="50">'EOL Support'!$A$1:$P$39</definedName>
    <definedName name="_xlnm.Print_Area" localSheetId="46">EOPs!$A$1:$M$39</definedName>
    <definedName name="_xlnm.Print_Area" localSheetId="38">'Fin Ops'!$B$1:$H$29</definedName>
    <definedName name="_xlnm.Print_Area" localSheetId="17">'Financial - AA'!$B$1:$P$34</definedName>
    <definedName name="_xlnm.Print_Area" localSheetId="20">'Financial Gas'!$B$1:$P$34</definedName>
    <definedName name="_xlnm.Print_Area" localSheetId="6">'Financial w-o AA'!$B$1:$P$34</definedName>
    <definedName name="_xlnm.Print_Area" localSheetId="53">'Fundies-All'!$B$1:$L$34</definedName>
    <definedName name="_xlnm.Print_Area" localSheetId="59">'Fundies-Hou'!$B$1:$L$34</definedName>
    <definedName name="_xlnm.Print_Area" localSheetId="61">'Gas - Fund'!$B$1:$L$34</definedName>
    <definedName name="_xlnm.Print_Area" localSheetId="65">'Gas - Struct'!$B$1:$L$34</definedName>
    <definedName name="_xlnm.Print_Area" localSheetId="30">'Gas A&amp;A'!$B$1:$L$34</definedName>
    <definedName name="_xlnm.Print_Area" localSheetId="47">HR!$B$1:$L$40</definedName>
    <definedName name="_xlnm.Print_Area" localSheetId="58">'IT All'!$B$1:$O$49</definedName>
    <definedName name="_xlnm.Print_Area" localSheetId="56">'IT Dev'!$B$1:$O$49</definedName>
    <definedName name="_xlnm.Print_Area" localSheetId="48">'IT Dev-EOL'!$B$1:$O$49</definedName>
    <definedName name="_xlnm.Print_Area" localSheetId="57">'IT EOL'!$B$1:$M$39</definedName>
    <definedName name="_xlnm.Print_Area" localSheetId="49">'IT Infra'!$B$1:$R$46</definedName>
    <definedName name="_xlnm.Print_Area" localSheetId="52">Legal!$B$1:$F$29</definedName>
    <definedName name="_xlnm.Print_Area" localSheetId="12">Mexico!$B$1:$L$34</definedName>
    <definedName name="_xlnm.Print_Area" localSheetId="45">'Mkt Risk'!$B$1:$M$41</definedName>
    <definedName name="_xlnm.Print_Area" localSheetId="33">'Natural Gas Admin'!$B$1:$L$34</definedName>
    <definedName name="_xlnm.Print_Area" localSheetId="28">'Office of the Chair'!$B$1:$M$40</definedName>
    <definedName name="_xlnm.Print_Area" localSheetId="42">'Reg Affairs'!$B$1:$L$39</definedName>
    <definedName name="_xlnm.Print_Area" localSheetId="44">Research!$B$1:$M$41</definedName>
    <definedName name="_xlnm.Print_Area" localSheetId="40">SAP!$B$1:$M$40</definedName>
    <definedName name="_xlnm.Print_Area" localSheetId="54">Struct!$B$1:$O$35</definedName>
    <definedName name="_xlnm.Print_Area" localSheetId="1">'Summary 2002'!$A$1:$T$89</definedName>
    <definedName name="_xlnm.Print_Area" localSheetId="0">'Summary 2002 Revised'!$A$1:$T$124</definedName>
    <definedName name="_xlnm.Print_Area" localSheetId="41">Tax!$B$1:$F$29</definedName>
    <definedName name="_xlnm.Print_Area" localSheetId="7">'Texas - Orig'!$B$1:$L$34</definedName>
    <definedName name="_xlnm.Print_Area" localSheetId="16">'Texas-Trading AA'!$B$1:$L$34</definedName>
    <definedName name="_xlnm.Print_Area" localSheetId="2">'Texas-Trading w-o AA'!$B$1:$L$34</definedName>
    <definedName name="_xlnm.Print_Area" localSheetId="55">Weather!$B$1:$L$34</definedName>
    <definedName name="_xlnm.Print_Area" localSheetId="63">'West - Fund'!$B$1:$O$35</definedName>
    <definedName name="_xlnm.Print_Area" localSheetId="10">'West - Orig'!$B$1:$L$34</definedName>
    <definedName name="_xlnm.Print_Area" localSheetId="64">'West - Struct'!$B$1:$O$35</definedName>
    <definedName name="_xlnm.Print_Area" localSheetId="31">'West Power A&amp;A'!$B$1:$G$35</definedName>
    <definedName name="_xlnm.Print_Area" localSheetId="35">'West Power Admins'!$B$1:$U$35</definedName>
    <definedName name="_xlnm.Print_Area" localSheetId="25">'West Power Origination'!$B$1:$V$35</definedName>
    <definedName name="_xlnm.Print_Area" localSheetId="24">'West Power Trading'!$B$1:$U$35</definedName>
    <definedName name="_xlnm.Print_Area" localSheetId="15">'West-Trading AA'!$B$1:$L$34</definedName>
    <definedName name="_xlnm.Print_Area" localSheetId="5">'West-Trading w-o AA'!$B$1:$L$34</definedName>
    <definedName name="SAPFuncF4Help" localSheetId="36" hidden="1">Main.SAPF4Help()</definedName>
    <definedName name="SAPFuncF4Help" localSheetId="32" hidden="1">Main.SAPF4Help()</definedName>
    <definedName name="SAPFuncF4Help" localSheetId="37" hidden="1">Main.SAPF4Help()</definedName>
    <definedName name="SAPFuncF4Help" localSheetId="27" hidden="1">Main.SAPF4Help()</definedName>
    <definedName name="SAPFuncF4Help" localSheetId="51" hidden="1">Main.SAPF4Help()</definedName>
    <definedName name="SAPFuncF4Help" localSheetId="26" hidden="1">Main.SAPF4Help()</definedName>
    <definedName name="SAPFuncF4Help" localSheetId="39" hidden="1">Main.SAPF4Help()</definedName>
    <definedName name="SAPFuncF4Help" localSheetId="19" hidden="1">Main.SAPF4Help()</definedName>
    <definedName name="SAPFuncF4Help" localSheetId="9" hidden="1">Main.SAPF4Help()</definedName>
    <definedName name="SAPFuncF4Help" localSheetId="4" hidden="1">Main.SAPF4Help()</definedName>
    <definedName name="SAPFuncF4Help" localSheetId="60" hidden="1">Main.SAPF4Help()</definedName>
    <definedName name="SAPFuncF4Help" localSheetId="43" hidden="1">Main.SAPF4Help()</definedName>
    <definedName name="SAPFuncF4Help" localSheetId="13" hidden="1">Main.SAPF4Help()</definedName>
    <definedName name="SAPFuncF4Help" localSheetId="18" hidden="1">Main.SAPF4Help()</definedName>
    <definedName name="SAPFuncF4Help" localSheetId="11" hidden="1">Main.SAPF4Help()</definedName>
    <definedName name="SAPFuncF4Help" localSheetId="62" hidden="1">Main.SAPF4Help()</definedName>
    <definedName name="SAPFuncF4Help" localSheetId="8" hidden="1">Main.SAPF4Help()</definedName>
    <definedName name="SAPFuncF4Help" localSheetId="29" hidden="1">Main.SAPF4Help()</definedName>
    <definedName name="SAPFuncF4Help" localSheetId="34" hidden="1">Main.SAPF4Help()</definedName>
    <definedName name="SAPFuncF4Help" localSheetId="23" hidden="1">Main.SAPF4Help()</definedName>
    <definedName name="SAPFuncF4Help" localSheetId="22" hidden="1">Main.SAPF4Help()</definedName>
    <definedName name="SAPFuncF4Help" localSheetId="14" hidden="1">Main.SAPF4Help()</definedName>
    <definedName name="SAPFuncF4Help" localSheetId="3" hidden="1">Main.SAPF4Help()</definedName>
    <definedName name="SAPFuncF4Help" localSheetId="50" hidden="1">Main.SAPF4Help()</definedName>
    <definedName name="SAPFuncF4Help" localSheetId="46" hidden="1">Main.SAPF4Help()</definedName>
    <definedName name="SAPFuncF4Help" localSheetId="17" hidden="1">Main.SAPF4Help()</definedName>
    <definedName name="SAPFuncF4Help" localSheetId="20" hidden="1">Main.SAPF4Help()</definedName>
    <definedName name="SAPFuncF4Help" localSheetId="6" hidden="1">Main.SAPF4Help()</definedName>
    <definedName name="SAPFuncF4Help" localSheetId="53" hidden="1">Main.SAPF4Help()</definedName>
    <definedName name="SAPFuncF4Help" localSheetId="59" hidden="1">Main.SAPF4Help()</definedName>
    <definedName name="SAPFuncF4Help" localSheetId="61" hidden="1">Main.SAPF4Help()</definedName>
    <definedName name="SAPFuncF4Help" localSheetId="30" hidden="1">Main.SAPF4Help()</definedName>
    <definedName name="SAPFuncF4Help" localSheetId="47" hidden="1">Main.SAPF4Help()</definedName>
    <definedName name="SAPFuncF4Help" localSheetId="58" hidden="1">Main.SAPF4Help()</definedName>
    <definedName name="SAPFuncF4Help" localSheetId="56" hidden="1">Main.SAPF4Help()</definedName>
    <definedName name="SAPFuncF4Help" localSheetId="48" hidden="1">Main.SAPF4Help()</definedName>
    <definedName name="SAPFuncF4Help" localSheetId="57" hidden="1">Main.SAPF4Help()</definedName>
    <definedName name="SAPFuncF4Help" localSheetId="49" hidden="1">Main.SAPF4Help()</definedName>
    <definedName name="SAPFuncF4Help" localSheetId="52" hidden="1">Main.SAPF4Help()</definedName>
    <definedName name="SAPFuncF4Help" localSheetId="12" hidden="1">Main.SAPF4Help()</definedName>
    <definedName name="SAPFuncF4Help" localSheetId="45" hidden="1">Main.SAPF4Help()</definedName>
    <definedName name="SAPFuncF4Help" localSheetId="33" hidden="1">Main.SAPF4Help()</definedName>
    <definedName name="SAPFuncF4Help" localSheetId="28" hidden="1">Main.SAPF4Help()</definedName>
    <definedName name="SAPFuncF4Help" localSheetId="42" hidden="1">Main.SAPF4Help()</definedName>
    <definedName name="SAPFuncF4Help" localSheetId="44" hidden="1">Main.SAPF4Help()</definedName>
    <definedName name="SAPFuncF4Help" localSheetId="40" hidden="1">Main.SAPF4Help()</definedName>
    <definedName name="SAPFuncF4Help" localSheetId="54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41" hidden="1">Main.SAPF4Help()</definedName>
    <definedName name="SAPFuncF4Help" localSheetId="7" hidden="1">Main.SAPF4Help()</definedName>
    <definedName name="SAPFuncF4Help" localSheetId="16" hidden="1">Main.SAPF4Help()</definedName>
    <definedName name="SAPFuncF4Help" localSheetId="2" hidden="1">Main.SAPF4Help()</definedName>
    <definedName name="SAPFuncF4Help" localSheetId="55" hidden="1">Main.SAPF4Help()</definedName>
    <definedName name="SAPFuncF4Help" localSheetId="63" hidden="1">Main.SAPF4Help()</definedName>
    <definedName name="SAPFuncF4Help" localSheetId="10" hidden="1">Main.SAPF4Help()</definedName>
    <definedName name="SAPFuncF4Help" localSheetId="64" hidden="1">Main.SAPF4Help()</definedName>
    <definedName name="SAPFuncF4Help" localSheetId="31" hidden="1">Main.SAPF4Help()</definedName>
    <definedName name="SAPFuncF4Help" localSheetId="35" hidden="1">Main.SAPF4Help()</definedName>
    <definedName name="SAPFuncF4Help" localSheetId="25" hidden="1">Main.SAPF4Help()</definedName>
    <definedName name="SAPFuncF4Help" localSheetId="24" hidden="1">Main.SAPF4Help()</definedName>
    <definedName name="SAPFuncF4Help" localSheetId="15" hidden="1">Main.SAPF4Help()</definedName>
    <definedName name="SAPFuncF4Help" localSheetId="5" hidden="1">Main.SAPF4Help()</definedName>
    <definedName name="SAPFuncF4Help" hidden="1">Main.SAPF4Help()</definedName>
  </definedNames>
  <calcPr calcId="92512" calcOnSave="0"/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63"/>
  <c r="C8" i="63"/>
  <c r="E8" i="63"/>
  <c r="K8" i="63"/>
  <c r="O8" i="63"/>
  <c r="C9" i="63"/>
  <c r="E9" i="63"/>
  <c r="O9" i="63"/>
  <c r="G10" i="63"/>
  <c r="O10" i="63"/>
  <c r="C11" i="63"/>
  <c r="E11" i="63"/>
  <c r="G11" i="63"/>
  <c r="I11" i="63"/>
  <c r="J11" i="63"/>
  <c r="K11" i="63"/>
  <c r="O11" i="63"/>
  <c r="C12" i="63"/>
  <c r="E12" i="63"/>
  <c r="G12" i="63"/>
  <c r="O12" i="63"/>
  <c r="C13" i="63"/>
  <c r="E13" i="63"/>
  <c r="G13" i="63"/>
  <c r="K13" i="63"/>
  <c r="O13" i="63"/>
  <c r="C14" i="63"/>
  <c r="E14" i="63"/>
  <c r="G14" i="63"/>
  <c r="O14" i="63"/>
  <c r="C15" i="63"/>
  <c r="E15" i="63"/>
  <c r="G15" i="63"/>
  <c r="O15" i="63"/>
  <c r="C16" i="63"/>
  <c r="E16" i="63"/>
  <c r="G16" i="63"/>
  <c r="K16" i="63"/>
  <c r="O16" i="63"/>
  <c r="C17" i="63"/>
  <c r="E17" i="63"/>
  <c r="G17" i="63"/>
  <c r="K17" i="63"/>
  <c r="O17" i="63"/>
  <c r="C18" i="63"/>
  <c r="E18" i="63"/>
  <c r="G18" i="63"/>
  <c r="K18" i="63"/>
  <c r="O18" i="63"/>
  <c r="C19" i="63"/>
  <c r="E19" i="63"/>
  <c r="G19" i="63"/>
  <c r="K19" i="63"/>
  <c r="O19" i="63"/>
  <c r="C20" i="63"/>
  <c r="E20" i="63"/>
  <c r="G20" i="63"/>
  <c r="K20" i="63"/>
  <c r="O20" i="63"/>
  <c r="C21" i="63"/>
  <c r="E21" i="63"/>
  <c r="G21" i="63"/>
  <c r="J21" i="63"/>
  <c r="K21" i="63"/>
  <c r="O21" i="63"/>
  <c r="C22" i="63"/>
  <c r="E22" i="63"/>
  <c r="G22" i="63"/>
  <c r="K22" i="63"/>
  <c r="O22" i="63"/>
  <c r="C23" i="63"/>
  <c r="E23" i="63"/>
  <c r="G23" i="63"/>
  <c r="K23" i="63"/>
  <c r="O23" i="63"/>
  <c r="K24" i="63"/>
  <c r="E25" i="63"/>
  <c r="G25" i="63"/>
  <c r="K25" i="63"/>
  <c r="O25" i="63"/>
  <c r="K26" i="63"/>
  <c r="E27" i="63"/>
  <c r="G27" i="63"/>
  <c r="K27" i="63"/>
  <c r="O27" i="63"/>
  <c r="J28" i="63"/>
  <c r="K28" i="63"/>
  <c r="E29" i="63"/>
  <c r="G29" i="63"/>
  <c r="G34" i="63"/>
  <c r="H34" i="63"/>
  <c r="I34" i="63"/>
  <c r="J34" i="63"/>
  <c r="K34" i="63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G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F25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G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75"/>
  <c r="C8" i="75"/>
  <c r="E8" i="75"/>
  <c r="G8" i="75"/>
  <c r="L8" i="75"/>
  <c r="C9" i="75"/>
  <c r="G9" i="75"/>
  <c r="C10" i="75"/>
  <c r="E10" i="75"/>
  <c r="G10" i="75"/>
  <c r="H10" i="75"/>
  <c r="C11" i="75"/>
  <c r="E11" i="75"/>
  <c r="G11" i="75"/>
  <c r="H11" i="75"/>
  <c r="J11" i="75"/>
  <c r="K11" i="75"/>
  <c r="L11" i="75"/>
  <c r="C12" i="75"/>
  <c r="E12" i="75"/>
  <c r="G12" i="75"/>
  <c r="H12" i="75"/>
  <c r="C13" i="75"/>
  <c r="E13" i="75"/>
  <c r="G13" i="75"/>
  <c r="L13" i="75"/>
  <c r="C14" i="75"/>
  <c r="E14" i="75"/>
  <c r="G14" i="75"/>
  <c r="H14" i="75"/>
  <c r="C15" i="75"/>
  <c r="E15" i="75"/>
  <c r="G15" i="75"/>
  <c r="H15" i="75"/>
  <c r="C16" i="75"/>
  <c r="E16" i="75"/>
  <c r="G16" i="75"/>
  <c r="H16" i="75"/>
  <c r="K16" i="75"/>
  <c r="L16" i="75"/>
  <c r="C17" i="75"/>
  <c r="E17" i="75"/>
  <c r="G17" i="75"/>
  <c r="H17" i="75"/>
  <c r="L17" i="75"/>
  <c r="C18" i="75"/>
  <c r="E18" i="75"/>
  <c r="G18" i="75"/>
  <c r="H18" i="75"/>
  <c r="L18" i="75"/>
  <c r="C19" i="75"/>
  <c r="E19" i="75"/>
  <c r="G19" i="75"/>
  <c r="H19" i="75"/>
  <c r="L19" i="75"/>
  <c r="C20" i="75"/>
  <c r="E20" i="75"/>
  <c r="G20" i="75"/>
  <c r="H20" i="75"/>
  <c r="L20" i="75"/>
  <c r="C21" i="75"/>
  <c r="E21" i="75"/>
  <c r="G21" i="75"/>
  <c r="H21" i="75"/>
  <c r="L21" i="75"/>
  <c r="C22" i="75"/>
  <c r="E22" i="75"/>
  <c r="G22" i="75"/>
  <c r="L22" i="75"/>
  <c r="C23" i="75"/>
  <c r="E23" i="75"/>
  <c r="G23" i="75"/>
  <c r="H23" i="75"/>
  <c r="L23" i="75"/>
  <c r="L24" i="75"/>
  <c r="E25" i="75"/>
  <c r="H25" i="75"/>
  <c r="L25" i="75"/>
  <c r="L26" i="75"/>
  <c r="E27" i="75"/>
  <c r="H27" i="75"/>
  <c r="L27" i="75"/>
  <c r="K28" i="75"/>
  <c r="L28" i="75"/>
  <c r="E29" i="75"/>
  <c r="H29" i="75"/>
  <c r="L30" i="75"/>
  <c r="H34" i="75"/>
  <c r="I34" i="75"/>
  <c r="J34" i="75"/>
  <c r="K34" i="75"/>
  <c r="L34" i="75"/>
  <c r="B1" i="70"/>
  <c r="C8" i="70"/>
  <c r="E8" i="70"/>
  <c r="G8" i="70"/>
  <c r="H8" i="70"/>
  <c r="L8" i="70"/>
  <c r="C9" i="70"/>
  <c r="G9" i="70"/>
  <c r="C10" i="70"/>
  <c r="E10" i="70"/>
  <c r="G10" i="70"/>
  <c r="H10" i="70"/>
  <c r="C11" i="70"/>
  <c r="E11" i="70"/>
  <c r="G11" i="70"/>
  <c r="H11" i="70"/>
  <c r="J11" i="70"/>
  <c r="K11" i="70"/>
  <c r="L11" i="70"/>
  <c r="C12" i="70"/>
  <c r="E12" i="70"/>
  <c r="G12" i="70"/>
  <c r="H12" i="70"/>
  <c r="C13" i="70"/>
  <c r="E13" i="70"/>
  <c r="G13" i="70"/>
  <c r="H13" i="70"/>
  <c r="L13" i="70"/>
  <c r="C14" i="70"/>
  <c r="E14" i="70"/>
  <c r="G14" i="70"/>
  <c r="H14" i="70"/>
  <c r="C15" i="70"/>
  <c r="E15" i="70"/>
  <c r="G15" i="70"/>
  <c r="H15" i="70"/>
  <c r="C16" i="70"/>
  <c r="E16" i="70"/>
  <c r="G16" i="70"/>
  <c r="H16" i="70"/>
  <c r="K16" i="70"/>
  <c r="L16" i="70"/>
  <c r="C17" i="70"/>
  <c r="E17" i="70"/>
  <c r="G17" i="70"/>
  <c r="H17" i="70"/>
  <c r="L17" i="70"/>
  <c r="C18" i="70"/>
  <c r="E18" i="70"/>
  <c r="G18" i="70"/>
  <c r="H18" i="70"/>
  <c r="L18" i="70"/>
  <c r="C19" i="70"/>
  <c r="E19" i="70"/>
  <c r="G19" i="70"/>
  <c r="L19" i="70"/>
  <c r="C20" i="70"/>
  <c r="E20" i="70"/>
  <c r="G20" i="70"/>
  <c r="H20" i="70"/>
  <c r="L20" i="70"/>
  <c r="C21" i="70"/>
  <c r="E21" i="70"/>
  <c r="G21" i="70"/>
  <c r="H21" i="70"/>
  <c r="L21" i="70"/>
  <c r="C22" i="70"/>
  <c r="E22" i="70"/>
  <c r="G22" i="70"/>
  <c r="L22" i="70"/>
  <c r="C23" i="70"/>
  <c r="E23" i="70"/>
  <c r="G23" i="70"/>
  <c r="H23" i="70"/>
  <c r="K23" i="70"/>
  <c r="L23" i="70"/>
  <c r="K24" i="70"/>
  <c r="L24" i="70"/>
  <c r="E25" i="70"/>
  <c r="H25" i="70"/>
  <c r="L25" i="70"/>
  <c r="L26" i="70"/>
  <c r="E27" i="70"/>
  <c r="H27" i="70"/>
  <c r="L27" i="70"/>
  <c r="K28" i="70"/>
  <c r="L28" i="70"/>
  <c r="E29" i="70"/>
  <c r="H29" i="70"/>
  <c r="L30" i="70"/>
  <c r="H34" i="70"/>
  <c r="I34" i="70"/>
  <c r="J34" i="70"/>
  <c r="K34" i="70"/>
  <c r="L34" i="70"/>
  <c r="B1" i="74"/>
  <c r="C8" i="74"/>
  <c r="E8" i="74"/>
  <c r="G8" i="74"/>
  <c r="H8" i="74"/>
  <c r="L8" i="74"/>
  <c r="C9" i="74"/>
  <c r="G9" i="74"/>
  <c r="C10" i="74"/>
  <c r="E10" i="74"/>
  <c r="G10" i="74"/>
  <c r="H10" i="74"/>
  <c r="C11" i="74"/>
  <c r="E11" i="74"/>
  <c r="G11" i="74"/>
  <c r="H11" i="74"/>
  <c r="J11" i="74"/>
  <c r="K11" i="74"/>
  <c r="L11" i="74"/>
  <c r="C12" i="74"/>
  <c r="E12" i="74"/>
  <c r="G12" i="74"/>
  <c r="H12" i="74"/>
  <c r="C13" i="74"/>
  <c r="E13" i="74"/>
  <c r="G13" i="74"/>
  <c r="L13" i="74"/>
  <c r="C14" i="74"/>
  <c r="E14" i="74"/>
  <c r="G14" i="74"/>
  <c r="H14" i="74"/>
  <c r="C15" i="74"/>
  <c r="E15" i="74"/>
  <c r="G15" i="74"/>
  <c r="H15" i="74"/>
  <c r="C16" i="74"/>
  <c r="E16" i="74"/>
  <c r="G16" i="74"/>
  <c r="H16" i="74"/>
  <c r="K16" i="74"/>
  <c r="L16" i="74"/>
  <c r="C17" i="74"/>
  <c r="E17" i="74"/>
  <c r="G17" i="74"/>
  <c r="H17" i="74"/>
  <c r="L17" i="74"/>
  <c r="C18" i="74"/>
  <c r="E18" i="74"/>
  <c r="G18" i="74"/>
  <c r="H18" i="74"/>
  <c r="L18" i="74"/>
  <c r="C19" i="74"/>
  <c r="E19" i="74"/>
  <c r="G19" i="74"/>
  <c r="H19" i="74"/>
  <c r="L19" i="74"/>
  <c r="C20" i="74"/>
  <c r="E20" i="74"/>
  <c r="G20" i="74"/>
  <c r="H20" i="74"/>
  <c r="L20" i="74"/>
  <c r="C21" i="74"/>
  <c r="E21" i="74"/>
  <c r="G21" i="74"/>
  <c r="H21" i="74"/>
  <c r="L21" i="74"/>
  <c r="C22" i="74"/>
  <c r="E22" i="74"/>
  <c r="G22" i="74"/>
  <c r="L22" i="74"/>
  <c r="C23" i="74"/>
  <c r="E23" i="74"/>
  <c r="G23" i="74"/>
  <c r="H23" i="74"/>
  <c r="L23" i="74"/>
  <c r="L24" i="74"/>
  <c r="E25" i="74"/>
  <c r="H25" i="74"/>
  <c r="L25" i="74"/>
  <c r="L26" i="74"/>
  <c r="E27" i="74"/>
  <c r="H27" i="74"/>
  <c r="L27" i="74"/>
  <c r="K28" i="74"/>
  <c r="L28" i="74"/>
  <c r="E29" i="74"/>
  <c r="H29" i="74"/>
  <c r="L30" i="74"/>
  <c r="H34" i="74"/>
  <c r="I34" i="74"/>
  <c r="J34" i="74"/>
  <c r="K34" i="74"/>
  <c r="L34" i="74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E9" i="12"/>
  <c r="K9" i="12"/>
  <c r="L9" i="12"/>
  <c r="O9" i="12"/>
  <c r="E10" i="12"/>
  <c r="G10" i="12"/>
  <c r="O10" i="12"/>
  <c r="E11" i="12"/>
  <c r="G11" i="12"/>
  <c r="O11" i="12"/>
  <c r="E12" i="12"/>
  <c r="G12" i="12"/>
  <c r="J12" i="12"/>
  <c r="K12" i="12"/>
  <c r="L12" i="12"/>
  <c r="O12" i="12"/>
  <c r="E13" i="12"/>
  <c r="G13" i="12"/>
  <c r="O13" i="12"/>
  <c r="E14" i="12"/>
  <c r="G14" i="12"/>
  <c r="L14" i="12"/>
  <c r="O14" i="12"/>
  <c r="E15" i="12"/>
  <c r="G15" i="12"/>
  <c r="O15" i="12"/>
  <c r="C16" i="12"/>
  <c r="E16" i="12"/>
  <c r="G16" i="12"/>
  <c r="O16" i="12"/>
  <c r="C17" i="12"/>
  <c r="E17" i="12"/>
  <c r="G17" i="12"/>
  <c r="L17" i="12"/>
  <c r="O17" i="12"/>
  <c r="E18" i="12"/>
  <c r="G18" i="12"/>
  <c r="L18" i="12"/>
  <c r="O18" i="12"/>
  <c r="E19" i="12"/>
  <c r="G19" i="12"/>
  <c r="L19" i="12"/>
  <c r="O19" i="12"/>
  <c r="E20" i="12"/>
  <c r="G20" i="12"/>
  <c r="L20" i="12"/>
  <c r="O20" i="12"/>
  <c r="C21" i="12"/>
  <c r="E21" i="12"/>
  <c r="G21" i="12"/>
  <c r="L21" i="12"/>
  <c r="O21" i="12"/>
  <c r="E22" i="12"/>
  <c r="G22" i="12"/>
  <c r="L22" i="12"/>
  <c r="O22" i="12"/>
  <c r="E23" i="12"/>
  <c r="G23" i="12"/>
  <c r="L23" i="12"/>
  <c r="O23" i="12"/>
  <c r="C24" i="12"/>
  <c r="E24" i="12"/>
  <c r="G24" i="12"/>
  <c r="L24" i="12"/>
  <c r="O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69"/>
  <c r="C8" i="69"/>
  <c r="E8" i="69"/>
  <c r="G8" i="69"/>
  <c r="H8" i="69"/>
  <c r="L8" i="69"/>
  <c r="C9" i="69"/>
  <c r="G9" i="69"/>
  <c r="C10" i="69"/>
  <c r="E10" i="69"/>
  <c r="G10" i="69"/>
  <c r="H10" i="69"/>
  <c r="C11" i="69"/>
  <c r="E11" i="69"/>
  <c r="G11" i="69"/>
  <c r="H11" i="69"/>
  <c r="J11" i="69"/>
  <c r="K11" i="69"/>
  <c r="L11" i="69"/>
  <c r="C12" i="69"/>
  <c r="E12" i="69"/>
  <c r="G12" i="69"/>
  <c r="H12" i="69"/>
  <c r="C13" i="69"/>
  <c r="E13" i="69"/>
  <c r="G13" i="69"/>
  <c r="H13" i="69"/>
  <c r="L13" i="69"/>
  <c r="C14" i="69"/>
  <c r="E14" i="69"/>
  <c r="G14" i="69"/>
  <c r="H14" i="69"/>
  <c r="C15" i="69"/>
  <c r="E15" i="69"/>
  <c r="G15" i="69"/>
  <c r="H15" i="69"/>
  <c r="C16" i="69"/>
  <c r="E16" i="69"/>
  <c r="G16" i="69"/>
  <c r="H16" i="69"/>
  <c r="K16" i="69"/>
  <c r="L16" i="69"/>
  <c r="C17" i="69"/>
  <c r="E17" i="69"/>
  <c r="G17" i="69"/>
  <c r="H17" i="69"/>
  <c r="L17" i="69"/>
  <c r="C18" i="69"/>
  <c r="E18" i="69"/>
  <c r="G18" i="69"/>
  <c r="H18" i="69"/>
  <c r="L18" i="69"/>
  <c r="C19" i="69"/>
  <c r="E19" i="69"/>
  <c r="G19" i="69"/>
  <c r="H19" i="69"/>
  <c r="L19" i="69"/>
  <c r="C20" i="69"/>
  <c r="E20" i="69"/>
  <c r="G20" i="69"/>
  <c r="H20" i="69"/>
  <c r="L20" i="69"/>
  <c r="C21" i="69"/>
  <c r="E21" i="69"/>
  <c r="G21" i="69"/>
  <c r="H21" i="69"/>
  <c r="L21" i="69"/>
  <c r="C22" i="69"/>
  <c r="E22" i="69"/>
  <c r="G22" i="69"/>
  <c r="L22" i="69"/>
  <c r="C23" i="69"/>
  <c r="E23" i="69"/>
  <c r="G23" i="69"/>
  <c r="H23" i="69"/>
  <c r="L23" i="69"/>
  <c r="L24" i="69"/>
  <c r="E25" i="69"/>
  <c r="H25" i="69"/>
  <c r="L25" i="69"/>
  <c r="L26" i="69"/>
  <c r="E27" i="69"/>
  <c r="H27" i="69"/>
  <c r="L27" i="69"/>
  <c r="K28" i="69"/>
  <c r="L28" i="69"/>
  <c r="E29" i="69"/>
  <c r="H29" i="69"/>
  <c r="L30" i="69"/>
  <c r="H34" i="69"/>
  <c r="I34" i="69"/>
  <c r="J34" i="69"/>
  <c r="K34" i="69"/>
  <c r="L34" i="69"/>
  <c r="B1" i="85"/>
  <c r="C8" i="85"/>
  <c r="E8" i="85"/>
  <c r="G8" i="85"/>
  <c r="L8" i="85"/>
  <c r="C9" i="85"/>
  <c r="G9" i="85"/>
  <c r="C10" i="85"/>
  <c r="E10" i="85"/>
  <c r="G10" i="85"/>
  <c r="C11" i="85"/>
  <c r="E11" i="85"/>
  <c r="G11" i="85"/>
  <c r="H11" i="85"/>
  <c r="J11" i="85"/>
  <c r="K11" i="85"/>
  <c r="L11" i="85"/>
  <c r="C12" i="85"/>
  <c r="E12" i="85"/>
  <c r="G12" i="85"/>
  <c r="C13" i="85"/>
  <c r="E13" i="85"/>
  <c r="G13" i="85"/>
  <c r="L13" i="85"/>
  <c r="C14" i="85"/>
  <c r="E14" i="85"/>
  <c r="G14" i="85"/>
  <c r="C15" i="85"/>
  <c r="E15" i="85"/>
  <c r="G15" i="85"/>
  <c r="C16" i="85"/>
  <c r="E16" i="85"/>
  <c r="G16" i="85"/>
  <c r="K16" i="85"/>
  <c r="L16" i="85"/>
  <c r="C17" i="85"/>
  <c r="E17" i="85"/>
  <c r="G17" i="85"/>
  <c r="L17" i="85"/>
  <c r="C18" i="85"/>
  <c r="E18" i="85"/>
  <c r="G18" i="85"/>
  <c r="L18" i="85"/>
  <c r="C19" i="85"/>
  <c r="E19" i="85"/>
  <c r="G19" i="85"/>
  <c r="L19" i="85"/>
  <c r="C20" i="85"/>
  <c r="E20" i="85"/>
  <c r="G20" i="85"/>
  <c r="L20" i="85"/>
  <c r="C21" i="85"/>
  <c r="E21" i="85"/>
  <c r="G21" i="85"/>
  <c r="L21" i="85"/>
  <c r="C22" i="85"/>
  <c r="E22" i="85"/>
  <c r="G22" i="85"/>
  <c r="L22" i="85"/>
  <c r="C23" i="85"/>
  <c r="E23" i="85"/>
  <c r="G23" i="85"/>
  <c r="H23" i="85"/>
  <c r="K23" i="85"/>
  <c r="L23" i="85"/>
  <c r="K24" i="85"/>
  <c r="L24" i="85"/>
  <c r="E25" i="85"/>
  <c r="L25" i="85"/>
  <c r="L26" i="85"/>
  <c r="E27" i="85"/>
  <c r="L27" i="85"/>
  <c r="K28" i="85"/>
  <c r="L28" i="85"/>
  <c r="E29" i="85"/>
  <c r="H29" i="85"/>
  <c r="L30" i="85"/>
  <c r="H34" i="85"/>
  <c r="I34" i="85"/>
  <c r="J34" i="85"/>
  <c r="K34" i="85"/>
  <c r="L34" i="85"/>
  <c r="B1" i="86"/>
  <c r="C8" i="86"/>
  <c r="E8" i="86"/>
  <c r="G8" i="86"/>
  <c r="L8" i="86"/>
  <c r="C9" i="86"/>
  <c r="G9" i="86"/>
  <c r="C10" i="86"/>
  <c r="E10" i="86"/>
  <c r="G10" i="86"/>
  <c r="C11" i="86"/>
  <c r="E11" i="86"/>
  <c r="G11" i="86"/>
  <c r="H11" i="86"/>
  <c r="J11" i="86"/>
  <c r="K11" i="86"/>
  <c r="L11" i="86"/>
  <c r="C12" i="86"/>
  <c r="E12" i="86"/>
  <c r="G12" i="86"/>
  <c r="C13" i="86"/>
  <c r="E13" i="86"/>
  <c r="G13" i="86"/>
  <c r="L13" i="86"/>
  <c r="C14" i="86"/>
  <c r="E14" i="86"/>
  <c r="G14" i="86"/>
  <c r="C15" i="86"/>
  <c r="E15" i="86"/>
  <c r="G15" i="86"/>
  <c r="C16" i="86"/>
  <c r="E16" i="86"/>
  <c r="G16" i="86"/>
  <c r="K16" i="86"/>
  <c r="L16" i="86"/>
  <c r="C17" i="86"/>
  <c r="E17" i="86"/>
  <c r="G17" i="86"/>
  <c r="L17" i="86"/>
  <c r="C18" i="86"/>
  <c r="E18" i="86"/>
  <c r="G18" i="86"/>
  <c r="L18" i="86"/>
  <c r="C19" i="86"/>
  <c r="E19" i="86"/>
  <c r="G19" i="86"/>
  <c r="L19" i="86"/>
  <c r="C20" i="86"/>
  <c r="E20" i="86"/>
  <c r="G20" i="86"/>
  <c r="L20" i="86"/>
  <c r="C21" i="86"/>
  <c r="E21" i="86"/>
  <c r="G21" i="86"/>
  <c r="L21" i="86"/>
  <c r="C22" i="86"/>
  <c r="E22" i="86"/>
  <c r="G22" i="86"/>
  <c r="L22" i="86"/>
  <c r="C23" i="86"/>
  <c r="E23" i="86"/>
  <c r="G23" i="86"/>
  <c r="H23" i="86"/>
  <c r="K23" i="86"/>
  <c r="L23" i="86"/>
  <c r="K24" i="86"/>
  <c r="L24" i="86"/>
  <c r="E25" i="86"/>
  <c r="L25" i="86"/>
  <c r="L26" i="86"/>
  <c r="E27" i="86"/>
  <c r="L27" i="86"/>
  <c r="K28" i="86"/>
  <c r="L28" i="86"/>
  <c r="E29" i="86"/>
  <c r="H29" i="86"/>
  <c r="L30" i="86"/>
  <c r="H34" i="86"/>
  <c r="I34" i="86"/>
  <c r="J34" i="86"/>
  <c r="K34" i="86"/>
  <c r="L34" i="86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87"/>
  <c r="C8" i="87"/>
  <c r="E8" i="87"/>
  <c r="G8" i="87"/>
  <c r="L8" i="87"/>
  <c r="C9" i="87"/>
  <c r="G9" i="87"/>
  <c r="C10" i="87"/>
  <c r="E10" i="87"/>
  <c r="G10" i="87"/>
  <c r="C11" i="87"/>
  <c r="E11" i="87"/>
  <c r="G11" i="87"/>
  <c r="J11" i="87"/>
  <c r="K11" i="87"/>
  <c r="L11" i="87"/>
  <c r="C12" i="87"/>
  <c r="E12" i="87"/>
  <c r="G12" i="87"/>
  <c r="C13" i="87"/>
  <c r="E13" i="87"/>
  <c r="G13" i="87"/>
  <c r="L13" i="87"/>
  <c r="C14" i="87"/>
  <c r="E14" i="87"/>
  <c r="G14" i="87"/>
  <c r="C15" i="87"/>
  <c r="E15" i="87"/>
  <c r="G15" i="87"/>
  <c r="C16" i="87"/>
  <c r="E16" i="87"/>
  <c r="G16" i="87"/>
  <c r="K16" i="87"/>
  <c r="L16" i="87"/>
  <c r="C17" i="87"/>
  <c r="E17" i="87"/>
  <c r="G17" i="87"/>
  <c r="L17" i="87"/>
  <c r="C18" i="87"/>
  <c r="E18" i="87"/>
  <c r="G18" i="87"/>
  <c r="L18" i="87"/>
  <c r="C19" i="87"/>
  <c r="E19" i="87"/>
  <c r="G19" i="87"/>
  <c r="L19" i="87"/>
  <c r="C20" i="87"/>
  <c r="E20" i="87"/>
  <c r="G20" i="87"/>
  <c r="L20" i="87"/>
  <c r="C21" i="87"/>
  <c r="E21" i="87"/>
  <c r="G21" i="87"/>
  <c r="L21" i="87"/>
  <c r="C22" i="87"/>
  <c r="E22" i="87"/>
  <c r="G22" i="87"/>
  <c r="L22" i="87"/>
  <c r="C23" i="87"/>
  <c r="E23" i="87"/>
  <c r="G23" i="87"/>
  <c r="H23" i="87"/>
  <c r="L23" i="87"/>
  <c r="K24" i="87"/>
  <c r="L24" i="87"/>
  <c r="E25" i="87"/>
  <c r="H25" i="87"/>
  <c r="L25" i="87"/>
  <c r="L26" i="87"/>
  <c r="E27" i="87"/>
  <c r="H27" i="87"/>
  <c r="L27" i="87"/>
  <c r="K28" i="87"/>
  <c r="L28" i="87"/>
  <c r="E29" i="87"/>
  <c r="H29" i="87"/>
  <c r="L30" i="87"/>
  <c r="H34" i="87"/>
  <c r="I34" i="87"/>
  <c r="J34" i="87"/>
  <c r="K34" i="87"/>
  <c r="L34" i="87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F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54"/>
  <c r="C8" i="54"/>
  <c r="E8" i="54"/>
  <c r="F8" i="54"/>
  <c r="H8" i="54"/>
  <c r="M8" i="54"/>
  <c r="O8" i="54"/>
  <c r="C9" i="54"/>
  <c r="E9" i="54"/>
  <c r="H9" i="54"/>
  <c r="O9" i="54"/>
  <c r="C10" i="54"/>
  <c r="E10" i="54"/>
  <c r="F10" i="54"/>
  <c r="H10" i="54"/>
  <c r="O10" i="54"/>
  <c r="C11" i="54"/>
  <c r="E11" i="54"/>
  <c r="F11" i="54"/>
  <c r="H11" i="54"/>
  <c r="K11" i="54"/>
  <c r="L11" i="54"/>
  <c r="M11" i="54"/>
  <c r="O11" i="54"/>
  <c r="C12" i="54"/>
  <c r="E12" i="54"/>
  <c r="F12" i="54"/>
  <c r="H12" i="54"/>
  <c r="O12" i="54"/>
  <c r="C13" i="54"/>
  <c r="E13" i="54"/>
  <c r="F13" i="54"/>
  <c r="H13" i="54"/>
  <c r="M13" i="54"/>
  <c r="O13" i="54"/>
  <c r="C14" i="54"/>
  <c r="E14" i="54"/>
  <c r="F14" i="54"/>
  <c r="H14" i="54"/>
  <c r="O14" i="54"/>
  <c r="C15" i="54"/>
  <c r="E15" i="54"/>
  <c r="F15" i="54"/>
  <c r="H15" i="54"/>
  <c r="O15" i="54"/>
  <c r="C16" i="54"/>
  <c r="E16" i="54"/>
  <c r="F16" i="54"/>
  <c r="H16" i="54"/>
  <c r="M16" i="54"/>
  <c r="O16" i="54"/>
  <c r="C17" i="54"/>
  <c r="E17" i="54"/>
  <c r="F17" i="54"/>
  <c r="H17" i="54"/>
  <c r="M17" i="54"/>
  <c r="O17" i="54"/>
  <c r="C18" i="54"/>
  <c r="E18" i="54"/>
  <c r="F18" i="54"/>
  <c r="H18" i="54"/>
  <c r="M18" i="54"/>
  <c r="O18" i="54"/>
  <c r="C19" i="54"/>
  <c r="E19" i="54"/>
  <c r="F19" i="54"/>
  <c r="H19" i="54"/>
  <c r="M19" i="54"/>
  <c r="O19" i="54"/>
  <c r="C20" i="54"/>
  <c r="E20" i="54"/>
  <c r="F20" i="54"/>
  <c r="H20" i="54"/>
  <c r="M20" i="54"/>
  <c r="O20" i="54"/>
  <c r="C21" i="54"/>
  <c r="E21" i="54"/>
  <c r="F21" i="54"/>
  <c r="H21" i="54"/>
  <c r="L21" i="54"/>
  <c r="M21" i="54"/>
  <c r="O21" i="54"/>
  <c r="C22" i="54"/>
  <c r="E22" i="54"/>
  <c r="F22" i="54"/>
  <c r="H22" i="54"/>
  <c r="L22" i="54"/>
  <c r="M22" i="54"/>
  <c r="O22" i="54"/>
  <c r="C23" i="54"/>
  <c r="E23" i="54"/>
  <c r="F23" i="54"/>
  <c r="H23" i="54"/>
  <c r="M23" i="54"/>
  <c r="O23" i="54"/>
  <c r="M24" i="54"/>
  <c r="E25" i="54"/>
  <c r="F25" i="54"/>
  <c r="M25" i="54"/>
  <c r="O25" i="54"/>
  <c r="M26" i="54"/>
  <c r="E27" i="54"/>
  <c r="F27" i="54"/>
  <c r="M27" i="54"/>
  <c r="O27" i="54"/>
  <c r="L28" i="54"/>
  <c r="M28" i="54"/>
  <c r="E29" i="54"/>
  <c r="F29" i="54"/>
  <c r="I34" i="54"/>
  <c r="J34" i="54"/>
  <c r="K34" i="54"/>
  <c r="L34" i="54"/>
  <c r="M34" i="54"/>
  <c r="B1" i="55"/>
  <c r="C8" i="55"/>
  <c r="E8" i="55"/>
  <c r="F8" i="55"/>
  <c r="H8" i="55"/>
  <c r="M8" i="55"/>
  <c r="O8" i="55"/>
  <c r="C9" i="55"/>
  <c r="E9" i="55"/>
  <c r="H9" i="55"/>
  <c r="O9" i="55"/>
  <c r="C10" i="55"/>
  <c r="E10" i="55"/>
  <c r="F10" i="55"/>
  <c r="H10" i="55"/>
  <c r="O10" i="55"/>
  <c r="C11" i="55"/>
  <c r="E11" i="55"/>
  <c r="F11" i="55"/>
  <c r="H11" i="55"/>
  <c r="K11" i="55"/>
  <c r="L11" i="55"/>
  <c r="M11" i="55"/>
  <c r="O11" i="55"/>
  <c r="C12" i="55"/>
  <c r="E12" i="55"/>
  <c r="F12" i="55"/>
  <c r="H12" i="55"/>
  <c r="O12" i="55"/>
  <c r="C13" i="55"/>
  <c r="E13" i="55"/>
  <c r="F13" i="55"/>
  <c r="H13" i="55"/>
  <c r="M13" i="55"/>
  <c r="O13" i="55"/>
  <c r="C14" i="55"/>
  <c r="E14" i="55"/>
  <c r="F14" i="55"/>
  <c r="H14" i="55"/>
  <c r="O14" i="55"/>
  <c r="C15" i="55"/>
  <c r="E15" i="55"/>
  <c r="F15" i="55"/>
  <c r="H15" i="55"/>
  <c r="O15" i="55"/>
  <c r="C16" i="55"/>
  <c r="E16" i="55"/>
  <c r="F16" i="55"/>
  <c r="H16" i="55"/>
  <c r="M16" i="55"/>
  <c r="O16" i="55"/>
  <c r="C17" i="55"/>
  <c r="E17" i="55"/>
  <c r="F17" i="55"/>
  <c r="H17" i="55"/>
  <c r="M17" i="55"/>
  <c r="O17" i="55"/>
  <c r="C18" i="55"/>
  <c r="E18" i="55"/>
  <c r="F18" i="55"/>
  <c r="H18" i="55"/>
  <c r="M18" i="55"/>
  <c r="O18" i="55"/>
  <c r="C19" i="55"/>
  <c r="E19" i="55"/>
  <c r="F19" i="55"/>
  <c r="H19" i="55"/>
  <c r="M19" i="55"/>
  <c r="O19" i="55"/>
  <c r="C20" i="55"/>
  <c r="E20" i="55"/>
  <c r="F20" i="55"/>
  <c r="H20" i="55"/>
  <c r="M20" i="55"/>
  <c r="O20" i="55"/>
  <c r="C21" i="55"/>
  <c r="E21" i="55"/>
  <c r="F21" i="55"/>
  <c r="H21" i="55"/>
  <c r="M21" i="55"/>
  <c r="O21" i="55"/>
  <c r="C22" i="55"/>
  <c r="E22" i="55"/>
  <c r="F22" i="55"/>
  <c r="H22" i="55"/>
  <c r="M22" i="55"/>
  <c r="O22" i="55"/>
  <c r="C23" i="55"/>
  <c r="E23" i="55"/>
  <c r="F23" i="55"/>
  <c r="H23" i="55"/>
  <c r="M23" i="55"/>
  <c r="O23" i="55"/>
  <c r="M24" i="55"/>
  <c r="E25" i="55"/>
  <c r="F25" i="55"/>
  <c r="M25" i="55"/>
  <c r="O25" i="55"/>
  <c r="M26" i="55"/>
  <c r="E27" i="55"/>
  <c r="F27" i="55"/>
  <c r="M27" i="55"/>
  <c r="O27" i="55"/>
  <c r="L28" i="55"/>
  <c r="M28" i="55"/>
  <c r="E29" i="55"/>
  <c r="F29" i="55"/>
  <c r="I34" i="55"/>
  <c r="J34" i="55"/>
  <c r="K34" i="55"/>
  <c r="L34" i="55"/>
  <c r="M34" i="55"/>
  <c r="B1" i="53"/>
  <c r="C8" i="53"/>
  <c r="E8" i="53"/>
  <c r="F8" i="53"/>
  <c r="H8" i="53"/>
  <c r="M8" i="53"/>
  <c r="O8" i="53"/>
  <c r="C9" i="53"/>
  <c r="E9" i="53"/>
  <c r="H9" i="53"/>
  <c r="O9" i="53"/>
  <c r="C10" i="53"/>
  <c r="E10" i="53"/>
  <c r="F10" i="53"/>
  <c r="H10" i="53"/>
  <c r="O10" i="53"/>
  <c r="C11" i="53"/>
  <c r="E11" i="53"/>
  <c r="F11" i="53"/>
  <c r="H11" i="53"/>
  <c r="K11" i="53"/>
  <c r="L11" i="53"/>
  <c r="M11" i="53"/>
  <c r="O11" i="53"/>
  <c r="C12" i="53"/>
  <c r="E12" i="53"/>
  <c r="F12" i="53"/>
  <c r="H12" i="53"/>
  <c r="O12" i="53"/>
  <c r="C13" i="53"/>
  <c r="E13" i="53"/>
  <c r="F13" i="53"/>
  <c r="H13" i="53"/>
  <c r="M13" i="53"/>
  <c r="O13" i="53"/>
  <c r="C14" i="53"/>
  <c r="E14" i="53"/>
  <c r="F14" i="53"/>
  <c r="H14" i="53"/>
  <c r="O14" i="53"/>
  <c r="C15" i="53"/>
  <c r="E15" i="53"/>
  <c r="F15" i="53"/>
  <c r="H15" i="53"/>
  <c r="O15" i="53"/>
  <c r="C16" i="53"/>
  <c r="E16" i="53"/>
  <c r="F16" i="53"/>
  <c r="H16" i="53"/>
  <c r="M16" i="53"/>
  <c r="O16" i="53"/>
  <c r="C17" i="53"/>
  <c r="E17" i="53"/>
  <c r="F17" i="53"/>
  <c r="H17" i="53"/>
  <c r="M17" i="53"/>
  <c r="O17" i="53"/>
  <c r="C18" i="53"/>
  <c r="E18" i="53"/>
  <c r="F18" i="53"/>
  <c r="H18" i="53"/>
  <c r="M18" i="53"/>
  <c r="O18" i="53"/>
  <c r="C19" i="53"/>
  <c r="E19" i="53"/>
  <c r="F19" i="53"/>
  <c r="H19" i="53"/>
  <c r="M19" i="53"/>
  <c r="O19" i="53"/>
  <c r="C20" i="53"/>
  <c r="E20" i="53"/>
  <c r="F20" i="53"/>
  <c r="H20" i="53"/>
  <c r="M20" i="53"/>
  <c r="O20" i="53"/>
  <c r="C21" i="53"/>
  <c r="E21" i="53"/>
  <c r="F21" i="53"/>
  <c r="H21" i="53"/>
  <c r="M21" i="53"/>
  <c r="O21" i="53"/>
  <c r="C22" i="53"/>
  <c r="E22" i="53"/>
  <c r="F22" i="53"/>
  <c r="H22" i="53"/>
  <c r="M22" i="53"/>
  <c r="O22" i="53"/>
  <c r="C23" i="53"/>
  <c r="E23" i="53"/>
  <c r="F23" i="53"/>
  <c r="H23" i="53"/>
  <c r="M23" i="53"/>
  <c r="O23" i="53"/>
  <c r="M24" i="53"/>
  <c r="E25" i="53"/>
  <c r="F25" i="53"/>
  <c r="M25" i="53"/>
  <c r="O25" i="53"/>
  <c r="M26" i="53"/>
  <c r="E27" i="53"/>
  <c r="F27" i="53"/>
  <c r="L27" i="53"/>
  <c r="M27" i="53"/>
  <c r="O27" i="53"/>
  <c r="L28" i="53"/>
  <c r="M28" i="53"/>
  <c r="E29" i="53"/>
  <c r="F29" i="53"/>
  <c r="I34" i="53"/>
  <c r="J34" i="53"/>
  <c r="K34" i="53"/>
  <c r="L34" i="53"/>
  <c r="M34" i="53"/>
  <c r="B1" i="51"/>
  <c r="C8" i="51"/>
  <c r="E8" i="51"/>
  <c r="F8" i="51"/>
  <c r="H8" i="51"/>
  <c r="M8" i="51"/>
  <c r="O8" i="51"/>
  <c r="C9" i="51"/>
  <c r="E9" i="51"/>
  <c r="H9" i="51"/>
  <c r="O9" i="51"/>
  <c r="C10" i="51"/>
  <c r="E10" i="51"/>
  <c r="F10" i="51"/>
  <c r="H10" i="51"/>
  <c r="O10" i="51"/>
  <c r="C11" i="51"/>
  <c r="E11" i="51"/>
  <c r="F11" i="51"/>
  <c r="H11" i="51"/>
  <c r="K11" i="51"/>
  <c r="L11" i="51"/>
  <c r="M11" i="51"/>
  <c r="O11" i="51"/>
  <c r="C12" i="51"/>
  <c r="E12" i="51"/>
  <c r="F12" i="51"/>
  <c r="H12" i="51"/>
  <c r="O12" i="51"/>
  <c r="C13" i="51"/>
  <c r="E13" i="51"/>
  <c r="F13" i="51"/>
  <c r="H13" i="51"/>
  <c r="M13" i="51"/>
  <c r="O13" i="51"/>
  <c r="C14" i="51"/>
  <c r="E14" i="51"/>
  <c r="F14" i="51"/>
  <c r="H14" i="51"/>
  <c r="O14" i="51"/>
  <c r="C15" i="51"/>
  <c r="E15" i="51"/>
  <c r="F15" i="51"/>
  <c r="H15" i="51"/>
  <c r="O15" i="51"/>
  <c r="C16" i="51"/>
  <c r="E16" i="51"/>
  <c r="F16" i="51"/>
  <c r="H16" i="51"/>
  <c r="M16" i="51"/>
  <c r="O16" i="51"/>
  <c r="C17" i="51"/>
  <c r="E17" i="51"/>
  <c r="F17" i="51"/>
  <c r="H17" i="51"/>
  <c r="M17" i="51"/>
  <c r="O17" i="51"/>
  <c r="C18" i="51"/>
  <c r="E18" i="51"/>
  <c r="F18" i="51"/>
  <c r="H18" i="51"/>
  <c r="L18" i="51"/>
  <c r="M18" i="51"/>
  <c r="O18" i="51"/>
  <c r="C19" i="51"/>
  <c r="E19" i="51"/>
  <c r="F19" i="51"/>
  <c r="H19" i="51"/>
  <c r="M19" i="51"/>
  <c r="O19" i="51"/>
  <c r="C20" i="51"/>
  <c r="E20" i="51"/>
  <c r="H20" i="51"/>
  <c r="L20" i="51"/>
  <c r="M20" i="51"/>
  <c r="O20" i="51"/>
  <c r="C21" i="51"/>
  <c r="E21" i="51"/>
  <c r="F21" i="51"/>
  <c r="H21" i="51"/>
  <c r="M21" i="51"/>
  <c r="O21" i="51"/>
  <c r="C22" i="51"/>
  <c r="E22" i="51"/>
  <c r="F22" i="51"/>
  <c r="H22" i="51"/>
  <c r="M22" i="51"/>
  <c r="O22" i="51"/>
  <c r="C23" i="51"/>
  <c r="E23" i="51"/>
  <c r="F23" i="51"/>
  <c r="H23" i="51"/>
  <c r="L23" i="51"/>
  <c r="M23" i="51"/>
  <c r="O23" i="51"/>
  <c r="L24" i="51"/>
  <c r="M24" i="51"/>
  <c r="E25" i="51"/>
  <c r="F25" i="51"/>
  <c r="L25" i="51"/>
  <c r="M25" i="51"/>
  <c r="O25" i="51"/>
  <c r="L26" i="51"/>
  <c r="M26" i="51"/>
  <c r="E27" i="51"/>
  <c r="F27" i="51"/>
  <c r="L27" i="51"/>
  <c r="M27" i="51"/>
  <c r="O27" i="51"/>
  <c r="L28" i="51"/>
  <c r="M28" i="51"/>
  <c r="E29" i="51"/>
  <c r="F29" i="51"/>
  <c r="I34" i="51"/>
  <c r="J34" i="51"/>
  <c r="K34" i="51"/>
  <c r="L34" i="51"/>
  <c r="M34" i="51"/>
  <c r="B1" i="89"/>
  <c r="C8" i="89"/>
  <c r="E8" i="89"/>
  <c r="G8" i="89"/>
  <c r="L8" i="89"/>
  <c r="C9" i="89"/>
  <c r="G9" i="89"/>
  <c r="C10" i="89"/>
  <c r="E10" i="89"/>
  <c r="G10" i="89"/>
  <c r="C11" i="89"/>
  <c r="E11" i="89"/>
  <c r="G11" i="89"/>
  <c r="H11" i="89"/>
  <c r="J11" i="89"/>
  <c r="K11" i="89"/>
  <c r="L11" i="89"/>
  <c r="C12" i="89"/>
  <c r="E12" i="89"/>
  <c r="G12" i="89"/>
  <c r="C13" i="89"/>
  <c r="E13" i="89"/>
  <c r="G13" i="89"/>
  <c r="L13" i="89"/>
  <c r="C14" i="89"/>
  <c r="E14" i="89"/>
  <c r="G14" i="89"/>
  <c r="C15" i="89"/>
  <c r="E15" i="89"/>
  <c r="G15" i="89"/>
  <c r="C16" i="89"/>
  <c r="E16" i="89"/>
  <c r="G16" i="89"/>
  <c r="K16" i="89"/>
  <c r="L16" i="89"/>
  <c r="C17" i="89"/>
  <c r="E17" i="89"/>
  <c r="G17" i="89"/>
  <c r="L17" i="89"/>
  <c r="C18" i="89"/>
  <c r="E18" i="89"/>
  <c r="G18" i="89"/>
  <c r="L18" i="89"/>
  <c r="C19" i="89"/>
  <c r="E19" i="89"/>
  <c r="G19" i="89"/>
  <c r="L19" i="89"/>
  <c r="C20" i="89"/>
  <c r="E20" i="89"/>
  <c r="G20" i="89"/>
  <c r="L20" i="89"/>
  <c r="C21" i="89"/>
  <c r="E21" i="89"/>
  <c r="G21" i="89"/>
  <c r="L21" i="89"/>
  <c r="C22" i="89"/>
  <c r="E22" i="89"/>
  <c r="G22" i="89"/>
  <c r="L22" i="89"/>
  <c r="C23" i="89"/>
  <c r="E23" i="89"/>
  <c r="G23" i="89"/>
  <c r="H23" i="89"/>
  <c r="L23" i="89"/>
  <c r="L24" i="89"/>
  <c r="E25" i="89"/>
  <c r="L25" i="89"/>
  <c r="L26" i="89"/>
  <c r="E27" i="89"/>
  <c r="H27" i="89"/>
  <c r="L27" i="89"/>
  <c r="K28" i="89"/>
  <c r="L28" i="89"/>
  <c r="E29" i="89"/>
  <c r="H29" i="89"/>
  <c r="L30" i="89"/>
  <c r="H34" i="89"/>
  <c r="I34" i="89"/>
  <c r="J34" i="89"/>
  <c r="K34" i="89"/>
  <c r="L34" i="89"/>
  <c r="B1" i="88"/>
  <c r="C8" i="88"/>
  <c r="E8" i="88"/>
  <c r="G8" i="88"/>
  <c r="L8" i="88"/>
  <c r="C9" i="88"/>
  <c r="G9" i="88"/>
  <c r="C10" i="88"/>
  <c r="E10" i="88"/>
  <c r="G10" i="88"/>
  <c r="C11" i="88"/>
  <c r="E11" i="88"/>
  <c r="G11" i="88"/>
  <c r="H11" i="88"/>
  <c r="J11" i="88"/>
  <c r="K11" i="88"/>
  <c r="L11" i="88"/>
  <c r="C12" i="88"/>
  <c r="E12" i="88"/>
  <c r="G12" i="88"/>
  <c r="C13" i="88"/>
  <c r="E13" i="88"/>
  <c r="G13" i="88"/>
  <c r="L13" i="88"/>
  <c r="C14" i="88"/>
  <c r="E14" i="88"/>
  <c r="G14" i="88"/>
  <c r="C15" i="88"/>
  <c r="E15" i="88"/>
  <c r="G15" i="88"/>
  <c r="C16" i="88"/>
  <c r="E16" i="88"/>
  <c r="G16" i="88"/>
  <c r="K16" i="88"/>
  <c r="L16" i="88"/>
  <c r="C17" i="88"/>
  <c r="E17" i="88"/>
  <c r="G17" i="88"/>
  <c r="L17" i="88"/>
  <c r="C18" i="88"/>
  <c r="E18" i="88"/>
  <c r="G18" i="88"/>
  <c r="L18" i="88"/>
  <c r="C19" i="88"/>
  <c r="E19" i="88"/>
  <c r="G19" i="88"/>
  <c r="L19" i="88"/>
  <c r="C20" i="88"/>
  <c r="E20" i="88"/>
  <c r="G20" i="88"/>
  <c r="L20" i="88"/>
  <c r="C21" i="88"/>
  <c r="E21" i="88"/>
  <c r="G21" i="88"/>
  <c r="L21" i="88"/>
  <c r="C22" i="88"/>
  <c r="E22" i="88"/>
  <c r="G22" i="88"/>
  <c r="L22" i="88"/>
  <c r="C23" i="88"/>
  <c r="E23" i="88"/>
  <c r="G23" i="88"/>
  <c r="H23" i="88"/>
  <c r="L23" i="88"/>
  <c r="L24" i="88"/>
  <c r="E25" i="88"/>
  <c r="H25" i="88"/>
  <c r="L25" i="88"/>
  <c r="L26" i="88"/>
  <c r="E27" i="88"/>
  <c r="L27" i="88"/>
  <c r="K28" i="88"/>
  <c r="L28" i="88"/>
  <c r="E29" i="88"/>
  <c r="H29" i="88"/>
  <c r="L30" i="88"/>
  <c r="H34" i="88"/>
  <c r="I34" i="88"/>
  <c r="J34" i="88"/>
  <c r="K34" i="88"/>
  <c r="L34" i="88"/>
  <c r="B1" i="19"/>
  <c r="C8" i="19"/>
  <c r="E8" i="19"/>
  <c r="G8" i="19"/>
  <c r="O8" i="19"/>
  <c r="E9" i="19"/>
  <c r="G9" i="19"/>
  <c r="M9" i="19"/>
  <c r="N9" i="19"/>
  <c r="O9" i="19"/>
  <c r="E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G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H8" i="28"/>
  <c r="Q8" i="28"/>
  <c r="E9" i="28"/>
  <c r="K9" i="28"/>
  <c r="L9" i="28"/>
  <c r="Q9" i="28"/>
  <c r="E10" i="28"/>
  <c r="H10" i="28"/>
  <c r="Q10" i="28"/>
  <c r="C11" i="28"/>
  <c r="E11" i="28"/>
  <c r="H11" i="28"/>
  <c r="Q11" i="28"/>
  <c r="C12" i="28"/>
  <c r="E12" i="28"/>
  <c r="H12" i="28"/>
  <c r="J12" i="28"/>
  <c r="K12" i="28"/>
  <c r="L12" i="28"/>
  <c r="Q12" i="28"/>
  <c r="C13" i="28"/>
  <c r="E13" i="28"/>
  <c r="H13" i="28"/>
  <c r="Q13" i="28"/>
  <c r="E14" i="28"/>
  <c r="H14" i="28"/>
  <c r="L14" i="28"/>
  <c r="P14" i="28"/>
  <c r="Q14" i="28"/>
  <c r="C15" i="28"/>
  <c r="E15" i="28"/>
  <c r="H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H18" i="28"/>
  <c r="K18" i="28"/>
  <c r="L18" i="28"/>
  <c r="Q18" i="28"/>
  <c r="C19" i="28"/>
  <c r="H19" i="28"/>
  <c r="K19" i="28"/>
  <c r="L19" i="28"/>
  <c r="Q19" i="28"/>
  <c r="C20" i="28"/>
  <c r="E20" i="28"/>
  <c r="H20" i="28"/>
  <c r="K20" i="28"/>
  <c r="L20" i="28"/>
  <c r="Q20" i="28"/>
  <c r="C21" i="28"/>
  <c r="E21" i="28"/>
  <c r="H21" i="28"/>
  <c r="K21" i="28"/>
  <c r="L21" i="28"/>
  <c r="Q21" i="28"/>
  <c r="C22" i="28"/>
  <c r="E22" i="28"/>
  <c r="H22" i="28"/>
  <c r="K22" i="28"/>
  <c r="L22" i="28"/>
  <c r="Q22" i="28"/>
  <c r="C23" i="28"/>
  <c r="E23" i="28"/>
  <c r="H23" i="28"/>
  <c r="K23" i="28"/>
  <c r="L23" i="28"/>
  <c r="Q23" i="28"/>
  <c r="K24" i="28"/>
  <c r="L24" i="28"/>
  <c r="H25" i="28"/>
  <c r="K25" i="28"/>
  <c r="L25" i="28"/>
  <c r="Q25" i="28"/>
  <c r="K26" i="28"/>
  <c r="L26" i="28"/>
  <c r="H27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F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79"/>
  <c r="C8" i="79"/>
  <c r="E8" i="79"/>
  <c r="G8" i="79"/>
  <c r="L8" i="79"/>
  <c r="C9" i="79"/>
  <c r="G9" i="79"/>
  <c r="C10" i="79"/>
  <c r="E10" i="79"/>
  <c r="G10" i="79"/>
  <c r="H10" i="79"/>
  <c r="C11" i="79"/>
  <c r="E11" i="79"/>
  <c r="G11" i="79"/>
  <c r="H11" i="79"/>
  <c r="J11" i="79"/>
  <c r="K11" i="79"/>
  <c r="L11" i="79"/>
  <c r="C12" i="79"/>
  <c r="E12" i="79"/>
  <c r="G12" i="79"/>
  <c r="H12" i="79"/>
  <c r="C13" i="79"/>
  <c r="E13" i="79"/>
  <c r="G13" i="79"/>
  <c r="H13" i="79"/>
  <c r="L13" i="79"/>
  <c r="C14" i="79"/>
  <c r="E14" i="79"/>
  <c r="G14" i="79"/>
  <c r="H14" i="79"/>
  <c r="C15" i="79"/>
  <c r="E15" i="79"/>
  <c r="G15" i="79"/>
  <c r="H15" i="79"/>
  <c r="C16" i="79"/>
  <c r="E16" i="79"/>
  <c r="G16" i="79"/>
  <c r="H16" i="79"/>
  <c r="K16" i="79"/>
  <c r="L16" i="79"/>
  <c r="C17" i="79"/>
  <c r="E17" i="79"/>
  <c r="G17" i="79"/>
  <c r="H17" i="79"/>
  <c r="L17" i="79"/>
  <c r="C18" i="79"/>
  <c r="E18" i="79"/>
  <c r="G18" i="79"/>
  <c r="H18" i="79"/>
  <c r="L18" i="79"/>
  <c r="C19" i="79"/>
  <c r="E19" i="79"/>
  <c r="G19" i="79"/>
  <c r="H19" i="79"/>
  <c r="L19" i="79"/>
  <c r="C20" i="79"/>
  <c r="E20" i="79"/>
  <c r="G20" i="79"/>
  <c r="H20" i="79"/>
  <c r="L20" i="79"/>
  <c r="C21" i="79"/>
  <c r="E21" i="79"/>
  <c r="G21" i="79"/>
  <c r="H21" i="79"/>
  <c r="L21" i="79"/>
  <c r="C22" i="79"/>
  <c r="E22" i="79"/>
  <c r="G22" i="79"/>
  <c r="L22" i="79"/>
  <c r="C23" i="79"/>
  <c r="E23" i="79"/>
  <c r="G23" i="79"/>
  <c r="H23" i="79"/>
  <c r="L23" i="79"/>
  <c r="L24" i="79"/>
  <c r="E25" i="79"/>
  <c r="H25" i="79"/>
  <c r="L25" i="79"/>
  <c r="L26" i="79"/>
  <c r="E27" i="79"/>
  <c r="H27" i="79"/>
  <c r="L27" i="79"/>
  <c r="K28" i="79"/>
  <c r="L28" i="79"/>
  <c r="E29" i="79"/>
  <c r="H29" i="79"/>
  <c r="L30" i="79"/>
  <c r="H34" i="79"/>
  <c r="I34" i="79"/>
  <c r="J34" i="79"/>
  <c r="K34" i="79"/>
  <c r="L34" i="79"/>
  <c r="B1" i="66"/>
  <c r="C8" i="66"/>
  <c r="E8" i="66"/>
  <c r="G8" i="66"/>
  <c r="H8" i="66"/>
  <c r="L8" i="66"/>
  <c r="C9" i="66"/>
  <c r="G9" i="66"/>
  <c r="C10" i="66"/>
  <c r="E10" i="66"/>
  <c r="G10" i="66"/>
  <c r="H10" i="66"/>
  <c r="C11" i="66"/>
  <c r="E11" i="66"/>
  <c r="G11" i="66"/>
  <c r="H11" i="66"/>
  <c r="J11" i="66"/>
  <c r="K11" i="66"/>
  <c r="L11" i="66"/>
  <c r="C12" i="66"/>
  <c r="E12" i="66"/>
  <c r="G12" i="66"/>
  <c r="H12" i="66"/>
  <c r="C13" i="66"/>
  <c r="E13" i="66"/>
  <c r="G13" i="66"/>
  <c r="H13" i="66"/>
  <c r="L13" i="66"/>
  <c r="C14" i="66"/>
  <c r="E14" i="66"/>
  <c r="G14" i="66"/>
  <c r="H14" i="66"/>
  <c r="C15" i="66"/>
  <c r="E15" i="66"/>
  <c r="G15" i="66"/>
  <c r="H15" i="66"/>
  <c r="C16" i="66"/>
  <c r="E16" i="66"/>
  <c r="G16" i="66"/>
  <c r="H16" i="66"/>
  <c r="K16" i="66"/>
  <c r="L16" i="66"/>
  <c r="C17" i="66"/>
  <c r="E17" i="66"/>
  <c r="G17" i="66"/>
  <c r="H17" i="66"/>
  <c r="L17" i="66"/>
  <c r="C18" i="66"/>
  <c r="E18" i="66"/>
  <c r="G18" i="66"/>
  <c r="H18" i="66"/>
  <c r="L18" i="66"/>
  <c r="C19" i="66"/>
  <c r="E19" i="66"/>
  <c r="G19" i="66"/>
  <c r="H19" i="66"/>
  <c r="L19" i="66"/>
  <c r="C20" i="66"/>
  <c r="E20" i="66"/>
  <c r="G20" i="66"/>
  <c r="H20" i="66"/>
  <c r="L20" i="66"/>
  <c r="C21" i="66"/>
  <c r="E21" i="66"/>
  <c r="G21" i="66"/>
  <c r="H21" i="66"/>
  <c r="L21" i="66"/>
  <c r="C22" i="66"/>
  <c r="E22" i="66"/>
  <c r="G22" i="66"/>
  <c r="L22" i="66"/>
  <c r="C23" i="66"/>
  <c r="E23" i="66"/>
  <c r="G23" i="66"/>
  <c r="H23" i="66"/>
  <c r="L23" i="66"/>
  <c r="L24" i="66"/>
  <c r="E25" i="66"/>
  <c r="H25" i="66"/>
  <c r="L25" i="66"/>
  <c r="L26" i="66"/>
  <c r="E27" i="66"/>
  <c r="H27" i="66"/>
  <c r="L27" i="66"/>
  <c r="K28" i="66"/>
  <c r="L28" i="66"/>
  <c r="E29" i="66"/>
  <c r="H29" i="66"/>
  <c r="L30" i="66"/>
  <c r="H34" i="66"/>
  <c r="I34" i="66"/>
  <c r="J34" i="66"/>
  <c r="K34" i="66"/>
  <c r="L34" i="66"/>
  <c r="B1" i="78"/>
  <c r="C8" i="78"/>
  <c r="E8" i="78"/>
  <c r="G8" i="78"/>
  <c r="H8" i="78"/>
  <c r="L8" i="78"/>
  <c r="C9" i="78"/>
  <c r="G9" i="78"/>
  <c r="C10" i="78"/>
  <c r="E10" i="78"/>
  <c r="G10" i="78"/>
  <c r="H10" i="78"/>
  <c r="C11" i="78"/>
  <c r="E11" i="78"/>
  <c r="G11" i="78"/>
  <c r="H11" i="78"/>
  <c r="J11" i="78"/>
  <c r="K11" i="78"/>
  <c r="L11" i="78"/>
  <c r="C12" i="78"/>
  <c r="E12" i="78"/>
  <c r="G12" i="78"/>
  <c r="H12" i="78"/>
  <c r="C13" i="78"/>
  <c r="E13" i="78"/>
  <c r="G13" i="78"/>
  <c r="H13" i="78"/>
  <c r="L13" i="78"/>
  <c r="C14" i="78"/>
  <c r="E14" i="78"/>
  <c r="G14" i="78"/>
  <c r="H14" i="78"/>
  <c r="C15" i="78"/>
  <c r="E15" i="78"/>
  <c r="G15" i="78"/>
  <c r="H15" i="78"/>
  <c r="C16" i="78"/>
  <c r="E16" i="78"/>
  <c r="G16" i="78"/>
  <c r="H16" i="78"/>
  <c r="K16" i="78"/>
  <c r="L16" i="78"/>
  <c r="C17" i="78"/>
  <c r="E17" i="78"/>
  <c r="G17" i="78"/>
  <c r="H17" i="78"/>
  <c r="L17" i="78"/>
  <c r="C18" i="78"/>
  <c r="E18" i="78"/>
  <c r="G18" i="78"/>
  <c r="H18" i="78"/>
  <c r="L18" i="78"/>
  <c r="C19" i="78"/>
  <c r="E19" i="78"/>
  <c r="G19" i="78"/>
  <c r="H19" i="78"/>
  <c r="L19" i="78"/>
  <c r="C20" i="78"/>
  <c r="E20" i="78"/>
  <c r="G20" i="78"/>
  <c r="H20" i="78"/>
  <c r="L20" i="78"/>
  <c r="C21" i="78"/>
  <c r="E21" i="78"/>
  <c r="G21" i="78"/>
  <c r="H21" i="78"/>
  <c r="L21" i="78"/>
  <c r="C22" i="78"/>
  <c r="E22" i="78"/>
  <c r="G22" i="78"/>
  <c r="L22" i="78"/>
  <c r="C23" i="78"/>
  <c r="E23" i="78"/>
  <c r="G23" i="78"/>
  <c r="H23" i="78"/>
  <c r="L23" i="78"/>
  <c r="L24" i="78"/>
  <c r="E25" i="78"/>
  <c r="H25" i="78"/>
  <c r="L25" i="78"/>
  <c r="L26" i="78"/>
  <c r="E27" i="78"/>
  <c r="H27" i="78"/>
  <c r="L27" i="78"/>
  <c r="K28" i="78"/>
  <c r="L28" i="78"/>
  <c r="E29" i="78"/>
  <c r="H29" i="78"/>
  <c r="L30" i="78"/>
  <c r="H34" i="78"/>
  <c r="I34" i="78"/>
  <c r="J34" i="78"/>
  <c r="K34" i="78"/>
  <c r="L34" i="78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98"/>
  <c r="C8" i="98"/>
  <c r="E8" i="98"/>
  <c r="G8" i="98"/>
  <c r="H8" i="98"/>
  <c r="L8" i="98"/>
  <c r="C9" i="98"/>
  <c r="G9" i="98"/>
  <c r="H9" i="98"/>
  <c r="C10" i="98"/>
  <c r="E10" i="98"/>
  <c r="G10" i="98"/>
  <c r="H10" i="98"/>
  <c r="C11" i="98"/>
  <c r="E11" i="98"/>
  <c r="G11" i="98"/>
  <c r="H11" i="98"/>
  <c r="J11" i="98"/>
  <c r="K11" i="98"/>
  <c r="L11" i="98"/>
  <c r="C12" i="98"/>
  <c r="E12" i="98"/>
  <c r="G12" i="98"/>
  <c r="H12" i="98"/>
  <c r="C13" i="98"/>
  <c r="E13" i="98"/>
  <c r="G13" i="98"/>
  <c r="H13" i="98"/>
  <c r="L13" i="98"/>
  <c r="C14" i="98"/>
  <c r="E14" i="98"/>
  <c r="G14" i="98"/>
  <c r="H14" i="98"/>
  <c r="C15" i="98"/>
  <c r="E15" i="98"/>
  <c r="G15" i="98"/>
  <c r="H15" i="98"/>
  <c r="C16" i="98"/>
  <c r="E16" i="98"/>
  <c r="G16" i="98"/>
  <c r="H16" i="98"/>
  <c r="K16" i="98"/>
  <c r="L16" i="98"/>
  <c r="C17" i="98"/>
  <c r="E17" i="98"/>
  <c r="G17" i="98"/>
  <c r="H17" i="98"/>
  <c r="L17" i="98"/>
  <c r="C18" i="98"/>
  <c r="E18" i="98"/>
  <c r="G18" i="98"/>
  <c r="H18" i="98"/>
  <c r="L18" i="98"/>
  <c r="C19" i="98"/>
  <c r="E19" i="98"/>
  <c r="G19" i="98"/>
  <c r="H19" i="98"/>
  <c r="L19" i="98"/>
  <c r="C20" i="98"/>
  <c r="E20" i="98"/>
  <c r="G20" i="98"/>
  <c r="H20" i="98"/>
  <c r="L20" i="98"/>
  <c r="C21" i="98"/>
  <c r="E21" i="98"/>
  <c r="G21" i="98"/>
  <c r="H21" i="98"/>
  <c r="L21" i="98"/>
  <c r="C22" i="98"/>
  <c r="E22" i="98"/>
  <c r="G22" i="98"/>
  <c r="L22" i="98"/>
  <c r="C23" i="98"/>
  <c r="E23" i="98"/>
  <c r="G23" i="98"/>
  <c r="H23" i="98"/>
  <c r="L23" i="98"/>
  <c r="L24" i="98"/>
  <c r="E25" i="98"/>
  <c r="H25" i="98"/>
  <c r="L25" i="98"/>
  <c r="L26" i="98"/>
  <c r="E27" i="98"/>
  <c r="H27" i="98"/>
  <c r="L27" i="98"/>
  <c r="K28" i="98"/>
  <c r="L28" i="98"/>
  <c r="E29" i="98"/>
  <c r="H29" i="98"/>
  <c r="L30" i="98"/>
  <c r="H34" i="98"/>
  <c r="I34" i="98"/>
  <c r="J34" i="98"/>
  <c r="K34" i="98"/>
  <c r="L34" i="98"/>
  <c r="B1" i="13"/>
  <c r="C8" i="13"/>
  <c r="E8" i="13"/>
  <c r="G8" i="13"/>
  <c r="O8" i="13"/>
  <c r="E9" i="13"/>
  <c r="L9" i="13"/>
  <c r="O9" i="13"/>
  <c r="E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F25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84"/>
  <c r="C8" i="84"/>
  <c r="E8" i="84"/>
  <c r="G8" i="84"/>
  <c r="L8" i="84"/>
  <c r="C9" i="84"/>
  <c r="G9" i="84"/>
  <c r="C10" i="84"/>
  <c r="E10" i="84"/>
  <c r="G10" i="84"/>
  <c r="C11" i="84"/>
  <c r="E11" i="84"/>
  <c r="G11" i="84"/>
  <c r="J11" i="84"/>
  <c r="K11" i="84"/>
  <c r="L11" i="84"/>
  <c r="C12" i="84"/>
  <c r="E12" i="84"/>
  <c r="G12" i="84"/>
  <c r="C13" i="84"/>
  <c r="E13" i="84"/>
  <c r="G13" i="84"/>
  <c r="L13" i="84"/>
  <c r="C14" i="84"/>
  <c r="E14" i="84"/>
  <c r="G14" i="84"/>
  <c r="C15" i="84"/>
  <c r="E15" i="84"/>
  <c r="G15" i="84"/>
  <c r="C16" i="84"/>
  <c r="E16" i="84"/>
  <c r="G16" i="84"/>
  <c r="K16" i="84"/>
  <c r="L16" i="84"/>
  <c r="C17" i="84"/>
  <c r="E17" i="84"/>
  <c r="G17" i="84"/>
  <c r="L17" i="84"/>
  <c r="C18" i="84"/>
  <c r="E18" i="84"/>
  <c r="G18" i="84"/>
  <c r="L18" i="84"/>
  <c r="C19" i="84"/>
  <c r="E19" i="84"/>
  <c r="G19" i="84"/>
  <c r="L19" i="84"/>
  <c r="C20" i="84"/>
  <c r="E20" i="84"/>
  <c r="G20" i="84"/>
  <c r="L20" i="84"/>
  <c r="C21" i="84"/>
  <c r="E21" i="84"/>
  <c r="G21" i="84"/>
  <c r="L21" i="84"/>
  <c r="C22" i="84"/>
  <c r="E22" i="84"/>
  <c r="G22" i="84"/>
  <c r="L22" i="84"/>
  <c r="C23" i="84"/>
  <c r="E23" i="84"/>
  <c r="G23" i="84"/>
  <c r="H23" i="84"/>
  <c r="L23" i="84"/>
  <c r="L24" i="84"/>
  <c r="E25" i="84"/>
  <c r="H25" i="84"/>
  <c r="L25" i="84"/>
  <c r="L26" i="84"/>
  <c r="E27" i="84"/>
  <c r="H27" i="84"/>
  <c r="L27" i="84"/>
  <c r="K28" i="84"/>
  <c r="L28" i="84"/>
  <c r="E29" i="84"/>
  <c r="H29" i="84"/>
  <c r="L30" i="84"/>
  <c r="H34" i="84"/>
  <c r="I34" i="84"/>
  <c r="J34" i="84"/>
  <c r="K34" i="84"/>
  <c r="L34" i="84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50"/>
  <c r="C8" i="50"/>
  <c r="E8" i="50"/>
  <c r="G8" i="50"/>
  <c r="H8" i="50"/>
  <c r="L8" i="50"/>
  <c r="C9" i="50"/>
  <c r="G9" i="50"/>
  <c r="C10" i="50"/>
  <c r="E10" i="50"/>
  <c r="G10" i="50"/>
  <c r="H10" i="50"/>
  <c r="C11" i="50"/>
  <c r="E11" i="50"/>
  <c r="G11" i="50"/>
  <c r="H11" i="50"/>
  <c r="J11" i="50"/>
  <c r="K11" i="50"/>
  <c r="L11" i="50"/>
  <c r="C12" i="50"/>
  <c r="E12" i="50"/>
  <c r="G12" i="50"/>
  <c r="C13" i="50"/>
  <c r="E13" i="50"/>
  <c r="G13" i="50"/>
  <c r="L13" i="50"/>
  <c r="C14" i="50"/>
  <c r="E14" i="50"/>
  <c r="G14" i="50"/>
  <c r="H14" i="50"/>
  <c r="C15" i="50"/>
  <c r="E15" i="50"/>
  <c r="G15" i="50"/>
  <c r="C16" i="50"/>
  <c r="E16" i="50"/>
  <c r="G16" i="50"/>
  <c r="H16" i="50"/>
  <c r="K16" i="50"/>
  <c r="L16" i="50"/>
  <c r="C17" i="50"/>
  <c r="E17" i="50"/>
  <c r="G17" i="50"/>
  <c r="K17" i="50"/>
  <c r="L17" i="50"/>
  <c r="C18" i="50"/>
  <c r="E18" i="50"/>
  <c r="G18" i="50"/>
  <c r="L18" i="50"/>
  <c r="C19" i="50"/>
  <c r="E19" i="50"/>
  <c r="G19" i="50"/>
  <c r="L19" i="50"/>
  <c r="C20" i="50"/>
  <c r="E20" i="50"/>
  <c r="G20" i="50"/>
  <c r="L20" i="50"/>
  <c r="C21" i="50"/>
  <c r="E21" i="50"/>
  <c r="G21" i="50"/>
  <c r="L21" i="50"/>
  <c r="C22" i="50"/>
  <c r="E22" i="50"/>
  <c r="G22" i="50"/>
  <c r="H22" i="50"/>
  <c r="L22" i="50"/>
  <c r="C23" i="50"/>
  <c r="E23" i="50"/>
  <c r="G23" i="50"/>
  <c r="H23" i="50"/>
  <c r="L23" i="50"/>
  <c r="L24" i="50"/>
  <c r="E25" i="50"/>
  <c r="H25" i="50"/>
  <c r="L25" i="50"/>
  <c r="L26" i="50"/>
  <c r="E27" i="50"/>
  <c r="H27" i="50"/>
  <c r="L27" i="50"/>
  <c r="K28" i="50"/>
  <c r="L28" i="50"/>
  <c r="E29" i="50"/>
  <c r="H29" i="50"/>
  <c r="L30" i="50"/>
  <c r="H34" i="50"/>
  <c r="I34" i="50"/>
  <c r="J34" i="50"/>
  <c r="K34" i="50"/>
  <c r="L34" i="50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R13" i="46"/>
  <c r="R15" i="46"/>
  <c r="R17" i="46"/>
  <c r="R19" i="46"/>
  <c r="R21" i="46"/>
  <c r="R23" i="46"/>
  <c r="R25" i="46"/>
  <c r="R27" i="46"/>
  <c r="R29" i="46"/>
  <c r="R31" i="46"/>
  <c r="P33" i="46"/>
  <c r="R33" i="46"/>
  <c r="T33" i="46"/>
  <c r="L35" i="46"/>
  <c r="N35" i="46"/>
  <c r="R35" i="46"/>
  <c r="R37" i="46"/>
  <c r="L39" i="46"/>
  <c r="N39" i="46"/>
  <c r="R39" i="46"/>
  <c r="R41" i="46"/>
  <c r="R43" i="46"/>
  <c r="R45" i="46"/>
  <c r="R47" i="46"/>
  <c r="N48" i="46"/>
  <c r="R53" i="46"/>
  <c r="G55" i="46"/>
  <c r="H55" i="46"/>
  <c r="J55" i="46"/>
  <c r="L55" i="46"/>
  <c r="N55" i="46"/>
  <c r="P55" i="46"/>
  <c r="R55" i="46"/>
  <c r="T55" i="46"/>
  <c r="P57" i="46"/>
  <c r="R57" i="46"/>
  <c r="T57" i="46"/>
  <c r="P59" i="46"/>
  <c r="R59" i="46"/>
  <c r="T59" i="46"/>
  <c r="R61" i="46"/>
  <c r="N63" i="46"/>
  <c r="P63" i="46"/>
  <c r="R63" i="46"/>
  <c r="T63" i="46"/>
  <c r="R65" i="46"/>
  <c r="R67" i="46"/>
  <c r="R69" i="46"/>
  <c r="R71" i="46"/>
  <c r="P74" i="46"/>
  <c r="R74" i="46"/>
  <c r="P75" i="46"/>
  <c r="R75" i="46"/>
  <c r="P76" i="46"/>
  <c r="R76" i="46"/>
  <c r="T76" i="46"/>
  <c r="P77" i="46"/>
  <c r="R77" i="46"/>
  <c r="P78" i="46"/>
  <c r="R78" i="46"/>
  <c r="P79" i="46"/>
  <c r="R79" i="46"/>
  <c r="P80" i="46"/>
  <c r="R80" i="46"/>
  <c r="P81" i="46"/>
  <c r="R81" i="46"/>
  <c r="P82" i="46"/>
  <c r="R82" i="46"/>
  <c r="P83" i="46"/>
  <c r="R83" i="46"/>
  <c r="H84" i="46"/>
  <c r="L84" i="46"/>
  <c r="R84" i="46"/>
  <c r="T84" i="46"/>
  <c r="V84" i="46"/>
  <c r="R86" i="46"/>
  <c r="R88" i="46"/>
  <c r="R89" i="46"/>
  <c r="R90" i="46"/>
  <c r="R91" i="46"/>
  <c r="R94" i="46"/>
  <c r="R96" i="46"/>
  <c r="H99" i="46"/>
  <c r="R99" i="46"/>
  <c r="R100" i="46"/>
  <c r="R101" i="46"/>
  <c r="R102" i="46"/>
  <c r="H104" i="46"/>
  <c r="N108" i="46"/>
  <c r="P108" i="46"/>
  <c r="R108" i="46"/>
  <c r="T108" i="46"/>
  <c r="P111" i="46"/>
  <c r="R111" i="46"/>
  <c r="H115" i="46"/>
  <c r="J115" i="46"/>
  <c r="L115" i="46"/>
  <c r="N115" i="46"/>
  <c r="P115" i="46"/>
  <c r="R115" i="46"/>
  <c r="T115" i="46"/>
  <c r="G118" i="46"/>
  <c r="H118" i="46"/>
  <c r="J118" i="46"/>
  <c r="L118" i="46"/>
  <c r="N118" i="46"/>
  <c r="P118" i="46"/>
  <c r="R118" i="46"/>
  <c r="T118" i="46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68"/>
  <c r="C8" i="68"/>
  <c r="E8" i="68"/>
  <c r="G8" i="68"/>
  <c r="L8" i="68"/>
  <c r="C9" i="68"/>
  <c r="G9" i="68"/>
  <c r="C10" i="68"/>
  <c r="E10" i="68"/>
  <c r="G10" i="68"/>
  <c r="H10" i="68"/>
  <c r="C11" i="68"/>
  <c r="E11" i="68"/>
  <c r="G11" i="68"/>
  <c r="J11" i="68"/>
  <c r="K11" i="68"/>
  <c r="L11" i="68"/>
  <c r="C12" i="68"/>
  <c r="E12" i="68"/>
  <c r="G12" i="68"/>
  <c r="C13" i="68"/>
  <c r="E13" i="68"/>
  <c r="G13" i="68"/>
  <c r="L13" i="68"/>
  <c r="C14" i="68"/>
  <c r="E14" i="68"/>
  <c r="G14" i="68"/>
  <c r="C15" i="68"/>
  <c r="E15" i="68"/>
  <c r="G15" i="68"/>
  <c r="C16" i="68"/>
  <c r="E16" i="68"/>
  <c r="G16" i="68"/>
  <c r="K16" i="68"/>
  <c r="L16" i="68"/>
  <c r="C17" i="68"/>
  <c r="E17" i="68"/>
  <c r="G17" i="68"/>
  <c r="L17" i="68"/>
  <c r="C18" i="68"/>
  <c r="E18" i="68"/>
  <c r="G18" i="68"/>
  <c r="L18" i="68"/>
  <c r="C19" i="68"/>
  <c r="E19" i="68"/>
  <c r="G19" i="68"/>
  <c r="L19" i="68"/>
  <c r="C20" i="68"/>
  <c r="E20" i="68"/>
  <c r="G20" i="68"/>
  <c r="L20" i="68"/>
  <c r="C21" i="68"/>
  <c r="E21" i="68"/>
  <c r="G21" i="68"/>
  <c r="L21" i="68"/>
  <c r="C22" i="68"/>
  <c r="E22" i="68"/>
  <c r="G22" i="68"/>
  <c r="L22" i="68"/>
  <c r="C23" i="68"/>
  <c r="E23" i="68"/>
  <c r="G23" i="68"/>
  <c r="H23" i="68"/>
  <c r="L23" i="68"/>
  <c r="L24" i="68"/>
  <c r="E25" i="68"/>
  <c r="H25" i="68"/>
  <c r="L25" i="68"/>
  <c r="L26" i="68"/>
  <c r="E27" i="68"/>
  <c r="H27" i="68"/>
  <c r="L27" i="68"/>
  <c r="K28" i="68"/>
  <c r="L28" i="68"/>
  <c r="E29" i="68"/>
  <c r="H29" i="68"/>
  <c r="L30" i="68"/>
  <c r="H34" i="68"/>
  <c r="I34" i="68"/>
  <c r="J34" i="68"/>
  <c r="K34" i="68"/>
  <c r="L34" i="68"/>
  <c r="B1" i="97"/>
  <c r="C8" i="97"/>
  <c r="E8" i="97"/>
  <c r="G8" i="97"/>
  <c r="L8" i="97"/>
  <c r="C9" i="97"/>
  <c r="G9" i="97"/>
  <c r="C10" i="97"/>
  <c r="E10" i="97"/>
  <c r="G10" i="97"/>
  <c r="C11" i="97"/>
  <c r="E11" i="97"/>
  <c r="G11" i="97"/>
  <c r="H11" i="97"/>
  <c r="J11" i="97"/>
  <c r="K11" i="97"/>
  <c r="L11" i="97"/>
  <c r="C12" i="97"/>
  <c r="E12" i="97"/>
  <c r="G12" i="97"/>
  <c r="C13" i="97"/>
  <c r="E13" i="97"/>
  <c r="G13" i="97"/>
  <c r="L13" i="97"/>
  <c r="C14" i="97"/>
  <c r="E14" i="97"/>
  <c r="G14" i="97"/>
  <c r="C15" i="97"/>
  <c r="E15" i="97"/>
  <c r="G15" i="97"/>
  <c r="C16" i="97"/>
  <c r="E16" i="97"/>
  <c r="G16" i="97"/>
  <c r="K16" i="97"/>
  <c r="L16" i="97"/>
  <c r="C17" i="97"/>
  <c r="E17" i="97"/>
  <c r="G17" i="97"/>
  <c r="L17" i="97"/>
  <c r="C18" i="97"/>
  <c r="E18" i="97"/>
  <c r="G18" i="97"/>
  <c r="L18" i="97"/>
  <c r="C19" i="97"/>
  <c r="E19" i="97"/>
  <c r="G19" i="97"/>
  <c r="L19" i="97"/>
  <c r="C20" i="97"/>
  <c r="E20" i="97"/>
  <c r="G20" i="97"/>
  <c r="L20" i="97"/>
  <c r="C21" i="97"/>
  <c r="E21" i="97"/>
  <c r="G21" i="97"/>
  <c r="L21" i="97"/>
  <c r="C22" i="97"/>
  <c r="E22" i="97"/>
  <c r="G22" i="97"/>
  <c r="L22" i="97"/>
  <c r="C23" i="97"/>
  <c r="E23" i="97"/>
  <c r="G23" i="97"/>
  <c r="H23" i="97"/>
  <c r="L23" i="97"/>
  <c r="L24" i="97"/>
  <c r="E25" i="97"/>
  <c r="L25" i="97"/>
  <c r="L26" i="97"/>
  <c r="E27" i="97"/>
  <c r="H27" i="97"/>
  <c r="L27" i="97"/>
  <c r="K28" i="97"/>
  <c r="L28" i="97"/>
  <c r="E29" i="97"/>
  <c r="H29" i="97"/>
  <c r="L30" i="97"/>
  <c r="H34" i="97"/>
  <c r="I34" i="97"/>
  <c r="J34" i="97"/>
  <c r="K34" i="97"/>
  <c r="L34" i="97"/>
  <c r="B1" i="96"/>
  <c r="C8" i="96"/>
  <c r="E8" i="96"/>
  <c r="G8" i="96"/>
  <c r="L8" i="96"/>
  <c r="C9" i="96"/>
  <c r="G9" i="96"/>
  <c r="C10" i="96"/>
  <c r="E10" i="96"/>
  <c r="G10" i="96"/>
  <c r="C11" i="96"/>
  <c r="E11" i="96"/>
  <c r="G11" i="96"/>
  <c r="H11" i="96"/>
  <c r="J11" i="96"/>
  <c r="K11" i="96"/>
  <c r="L11" i="96"/>
  <c r="C12" i="96"/>
  <c r="E12" i="96"/>
  <c r="G12" i="96"/>
  <c r="C13" i="96"/>
  <c r="E13" i="96"/>
  <c r="G13" i="96"/>
  <c r="L13" i="96"/>
  <c r="C14" i="96"/>
  <c r="E14" i="96"/>
  <c r="G14" i="96"/>
  <c r="C15" i="96"/>
  <c r="E15" i="96"/>
  <c r="G15" i="96"/>
  <c r="C16" i="96"/>
  <c r="E16" i="96"/>
  <c r="G16" i="96"/>
  <c r="K16" i="96"/>
  <c r="L16" i="96"/>
  <c r="C17" i="96"/>
  <c r="E17" i="96"/>
  <c r="G17" i="96"/>
  <c r="L17" i="96"/>
  <c r="C18" i="96"/>
  <c r="E18" i="96"/>
  <c r="G18" i="96"/>
  <c r="L18" i="96"/>
  <c r="C19" i="96"/>
  <c r="E19" i="96"/>
  <c r="G19" i="96"/>
  <c r="L19" i="96"/>
  <c r="C20" i="96"/>
  <c r="E20" i="96"/>
  <c r="G20" i="96"/>
  <c r="L20" i="96"/>
  <c r="C21" i="96"/>
  <c r="E21" i="96"/>
  <c r="G21" i="96"/>
  <c r="L21" i="96"/>
  <c r="C22" i="96"/>
  <c r="E22" i="96"/>
  <c r="G22" i="96"/>
  <c r="L22" i="96"/>
  <c r="C23" i="96"/>
  <c r="E23" i="96"/>
  <c r="G23" i="96"/>
  <c r="H23" i="96"/>
  <c r="L23" i="96"/>
  <c r="L24" i="96"/>
  <c r="E25" i="96"/>
  <c r="H25" i="96"/>
  <c r="L25" i="96"/>
  <c r="L26" i="96"/>
  <c r="E27" i="96"/>
  <c r="L27" i="96"/>
  <c r="K28" i="96"/>
  <c r="L28" i="96"/>
  <c r="E29" i="96"/>
  <c r="H29" i="96"/>
  <c r="L30" i="96"/>
  <c r="H34" i="96"/>
  <c r="I34" i="96"/>
  <c r="J34" i="96"/>
  <c r="K34" i="96"/>
  <c r="L34" i="9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I8" i="36"/>
  <c r="M8" i="36"/>
  <c r="N8" i="36"/>
  <c r="O8" i="36"/>
  <c r="C9" i="36"/>
  <c r="E9" i="36"/>
  <c r="I9" i="36"/>
  <c r="O9" i="36"/>
  <c r="C10" i="36"/>
  <c r="E10" i="36"/>
  <c r="I10" i="36"/>
  <c r="O10" i="36"/>
  <c r="C11" i="36"/>
  <c r="E11" i="36"/>
  <c r="I11" i="36"/>
  <c r="L11" i="36"/>
  <c r="M11" i="36"/>
  <c r="N11" i="36"/>
  <c r="O11" i="36"/>
  <c r="C12" i="36"/>
  <c r="E12" i="36"/>
  <c r="I12" i="36"/>
  <c r="O12" i="36"/>
  <c r="C13" i="36"/>
  <c r="E13" i="36"/>
  <c r="I13" i="36"/>
  <c r="N13" i="36"/>
  <c r="O13" i="36"/>
  <c r="C14" i="36"/>
  <c r="E14" i="36"/>
  <c r="I14" i="36"/>
  <c r="O14" i="36"/>
  <c r="C15" i="36"/>
  <c r="E15" i="36"/>
  <c r="I15" i="36"/>
  <c r="O15" i="36"/>
  <c r="C16" i="36"/>
  <c r="E16" i="36"/>
  <c r="I16" i="36"/>
  <c r="N16" i="36"/>
  <c r="O16" i="36"/>
  <c r="C17" i="36"/>
  <c r="E17" i="36"/>
  <c r="I17" i="36"/>
  <c r="N17" i="36"/>
  <c r="O17" i="36"/>
  <c r="C18" i="36"/>
  <c r="E18" i="36"/>
  <c r="I18" i="36"/>
  <c r="N18" i="36"/>
  <c r="O18" i="36"/>
  <c r="C19" i="36"/>
  <c r="E19" i="36"/>
  <c r="I19" i="36"/>
  <c r="N19" i="36"/>
  <c r="O19" i="36"/>
  <c r="C20" i="36"/>
  <c r="E20" i="36"/>
  <c r="I20" i="36"/>
  <c r="N20" i="36"/>
  <c r="O20" i="36"/>
  <c r="C21" i="36"/>
  <c r="E21" i="36"/>
  <c r="I21" i="36"/>
  <c r="N21" i="36"/>
  <c r="O21" i="36"/>
  <c r="C22" i="36"/>
  <c r="E22" i="36"/>
  <c r="I22" i="36"/>
  <c r="N22" i="36"/>
  <c r="O22" i="36"/>
  <c r="C23" i="36"/>
  <c r="E23" i="36"/>
  <c r="I23" i="36"/>
  <c r="N23" i="36"/>
  <c r="O23" i="36"/>
  <c r="N24" i="36"/>
  <c r="E25" i="36"/>
  <c r="N25" i="36"/>
  <c r="N26" i="36"/>
  <c r="E27" i="36"/>
  <c r="N27" i="36"/>
  <c r="O27" i="36"/>
  <c r="M28" i="36"/>
  <c r="N28" i="36"/>
  <c r="E29" i="36"/>
  <c r="O29" i="36"/>
  <c r="J34" i="36"/>
  <c r="K34" i="36"/>
  <c r="L34" i="36"/>
  <c r="M34" i="36"/>
  <c r="N34" i="36"/>
  <c r="B1" i="83"/>
  <c r="C8" i="83"/>
  <c r="E8" i="83"/>
  <c r="G8" i="83"/>
  <c r="L8" i="83"/>
  <c r="N8" i="83"/>
  <c r="C9" i="83"/>
  <c r="G9" i="83"/>
  <c r="C10" i="83"/>
  <c r="E10" i="83"/>
  <c r="G10" i="83"/>
  <c r="C11" i="83"/>
  <c r="E11" i="83"/>
  <c r="G11" i="83"/>
  <c r="J11" i="83"/>
  <c r="K11" i="83"/>
  <c r="L11" i="83"/>
  <c r="N11" i="83"/>
  <c r="C12" i="83"/>
  <c r="E12" i="83"/>
  <c r="G12" i="83"/>
  <c r="C13" i="83"/>
  <c r="E13" i="83"/>
  <c r="G13" i="83"/>
  <c r="L13" i="83"/>
  <c r="C14" i="83"/>
  <c r="E14" i="83"/>
  <c r="G14" i="83"/>
  <c r="C15" i="83"/>
  <c r="E15" i="83"/>
  <c r="G15" i="83"/>
  <c r="N15" i="83"/>
  <c r="C16" i="83"/>
  <c r="E16" i="83"/>
  <c r="G16" i="83"/>
  <c r="K16" i="83"/>
  <c r="L16" i="83"/>
  <c r="C17" i="83"/>
  <c r="E17" i="83"/>
  <c r="G17" i="83"/>
  <c r="L17" i="83"/>
  <c r="C18" i="83"/>
  <c r="E18" i="83"/>
  <c r="G18" i="83"/>
  <c r="L18" i="83"/>
  <c r="C19" i="83"/>
  <c r="E19" i="83"/>
  <c r="G19" i="83"/>
  <c r="L19" i="83"/>
  <c r="C20" i="83"/>
  <c r="E20" i="83"/>
  <c r="G20" i="83"/>
  <c r="L20" i="83"/>
  <c r="C21" i="83"/>
  <c r="E21" i="83"/>
  <c r="G21" i="83"/>
  <c r="L21" i="83"/>
  <c r="C22" i="83"/>
  <c r="E22" i="83"/>
  <c r="G22" i="83"/>
  <c r="L22" i="83"/>
  <c r="C23" i="83"/>
  <c r="E23" i="83"/>
  <c r="G23" i="83"/>
  <c r="H23" i="83"/>
  <c r="L23" i="83"/>
  <c r="N23" i="83"/>
  <c r="K24" i="83"/>
  <c r="L24" i="83"/>
  <c r="E25" i="83"/>
  <c r="H25" i="83"/>
  <c r="L25" i="83"/>
  <c r="K26" i="83"/>
  <c r="L26" i="83"/>
  <c r="E27" i="83"/>
  <c r="H27" i="83"/>
  <c r="L27" i="83"/>
  <c r="K28" i="83"/>
  <c r="L28" i="83"/>
  <c r="E29" i="83"/>
  <c r="H29" i="83"/>
  <c r="L30" i="83"/>
  <c r="H34" i="83"/>
  <c r="I34" i="83"/>
  <c r="J34" i="83"/>
  <c r="K34" i="83"/>
  <c r="L34" i="83"/>
  <c r="B1" i="37"/>
  <c r="C8" i="37"/>
  <c r="E8" i="37"/>
  <c r="I8" i="37"/>
  <c r="M8" i="37"/>
  <c r="N8" i="37"/>
  <c r="O8" i="37"/>
  <c r="C9" i="37"/>
  <c r="E9" i="37"/>
  <c r="I9" i="37"/>
  <c r="O9" i="37"/>
  <c r="C10" i="37"/>
  <c r="E10" i="37"/>
  <c r="I10" i="37"/>
  <c r="O10" i="37"/>
  <c r="C11" i="37"/>
  <c r="E11" i="37"/>
  <c r="I11" i="37"/>
  <c r="L11" i="37"/>
  <c r="M11" i="37"/>
  <c r="N11" i="37"/>
  <c r="O11" i="37"/>
  <c r="C12" i="37"/>
  <c r="E12" i="37"/>
  <c r="I12" i="37"/>
  <c r="O12" i="37"/>
  <c r="C13" i="37"/>
  <c r="E13" i="37"/>
  <c r="I13" i="37"/>
  <c r="N13" i="37"/>
  <c r="O13" i="37"/>
  <c r="C14" i="37"/>
  <c r="E14" i="37"/>
  <c r="I14" i="37"/>
  <c r="O14" i="37"/>
  <c r="C15" i="37"/>
  <c r="E15" i="37"/>
  <c r="I15" i="37"/>
  <c r="O15" i="37"/>
  <c r="C16" i="37"/>
  <c r="E16" i="37"/>
  <c r="I16" i="37"/>
  <c r="N16" i="37"/>
  <c r="O16" i="37"/>
  <c r="C17" i="37"/>
  <c r="E17" i="37"/>
  <c r="I17" i="37"/>
  <c r="N17" i="37"/>
  <c r="O17" i="37"/>
  <c r="C18" i="37"/>
  <c r="E18" i="37"/>
  <c r="I18" i="37"/>
  <c r="N18" i="37"/>
  <c r="O18" i="37"/>
  <c r="C19" i="37"/>
  <c r="E19" i="37"/>
  <c r="I19" i="37"/>
  <c r="N19" i="37"/>
  <c r="O19" i="37"/>
  <c r="C20" i="37"/>
  <c r="E20" i="37"/>
  <c r="I20" i="37"/>
  <c r="M20" i="37"/>
  <c r="N20" i="37"/>
  <c r="O20" i="37"/>
  <c r="C21" i="37"/>
  <c r="E21" i="37"/>
  <c r="I21" i="37"/>
  <c r="N21" i="37"/>
  <c r="O21" i="37"/>
  <c r="C22" i="37"/>
  <c r="E22" i="37"/>
  <c r="I22" i="37"/>
  <c r="N22" i="37"/>
  <c r="O22" i="37"/>
  <c r="C23" i="37"/>
  <c r="E23" i="37"/>
  <c r="I23" i="37"/>
  <c r="N23" i="37"/>
  <c r="O23" i="37"/>
  <c r="M24" i="37"/>
  <c r="N24" i="37"/>
  <c r="E25" i="37"/>
  <c r="N25" i="37"/>
  <c r="N26" i="37"/>
  <c r="E27" i="37"/>
  <c r="N27" i="37"/>
  <c r="O27" i="37"/>
  <c r="M28" i="37"/>
  <c r="N28" i="37"/>
  <c r="E29" i="37"/>
  <c r="O29" i="37"/>
  <c r="J34" i="37"/>
  <c r="K34" i="37"/>
  <c r="L34" i="37"/>
  <c r="M34" i="37"/>
  <c r="N34" i="37"/>
  <c r="B1" i="91"/>
  <c r="C8" i="91"/>
  <c r="E8" i="91"/>
  <c r="G8" i="91"/>
  <c r="I8" i="91"/>
  <c r="N8" i="91"/>
  <c r="O8" i="91"/>
  <c r="C9" i="91"/>
  <c r="E9" i="91"/>
  <c r="I9" i="91"/>
  <c r="O9" i="91"/>
  <c r="C10" i="91"/>
  <c r="E10" i="91"/>
  <c r="G10" i="91"/>
  <c r="I10" i="91"/>
  <c r="O10" i="91"/>
  <c r="C11" i="91"/>
  <c r="E11" i="91"/>
  <c r="G11" i="91"/>
  <c r="I11" i="91"/>
  <c r="L11" i="91"/>
  <c r="M11" i="91"/>
  <c r="N11" i="91"/>
  <c r="O11" i="91"/>
  <c r="C12" i="91"/>
  <c r="E12" i="91"/>
  <c r="G12" i="91"/>
  <c r="I12" i="91"/>
  <c r="O12" i="91"/>
  <c r="C13" i="91"/>
  <c r="E13" i="91"/>
  <c r="G13" i="91"/>
  <c r="I13" i="91"/>
  <c r="N13" i="91"/>
  <c r="O13" i="91"/>
  <c r="C14" i="91"/>
  <c r="E14" i="91"/>
  <c r="G14" i="91"/>
  <c r="I14" i="91"/>
  <c r="O14" i="91"/>
  <c r="C15" i="91"/>
  <c r="E15" i="91"/>
  <c r="I15" i="91"/>
  <c r="O15" i="91"/>
  <c r="C16" i="91"/>
  <c r="E16" i="91"/>
  <c r="G16" i="91"/>
  <c r="I16" i="91"/>
  <c r="N16" i="91"/>
  <c r="O16" i="91"/>
  <c r="C17" i="91"/>
  <c r="E17" i="91"/>
  <c r="I17" i="91"/>
  <c r="N17" i="91"/>
  <c r="O17" i="91"/>
  <c r="C18" i="91"/>
  <c r="E18" i="91"/>
  <c r="G18" i="91"/>
  <c r="I18" i="91"/>
  <c r="N18" i="91"/>
  <c r="O18" i="91"/>
  <c r="C19" i="91"/>
  <c r="E19" i="91"/>
  <c r="G19" i="91"/>
  <c r="I19" i="91"/>
  <c r="N19" i="91"/>
  <c r="O19" i="91"/>
  <c r="C20" i="91"/>
  <c r="E20" i="91"/>
  <c r="I20" i="91"/>
  <c r="N20" i="91"/>
  <c r="O20" i="91"/>
  <c r="C21" i="91"/>
  <c r="E21" i="91"/>
  <c r="I21" i="91"/>
  <c r="M21" i="91"/>
  <c r="N21" i="91"/>
  <c r="O21" i="91"/>
  <c r="C22" i="91"/>
  <c r="E22" i="91"/>
  <c r="G22" i="91"/>
  <c r="I22" i="91"/>
  <c r="M22" i="91"/>
  <c r="N22" i="91"/>
  <c r="O22" i="91"/>
  <c r="C23" i="91"/>
  <c r="E23" i="91"/>
  <c r="G23" i="91"/>
  <c r="I23" i="91"/>
  <c r="N23" i="91"/>
  <c r="O23" i="91"/>
  <c r="N24" i="91"/>
  <c r="E25" i="91"/>
  <c r="G25" i="91"/>
  <c r="N25" i="91"/>
  <c r="O25" i="91"/>
  <c r="N26" i="91"/>
  <c r="E27" i="91"/>
  <c r="G27" i="91"/>
  <c r="N27" i="91"/>
  <c r="O27" i="91"/>
  <c r="M28" i="91"/>
  <c r="N28" i="91"/>
  <c r="E29" i="91"/>
  <c r="G29" i="91"/>
  <c r="J34" i="91"/>
  <c r="K34" i="91"/>
  <c r="L34" i="91"/>
  <c r="M34" i="91"/>
  <c r="N34" i="91"/>
  <c r="B1" i="93"/>
  <c r="C8" i="93"/>
  <c r="E8" i="93"/>
  <c r="G8" i="93"/>
  <c r="I8" i="93"/>
  <c r="N8" i="93"/>
  <c r="O8" i="93"/>
  <c r="C9" i="93"/>
  <c r="E9" i="93"/>
  <c r="I9" i="93"/>
  <c r="O9" i="93"/>
  <c r="C10" i="93"/>
  <c r="E10" i="93"/>
  <c r="G10" i="93"/>
  <c r="I10" i="93"/>
  <c r="O10" i="93"/>
  <c r="C11" i="93"/>
  <c r="E11" i="93"/>
  <c r="G11" i="93"/>
  <c r="I11" i="93"/>
  <c r="L11" i="93"/>
  <c r="M11" i="93"/>
  <c r="N11" i="93"/>
  <c r="O11" i="93"/>
  <c r="C12" i="93"/>
  <c r="E12" i="93"/>
  <c r="I12" i="93"/>
  <c r="O12" i="93"/>
  <c r="C13" i="93"/>
  <c r="E13" i="93"/>
  <c r="I13" i="93"/>
  <c r="N13" i="93"/>
  <c r="O13" i="93"/>
  <c r="C14" i="93"/>
  <c r="E14" i="93"/>
  <c r="I14" i="93"/>
  <c r="O14" i="93"/>
  <c r="C15" i="93"/>
  <c r="E15" i="93"/>
  <c r="I15" i="93"/>
  <c r="O15" i="93"/>
  <c r="C16" i="93"/>
  <c r="E16" i="93"/>
  <c r="G16" i="93"/>
  <c r="I16" i="93"/>
  <c r="N16" i="93"/>
  <c r="O16" i="93"/>
  <c r="C17" i="93"/>
  <c r="E17" i="93"/>
  <c r="I17" i="93"/>
  <c r="M17" i="93"/>
  <c r="N17" i="93"/>
  <c r="O17" i="93"/>
  <c r="C18" i="93"/>
  <c r="E18" i="93"/>
  <c r="G18" i="93"/>
  <c r="I18" i="93"/>
  <c r="N18" i="93"/>
  <c r="O18" i="93"/>
  <c r="C19" i="93"/>
  <c r="E19" i="93"/>
  <c r="I19" i="93"/>
  <c r="N19" i="93"/>
  <c r="O19" i="93"/>
  <c r="C20" i="93"/>
  <c r="E20" i="93"/>
  <c r="I20" i="93"/>
  <c r="N20" i="93"/>
  <c r="O20" i="93"/>
  <c r="C21" i="93"/>
  <c r="E21" i="93"/>
  <c r="I21" i="93"/>
  <c r="N21" i="93"/>
  <c r="O21" i="93"/>
  <c r="C22" i="93"/>
  <c r="E22" i="93"/>
  <c r="G22" i="93"/>
  <c r="I22" i="93"/>
  <c r="N22" i="93"/>
  <c r="O22" i="93"/>
  <c r="C23" i="93"/>
  <c r="E23" i="93"/>
  <c r="G23" i="93"/>
  <c r="I23" i="93"/>
  <c r="N23" i="93"/>
  <c r="O23" i="93"/>
  <c r="N24" i="93"/>
  <c r="E25" i="93"/>
  <c r="G25" i="93"/>
  <c r="N25" i="93"/>
  <c r="O25" i="93"/>
  <c r="N26" i="93"/>
  <c r="E27" i="93"/>
  <c r="G27" i="93"/>
  <c r="N27" i="93"/>
  <c r="O27" i="93"/>
  <c r="M28" i="93"/>
  <c r="N28" i="93"/>
  <c r="E29" i="93"/>
  <c r="G29" i="93"/>
  <c r="J34" i="93"/>
  <c r="K34" i="93"/>
  <c r="L34" i="93"/>
  <c r="M34" i="93"/>
  <c r="N34" i="93"/>
  <c r="B1" i="92"/>
  <c r="C8" i="92"/>
  <c r="E8" i="92"/>
  <c r="G8" i="92"/>
  <c r="I8" i="92"/>
  <c r="N8" i="92"/>
  <c r="O8" i="92"/>
  <c r="C9" i="92"/>
  <c r="E9" i="92"/>
  <c r="I9" i="92"/>
  <c r="O9" i="92"/>
  <c r="C10" i="92"/>
  <c r="E10" i="92"/>
  <c r="G10" i="92"/>
  <c r="I10" i="92"/>
  <c r="O10" i="92"/>
  <c r="C11" i="92"/>
  <c r="E11" i="92"/>
  <c r="G11" i="92"/>
  <c r="I11" i="92"/>
  <c r="L11" i="92"/>
  <c r="M11" i="92"/>
  <c r="N11" i="92"/>
  <c r="O11" i="92"/>
  <c r="C12" i="92"/>
  <c r="E12" i="92"/>
  <c r="G12" i="92"/>
  <c r="I12" i="92"/>
  <c r="O12" i="92"/>
  <c r="C13" i="92"/>
  <c r="E13" i="92"/>
  <c r="G13" i="92"/>
  <c r="I13" i="92"/>
  <c r="N13" i="92"/>
  <c r="O13" i="92"/>
  <c r="C14" i="92"/>
  <c r="E14" i="92"/>
  <c r="I14" i="92"/>
  <c r="O14" i="92"/>
  <c r="C15" i="92"/>
  <c r="E15" i="92"/>
  <c r="I15" i="92"/>
  <c r="O15" i="92"/>
  <c r="C16" i="92"/>
  <c r="E16" i="92"/>
  <c r="G16" i="92"/>
  <c r="I16" i="92"/>
  <c r="N16" i="92"/>
  <c r="O16" i="92"/>
  <c r="C17" i="92"/>
  <c r="E17" i="92"/>
  <c r="G17" i="92"/>
  <c r="I17" i="92"/>
  <c r="N17" i="92"/>
  <c r="O17" i="92"/>
  <c r="C18" i="92"/>
  <c r="E18" i="92"/>
  <c r="G18" i="92"/>
  <c r="I18" i="92"/>
  <c r="N18" i="92"/>
  <c r="O18" i="92"/>
  <c r="C19" i="92"/>
  <c r="E19" i="92"/>
  <c r="G19" i="92"/>
  <c r="I19" i="92"/>
  <c r="N19" i="92"/>
  <c r="O19" i="92"/>
  <c r="C20" i="92"/>
  <c r="E20" i="92"/>
  <c r="G20" i="92"/>
  <c r="I20" i="92"/>
  <c r="N20" i="92"/>
  <c r="O20" i="92"/>
  <c r="C21" i="92"/>
  <c r="E21" i="92"/>
  <c r="G21" i="92"/>
  <c r="I21" i="92"/>
  <c r="N21" i="92"/>
  <c r="O21" i="92"/>
  <c r="C22" i="92"/>
  <c r="E22" i="92"/>
  <c r="G22" i="92"/>
  <c r="I22" i="92"/>
  <c r="N22" i="92"/>
  <c r="O22" i="92"/>
  <c r="C23" i="92"/>
  <c r="E23" i="92"/>
  <c r="G23" i="92"/>
  <c r="I23" i="92"/>
  <c r="N23" i="92"/>
  <c r="O23" i="92"/>
  <c r="N24" i="92"/>
  <c r="E25" i="92"/>
  <c r="G25" i="92"/>
  <c r="N25" i="92"/>
  <c r="O25" i="92"/>
  <c r="N26" i="92"/>
  <c r="E27" i="92"/>
  <c r="G27" i="92"/>
  <c r="N27" i="92"/>
  <c r="O27" i="92"/>
  <c r="M28" i="92"/>
  <c r="N28" i="92"/>
  <c r="E29" i="92"/>
  <c r="G29" i="92"/>
  <c r="J34" i="92"/>
  <c r="K34" i="92"/>
  <c r="L34" i="92"/>
  <c r="M34" i="92"/>
  <c r="N34" i="92"/>
  <c r="B1" i="90"/>
  <c r="C8" i="90"/>
  <c r="E8" i="90"/>
  <c r="G8" i="90"/>
  <c r="I8" i="90"/>
  <c r="N8" i="90"/>
  <c r="O8" i="90"/>
  <c r="C9" i="90"/>
  <c r="E9" i="90"/>
  <c r="I9" i="90"/>
  <c r="O9" i="90"/>
  <c r="C10" i="90"/>
  <c r="E10" i="90"/>
  <c r="G10" i="90"/>
  <c r="I10" i="90"/>
  <c r="O10" i="90"/>
  <c r="C11" i="90"/>
  <c r="E11" i="90"/>
  <c r="G11" i="90"/>
  <c r="I11" i="90"/>
  <c r="L11" i="90"/>
  <c r="M11" i="90"/>
  <c r="N11" i="90"/>
  <c r="O11" i="90"/>
  <c r="C12" i="90"/>
  <c r="E12" i="90"/>
  <c r="G12" i="90"/>
  <c r="I12" i="90"/>
  <c r="O12" i="90"/>
  <c r="C13" i="90"/>
  <c r="E13" i="90"/>
  <c r="G13" i="90"/>
  <c r="I13" i="90"/>
  <c r="N13" i="90"/>
  <c r="O13" i="90"/>
  <c r="C14" i="90"/>
  <c r="E14" i="90"/>
  <c r="G14" i="90"/>
  <c r="I14" i="90"/>
  <c r="O14" i="90"/>
  <c r="C15" i="90"/>
  <c r="E15" i="90"/>
  <c r="I15" i="90"/>
  <c r="O15" i="90"/>
  <c r="C16" i="90"/>
  <c r="E16" i="90"/>
  <c r="I16" i="90"/>
  <c r="N16" i="90"/>
  <c r="O16" i="90"/>
  <c r="C17" i="90"/>
  <c r="E17" i="90"/>
  <c r="I17" i="90"/>
  <c r="N17" i="90"/>
  <c r="O17" i="90"/>
  <c r="C18" i="90"/>
  <c r="E18" i="90"/>
  <c r="G18" i="90"/>
  <c r="I18" i="90"/>
  <c r="N18" i="90"/>
  <c r="O18" i="90"/>
  <c r="C19" i="90"/>
  <c r="E19" i="90"/>
  <c r="G19" i="90"/>
  <c r="I19" i="90"/>
  <c r="M19" i="90"/>
  <c r="N19" i="90"/>
  <c r="O19" i="90"/>
  <c r="C20" i="90"/>
  <c r="E20" i="90"/>
  <c r="I20" i="90"/>
  <c r="M20" i="90"/>
  <c r="N20" i="90"/>
  <c r="O20" i="90"/>
  <c r="C21" i="90"/>
  <c r="E21" i="90"/>
  <c r="I21" i="90"/>
  <c r="N21" i="90"/>
  <c r="O21" i="90"/>
  <c r="C22" i="90"/>
  <c r="E22" i="90"/>
  <c r="G22" i="90"/>
  <c r="I22" i="90"/>
  <c r="N22" i="90"/>
  <c r="O22" i="90"/>
  <c r="C23" i="90"/>
  <c r="E23" i="90"/>
  <c r="G23" i="90"/>
  <c r="I23" i="90"/>
  <c r="N23" i="90"/>
  <c r="O23" i="90"/>
  <c r="N24" i="90"/>
  <c r="E25" i="90"/>
  <c r="G25" i="90"/>
  <c r="N25" i="90"/>
  <c r="O25" i="90"/>
  <c r="N26" i="90"/>
  <c r="E27" i="90"/>
  <c r="G27" i="90"/>
  <c r="N27" i="90"/>
  <c r="O27" i="90"/>
  <c r="M28" i="90"/>
  <c r="N28" i="90"/>
  <c r="E29" i="90"/>
  <c r="G29" i="90"/>
  <c r="J34" i="90"/>
  <c r="K34" i="90"/>
  <c r="L34" i="90"/>
  <c r="M34" i="90"/>
  <c r="N34" i="90"/>
  <c r="B1" i="81"/>
  <c r="C8" i="81"/>
  <c r="E8" i="81"/>
  <c r="G8" i="81"/>
  <c r="L8" i="81"/>
  <c r="N8" i="81"/>
  <c r="C9" i="81"/>
  <c r="G9" i="81"/>
  <c r="C10" i="81"/>
  <c r="E10" i="81"/>
  <c r="G10" i="81"/>
  <c r="C11" i="81"/>
  <c r="E11" i="81"/>
  <c r="G11" i="81"/>
  <c r="H11" i="81"/>
  <c r="J11" i="81"/>
  <c r="K11" i="81"/>
  <c r="L11" i="81"/>
  <c r="N11" i="81"/>
  <c r="C12" i="81"/>
  <c r="E12" i="81"/>
  <c r="G12" i="81"/>
  <c r="C13" i="81"/>
  <c r="E13" i="81"/>
  <c r="G13" i="81"/>
  <c r="L13" i="81"/>
  <c r="C14" i="81"/>
  <c r="E14" i="81"/>
  <c r="G14" i="81"/>
  <c r="C15" i="81"/>
  <c r="E15" i="81"/>
  <c r="G15" i="81"/>
  <c r="C16" i="81"/>
  <c r="E16" i="81"/>
  <c r="G16" i="81"/>
  <c r="K16" i="81"/>
  <c r="L16" i="81"/>
  <c r="C17" i="81"/>
  <c r="E17" i="81"/>
  <c r="G17" i="81"/>
  <c r="L17" i="81"/>
  <c r="C18" i="81"/>
  <c r="E18" i="81"/>
  <c r="G18" i="81"/>
  <c r="L18" i="81"/>
  <c r="C19" i="81"/>
  <c r="E19" i="81"/>
  <c r="G19" i="81"/>
  <c r="L19" i="81"/>
  <c r="C20" i="81"/>
  <c r="E20" i="81"/>
  <c r="G20" i="81"/>
  <c r="L20" i="81"/>
  <c r="C21" i="81"/>
  <c r="E21" i="81"/>
  <c r="G21" i="81"/>
  <c r="L21" i="81"/>
  <c r="C22" i="81"/>
  <c r="E22" i="81"/>
  <c r="G22" i="81"/>
  <c r="L22" i="81"/>
  <c r="C23" i="81"/>
  <c r="E23" i="81"/>
  <c r="G23" i="81"/>
  <c r="H23" i="81"/>
  <c r="L23" i="81"/>
  <c r="N23" i="81"/>
  <c r="K24" i="81"/>
  <c r="L24" i="81"/>
  <c r="E25" i="81"/>
  <c r="L25" i="81"/>
  <c r="L26" i="81"/>
  <c r="E27" i="81"/>
  <c r="H27" i="81"/>
  <c r="L27" i="81"/>
  <c r="K28" i="81"/>
  <c r="L28" i="81"/>
  <c r="E29" i="81"/>
  <c r="H29" i="81"/>
  <c r="L30" i="81"/>
  <c r="H34" i="81"/>
  <c r="I34" i="81"/>
  <c r="J34" i="81"/>
  <c r="K34" i="81"/>
  <c r="L34" i="81"/>
  <c r="B1" i="82"/>
  <c r="C8" i="82"/>
  <c r="E8" i="82"/>
  <c r="G8" i="82"/>
  <c r="L8" i="82"/>
  <c r="N8" i="82"/>
  <c r="C9" i="82"/>
  <c r="G9" i="82"/>
  <c r="C10" i="82"/>
  <c r="E10" i="82"/>
  <c r="G10" i="82"/>
  <c r="C11" i="82"/>
  <c r="E11" i="82"/>
  <c r="G11" i="82"/>
  <c r="J11" i="82"/>
  <c r="K11" i="82"/>
  <c r="L11" i="82"/>
  <c r="N11" i="82"/>
  <c r="C12" i="82"/>
  <c r="E12" i="82"/>
  <c r="G12" i="82"/>
  <c r="C13" i="82"/>
  <c r="E13" i="82"/>
  <c r="G13" i="82"/>
  <c r="L13" i="82"/>
  <c r="C14" i="82"/>
  <c r="E14" i="82"/>
  <c r="G14" i="82"/>
  <c r="C15" i="82"/>
  <c r="E15" i="82"/>
  <c r="G15" i="82"/>
  <c r="C16" i="82"/>
  <c r="E16" i="82"/>
  <c r="G16" i="82"/>
  <c r="K16" i="82"/>
  <c r="L16" i="82"/>
  <c r="C17" i="82"/>
  <c r="E17" i="82"/>
  <c r="G17" i="82"/>
  <c r="L17" i="82"/>
  <c r="C18" i="82"/>
  <c r="E18" i="82"/>
  <c r="G18" i="82"/>
  <c r="L18" i="82"/>
  <c r="C19" i="82"/>
  <c r="E19" i="82"/>
  <c r="G19" i="82"/>
  <c r="L19" i="82"/>
  <c r="C20" i="82"/>
  <c r="E20" i="82"/>
  <c r="G20" i="82"/>
  <c r="L20" i="82"/>
  <c r="C21" i="82"/>
  <c r="E21" i="82"/>
  <c r="G21" i="82"/>
  <c r="L21" i="82"/>
  <c r="C22" i="82"/>
  <c r="E22" i="82"/>
  <c r="G22" i="82"/>
  <c r="L22" i="82"/>
  <c r="C23" i="82"/>
  <c r="E23" i="82"/>
  <c r="G23" i="82"/>
  <c r="H23" i="82"/>
  <c r="L23" i="82"/>
  <c r="N23" i="82"/>
  <c r="K24" i="82"/>
  <c r="L24" i="82"/>
  <c r="E25" i="82"/>
  <c r="H25" i="82"/>
  <c r="L25" i="82"/>
  <c r="L26" i="82"/>
  <c r="E27" i="82"/>
  <c r="L27" i="82"/>
  <c r="K28" i="82"/>
  <c r="L28" i="82"/>
  <c r="E29" i="82"/>
  <c r="H29" i="82"/>
  <c r="L30" i="82"/>
  <c r="H34" i="82"/>
  <c r="I34" i="82"/>
  <c r="J34" i="82"/>
  <c r="K34" i="82"/>
  <c r="L34" i="82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<sst xmlns="http://schemas.openxmlformats.org/spreadsheetml/2006/main" count="5071" uniqueCount="286">
  <si>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</si>
  <si>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</si>
  <si>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</si>
  <si>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</si>
  <si>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</si>
  <si>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</si>
  <si>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</si>
  <si>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</si>
  <si>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</si>
  <si>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</si>
  <si>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</si>
  <si>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</si>
  <si>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</si>
  <si>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</si>
  <si>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</si>
  <si>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</si>
  <si>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</si>
  <si>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</si>
  <si>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</si>
  <si>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</si>
  <si>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</si>
  <si>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</si>
  <si>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</si>
  <si>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</si>
  <si>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</si>
  <si>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</si>
  <si>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</si>
  <si>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</si>
  <si>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</si>
  <si>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</si>
  <si>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</si>
  <si>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</si>
  <si>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</si>
  <si>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</si>
  <si>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</si>
  <si>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</si>
  <si>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</si>
  <si>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</si>
  <si>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</si>
  <si>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</si>
  <si>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</si>
  <si>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</si>
  <si>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</si>
  <si>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</si>
  <si>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</si>
  <si>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</si>
  <si>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</si>
  <si>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</si>
  <si>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</si>
  <si>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</si>
  <si>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</si>
  <si>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</si>
  <si>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</si>
  <si>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</si>
  <si>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</si>
  <si>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</si>
  <si>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</si>
  <si>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</si>
  <si>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</si>
  <si>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</si>
  <si>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</si>
  <si>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</si>
  <si>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</si>
  <si>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</si>
  <si>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</si>
  <si>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</si>
  <si>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</si>
  <si>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</si>
  <si>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</si>
  <si>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</si>
  <si>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</si>
  <si>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</si>
  <si>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</si>
  <si>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</si>
  <si>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</si>
  <si>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</si>
  <si>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</si>
  <si>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</si>
  <si>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</si>
  <si>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</si>
  <si>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</si>
  <si>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</si>
  <si>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</si>
  <si>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</si>
  <si>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</si>
  <si>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</si>
  <si>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</si>
  <si>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</si>
  <si>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</si>
  <si>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</si>
  <si>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</si>
  <si>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</si>
  <si>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</si>
  <si>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</si>
  <si>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</si>
  <si>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</si>
  <si>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</si>
  <si>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</si>
  <si>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</si>
  <si>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</si>
  <si>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</si>
  <si>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</si>
  <si>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</si>
  <si>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</si>
  <si>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</si>
  <si>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</si>
  <si>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</si>
  <si>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</si>
  <si>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</si>
  <si>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</si>
  <si>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</si>
  <si>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</si>
  <si>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</si>
  <si>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</si>
  <si>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</si>
  <si>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</si>
  <si>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</si>
  <si>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</si>
  <si>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</si>
  <si>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</si>
  <si>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</si>
  <si>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</si>
  <si>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</si>
  <si>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</si>
  <si>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</si>
  <si>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</si>
  <si>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</si>
  <si>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</si>
  <si>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</si>
  <si>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</si>
  <si>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</si>
  <si>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</si>
  <si>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</si>
  <si>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</si>
  <si>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</si>
  <si>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</si>
  <si>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</si>
  <si>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</si>
  <si>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</si>
  <si>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</si>
  <si>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</si>
  <si>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</si>
  <si>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</si>
  <si>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</si>
  <si>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</si>
  <si>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</si>
  <si>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</si>
  <si>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</si>
  <si>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</si>
  <si>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</si>
  <si>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</si>
  <si>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</si>
  <si>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</si>
  <si>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</si>
  <si>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</si>
  <si>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</si>
  <si>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</si>
  <si>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</si>
  <si>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</si>
  <si>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</si>
  <si>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</si>
  <si>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</si>
  <si>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</si>
  <si>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</si>
  <si>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</si>
  <si>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</si>
  <si>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</si>
  <si>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</si>
  <si>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</si>
  <si>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</si>
  <si>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</si>
  <si>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</si>
  <si>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</si>
  <si>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</si>
  <si>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</si>
  <si>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</si>
  <si>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</si>
  <si>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</si>
  <si>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</si>
  <si>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</si>
  <si>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</si>
  <si>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</si>
  <si>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</si>
  <si>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</si>
  <si>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</si>
  <si>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</si>
  <si>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</si>
  <si>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</si>
  <si>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</si>
  <si>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</si>
  <si>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</si>
  <si>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</si>
  <si>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</si>
  <si>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</si>
  <si>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</si>
  <si>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</si>
  <si>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</si>
  <si>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</si>
  <si>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</si>
  <si>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</si>
  <si>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</si>
  <si>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</si>
  <si>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</si>
  <si>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</si>
  <si>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</si>
  <si>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</si>
  <si>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</si>
  <si>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</si>
  <si>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</si>
  <si>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</si>
  <si>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</si>
  <si>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</si>
  <si>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</si>
  <si>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</si>
  <si>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</si>
  <si>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</si>
  <si>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</si>
  <si>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</si>
  <si>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</si>
  <si>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</si>
  <si>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</si>
  <si>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</si>
  <si>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</si>
  <si>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</si>
  <si>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</si>
  <si>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</si>
  <si>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</si>
  <si>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</si>
  <si>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</si>
  <si>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</si>
  <si>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</si>
  <si>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</si>
  <si>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</si>
  <si>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</si>
  <si>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</si>
  <si>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</si>
  <si>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</si>
  <si>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</si>
  <si>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</si>
  <si>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</si>
  <si>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Texas Gas Trading</t>
  </si>
  <si>
    <t>East Gas Trading</t>
  </si>
  <si>
    <t>Central Gas Trading</t>
  </si>
  <si>
    <t>West Gas Trading</t>
  </si>
  <si>
    <t>Financial Gas Trading</t>
  </si>
  <si>
    <t>Derivatives</t>
  </si>
  <si>
    <t>Texas Gas Origination</t>
  </si>
  <si>
    <t>East Gas Origination</t>
  </si>
  <si>
    <t>Central Gas Origination</t>
  </si>
  <si>
    <t>West Gas Origination</t>
  </si>
  <si>
    <t>Central Gas - Trading</t>
  </si>
  <si>
    <t>Financial Gas</t>
  </si>
  <si>
    <t>Texas Gas - Origination</t>
  </si>
  <si>
    <t>Crude</t>
  </si>
  <si>
    <t>Central Gas - Orig</t>
  </si>
  <si>
    <t>ADJUSTED</t>
  </si>
  <si>
    <t>DIRECTOR</t>
  </si>
  <si>
    <t>MANAGER</t>
  </si>
  <si>
    <t>VICE PRESIDENT</t>
  </si>
  <si>
    <t>Texas - Trading</t>
  </si>
  <si>
    <t>ASSOCIATE</t>
  </si>
  <si>
    <t>Quigley, Henry H</t>
  </si>
  <si>
    <t>ENA FINANCIAL</t>
  </si>
  <si>
    <t>Maggi, Michael J</t>
  </si>
  <si>
    <t>May, Lawrence J</t>
  </si>
  <si>
    <t>Griffith, John H</t>
  </si>
  <si>
    <t>Arnold, John D</t>
  </si>
  <si>
    <t>Zipper, Andrew A</t>
  </si>
  <si>
    <t>Ligums, John (Jeb)</t>
  </si>
  <si>
    <t>West Gas - Orig</t>
  </si>
  <si>
    <t>Jaime Williams-Quintero</t>
  </si>
  <si>
    <t>Agustin Perez-Miranda</t>
  </si>
  <si>
    <t>East Gas - Orig</t>
  </si>
  <si>
    <t>East Gas - Trading</t>
  </si>
  <si>
    <t>East Gas - Trading Analysts/Associates</t>
  </si>
  <si>
    <t>Derivatives/Wellhead Analysts/Associates</t>
  </si>
  <si>
    <t>West Gas - Trading Analysts/Associates</t>
  </si>
  <si>
    <t>Central Gas - Trading Analysts/Associates</t>
  </si>
  <si>
    <t>Texas - Trading Analysts/Associates</t>
  </si>
  <si>
    <t>Financial Gas Analysts/Associates</t>
  </si>
  <si>
    <t>Gas - Analysts/Associates</t>
  </si>
  <si>
    <t xml:space="preserve">West Gas - Trading </t>
  </si>
  <si>
    <t>Derivatives/Wellhead</t>
  </si>
  <si>
    <t>Total Gas Trading and Origination***</t>
  </si>
  <si>
    <t>***Unable to identify which region 2 gas employees belong to.</t>
  </si>
  <si>
    <t>Based on Headcount of 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</si>
</sst>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4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8"/>
      <name val="MS Sans Serif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6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6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6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6" applyNumberFormat="1" applyFont="1" applyBorder="1"/>
    <xf numFmtId="9" fontId="1" fillId="0" borderId="0" xfId="6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13" fillId="0" borderId="26" xfId="5" applyFont="1" applyFill="1" applyBorder="1" applyAlignment="1">
      <alignment horizontal="left"/>
    </xf>
    <xf numFmtId="0" fontId="13" fillId="0" borderId="27" xfId="5" applyFont="1" applyFill="1" applyBorder="1" applyAlignment="1">
      <alignment horizontal="left"/>
    </xf>
    <xf numFmtId="165" fontId="7" fillId="0" borderId="0" xfId="3" applyNumberFormat="1" applyFont="1" applyFill="1" applyBorder="1" applyAlignment="1">
      <alignment horizontal="center"/>
    </xf>
    <xf numFmtId="168" fontId="0" fillId="0" borderId="0" xfId="0" applyNumberFormat="1"/>
    <xf numFmtId="167" fontId="7" fillId="0" borderId="21" xfId="3" applyNumberFormat="1" applyFont="1" applyBorder="1"/>
    <xf numFmtId="167" fontId="7" fillId="0" borderId="0" xfId="3" applyNumberFormat="1" applyFont="1"/>
    <xf numFmtId="167" fontId="7" fillId="0" borderId="0" xfId="3" applyNumberFormat="1" applyFont="1" applyBorder="1"/>
    <xf numFmtId="165" fontId="7" fillId="0" borderId="21" xfId="3" applyNumberFormat="1" applyFont="1" applyBorder="1"/>
    <xf numFmtId="0" fontId="7" fillId="0" borderId="21" xfId="0" applyFont="1" applyBorder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10">
    <cellStyle name="Comma" xfId="3" builtinId="3"/>
    <cellStyle name="Currency" xfId="4" builtinId="4"/>
    <cellStyle name="Normal" xfId="0" builtinId="0"/>
    <cellStyle name="Normal_Sheet1" xfId="5"/>
    <cellStyle name="Percent" xfId="6" builtinId="5"/>
    <cellStyle name="RowLevel_3" xfId="1" builtinId="1" iLevel="2"/>
    <cellStyle name="RowLevel_4" xfId="2" builtinId="1" iLevel="3"/>
    <cellStyle name="SAPLocked" xfId="7"/>
    <cellStyle name="SAPOutput" xfId="8"/>
    <cellStyle name="SAPUnLocked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76" Type="http://schemas.openxmlformats.org/officeDocument/2006/relationships/externalLink" Target="externalLinks/externalLink9.xml"/><Relationship Id="rId84" Type="http://schemas.openxmlformats.org/officeDocument/2006/relationships/externalLink" Target="externalLinks/externalLink17.xml"/><Relationship Id="rId89" Type="http://schemas.openxmlformats.org/officeDocument/2006/relationships/externalLink" Target="externalLinks/externalLink2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externalLink" Target="externalLinks/externalLink7.xml"/><Relationship Id="rId79" Type="http://schemas.openxmlformats.org/officeDocument/2006/relationships/externalLink" Target="externalLinks/externalLink12.xml"/><Relationship Id="rId87" Type="http://schemas.openxmlformats.org/officeDocument/2006/relationships/externalLink" Target="externalLinks/externalLink20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5.xml"/><Relationship Id="rId90" Type="http://schemas.openxmlformats.org/officeDocument/2006/relationships/externalLink" Target="externalLinks/externalLink2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2.xml"/><Relationship Id="rId77" Type="http://schemas.openxmlformats.org/officeDocument/2006/relationships/externalLink" Target="externalLinks/externalLink1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5.xml"/><Relationship Id="rId80" Type="http://schemas.openxmlformats.org/officeDocument/2006/relationships/externalLink" Target="externalLinks/externalLink13.xml"/><Relationship Id="rId85" Type="http://schemas.openxmlformats.org/officeDocument/2006/relationships/externalLink" Target="externalLinks/externalLink18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3.xml"/><Relationship Id="rId75" Type="http://schemas.openxmlformats.org/officeDocument/2006/relationships/externalLink" Target="externalLinks/externalLink8.xml"/><Relationship Id="rId83" Type="http://schemas.openxmlformats.org/officeDocument/2006/relationships/externalLink" Target="externalLinks/externalLink16.xml"/><Relationship Id="rId88" Type="http://schemas.openxmlformats.org/officeDocument/2006/relationships/externalLink" Target="externalLinks/externalLink21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6.xml"/><Relationship Id="rId78" Type="http://schemas.openxmlformats.org/officeDocument/2006/relationships/externalLink" Target="externalLinks/externalLink11.xml"/><Relationship Id="rId81" Type="http://schemas.openxmlformats.org/officeDocument/2006/relationships/externalLink" Target="externalLinks/externalLink14.xml"/><Relationship Id="rId86" Type="http://schemas.openxmlformats.org/officeDocument/2006/relationships/externalLink" Target="externalLinks/externalLink19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Consolidate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SA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Infr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Developmen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EO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Leg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ffice%20of%20the%20Chair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PR%20Trading%20Repor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%20Power%20Consolidati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atural%20Gas%20Consolidate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ower%20Consolid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%20Gas%20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WPR%20Trading%20Repor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Natural%20Gas%20Consolidated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vandor/Local%20Settings/Temporary%20Internet%20Files/OLK180/WPR%20Trading%20Repor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vandor/Local%20Settings/Temporary%20Internet%20Files/OLK180/We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a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usiness%20Analysis%20&amp;%20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gulatory%20Affair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mpetitive%20Analys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sear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Human%20Resourc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Sup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 refreshError="1"/>
      <sheetData sheetId="1" refreshError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24"/>
  <sheetViews>
    <sheetView tabSelected="1" zoomScaleNormal="100" workbookViewId="0"/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0" x14ac:dyDescent="0.25">
      <c r="A1" s="83" t="s">
        <v>144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5">
      <c r="A2" s="83" t="s">
        <v>210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5">
      <c r="A3" s="133" t="s">
        <v>285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20" ht="13.8" thickBot="1" x14ac:dyDescent="0.3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8" thickBot="1" x14ac:dyDescent="0.3">
      <c r="A5" s="60"/>
      <c r="H5" s="84" t="s">
        <v>199</v>
      </c>
      <c r="I5" s="111"/>
      <c r="J5" s="84">
        <v>2000</v>
      </c>
      <c r="L5" s="84" t="s">
        <v>200</v>
      </c>
      <c r="N5" s="84">
        <v>2001</v>
      </c>
      <c r="P5" s="84" t="s">
        <v>0</v>
      </c>
      <c r="T5" s="84" t="s">
        <v>0</v>
      </c>
    </row>
    <row r="6" spans="1:20" ht="13.8" thickBot="1" x14ac:dyDescent="0.3">
      <c r="E6" s="84" t="s">
        <v>145</v>
      </c>
      <c r="G6" s="121" t="s">
        <v>146</v>
      </c>
      <c r="H6" s="112" t="s">
        <v>147</v>
      </c>
      <c r="I6" s="111"/>
      <c r="J6" s="112" t="s">
        <v>50</v>
      </c>
      <c r="K6" s="111"/>
      <c r="L6" s="112" t="s">
        <v>147</v>
      </c>
      <c r="M6" s="2"/>
      <c r="N6" s="112" t="s">
        <v>50</v>
      </c>
      <c r="O6" s="2"/>
      <c r="P6" s="112" t="s">
        <v>147</v>
      </c>
      <c r="R6" s="84" t="s">
        <v>148</v>
      </c>
      <c r="T6" s="112" t="s">
        <v>50</v>
      </c>
    </row>
    <row r="7" spans="1:20" x14ac:dyDescent="0.25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5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5">
      <c r="B9" t="s">
        <v>240</v>
      </c>
      <c r="E9" s="87">
        <v>0</v>
      </c>
      <c r="F9" s="88"/>
      <c r="G9" s="87">
        <v>0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149</v>
      </c>
      <c r="N9" s="90">
        <f>164-37+16</f>
        <v>143</v>
      </c>
      <c r="O9" s="89"/>
      <c r="P9" s="87">
        <v>0.8</v>
      </c>
      <c r="Q9" s="88"/>
      <c r="R9" s="87">
        <f>G9-P9</f>
        <v>-0.8</v>
      </c>
      <c r="T9" s="90">
        <v>3</v>
      </c>
    </row>
    <row r="10" spans="1:20" ht="7.5" customHeight="1" x14ac:dyDescent="0.25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ht="12.75" customHeight="1" x14ac:dyDescent="0.25">
      <c r="B11" t="s">
        <v>241</v>
      </c>
      <c r="E11" s="87">
        <v>0</v>
      </c>
      <c r="F11" s="88"/>
      <c r="G11" s="87">
        <v>0</v>
      </c>
      <c r="H11" s="87"/>
      <c r="I11" s="104"/>
      <c r="J11" s="113"/>
      <c r="K11" s="104"/>
      <c r="L11" s="87"/>
      <c r="M11" s="89"/>
      <c r="N11" s="90"/>
      <c r="O11" s="89"/>
      <c r="P11" s="87">
        <v>5</v>
      </c>
      <c r="Q11" s="88"/>
      <c r="R11" s="87">
        <f>G11-P11</f>
        <v>-5</v>
      </c>
      <c r="T11" s="90">
        <v>7</v>
      </c>
    </row>
    <row r="12" spans="1:20" ht="7.5" customHeight="1" x14ac:dyDescent="0.25">
      <c r="E12" s="87"/>
      <c r="F12" s="88"/>
      <c r="G12" s="87"/>
      <c r="H12" s="87"/>
      <c r="I12" s="104"/>
      <c r="J12" s="113"/>
      <c r="K12" s="104"/>
      <c r="L12" s="87"/>
      <c r="M12" s="89"/>
      <c r="N12" s="90"/>
      <c r="O12" s="89"/>
      <c r="P12" s="87"/>
      <c r="Q12" s="88"/>
      <c r="R12" s="87"/>
      <c r="T12" s="90"/>
    </row>
    <row r="13" spans="1:20" ht="12.75" customHeight="1" x14ac:dyDescent="0.25">
      <c r="B13" t="s">
        <v>242</v>
      </c>
      <c r="E13" s="87">
        <v>0</v>
      </c>
      <c r="F13" s="88"/>
      <c r="G13" s="87">
        <v>0</v>
      </c>
      <c r="H13" s="87"/>
      <c r="I13" s="104"/>
      <c r="J13" s="113"/>
      <c r="K13" s="104"/>
      <c r="L13" s="87"/>
      <c r="M13" s="89"/>
      <c r="N13" s="90"/>
      <c r="O13" s="89"/>
      <c r="P13" s="87">
        <v>1.4</v>
      </c>
      <c r="Q13" s="88"/>
      <c r="R13" s="87">
        <f>G13-P13</f>
        <v>-1.4</v>
      </c>
      <c r="T13" s="90">
        <v>7</v>
      </c>
    </row>
    <row r="14" spans="1:20" ht="7.5" customHeight="1" x14ac:dyDescent="0.25">
      <c r="E14" s="87"/>
      <c r="F14" s="88"/>
      <c r="G14" s="87"/>
      <c r="H14" s="87"/>
      <c r="I14" s="104"/>
      <c r="J14" s="113"/>
      <c r="K14" s="104"/>
      <c r="L14" s="87"/>
      <c r="M14" s="89"/>
      <c r="N14" s="90"/>
      <c r="O14" s="89"/>
      <c r="P14" s="87"/>
      <c r="Q14" s="88"/>
      <c r="R14" s="87"/>
      <c r="T14" s="90"/>
    </row>
    <row r="15" spans="1:20" ht="12.75" customHeight="1" x14ac:dyDescent="0.25">
      <c r="B15" t="s">
        <v>243</v>
      </c>
      <c r="E15" s="87">
        <v>0</v>
      </c>
      <c r="F15" s="88"/>
      <c r="G15" s="87">
        <v>0</v>
      </c>
      <c r="H15" s="87"/>
      <c r="I15" s="104"/>
      <c r="J15" s="113"/>
      <c r="K15" s="104"/>
      <c r="L15" s="87"/>
      <c r="M15" s="89"/>
      <c r="N15" s="90"/>
      <c r="O15" s="89"/>
      <c r="P15" s="87">
        <v>1</v>
      </c>
      <c r="Q15" s="88"/>
      <c r="R15" s="87">
        <f>G15-P15</f>
        <v>-1</v>
      </c>
      <c r="T15" s="90">
        <v>4</v>
      </c>
    </row>
    <row r="16" spans="1:20" ht="7.5" customHeight="1" x14ac:dyDescent="0.25">
      <c r="E16" s="87"/>
      <c r="F16" s="88"/>
      <c r="G16" s="87"/>
      <c r="H16" s="87"/>
      <c r="I16" s="104"/>
      <c r="J16" s="113"/>
      <c r="K16" s="104"/>
      <c r="L16" s="87"/>
      <c r="M16" s="89"/>
      <c r="N16" s="90"/>
      <c r="O16" s="89"/>
      <c r="P16" s="87"/>
      <c r="Q16" s="88"/>
      <c r="R16" s="87"/>
      <c r="T16" s="90"/>
    </row>
    <row r="17" spans="2:20" ht="12.75" customHeight="1" x14ac:dyDescent="0.25">
      <c r="B17" t="s">
        <v>244</v>
      </c>
      <c r="E17" s="87">
        <v>0</v>
      </c>
      <c r="F17" s="88"/>
      <c r="G17" s="87">
        <v>0</v>
      </c>
      <c r="H17" s="87"/>
      <c r="I17" s="104"/>
      <c r="J17" s="113"/>
      <c r="K17" s="104"/>
      <c r="L17" s="87"/>
      <c r="M17" s="89"/>
      <c r="N17" s="90"/>
      <c r="O17" s="89"/>
      <c r="P17" s="87">
        <v>1.3</v>
      </c>
      <c r="Q17" s="88"/>
      <c r="R17" s="87">
        <f>G17-P17</f>
        <v>-1.3</v>
      </c>
      <c r="T17" s="90">
        <v>6</v>
      </c>
    </row>
    <row r="18" spans="2:20" ht="7.5" customHeight="1" x14ac:dyDescent="0.25">
      <c r="E18" s="87"/>
      <c r="F18" s="88"/>
      <c r="G18" s="87"/>
      <c r="H18" s="87"/>
      <c r="I18" s="104"/>
      <c r="J18" s="113"/>
      <c r="K18" s="104"/>
      <c r="L18" s="87"/>
      <c r="M18" s="89"/>
      <c r="N18" s="90"/>
      <c r="O18" s="89"/>
      <c r="P18" s="87"/>
      <c r="Q18" s="88"/>
      <c r="R18" s="87"/>
      <c r="T18" s="90"/>
    </row>
    <row r="19" spans="2:20" ht="12.75" customHeight="1" x14ac:dyDescent="0.25">
      <c r="B19" t="s">
        <v>246</v>
      </c>
      <c r="E19" s="87">
        <v>0</v>
      </c>
      <c r="F19" s="88"/>
      <c r="G19" s="87">
        <v>0</v>
      </c>
      <c r="H19" s="87"/>
      <c r="I19" s="104"/>
      <c r="J19" s="113"/>
      <c r="K19" s="104"/>
      <c r="L19" s="87"/>
      <c r="M19" s="89"/>
      <c r="N19" s="90"/>
      <c r="O19" s="89"/>
      <c r="P19" s="87">
        <v>1.3</v>
      </c>
      <c r="Q19" s="88"/>
      <c r="R19" s="87">
        <f>G19-P19</f>
        <v>-1.3</v>
      </c>
      <c r="T19" s="90">
        <v>4</v>
      </c>
    </row>
    <row r="20" spans="2:20" ht="7.5" customHeight="1" x14ac:dyDescent="0.25">
      <c r="E20" s="87"/>
      <c r="F20" s="88"/>
      <c r="G20" s="87"/>
      <c r="H20" s="87"/>
      <c r="I20" s="104"/>
      <c r="J20" s="113"/>
      <c r="K20" s="104"/>
      <c r="L20" s="87"/>
      <c r="M20" s="89"/>
      <c r="N20" s="90"/>
      <c r="O20" s="89"/>
      <c r="P20" s="87"/>
      <c r="Q20" s="88"/>
      <c r="R20" s="87"/>
      <c r="T20" s="90"/>
    </row>
    <row r="21" spans="2:20" x14ac:dyDescent="0.25">
      <c r="B21" t="s">
        <v>247</v>
      </c>
      <c r="E21" s="87">
        <v>0</v>
      </c>
      <c r="F21" s="88"/>
      <c r="G21" s="87">
        <v>0</v>
      </c>
      <c r="H21" s="87"/>
      <c r="I21" s="104"/>
      <c r="J21" s="113"/>
      <c r="K21" s="104"/>
      <c r="L21" s="87" t="s">
        <v>149</v>
      </c>
      <c r="M21" s="89"/>
      <c r="N21" s="90"/>
      <c r="O21" s="89"/>
      <c r="P21" s="87">
        <v>0.99</v>
      </c>
      <c r="Q21" s="88"/>
      <c r="R21" s="87">
        <f>G21-P21</f>
        <v>-0.99</v>
      </c>
      <c r="T21" s="90">
        <v>4</v>
      </c>
    </row>
    <row r="22" spans="2:20" ht="6.75" customHeight="1" x14ac:dyDescent="0.25">
      <c r="E22" s="87"/>
      <c r="F22" s="88"/>
      <c r="G22" s="87"/>
      <c r="H22" s="87"/>
      <c r="I22" s="104"/>
      <c r="J22" s="101"/>
      <c r="K22" s="104"/>
      <c r="L22" s="103"/>
      <c r="M22" s="88"/>
      <c r="N22" s="90"/>
      <c r="O22" s="88"/>
      <c r="P22" s="87"/>
      <c r="Q22" s="88"/>
      <c r="R22" s="87"/>
      <c r="T22" s="90"/>
    </row>
    <row r="23" spans="2:20" x14ac:dyDescent="0.25">
      <c r="B23" t="s">
        <v>248</v>
      </c>
      <c r="E23" s="87">
        <v>0</v>
      </c>
      <c r="F23" s="88"/>
      <c r="G23" s="87">
        <v>0</v>
      </c>
      <c r="H23" s="87"/>
      <c r="I23" s="104"/>
      <c r="J23" s="113"/>
      <c r="K23" s="104"/>
      <c r="L23" s="87"/>
      <c r="M23" s="89"/>
      <c r="N23" s="90"/>
      <c r="O23" s="89"/>
      <c r="P23" s="87">
        <v>1.7</v>
      </c>
      <c r="Q23" s="88"/>
      <c r="R23" s="87">
        <f>G23-P23</f>
        <v>-1.7</v>
      </c>
      <c r="T23" s="90">
        <v>7</v>
      </c>
    </row>
    <row r="24" spans="2:20" ht="6.75" customHeight="1" x14ac:dyDescent="0.25">
      <c r="E24" s="87"/>
      <c r="F24" s="88"/>
      <c r="G24" s="87"/>
      <c r="H24" s="87"/>
      <c r="I24" s="104"/>
      <c r="J24" s="101"/>
      <c r="K24" s="104"/>
      <c r="L24" s="103"/>
      <c r="M24" s="88"/>
      <c r="N24" s="90"/>
      <c r="O24" s="88"/>
      <c r="P24" s="87"/>
      <c r="Q24" s="88"/>
      <c r="R24" s="87"/>
      <c r="T24" s="90"/>
    </row>
    <row r="25" spans="2:20" x14ac:dyDescent="0.25">
      <c r="B25" t="s">
        <v>249</v>
      </c>
      <c r="E25" s="87">
        <v>0</v>
      </c>
      <c r="F25" s="88"/>
      <c r="G25" s="87">
        <v>0</v>
      </c>
      <c r="H25" s="87"/>
      <c r="I25" s="104"/>
      <c r="J25" s="113"/>
      <c r="K25" s="104"/>
      <c r="L25" s="87"/>
      <c r="M25" s="89"/>
      <c r="N25" s="90"/>
      <c r="O25" s="89"/>
      <c r="P25" s="87">
        <v>1.6</v>
      </c>
      <c r="Q25" s="88"/>
      <c r="R25" s="87">
        <f>G25-P25</f>
        <v>-1.6</v>
      </c>
      <c r="T25" s="90">
        <v>7</v>
      </c>
    </row>
    <row r="26" spans="2:20" ht="6.75" customHeight="1" x14ac:dyDescent="0.25">
      <c r="E26" s="87"/>
      <c r="F26" s="88"/>
      <c r="G26" s="87"/>
      <c r="H26" s="87"/>
      <c r="I26" s="104"/>
      <c r="J26" s="101"/>
      <c r="K26" s="104"/>
      <c r="L26" s="103"/>
      <c r="M26" s="88"/>
      <c r="N26" s="90"/>
      <c r="O26" s="88"/>
      <c r="P26" s="87"/>
      <c r="Q26" s="88"/>
      <c r="R26" s="87"/>
      <c r="T26" s="90"/>
    </row>
    <row r="27" spans="2:20" x14ac:dyDescent="0.25">
      <c r="B27" t="s">
        <v>245</v>
      </c>
      <c r="E27" s="87">
        <v>0</v>
      </c>
      <c r="F27" s="88"/>
      <c r="G27" s="87">
        <v>0</v>
      </c>
      <c r="H27" s="87"/>
      <c r="I27" s="104"/>
      <c r="J27" s="113"/>
      <c r="K27" s="104"/>
      <c r="L27" s="87"/>
      <c r="M27" s="89"/>
      <c r="N27" s="90"/>
      <c r="O27" s="89"/>
      <c r="P27" s="87">
        <v>2</v>
      </c>
      <c r="Q27" s="88"/>
      <c r="R27" s="87">
        <f>G27-P27</f>
        <v>-2</v>
      </c>
      <c r="T27" s="90">
        <v>9</v>
      </c>
    </row>
    <row r="28" spans="2:20" ht="6.75" customHeight="1" x14ac:dyDescent="0.25">
      <c r="E28" s="87"/>
      <c r="F28" s="88"/>
      <c r="G28" s="87"/>
      <c r="H28" s="87"/>
      <c r="I28" s="104"/>
      <c r="J28" s="101"/>
      <c r="K28" s="104"/>
      <c r="L28" s="103"/>
      <c r="M28" s="88"/>
      <c r="N28" s="90"/>
      <c r="O28" s="88"/>
      <c r="P28" s="87"/>
      <c r="Q28" s="88"/>
      <c r="R28" s="87"/>
      <c r="T28" s="90"/>
    </row>
    <row r="29" spans="2:20" x14ac:dyDescent="0.25">
      <c r="B29" t="s">
        <v>68</v>
      </c>
      <c r="E29" s="87">
        <v>0</v>
      </c>
      <c r="F29" s="88"/>
      <c r="G29" s="87">
        <v>0</v>
      </c>
      <c r="H29" s="87"/>
      <c r="I29" s="104"/>
      <c r="J29" s="113"/>
      <c r="K29" s="104"/>
      <c r="L29" s="87"/>
      <c r="M29" s="89"/>
      <c r="N29" s="90"/>
      <c r="O29" s="89"/>
      <c r="P29" s="87">
        <v>0.4</v>
      </c>
      <c r="Q29" s="88"/>
      <c r="R29" s="87">
        <f>G29-P29</f>
        <v>-0.4</v>
      </c>
      <c r="T29" s="90">
        <v>2</v>
      </c>
    </row>
    <row r="30" spans="2:20" ht="5.25" customHeight="1" x14ac:dyDescent="0.25">
      <c r="E30" s="87"/>
      <c r="F30" s="88"/>
      <c r="G30" s="87"/>
      <c r="H30" s="87"/>
      <c r="I30" s="104"/>
      <c r="J30" s="113"/>
      <c r="K30" s="104"/>
      <c r="L30" s="87"/>
      <c r="M30" s="89"/>
      <c r="N30" s="90"/>
      <c r="O30" s="89"/>
      <c r="P30" s="87"/>
      <c r="Q30" s="88"/>
      <c r="R30" s="87"/>
      <c r="T30" s="90"/>
    </row>
    <row r="31" spans="2:20" x14ac:dyDescent="0.25">
      <c r="B31" t="s">
        <v>253</v>
      </c>
      <c r="E31" s="87">
        <v>0</v>
      </c>
      <c r="F31" s="88"/>
      <c r="G31" s="87"/>
      <c r="H31" s="87"/>
      <c r="I31" s="104"/>
      <c r="J31" s="113"/>
      <c r="K31" s="104"/>
      <c r="L31" s="87"/>
      <c r="M31" s="89"/>
      <c r="N31" s="90"/>
      <c r="O31" s="89"/>
      <c r="P31" s="87">
        <v>0.5</v>
      </c>
      <c r="Q31" s="88"/>
      <c r="R31" s="87">
        <f>G31-P31</f>
        <v>-0.5</v>
      </c>
      <c r="T31" s="90">
        <v>3</v>
      </c>
    </row>
    <row r="32" spans="2:20" ht="6.75" customHeight="1" x14ac:dyDescent="0.25">
      <c r="E32" s="87"/>
      <c r="F32" s="88"/>
      <c r="G32" s="87"/>
      <c r="H32" s="87"/>
      <c r="I32" s="104"/>
      <c r="J32" s="113"/>
      <c r="K32" s="104"/>
      <c r="L32" s="87"/>
      <c r="M32" s="89"/>
      <c r="N32" s="90"/>
      <c r="O32" s="89"/>
      <c r="P32" s="87"/>
      <c r="Q32" s="88"/>
      <c r="R32" s="87"/>
      <c r="T32" s="90"/>
    </row>
    <row r="33" spans="2:22" x14ac:dyDescent="0.25">
      <c r="B33" s="33" t="s">
        <v>283</v>
      </c>
      <c r="C33" s="33"/>
      <c r="D33" s="33"/>
      <c r="E33" s="128">
        <v>0</v>
      </c>
      <c r="F33" s="129"/>
      <c r="G33" s="128">
        <v>425</v>
      </c>
      <c r="H33" s="128"/>
      <c r="I33" s="130"/>
      <c r="J33" s="131"/>
      <c r="K33" s="130"/>
      <c r="L33" s="128"/>
      <c r="M33" s="129"/>
      <c r="N33" s="132"/>
      <c r="O33" s="129"/>
      <c r="P33" s="128">
        <f>SUM(P9:P31)</f>
        <v>17.989999999999998</v>
      </c>
      <c r="Q33" s="129"/>
      <c r="R33" s="128">
        <f>SUM(R9:R31)</f>
        <v>-17.989999999999998</v>
      </c>
      <c r="S33" s="33"/>
      <c r="T33" s="132">
        <f>SUM(T9:T31)</f>
        <v>63</v>
      </c>
    </row>
    <row r="34" spans="2:22" ht="6.75" customHeight="1" x14ac:dyDescent="0.25">
      <c r="E34" s="87"/>
      <c r="F34" s="88"/>
      <c r="G34" s="87"/>
      <c r="H34" s="87"/>
      <c r="I34" s="104"/>
      <c r="J34" s="101"/>
      <c r="K34" s="104"/>
      <c r="L34" s="103"/>
      <c r="M34" s="88"/>
      <c r="N34" s="90"/>
      <c r="O34" s="88"/>
      <c r="P34" s="87"/>
      <c r="Q34" s="88"/>
      <c r="R34" s="87"/>
      <c r="T34" s="90"/>
    </row>
    <row r="35" spans="2:22" x14ac:dyDescent="0.25">
      <c r="B35" t="s">
        <v>220</v>
      </c>
      <c r="E35" s="87">
        <v>0</v>
      </c>
      <c r="F35" s="88"/>
      <c r="G35" s="87">
        <v>250</v>
      </c>
      <c r="H35" s="87">
        <v>29.9</v>
      </c>
      <c r="I35" s="104"/>
      <c r="J35" s="93">
        <v>147</v>
      </c>
      <c r="K35" s="104"/>
      <c r="L35" s="87">
        <f>32.8+6.4+0.5</f>
        <v>39.699999999999996</v>
      </c>
      <c r="M35" s="88"/>
      <c r="N35" s="90">
        <f>216-29</f>
        <v>187</v>
      </c>
      <c r="O35" s="88"/>
      <c r="P35" s="87">
        <v>6.2</v>
      </c>
      <c r="Q35" s="88"/>
      <c r="R35" s="87">
        <f>G35-P35</f>
        <v>243.8</v>
      </c>
      <c r="T35" s="90">
        <v>32</v>
      </c>
    </row>
    <row r="36" spans="2:22" ht="7.5" customHeight="1" x14ac:dyDescent="0.25">
      <c r="E36" s="87"/>
      <c r="F36" s="88"/>
      <c r="G36" s="87"/>
      <c r="H36" s="87"/>
      <c r="I36" s="104"/>
      <c r="J36" s="93"/>
      <c r="K36" s="104"/>
      <c r="L36" s="87"/>
      <c r="M36" s="88"/>
      <c r="N36" s="90"/>
      <c r="O36" s="88"/>
      <c r="P36" s="87"/>
      <c r="Q36" s="88"/>
      <c r="R36" s="87"/>
      <c r="T36" s="90"/>
    </row>
    <row r="37" spans="2:22" x14ac:dyDescent="0.25">
      <c r="B37" t="s">
        <v>221</v>
      </c>
      <c r="E37" s="87">
        <v>0</v>
      </c>
      <c r="F37" s="88"/>
      <c r="G37" s="87">
        <v>0</v>
      </c>
      <c r="H37" s="87"/>
      <c r="I37" s="104"/>
      <c r="J37" s="101"/>
      <c r="K37" s="104"/>
      <c r="L37" s="87"/>
      <c r="M37" s="88"/>
      <c r="N37" s="90"/>
      <c r="O37" s="88"/>
      <c r="P37" s="87">
        <v>3.4</v>
      </c>
      <c r="Q37" s="88"/>
      <c r="R37" s="87">
        <f>G37-P37</f>
        <v>-3.4</v>
      </c>
      <c r="T37" s="90">
        <v>14</v>
      </c>
    </row>
    <row r="38" spans="2:22" ht="7.5" customHeight="1" x14ac:dyDescent="0.25">
      <c r="E38" s="87"/>
      <c r="F38" s="88"/>
      <c r="G38" s="87"/>
      <c r="H38" s="87"/>
      <c r="I38" s="104"/>
      <c r="J38" s="101"/>
      <c r="K38" s="104"/>
      <c r="L38" s="87"/>
      <c r="M38" s="88"/>
      <c r="N38" s="90"/>
      <c r="O38" s="88"/>
      <c r="P38" s="87"/>
      <c r="Q38" s="88"/>
      <c r="R38" s="87"/>
      <c r="T38" s="90"/>
    </row>
    <row r="39" spans="2:22" x14ac:dyDescent="0.25">
      <c r="B39" t="s">
        <v>222</v>
      </c>
      <c r="E39" s="87">
        <v>0</v>
      </c>
      <c r="F39" s="88"/>
      <c r="G39" s="87">
        <v>150</v>
      </c>
      <c r="H39" s="87">
        <v>18.100000000000001</v>
      </c>
      <c r="I39" s="104"/>
      <c r="J39" s="93">
        <v>67</v>
      </c>
      <c r="K39" s="104"/>
      <c r="L39" s="87">
        <f>27.3+6.5</f>
        <v>33.799999999999997</v>
      </c>
      <c r="M39" s="88"/>
      <c r="N39" s="90">
        <f>106-10</f>
        <v>96</v>
      </c>
      <c r="O39" s="88"/>
      <c r="P39" s="87">
        <v>3.5</v>
      </c>
      <c r="Q39" s="88"/>
      <c r="R39" s="87">
        <f>G39-P39</f>
        <v>146.5</v>
      </c>
      <c r="T39" s="90">
        <v>16</v>
      </c>
    </row>
    <row r="40" spans="2:22" ht="7.5" customHeight="1" x14ac:dyDescent="0.25">
      <c r="E40" s="87"/>
      <c r="F40" s="88"/>
      <c r="G40" s="87"/>
      <c r="H40" s="87"/>
      <c r="I40" s="104"/>
      <c r="J40" s="93"/>
      <c r="K40" s="104"/>
      <c r="L40" s="87"/>
      <c r="M40" s="88"/>
      <c r="N40" s="90"/>
      <c r="O40" s="88"/>
      <c r="P40" s="87"/>
      <c r="Q40" s="88"/>
      <c r="R40" s="87"/>
      <c r="T40" s="90"/>
    </row>
    <row r="41" spans="2:22" x14ac:dyDescent="0.25">
      <c r="B41" t="s">
        <v>223</v>
      </c>
      <c r="E41" s="87">
        <v>0</v>
      </c>
      <c r="F41" s="88"/>
      <c r="G41" s="87">
        <v>0</v>
      </c>
      <c r="H41" s="87"/>
      <c r="I41" s="104"/>
      <c r="J41" s="101"/>
      <c r="K41" s="104"/>
      <c r="L41" s="87"/>
      <c r="M41" s="88"/>
      <c r="N41" s="90"/>
      <c r="O41" s="88"/>
      <c r="P41" s="87">
        <v>3.3</v>
      </c>
      <c r="Q41" s="88"/>
      <c r="R41" s="87">
        <f>G41-P41</f>
        <v>-3.3</v>
      </c>
      <c r="T41" s="90">
        <v>12</v>
      </c>
    </row>
    <row r="42" spans="2:22" ht="7.5" customHeight="1" x14ac:dyDescent="0.25">
      <c r="E42" s="87"/>
      <c r="F42" s="88"/>
      <c r="G42" s="87"/>
      <c r="H42" s="87"/>
      <c r="I42" s="104"/>
      <c r="J42" s="101"/>
      <c r="K42" s="104"/>
      <c r="L42" s="87"/>
      <c r="M42" s="88"/>
      <c r="N42" s="90"/>
      <c r="O42" s="88"/>
      <c r="P42" s="87"/>
      <c r="Q42" s="88"/>
      <c r="R42" s="87"/>
      <c r="T42" s="90"/>
    </row>
    <row r="43" spans="2:22" x14ac:dyDescent="0.25">
      <c r="B43" t="s">
        <v>224</v>
      </c>
      <c r="E43" s="87">
        <v>0</v>
      </c>
      <c r="F43" s="88"/>
      <c r="G43" s="87">
        <v>50</v>
      </c>
      <c r="H43" s="87">
        <v>8</v>
      </c>
      <c r="I43" s="104"/>
      <c r="J43" s="93">
        <v>47</v>
      </c>
      <c r="K43" s="104"/>
      <c r="L43" s="87">
        <v>9</v>
      </c>
      <c r="M43" s="88"/>
      <c r="N43" s="90">
        <v>49</v>
      </c>
      <c r="O43" s="88"/>
      <c r="P43" s="87">
        <v>1.5</v>
      </c>
      <c r="Q43" s="88"/>
      <c r="R43" s="87">
        <f>G43-P43</f>
        <v>48.5</v>
      </c>
      <c r="T43" s="90">
        <v>7</v>
      </c>
      <c r="V43" s="8"/>
    </row>
    <row r="44" spans="2:22" hidden="1" x14ac:dyDescent="0.25">
      <c r="B44" t="s">
        <v>179</v>
      </c>
      <c r="E44" s="87"/>
      <c r="F44" s="88"/>
      <c r="G44" s="87"/>
      <c r="H44" s="87"/>
      <c r="I44" s="104"/>
      <c r="J44" s="101"/>
      <c r="K44" s="104"/>
      <c r="L44" s="87"/>
      <c r="M44" s="88"/>
      <c r="N44" s="90"/>
      <c r="O44" s="88"/>
      <c r="P44" s="87"/>
      <c r="Q44" s="88"/>
      <c r="R44" s="87"/>
      <c r="T44" s="90"/>
      <c r="V44" s="8"/>
    </row>
    <row r="45" spans="2:22" hidden="1" x14ac:dyDescent="0.25">
      <c r="B45" t="s">
        <v>179</v>
      </c>
      <c r="E45" s="87"/>
      <c r="F45" s="88"/>
      <c r="G45" s="87">
        <v>0</v>
      </c>
      <c r="H45" s="87">
        <v>0</v>
      </c>
      <c r="I45" s="104"/>
      <c r="J45" s="93">
        <v>0</v>
      </c>
      <c r="K45" s="104"/>
      <c r="L45" s="87">
        <v>0</v>
      </c>
      <c r="M45" s="88"/>
      <c r="N45" s="90">
        <v>0</v>
      </c>
      <c r="O45" s="88"/>
      <c r="P45" s="87">
        <v>0</v>
      </c>
      <c r="Q45" s="88"/>
      <c r="R45" s="87">
        <f>G45-P45</f>
        <v>0</v>
      </c>
      <c r="T45" s="90">
        <v>0</v>
      </c>
      <c r="V45" s="8"/>
    </row>
    <row r="46" spans="2:22" ht="7.5" customHeight="1" x14ac:dyDescent="0.25">
      <c r="E46" s="87"/>
      <c r="F46" s="88"/>
      <c r="G46" s="87"/>
      <c r="H46" s="87"/>
      <c r="I46" s="104"/>
      <c r="J46" s="93"/>
      <c r="K46" s="104"/>
      <c r="L46" s="87"/>
      <c r="M46" s="88"/>
      <c r="N46" s="90"/>
      <c r="O46" s="88"/>
      <c r="P46" s="87"/>
      <c r="Q46" s="88"/>
      <c r="R46" s="87"/>
      <c r="T46" s="90"/>
      <c r="V46" s="8"/>
    </row>
    <row r="47" spans="2:22" x14ac:dyDescent="0.25">
      <c r="B47" t="s">
        <v>225</v>
      </c>
      <c r="E47" s="87">
        <v>0</v>
      </c>
      <c r="F47" s="88"/>
      <c r="G47" s="87">
        <v>0</v>
      </c>
      <c r="H47" s="87"/>
      <c r="I47" s="104"/>
      <c r="J47" s="101"/>
      <c r="K47" s="104"/>
      <c r="L47" s="87"/>
      <c r="M47" s="88"/>
      <c r="N47" s="90"/>
      <c r="O47" s="88"/>
      <c r="P47" s="87">
        <v>1.9</v>
      </c>
      <c r="Q47" s="88"/>
      <c r="R47" s="87">
        <f>G47-P47</f>
        <v>-1.9</v>
      </c>
      <c r="T47" s="90">
        <v>9</v>
      </c>
      <c r="V47" s="8"/>
    </row>
    <row r="48" spans="2:22" hidden="1" x14ac:dyDescent="0.25">
      <c r="B48" t="s">
        <v>201</v>
      </c>
      <c r="E48" s="87"/>
      <c r="F48" s="88"/>
      <c r="G48" s="87"/>
      <c r="H48" s="87">
        <v>162</v>
      </c>
      <c r="I48" s="104"/>
      <c r="J48" s="93">
        <v>151</v>
      </c>
      <c r="K48" s="104"/>
      <c r="L48" s="87">
        <v>140</v>
      </c>
      <c r="M48" s="88"/>
      <c r="N48" s="113">
        <f>25+17</f>
        <v>42</v>
      </c>
      <c r="O48" s="88"/>
      <c r="P48" s="87">
        <v>0</v>
      </c>
      <c r="Q48" s="88"/>
      <c r="R48" s="87"/>
      <c r="T48" s="101">
        <v>0</v>
      </c>
      <c r="V48" s="8"/>
    </row>
    <row r="49" spans="2:24" hidden="1" x14ac:dyDescent="0.25">
      <c r="E49" s="87"/>
      <c r="F49" s="88"/>
      <c r="G49" s="87"/>
      <c r="H49" s="87"/>
      <c r="I49" s="104"/>
      <c r="J49" s="101" t="s">
        <v>149</v>
      </c>
      <c r="K49" s="104"/>
      <c r="L49" s="87"/>
      <c r="M49" s="88"/>
      <c r="N49" s="90" t="s">
        <v>149</v>
      </c>
      <c r="O49" s="88"/>
      <c r="P49" s="87"/>
      <c r="Q49" s="88"/>
      <c r="R49" s="87"/>
      <c r="T49" s="90" t="s">
        <v>149</v>
      </c>
      <c r="V49" s="8"/>
    </row>
    <row r="50" spans="2:24" hidden="1" x14ac:dyDescent="0.25">
      <c r="B50" t="s">
        <v>202</v>
      </c>
      <c r="E50" s="87"/>
      <c r="F50" s="88"/>
      <c r="G50" s="87"/>
      <c r="H50" s="87">
        <v>31</v>
      </c>
      <c r="I50" s="104"/>
      <c r="J50" s="93">
        <v>107</v>
      </c>
      <c r="K50" s="104"/>
      <c r="L50" s="87">
        <v>7</v>
      </c>
      <c r="M50" s="88"/>
      <c r="N50" s="93">
        <v>36</v>
      </c>
      <c r="O50" s="88"/>
      <c r="P50" s="87">
        <v>0</v>
      </c>
      <c r="Q50" s="88"/>
      <c r="R50" s="87"/>
      <c r="T50" s="101">
        <v>0</v>
      </c>
      <c r="V50" s="8"/>
    </row>
    <row r="51" spans="2:24" hidden="1" x14ac:dyDescent="0.25">
      <c r="E51" s="87"/>
      <c r="F51" s="88"/>
      <c r="G51" s="87"/>
      <c r="H51" s="87"/>
      <c r="I51" s="104"/>
      <c r="J51" s="101"/>
      <c r="K51" s="104"/>
      <c r="L51" s="87"/>
      <c r="M51" s="88"/>
      <c r="N51" s="90"/>
      <c r="O51" s="88"/>
      <c r="P51" s="87"/>
      <c r="Q51" s="88"/>
      <c r="R51" s="87"/>
      <c r="T51" s="90"/>
      <c r="V51" s="8"/>
    </row>
    <row r="52" spans="2:24" ht="7.5" customHeight="1" x14ac:dyDescent="0.25">
      <c r="E52" s="87"/>
      <c r="F52" s="88"/>
      <c r="G52" s="87"/>
      <c r="H52" s="87"/>
      <c r="I52" s="104"/>
      <c r="J52" s="101"/>
      <c r="K52" s="104"/>
      <c r="L52" s="87"/>
      <c r="M52" s="88"/>
      <c r="N52" s="90"/>
      <c r="O52" s="88"/>
      <c r="P52" s="87"/>
      <c r="Q52" s="88"/>
      <c r="R52" s="87"/>
      <c r="T52" s="90"/>
      <c r="V52" s="8"/>
    </row>
    <row r="53" spans="2:24" x14ac:dyDescent="0.25">
      <c r="B53" t="s">
        <v>226</v>
      </c>
      <c r="E53" s="87">
        <v>0</v>
      </c>
      <c r="G53" s="87">
        <v>0</v>
      </c>
      <c r="H53" s="90">
        <v>34.299999999999997</v>
      </c>
      <c r="I53" s="8"/>
      <c r="J53" s="93">
        <v>65</v>
      </c>
      <c r="K53" s="8"/>
      <c r="L53" s="90">
        <v>257.10000000000002</v>
      </c>
      <c r="N53" s="90">
        <v>5</v>
      </c>
      <c r="P53" s="87">
        <v>2.1</v>
      </c>
      <c r="R53" s="87">
        <f>G53-P53</f>
        <v>-2.1</v>
      </c>
      <c r="T53" s="90">
        <v>6</v>
      </c>
    </row>
    <row r="54" spans="2:24" x14ac:dyDescent="0.25">
      <c r="E54" s="92"/>
      <c r="G54" s="92"/>
      <c r="H54" s="90"/>
      <c r="I54" s="8"/>
      <c r="J54" s="92"/>
      <c r="K54" s="8"/>
      <c r="L54" s="90"/>
      <c r="N54" s="92"/>
      <c r="P54" s="91"/>
      <c r="R54" s="92"/>
      <c r="T54" s="92"/>
    </row>
    <row r="55" spans="2:24" x14ac:dyDescent="0.25">
      <c r="D55" s="33" t="s">
        <v>151</v>
      </c>
      <c r="E55" s="94">
        <v>60</v>
      </c>
      <c r="G55" s="95">
        <f>SUM(G9:G53)</f>
        <v>875</v>
      </c>
      <c r="H55" s="95">
        <f>+H9+H35+H39+H43+H45+H53+H48+H50</f>
        <v>354.9</v>
      </c>
      <c r="I55" s="105"/>
      <c r="J55" s="96">
        <f>+J9+J35+J39+J43+J45+J48+J50+J53</f>
        <v>747</v>
      </c>
      <c r="K55" s="105"/>
      <c r="L55" s="95">
        <f>+L9+L35+L39+L43+L45+L53+L48+L50</f>
        <v>524.79999999999995</v>
      </c>
      <c r="N55" s="96">
        <f>+N9+N35+N39+N43+N45+N53+N48+N50</f>
        <v>558</v>
      </c>
      <c r="P55" s="95">
        <f>SUM(P9:P53)-P33</f>
        <v>39.89</v>
      </c>
      <c r="R55" s="87">
        <f>SUM(R9:R53)-R33</f>
        <v>410.11</v>
      </c>
      <c r="T55" s="96">
        <f>SUM(T9:T53)-T33</f>
        <v>159</v>
      </c>
    </row>
    <row r="56" spans="2:24" x14ac:dyDescent="0.25">
      <c r="H56" s="90"/>
      <c r="I56" s="8"/>
      <c r="J56" s="97"/>
      <c r="L56" s="90"/>
      <c r="N56" s="97"/>
      <c r="P56" s="87"/>
      <c r="R56" s="97"/>
      <c r="T56" s="97"/>
    </row>
    <row r="57" spans="2:24" x14ac:dyDescent="0.25">
      <c r="B57" t="s">
        <v>227</v>
      </c>
      <c r="H57" s="90"/>
      <c r="I57" s="8"/>
      <c r="J57" s="90"/>
      <c r="L57" s="90"/>
      <c r="N57" s="90"/>
      <c r="P57" s="87">
        <f>1.5+2.3+0.9+1.4-0.1</f>
        <v>6</v>
      </c>
      <c r="R57" s="98">
        <f>G57-P57</f>
        <v>-6</v>
      </c>
      <c r="T57" s="90">
        <f>12+17+8+11</f>
        <v>48</v>
      </c>
    </row>
    <row r="58" spans="2:24" x14ac:dyDescent="0.25">
      <c r="H58" s="90"/>
      <c r="I58" s="8"/>
      <c r="J58" s="90"/>
      <c r="L58" s="90"/>
      <c r="N58" s="90"/>
      <c r="P58" s="87"/>
      <c r="R58" s="90"/>
      <c r="T58" s="90"/>
    </row>
    <row r="59" spans="2:24" x14ac:dyDescent="0.25">
      <c r="B59" t="s">
        <v>228</v>
      </c>
      <c r="H59" s="90"/>
      <c r="I59" s="8"/>
      <c r="J59" s="90"/>
      <c r="L59" s="90"/>
      <c r="N59" s="90"/>
      <c r="P59" s="87">
        <f>0.9+0.2+0.5</f>
        <v>1.6</v>
      </c>
      <c r="R59" s="98">
        <f>G59-P59</f>
        <v>-1.6</v>
      </c>
      <c r="T59" s="90">
        <f>12+2+6</f>
        <v>20</v>
      </c>
    </row>
    <row r="60" spans="2:24" x14ac:dyDescent="0.25">
      <c r="H60" s="90"/>
      <c r="I60" s="8"/>
      <c r="J60" s="90"/>
      <c r="L60" s="90"/>
      <c r="N60" s="90"/>
      <c r="P60" s="87"/>
      <c r="R60" s="90"/>
      <c r="T60" s="90"/>
    </row>
    <row r="61" spans="2:24" x14ac:dyDescent="0.25">
      <c r="B61" t="s">
        <v>152</v>
      </c>
      <c r="H61" s="114">
        <v>14</v>
      </c>
      <c r="I61" s="115"/>
      <c r="J61" s="93">
        <v>128</v>
      </c>
      <c r="L61" s="90">
        <v>7.9</v>
      </c>
      <c r="M61" t="s">
        <v>149</v>
      </c>
      <c r="N61" s="90">
        <v>122</v>
      </c>
      <c r="P61" s="87">
        <v>7.1</v>
      </c>
      <c r="R61" s="98">
        <f>G61-P61</f>
        <v>-7.1</v>
      </c>
      <c r="T61" s="90">
        <v>45</v>
      </c>
      <c r="U61" t="s">
        <v>149</v>
      </c>
      <c r="V61" t="s">
        <v>149</v>
      </c>
      <c r="W61" t="s">
        <v>149</v>
      </c>
      <c r="X61" t="s">
        <v>149</v>
      </c>
    </row>
    <row r="62" spans="2:24" x14ac:dyDescent="0.25">
      <c r="H62" s="90"/>
      <c r="I62" s="8"/>
      <c r="J62" s="90"/>
      <c r="L62" s="90"/>
      <c r="N62" s="90"/>
      <c r="P62" s="87"/>
      <c r="R62" s="98"/>
      <c r="T62" s="90"/>
    </row>
    <row r="63" spans="2:24" x14ac:dyDescent="0.25">
      <c r="B63" t="s">
        <v>204</v>
      </c>
      <c r="E63" t="s">
        <v>149</v>
      </c>
      <c r="H63" s="90">
        <v>5.7</v>
      </c>
      <c r="I63" s="8"/>
      <c r="J63" s="93">
        <v>30</v>
      </c>
      <c r="L63" s="90">
        <v>2.5</v>
      </c>
      <c r="M63" t="s">
        <v>149</v>
      </c>
      <c r="N63" s="90">
        <f>28+7</f>
        <v>35</v>
      </c>
      <c r="P63" s="87">
        <f>1.3+1</f>
        <v>2.2999999999999998</v>
      </c>
      <c r="R63" s="98">
        <f>G63-P63</f>
        <v>-2.2999999999999998</v>
      </c>
      <c r="T63" s="90">
        <f>6+5</f>
        <v>11</v>
      </c>
    </row>
    <row r="64" spans="2:24" x14ac:dyDescent="0.25">
      <c r="H64" s="90"/>
      <c r="I64" s="8"/>
      <c r="J64" s="90"/>
      <c r="L64" s="90" t="s">
        <v>149</v>
      </c>
      <c r="N64" s="90"/>
      <c r="P64" s="87"/>
      <c r="R64" s="98"/>
      <c r="T64" s="90"/>
    </row>
    <row r="65" spans="2:22" x14ac:dyDescent="0.25">
      <c r="B65" t="s">
        <v>116</v>
      </c>
      <c r="H65" s="90">
        <v>11.4</v>
      </c>
      <c r="I65" s="8"/>
      <c r="J65" s="116" t="s">
        <v>149</v>
      </c>
      <c r="L65" s="90">
        <v>9.5</v>
      </c>
      <c r="M65" t="s">
        <v>149</v>
      </c>
      <c r="N65" s="93"/>
      <c r="P65" s="87">
        <v>6.4</v>
      </c>
      <c r="R65" s="98">
        <f>G65-P65</f>
        <v>-6.4</v>
      </c>
      <c r="T65" s="90">
        <v>10</v>
      </c>
    </row>
    <row r="66" spans="2:22" x14ac:dyDescent="0.25">
      <c r="H66" s="90"/>
      <c r="I66" s="8"/>
      <c r="J66" s="90"/>
      <c r="L66" s="90"/>
      <c r="M66" t="s">
        <v>149</v>
      </c>
      <c r="N66" s="90"/>
      <c r="P66" s="87"/>
      <c r="R66" s="90"/>
      <c r="T66" s="90"/>
    </row>
    <row r="67" spans="2:22" x14ac:dyDescent="0.25">
      <c r="B67" t="s">
        <v>121</v>
      </c>
      <c r="H67" s="90">
        <v>11.4</v>
      </c>
      <c r="I67" s="8"/>
      <c r="J67" s="116" t="s">
        <v>149</v>
      </c>
      <c r="L67" s="114">
        <v>7.3</v>
      </c>
      <c r="N67" s="101"/>
      <c r="P67" s="87">
        <v>2.6</v>
      </c>
      <c r="R67" s="98">
        <f>G67-P67</f>
        <v>-2.6</v>
      </c>
      <c r="T67" s="90">
        <v>15</v>
      </c>
    </row>
    <row r="68" spans="2:22" x14ac:dyDescent="0.25">
      <c r="H68" s="90"/>
      <c r="I68" s="8"/>
      <c r="J68" s="90"/>
      <c r="L68" s="90"/>
      <c r="N68" s="90"/>
      <c r="P68" s="87"/>
      <c r="R68" s="90"/>
      <c r="T68" s="90"/>
    </row>
    <row r="69" spans="2:22" x14ac:dyDescent="0.25">
      <c r="B69" t="s">
        <v>217</v>
      </c>
      <c r="H69" s="90">
        <v>1.2</v>
      </c>
      <c r="I69" s="8"/>
      <c r="J69" s="116">
        <v>0</v>
      </c>
      <c r="L69" s="90">
        <v>0.7</v>
      </c>
      <c r="M69" t="s">
        <v>149</v>
      </c>
      <c r="N69" s="90">
        <v>26</v>
      </c>
      <c r="P69" s="87">
        <v>2.8</v>
      </c>
      <c r="R69" s="98">
        <f>G69-P69</f>
        <v>-2.8</v>
      </c>
      <c r="T69" s="90">
        <v>11</v>
      </c>
    </row>
    <row r="70" spans="2:22" x14ac:dyDescent="0.25">
      <c r="H70" s="90"/>
      <c r="I70" s="8"/>
      <c r="J70" s="90"/>
      <c r="L70" s="90"/>
      <c r="N70" s="90"/>
      <c r="P70" s="87"/>
      <c r="R70" s="98"/>
      <c r="T70" s="90"/>
    </row>
    <row r="71" spans="2:22" hidden="1" x14ac:dyDescent="0.25">
      <c r="B71" t="s">
        <v>177</v>
      </c>
      <c r="H71" s="90">
        <v>1.1000000000000001</v>
      </c>
      <c r="I71" s="8"/>
      <c r="J71" s="116">
        <v>0</v>
      </c>
      <c r="L71" s="90">
        <v>0.7</v>
      </c>
      <c r="N71" s="90">
        <v>27</v>
      </c>
      <c r="P71" s="87">
        <v>0</v>
      </c>
      <c r="R71" s="98">
        <f>G71-P71</f>
        <v>0</v>
      </c>
      <c r="T71" s="90">
        <v>0</v>
      </c>
    </row>
    <row r="72" spans="2:22" hidden="1" x14ac:dyDescent="0.25">
      <c r="H72" s="90"/>
      <c r="I72" s="8"/>
      <c r="J72" s="90" t="s">
        <v>149</v>
      </c>
      <c r="L72" s="90"/>
      <c r="N72" s="90" t="s">
        <v>149</v>
      </c>
      <c r="P72" s="87"/>
      <c r="R72" s="90"/>
      <c r="T72" s="90" t="s">
        <v>149</v>
      </c>
    </row>
    <row r="73" spans="2:22" x14ac:dyDescent="0.25">
      <c r="B73" t="s">
        <v>153</v>
      </c>
      <c r="H73" s="90"/>
      <c r="I73" s="8"/>
      <c r="J73" s="116" t="s">
        <v>149</v>
      </c>
      <c r="L73" s="90"/>
      <c r="M73" t="s">
        <v>149</v>
      </c>
      <c r="N73" s="90"/>
      <c r="P73" s="87"/>
      <c r="R73" s="98"/>
      <c r="T73" s="90"/>
    </row>
    <row r="74" spans="2:22" x14ac:dyDescent="0.25">
      <c r="C74" t="s">
        <v>154</v>
      </c>
      <c r="H74" s="90">
        <v>10.199999999999999</v>
      </c>
      <c r="I74" s="8"/>
      <c r="J74" s="113" t="s">
        <v>149</v>
      </c>
      <c r="L74" s="114">
        <v>7.6</v>
      </c>
      <c r="N74" s="87"/>
      <c r="P74" s="87">
        <f t="shared" ref="P74:P82" si="0">(T74/$T$84)*$P$84</f>
        <v>5.3565217391304349</v>
      </c>
      <c r="R74" s="98">
        <f t="shared" ref="R74:R82" si="1">G74-P74</f>
        <v>-5.3565217391304349</v>
      </c>
      <c r="T74" s="90">
        <v>32</v>
      </c>
      <c r="U74">
        <v>5</v>
      </c>
      <c r="V74">
        <v>0.5</v>
      </c>
    </row>
    <row r="75" spans="2:22" x14ac:dyDescent="0.25">
      <c r="C75" t="s">
        <v>155</v>
      </c>
      <c r="H75" s="90">
        <v>8.6</v>
      </c>
      <c r="I75" s="8"/>
      <c r="J75" s="113" t="s">
        <v>149</v>
      </c>
      <c r="L75" s="114">
        <v>6</v>
      </c>
      <c r="N75" s="87"/>
      <c r="P75" s="87">
        <f t="shared" si="0"/>
        <v>6.5282608695652176</v>
      </c>
      <c r="R75" s="98">
        <f t="shared" si="1"/>
        <v>-6.5282608695652176</v>
      </c>
      <c r="T75" s="90">
        <v>39</v>
      </c>
      <c r="U75">
        <v>4</v>
      </c>
      <c r="V75">
        <v>0.5</v>
      </c>
    </row>
    <row r="76" spans="2:22" x14ac:dyDescent="0.25">
      <c r="C76" t="s">
        <v>156</v>
      </c>
      <c r="H76" s="90">
        <v>5.9</v>
      </c>
      <c r="I76" s="8"/>
      <c r="J76" s="113" t="s">
        <v>149</v>
      </c>
      <c r="L76" s="114">
        <v>4</v>
      </c>
      <c r="N76" s="87"/>
      <c r="P76" s="87">
        <f t="shared" si="0"/>
        <v>4.8543478260869568</v>
      </c>
      <c r="R76" s="98">
        <f t="shared" si="1"/>
        <v>-4.8543478260869568</v>
      </c>
      <c r="T76" s="90">
        <f>21+8</f>
        <v>29</v>
      </c>
      <c r="U76">
        <v>4</v>
      </c>
      <c r="V76">
        <v>0.5</v>
      </c>
    </row>
    <row r="77" spans="2:22" x14ac:dyDescent="0.25">
      <c r="C77" t="s">
        <v>157</v>
      </c>
      <c r="H77" s="90">
        <v>3.1</v>
      </c>
      <c r="I77" s="8"/>
      <c r="J77" s="116" t="s">
        <v>149</v>
      </c>
      <c r="L77" s="90">
        <v>2.7</v>
      </c>
      <c r="N77" s="87"/>
      <c r="P77" s="87">
        <f t="shared" si="0"/>
        <v>1.0043478260869565</v>
      </c>
      <c r="R77" s="98">
        <f t="shared" si="1"/>
        <v>-1.0043478260869565</v>
      </c>
      <c r="T77" s="90">
        <v>6</v>
      </c>
      <c r="U77">
        <v>4</v>
      </c>
      <c r="V77">
        <v>0.5</v>
      </c>
    </row>
    <row r="78" spans="2:22" x14ac:dyDescent="0.25">
      <c r="C78" t="s">
        <v>158</v>
      </c>
      <c r="H78" s="90">
        <v>2.7</v>
      </c>
      <c r="I78" s="8"/>
      <c r="J78" s="116" t="s">
        <v>149</v>
      </c>
      <c r="L78" s="90">
        <v>2.1</v>
      </c>
      <c r="M78" s="67"/>
      <c r="N78" s="87"/>
      <c r="O78" s="67"/>
      <c r="P78" s="87">
        <f t="shared" si="0"/>
        <v>2.3434782608695652</v>
      </c>
      <c r="R78" s="98">
        <f t="shared" si="1"/>
        <v>-2.3434782608695652</v>
      </c>
      <c r="T78" s="90">
        <v>14</v>
      </c>
      <c r="U78">
        <v>4</v>
      </c>
      <c r="V78">
        <v>0.5</v>
      </c>
    </row>
    <row r="79" spans="2:22" x14ac:dyDescent="0.25">
      <c r="C79" t="s">
        <v>159</v>
      </c>
      <c r="H79" s="90">
        <v>2.7</v>
      </c>
      <c r="I79" s="8"/>
      <c r="J79" s="116" t="s">
        <v>149</v>
      </c>
      <c r="L79" s="90">
        <v>2.1</v>
      </c>
      <c r="N79" s="87"/>
      <c r="P79" s="87">
        <f t="shared" si="0"/>
        <v>1.8413043478260871</v>
      </c>
      <c r="R79" s="98">
        <f t="shared" si="1"/>
        <v>-1.8413043478260871</v>
      </c>
      <c r="T79" s="90">
        <v>11</v>
      </c>
      <c r="U79">
        <v>4</v>
      </c>
      <c r="V79">
        <v>0.5</v>
      </c>
    </row>
    <row r="80" spans="2:22" x14ac:dyDescent="0.25">
      <c r="C80" t="s">
        <v>160</v>
      </c>
      <c r="H80" s="90">
        <v>2.7</v>
      </c>
      <c r="I80" s="8"/>
      <c r="J80" s="116" t="s">
        <v>149</v>
      </c>
      <c r="L80" s="90">
        <v>2.5</v>
      </c>
      <c r="N80" s="87"/>
      <c r="P80" s="87">
        <f t="shared" si="0"/>
        <v>1.3391304347826087</v>
      </c>
      <c r="R80" s="98">
        <f t="shared" si="1"/>
        <v>-1.3391304347826087</v>
      </c>
      <c r="T80" s="90">
        <v>8</v>
      </c>
      <c r="U80">
        <v>5</v>
      </c>
      <c r="V80">
        <v>0.5</v>
      </c>
    </row>
    <row r="81" spans="2:23" x14ac:dyDescent="0.25">
      <c r="C81" t="s">
        <v>161</v>
      </c>
      <c r="H81" s="92">
        <v>3.3</v>
      </c>
      <c r="I81" s="8"/>
      <c r="J81" s="117" t="s">
        <v>149</v>
      </c>
      <c r="L81" s="92">
        <v>2.9</v>
      </c>
      <c r="N81" s="91"/>
      <c r="P81" s="87">
        <f t="shared" si="0"/>
        <v>2.3434782608695652</v>
      </c>
      <c r="R81" s="98">
        <f t="shared" si="1"/>
        <v>-2.3434782608695652</v>
      </c>
      <c r="T81" s="90">
        <v>14</v>
      </c>
      <c r="U81" s="122">
        <v>6</v>
      </c>
      <c r="V81">
        <v>0.05</v>
      </c>
    </row>
    <row r="82" spans="2:23" x14ac:dyDescent="0.25">
      <c r="C82" t="s">
        <v>218</v>
      </c>
      <c r="H82" s="90"/>
      <c r="I82" s="8"/>
      <c r="J82" s="116"/>
      <c r="L82" s="90"/>
      <c r="N82" s="87"/>
      <c r="P82" s="87">
        <f t="shared" si="0"/>
        <v>4.8543478260869568</v>
      </c>
      <c r="R82" s="98">
        <f t="shared" si="1"/>
        <v>-4.8543478260869568</v>
      </c>
      <c r="T82" s="90">
        <v>29</v>
      </c>
      <c r="U82" s="8"/>
    </row>
    <row r="83" spans="2:23" x14ac:dyDescent="0.25">
      <c r="C83" t="s">
        <v>219</v>
      </c>
      <c r="H83" s="90"/>
      <c r="I83" s="8"/>
      <c r="J83" s="116"/>
      <c r="L83" s="90"/>
      <c r="N83" s="87"/>
      <c r="P83" s="91">
        <f>(T83/$T$84)*$P$84+0.1</f>
        <v>0.43478260869565222</v>
      </c>
      <c r="R83" s="94">
        <f>G83-P83+0.06</f>
        <v>-0.37478260869565222</v>
      </c>
      <c r="T83" s="92">
        <v>2</v>
      </c>
      <c r="U83" s="8"/>
    </row>
    <row r="84" spans="2:23" x14ac:dyDescent="0.25">
      <c r="H84" s="100">
        <f>SUM(H74:H81)</f>
        <v>39.199999999999996</v>
      </c>
      <c r="I84" s="118"/>
      <c r="J84" s="99">
        <v>452</v>
      </c>
      <c r="L84" s="100">
        <f>SUM(L74:L81)</f>
        <v>29.900000000000002</v>
      </c>
      <c r="N84" s="99"/>
      <c r="P84" s="100">
        <v>30.8</v>
      </c>
      <c r="R84" s="98">
        <f>SUM(R74:R83)</f>
        <v>-30.840000000000003</v>
      </c>
      <c r="T84" s="99">
        <f>SUM(T74:T83)</f>
        <v>184</v>
      </c>
      <c r="U84">
        <v>178</v>
      </c>
      <c r="V84">
        <f>SUM(V74:V81)</f>
        <v>3.55</v>
      </c>
      <c r="W84" t="s">
        <v>162</v>
      </c>
    </row>
    <row r="85" spans="2:23" x14ac:dyDescent="0.25">
      <c r="H85" s="90"/>
      <c r="I85" s="8"/>
      <c r="J85" s="90"/>
      <c r="L85" s="90"/>
      <c r="N85" s="90"/>
      <c r="P85" s="90"/>
      <c r="R85" s="90"/>
      <c r="T85" s="90"/>
    </row>
    <row r="86" spans="2:23" x14ac:dyDescent="0.25">
      <c r="B86" t="s">
        <v>163</v>
      </c>
      <c r="H86" s="90">
        <v>10.7</v>
      </c>
      <c r="I86" s="8"/>
      <c r="J86" s="93">
        <v>39</v>
      </c>
      <c r="L86" s="90">
        <v>4.0999999999999996</v>
      </c>
      <c r="M86" t="s">
        <v>149</v>
      </c>
      <c r="N86" s="99">
        <v>105</v>
      </c>
      <c r="P86" s="87">
        <v>2.1</v>
      </c>
      <c r="R86" s="98">
        <f>G86-P86</f>
        <v>-2.1</v>
      </c>
      <c r="T86" s="99">
        <v>14</v>
      </c>
    </row>
    <row r="87" spans="2:23" x14ac:dyDescent="0.25">
      <c r="H87" s="90"/>
      <c r="I87" s="8"/>
      <c r="J87" s="90"/>
      <c r="L87" s="90"/>
      <c r="N87" s="90"/>
      <c r="P87" s="90"/>
      <c r="R87" s="90"/>
      <c r="T87" s="90"/>
    </row>
    <row r="88" spans="2:23" x14ac:dyDescent="0.25">
      <c r="B88" t="s">
        <v>180</v>
      </c>
      <c r="H88" s="90">
        <v>27.5</v>
      </c>
      <c r="I88" s="8"/>
      <c r="J88" s="93">
        <v>175</v>
      </c>
      <c r="L88" s="114">
        <v>29</v>
      </c>
      <c r="M88" t="s">
        <v>149</v>
      </c>
      <c r="N88" s="99"/>
      <c r="P88" s="87">
        <v>31.2</v>
      </c>
      <c r="R88" s="98">
        <f>G88-P88</f>
        <v>-31.2</v>
      </c>
      <c r="T88" s="99">
        <v>141</v>
      </c>
      <c r="U88" t="s">
        <v>149</v>
      </c>
      <c r="V88" t="s">
        <v>149</v>
      </c>
    </row>
    <row r="89" spans="2:23" x14ac:dyDescent="0.25">
      <c r="B89" t="s">
        <v>181</v>
      </c>
      <c r="H89" s="90">
        <v>48.9</v>
      </c>
      <c r="I89" s="8"/>
      <c r="J89" s="116" t="s">
        <v>149</v>
      </c>
      <c r="L89" s="114">
        <v>55</v>
      </c>
      <c r="N89" s="99"/>
      <c r="P89" s="87">
        <v>24.9</v>
      </c>
      <c r="R89" s="98">
        <f>G89-P89</f>
        <v>-24.9</v>
      </c>
      <c r="T89" s="99">
        <v>59</v>
      </c>
    </row>
    <row r="90" spans="2:23" hidden="1" x14ac:dyDescent="0.25">
      <c r="B90" t="s">
        <v>182</v>
      </c>
      <c r="H90" s="90">
        <v>1.1000000000000001</v>
      </c>
      <c r="I90" s="8"/>
      <c r="J90" s="116" t="s">
        <v>149</v>
      </c>
      <c r="L90" s="90">
        <v>7.7</v>
      </c>
      <c r="N90" s="99"/>
      <c r="P90" s="87">
        <v>0</v>
      </c>
      <c r="R90" s="98">
        <f>G90-P90</f>
        <v>0</v>
      </c>
      <c r="T90" s="99">
        <v>0</v>
      </c>
    </row>
    <row r="91" spans="2:23" x14ac:dyDescent="0.25">
      <c r="B91" t="s">
        <v>183</v>
      </c>
      <c r="H91" s="90">
        <v>0.8</v>
      </c>
      <c r="I91" s="8"/>
      <c r="J91" s="116" t="s">
        <v>149</v>
      </c>
      <c r="L91" s="90">
        <v>5.2</v>
      </c>
      <c r="N91" s="99"/>
      <c r="P91" s="87">
        <v>7.5</v>
      </c>
      <c r="R91" s="98">
        <f>G91-P91</f>
        <v>-7.5</v>
      </c>
      <c r="T91" s="99">
        <v>39</v>
      </c>
    </row>
    <row r="92" spans="2:23" x14ac:dyDescent="0.25">
      <c r="H92" s="90"/>
      <c r="I92" s="8"/>
      <c r="J92" s="99"/>
      <c r="L92" s="90"/>
      <c r="N92" s="99"/>
      <c r="P92" s="87"/>
      <c r="R92" s="98"/>
      <c r="T92" s="99"/>
    </row>
    <row r="93" spans="2:23" x14ac:dyDescent="0.25">
      <c r="H93" s="90"/>
      <c r="I93" s="8"/>
      <c r="J93" s="90"/>
      <c r="L93" s="90"/>
      <c r="N93" s="90"/>
      <c r="P93" s="93"/>
      <c r="R93" s="90"/>
      <c r="T93" s="90"/>
    </row>
    <row r="94" spans="2:23" x14ac:dyDescent="0.25">
      <c r="B94" t="s">
        <v>164</v>
      </c>
      <c r="H94" s="90">
        <v>2.8</v>
      </c>
      <c r="I94" s="8"/>
      <c r="J94" s="116">
        <v>0</v>
      </c>
      <c r="L94" s="90">
        <v>3.5</v>
      </c>
      <c r="M94" t="s">
        <v>149</v>
      </c>
      <c r="N94" s="99">
        <v>96</v>
      </c>
      <c r="P94" s="87">
        <v>4.8</v>
      </c>
      <c r="R94" s="98">
        <f>G94-P94</f>
        <v>-4.8</v>
      </c>
      <c r="T94" s="99">
        <v>33</v>
      </c>
    </row>
    <row r="95" spans="2:23" x14ac:dyDescent="0.25">
      <c r="H95" s="90"/>
      <c r="I95" s="8"/>
      <c r="J95" s="90"/>
      <c r="L95" s="90"/>
      <c r="N95" s="90"/>
      <c r="P95" s="93"/>
      <c r="R95" s="90"/>
      <c r="T95" s="90"/>
    </row>
    <row r="96" spans="2:23" x14ac:dyDescent="0.25">
      <c r="B96" t="s">
        <v>129</v>
      </c>
      <c r="H96" s="90">
        <v>39.299999999999997</v>
      </c>
      <c r="I96" s="8"/>
      <c r="J96" s="93">
        <v>90</v>
      </c>
      <c r="L96" s="90">
        <v>10.1</v>
      </c>
      <c r="M96" t="s">
        <v>149</v>
      </c>
      <c r="N96" s="99">
        <v>116</v>
      </c>
      <c r="P96" s="87">
        <v>8.6999999999999993</v>
      </c>
      <c r="R96" s="98">
        <f>G96-P96</f>
        <v>-8.6999999999999993</v>
      </c>
      <c r="T96" s="99">
        <v>22</v>
      </c>
      <c r="U96" t="s">
        <v>149</v>
      </c>
      <c r="V96" t="s">
        <v>149</v>
      </c>
    </row>
    <row r="97" spans="2:22" x14ac:dyDescent="0.25">
      <c r="H97" s="90"/>
      <c r="I97" s="8"/>
      <c r="J97" s="99"/>
      <c r="L97" s="90"/>
      <c r="N97" s="99"/>
      <c r="P97" s="87"/>
      <c r="R97" s="98"/>
      <c r="T97" s="99"/>
      <c r="V97" t="s">
        <v>149</v>
      </c>
    </row>
    <row r="98" spans="2:22" x14ac:dyDescent="0.25">
      <c r="B98" t="s">
        <v>165</v>
      </c>
      <c r="H98" s="90"/>
      <c r="I98" s="8"/>
      <c r="J98" s="99"/>
      <c r="L98" s="90"/>
      <c r="M98" t="s">
        <v>149</v>
      </c>
      <c r="N98" s="99"/>
      <c r="P98" s="87"/>
      <c r="R98" s="98"/>
      <c r="T98" s="99"/>
    </row>
    <row r="99" spans="2:22" x14ac:dyDescent="0.25">
      <c r="C99" t="s">
        <v>184</v>
      </c>
      <c r="H99" s="114">
        <f>15.3+0.7</f>
        <v>16</v>
      </c>
      <c r="I99" s="8"/>
      <c r="J99" s="99"/>
      <c r="L99" s="114">
        <v>6</v>
      </c>
      <c r="N99" s="99"/>
      <c r="P99" s="87">
        <v>5</v>
      </c>
      <c r="R99" s="98">
        <f>G99-P99</f>
        <v>-5</v>
      </c>
      <c r="T99" s="99"/>
    </row>
    <row r="100" spans="2:22" x14ac:dyDescent="0.25">
      <c r="C100" t="s">
        <v>185</v>
      </c>
      <c r="H100" s="114">
        <v>1</v>
      </c>
      <c r="I100" s="115"/>
      <c r="J100" s="99"/>
      <c r="L100" s="90">
        <v>0.8</v>
      </c>
      <c r="N100" s="99"/>
      <c r="P100" s="87">
        <v>0.5</v>
      </c>
      <c r="R100" s="98">
        <f>G100-P100</f>
        <v>-0.5</v>
      </c>
      <c r="T100" s="99"/>
    </row>
    <row r="101" spans="2:22" x14ac:dyDescent="0.25">
      <c r="C101" t="s">
        <v>162</v>
      </c>
      <c r="H101" s="114">
        <v>1</v>
      </c>
      <c r="I101" s="115"/>
      <c r="J101" s="99"/>
      <c r="L101" s="114">
        <v>0.1</v>
      </c>
      <c r="N101" s="99"/>
      <c r="P101" s="87">
        <v>1</v>
      </c>
      <c r="R101" s="98">
        <f>G101-P101</f>
        <v>-1</v>
      </c>
      <c r="T101" s="99"/>
    </row>
    <row r="102" spans="2:22" x14ac:dyDescent="0.25">
      <c r="C102" t="s">
        <v>68</v>
      </c>
      <c r="H102" s="90">
        <v>0.4</v>
      </c>
      <c r="I102" s="8"/>
      <c r="J102" s="99"/>
      <c r="L102" s="90">
        <v>0.1</v>
      </c>
      <c r="N102" s="99"/>
      <c r="P102" s="87">
        <v>0.6</v>
      </c>
      <c r="R102" s="98">
        <f>G102-P102</f>
        <v>-0.6</v>
      </c>
      <c r="T102" s="99"/>
    </row>
    <row r="103" spans="2:22" x14ac:dyDescent="0.25">
      <c r="H103" s="90"/>
      <c r="I103" s="8"/>
      <c r="J103" s="99"/>
      <c r="L103" s="90"/>
      <c r="N103" s="99"/>
      <c r="P103" s="87"/>
      <c r="R103" s="98"/>
      <c r="T103" s="99"/>
    </row>
    <row r="104" spans="2:22" hidden="1" x14ac:dyDescent="0.25">
      <c r="B104" t="s">
        <v>205</v>
      </c>
      <c r="H104" s="90">
        <f>7.3-0.4</f>
        <v>6.8999999999999995</v>
      </c>
      <c r="I104" s="8"/>
      <c r="J104" s="99"/>
      <c r="L104" s="90">
        <v>37.4</v>
      </c>
      <c r="N104" s="99"/>
      <c r="P104" s="87">
        <v>0</v>
      </c>
      <c r="R104" s="98"/>
      <c r="T104" s="99"/>
    </row>
    <row r="105" spans="2:22" hidden="1" x14ac:dyDescent="0.25">
      <c r="H105" s="90"/>
      <c r="I105" s="8"/>
      <c r="J105" s="99"/>
      <c r="L105" s="90"/>
      <c r="N105" s="99"/>
      <c r="P105" s="87"/>
      <c r="R105" s="98"/>
      <c r="T105" s="99"/>
    </row>
    <row r="106" spans="2:22" hidden="1" x14ac:dyDescent="0.25">
      <c r="B106" t="s">
        <v>15</v>
      </c>
      <c r="H106" s="101">
        <v>0</v>
      </c>
      <c r="I106" s="8"/>
      <c r="J106" s="99"/>
      <c r="L106" s="90">
        <v>20.9</v>
      </c>
      <c r="N106" s="99"/>
      <c r="P106" s="87"/>
      <c r="R106" s="98"/>
      <c r="T106" s="99"/>
    </row>
    <row r="107" spans="2:22" hidden="1" x14ac:dyDescent="0.25">
      <c r="H107" s="90"/>
      <c r="I107" s="8"/>
      <c r="J107" s="99"/>
      <c r="L107" s="90"/>
      <c r="N107" s="99"/>
      <c r="P107" s="87"/>
      <c r="R107" s="98"/>
      <c r="T107" s="99"/>
    </row>
    <row r="108" spans="2:22" x14ac:dyDescent="0.25">
      <c r="B108" t="s">
        <v>186</v>
      </c>
      <c r="H108" s="90">
        <v>0.1</v>
      </c>
      <c r="I108" s="8"/>
      <c r="J108" s="99">
        <v>0</v>
      </c>
      <c r="L108" s="114">
        <v>13.6</v>
      </c>
      <c r="N108" s="99">
        <f>29+29+10+37+24</f>
        <v>129</v>
      </c>
      <c r="P108" s="87">
        <f>6.7+0.94+1.2</f>
        <v>8.84</v>
      </c>
      <c r="R108" s="98">
        <f>G108-P108</f>
        <v>-8.84</v>
      </c>
      <c r="T108" s="99">
        <f>33+5+5</f>
        <v>43</v>
      </c>
    </row>
    <row r="109" spans="2:22" x14ac:dyDescent="0.25">
      <c r="H109" s="90"/>
      <c r="I109" s="8"/>
      <c r="J109" s="99"/>
      <c r="L109" s="90"/>
      <c r="N109" s="99"/>
      <c r="P109" s="87"/>
      <c r="R109" s="98"/>
      <c r="T109" s="99"/>
    </row>
    <row r="110" spans="2:22" x14ac:dyDescent="0.25">
      <c r="H110" s="90"/>
      <c r="I110" s="8"/>
      <c r="J110" s="99"/>
      <c r="L110" s="90"/>
      <c r="N110" s="99"/>
      <c r="P110" s="87"/>
      <c r="R110" s="98"/>
      <c r="T110" s="99"/>
    </row>
    <row r="111" spans="2:22" x14ac:dyDescent="0.25">
      <c r="B111" t="s">
        <v>187</v>
      </c>
      <c r="H111" s="90"/>
      <c r="I111" s="8"/>
      <c r="J111" s="99"/>
      <c r="L111" s="87"/>
      <c r="N111" s="99"/>
      <c r="P111" s="87">
        <f>9+2.4+2</f>
        <v>13.4</v>
      </c>
      <c r="R111" s="98">
        <f>G111-P111</f>
        <v>-13.4</v>
      </c>
      <c r="T111" s="99"/>
      <c r="U111" t="s">
        <v>206</v>
      </c>
    </row>
    <row r="112" spans="2:22" x14ac:dyDescent="0.25">
      <c r="H112" s="90"/>
      <c r="I112" s="8"/>
      <c r="J112" s="99"/>
      <c r="L112" s="90"/>
      <c r="N112" s="99"/>
      <c r="P112" s="87"/>
      <c r="R112" s="98"/>
      <c r="T112" s="99"/>
      <c r="U112" t="s">
        <v>207</v>
      </c>
    </row>
    <row r="113" spans="2:20" x14ac:dyDescent="0.25">
      <c r="B113" t="s">
        <v>166</v>
      </c>
      <c r="H113" s="90">
        <v>130.6</v>
      </c>
      <c r="I113" s="8"/>
      <c r="J113" s="90"/>
      <c r="L113" s="87">
        <v>61.2</v>
      </c>
      <c r="N113" s="90"/>
      <c r="P113" s="87">
        <v>0</v>
      </c>
      <c r="R113" s="101">
        <v>0</v>
      </c>
      <c r="T113" s="90"/>
    </row>
    <row r="114" spans="2:20" x14ac:dyDescent="0.25">
      <c r="H114" s="90"/>
      <c r="I114" s="8"/>
      <c r="J114" s="92"/>
      <c r="L114" s="90"/>
      <c r="N114" s="92"/>
      <c r="P114" s="87"/>
      <c r="Q114" s="8"/>
      <c r="R114" s="98"/>
      <c r="T114" s="92"/>
    </row>
    <row r="115" spans="2:20" x14ac:dyDescent="0.25">
      <c r="D115" s="33" t="s">
        <v>167</v>
      </c>
      <c r="H115" s="119">
        <f>+H61+H63+H65+H67+H69+H71+H84+H86+H88+H89+H90+H91+H94+H96+H99+H100+H101+H102+H108+H111+H104+H113</f>
        <v>371.1</v>
      </c>
      <c r="I115" s="104"/>
      <c r="J115" s="120">
        <f>+J61+J63+J84+J86+J88+J96</f>
        <v>914</v>
      </c>
      <c r="L115" s="119">
        <f>+L61+L63+L65+L67+L69+L71+L84+L86+L88+L89+L90+L91+L94+L96+L99+L100+L101+L102+L108+L111+L104+L113+L106</f>
        <v>313.19999999999993</v>
      </c>
      <c r="N115" s="120">
        <f>+N61+N63+N65+N67+N69+N71+N84+N86+N88+N89+N90+N91+N94+N96+N99+N100+N101+N102+N108+N111+N104+N113</f>
        <v>656</v>
      </c>
      <c r="P115" s="119">
        <f>P57+P59+P61+P63+P65+P67+P69+P71+P84+P86+P88+P89+P90+P91+P94+P96+P99+P100+P101+P102+P108+P111+P104+P113</f>
        <v>168.14000000000001</v>
      </c>
      <c r="Q115" s="103" t="s">
        <v>149</v>
      </c>
      <c r="R115" s="119">
        <f>R57+R59+R61+R63+R65+R67+R69+R71+R84+R86+R88+R89+R90+R91+R94+R96+R99+R100+R101+R102+R108+R111+R104+R113+0.1</f>
        <v>-168.08</v>
      </c>
      <c r="T115" s="119">
        <f>T57+T59+T61+T63+T65+T67+T69+T71+T84+T86+T88+T89+T90+T91+T94+T96+T99+T100+T101+T102+T108+T111+T104+T113</f>
        <v>695</v>
      </c>
    </row>
    <row r="116" spans="2:20" x14ac:dyDescent="0.25">
      <c r="E116" s="104"/>
      <c r="F116" s="8"/>
      <c r="G116" s="104"/>
      <c r="H116" s="87"/>
      <c r="I116" s="104"/>
      <c r="J116" s="102"/>
      <c r="K116" s="104"/>
      <c r="L116" s="87"/>
      <c r="N116" s="102"/>
      <c r="P116" s="102"/>
      <c r="R116" s="102"/>
      <c r="T116" s="102"/>
    </row>
    <row r="117" spans="2:20" x14ac:dyDescent="0.25">
      <c r="E117" s="104"/>
      <c r="F117" s="8"/>
      <c r="G117" s="104"/>
      <c r="H117" s="87"/>
      <c r="I117" s="104"/>
      <c r="J117" s="87"/>
      <c r="K117" s="104"/>
      <c r="L117" s="87"/>
      <c r="N117" s="87"/>
      <c r="P117" s="87"/>
      <c r="R117" s="87"/>
      <c r="T117" s="87"/>
    </row>
    <row r="118" spans="2:20" x14ac:dyDescent="0.25">
      <c r="D118" s="33" t="s">
        <v>208</v>
      </c>
      <c r="E118" s="105"/>
      <c r="F118" s="8"/>
      <c r="G118" s="95">
        <f>G55</f>
        <v>875</v>
      </c>
      <c r="H118" s="106">
        <f>H115+H55</f>
        <v>726</v>
      </c>
      <c r="I118" s="118"/>
      <c r="J118" s="107">
        <f>J115+J55</f>
        <v>1661</v>
      </c>
      <c r="K118" s="105"/>
      <c r="L118" s="106">
        <f>L115+L55</f>
        <v>837.99999999999989</v>
      </c>
      <c r="N118" s="107">
        <f>N115+N55</f>
        <v>1214</v>
      </c>
      <c r="P118" s="106">
        <f>P115+P55</f>
        <v>208.03000000000003</v>
      </c>
      <c r="R118" s="106">
        <f>G118-P118</f>
        <v>666.97</v>
      </c>
      <c r="T118" s="107">
        <f>T115+T55</f>
        <v>854</v>
      </c>
    </row>
    <row r="119" spans="2:20" x14ac:dyDescent="0.25">
      <c r="F119" s="8"/>
      <c r="G119" s="104"/>
      <c r="H119" s="104"/>
      <c r="I119" s="104"/>
      <c r="J119" s="104"/>
      <c r="K119" s="104"/>
      <c r="L119" s="104"/>
      <c r="P119" s="104"/>
      <c r="R119" s="104"/>
      <c r="T119" s="104"/>
    </row>
    <row r="120" spans="2:20" x14ac:dyDescent="0.25">
      <c r="B120" t="s">
        <v>211</v>
      </c>
      <c r="G120" s="8"/>
      <c r="H120" s="8"/>
      <c r="I120" s="8"/>
      <c r="J120" s="8"/>
      <c r="K120" s="8"/>
      <c r="L120" s="8"/>
      <c r="P120" s="8"/>
      <c r="Q120" s="8"/>
      <c r="R120" s="8"/>
      <c r="S120" s="8"/>
      <c r="T120" s="8"/>
    </row>
    <row r="121" spans="2:20" x14ac:dyDescent="0.25">
      <c r="B121" t="s">
        <v>212</v>
      </c>
      <c r="G121" s="8"/>
      <c r="H121" s="8"/>
      <c r="I121" s="8"/>
      <c r="J121" s="8"/>
      <c r="K121" s="8"/>
      <c r="L121" s="8"/>
    </row>
    <row r="122" spans="2:20" x14ac:dyDescent="0.25">
      <c r="B122" t="s">
        <v>213</v>
      </c>
      <c r="G122" s="8"/>
      <c r="H122" s="8"/>
      <c r="I122" s="8"/>
      <c r="J122" s="8"/>
      <c r="K122" s="8"/>
      <c r="L122" s="8"/>
    </row>
    <row r="123" spans="2:20" x14ac:dyDescent="0.25">
      <c r="B123" t="s">
        <v>214</v>
      </c>
      <c r="G123" s="8"/>
      <c r="H123" s="8"/>
      <c r="I123" s="8"/>
      <c r="J123" s="8"/>
      <c r="K123" s="8"/>
      <c r="L123" s="8"/>
    </row>
    <row r="124" spans="2:20" x14ac:dyDescent="0.25">
      <c r="B124" t="s">
        <v>284</v>
      </c>
    </row>
  </sheetData>
  <mergeCells count="1">
    <mergeCell ref="A3:T3"/>
  </mergeCells>
  <phoneticPr fontId="0" type="noConversion"/>
  <pageMargins left="0.52" right="0.46" top="1" bottom="1" header="0.5" footer="0.5"/>
  <pageSetup scale="5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R39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21.33203125" customWidth="1"/>
    <col min="15" max="15" width="16.88671875" customWidth="1"/>
    <col min="16" max="16" width="10.33203125" customWidth="1"/>
    <col min="17" max="17" width="10.6640625" customWidth="1"/>
  </cols>
  <sheetData>
    <row r="1" spans="1:44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254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1148400</v>
      </c>
      <c r="I8" s="42" t="s">
        <v>10</v>
      </c>
      <c r="J8" s="17">
        <v>0</v>
      </c>
      <c r="K8" s="17"/>
      <c r="L8" s="43">
        <f>L30</f>
        <v>1378080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229680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(E12/$E$29)*$K$11</f>
        <v>43137.316249999982</v>
      </c>
      <c r="I12" s="42"/>
      <c r="J12" s="17"/>
      <c r="K12" s="17"/>
      <c r="L12" s="43"/>
      <c r="N12" s="124"/>
      <c r="O12" s="124"/>
      <c r="P12" s="124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+((3500*5)+(1500*2))*12</f>
        <v>246000</v>
      </c>
      <c r="I13" s="46" t="s">
        <v>20</v>
      </c>
      <c r="J13" s="47"/>
      <c r="K13" s="47"/>
      <c r="L13" s="48">
        <f>L8+L11</f>
        <v>1715971.26875</v>
      </c>
      <c r="N13" s="124"/>
      <c r="O13" s="124"/>
      <c r="P13" s="124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</f>
        <v>1.400000000115445E-2</v>
      </c>
      <c r="N14" s="124"/>
      <c r="O14" s="124"/>
      <c r="P14" s="124"/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>(E15/$E$29)*$K$11</f>
        <v>6099.5083333333323</v>
      </c>
      <c r="N15" s="124"/>
      <c r="O15" s="124"/>
      <c r="P15" s="124"/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>(E16/$E$29)*$K$11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24"/>
      <c r="O16" s="124"/>
      <c r="P16" s="124"/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>(E17/$E$29)*$K$11</f>
        <v>344.16666666666663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24"/>
      <c r="O17" s="124"/>
      <c r="P17" s="124"/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>(E18/$E$29)*$K$11</f>
        <v>6250.7036666666672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15000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>(E20/$E$29)*$K$11</f>
        <v>0.93333333333333335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>(E21/$E$29)*$K$11</f>
        <v>7921.0197499999931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1702833.662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f>1+2</f>
        <v>3</v>
      </c>
      <c r="L24" s="25">
        <f t="shared" si="1"/>
        <v>429000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7</v>
      </c>
      <c r="L28" s="25">
        <f>SUM(L16:L27)*1.2</f>
        <v>1148400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5">
      <c r="L30" s="25">
        <f>L28*1.2</f>
        <v>1378080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R39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10.33203125" bestFit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269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  <c r="N5" s="126" t="s">
        <v>255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905850</v>
      </c>
      <c r="I8" s="42" t="s">
        <v>10</v>
      </c>
      <c r="J8" s="17">
        <v>0</v>
      </c>
      <c r="K8" s="17"/>
      <c r="L8" s="43">
        <f>L30</f>
        <v>1449360</v>
      </c>
      <c r="M8" s="127"/>
      <c r="N8" s="15">
        <f>H8/2*1.5</f>
        <v>679387.5</v>
      </c>
      <c r="Q8" s="15"/>
    </row>
    <row r="9" spans="1:44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  <c r="Q9" s="15"/>
    </row>
    <row r="10" spans="1:44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>
        <v>0</v>
      </c>
      <c r="Q10" s="15"/>
    </row>
    <row r="11" spans="1:44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181170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5">
        <f>H11/2*1.5</f>
        <v>135877.5</v>
      </c>
      <c r="Q11" s="15"/>
    </row>
    <row r="12" spans="1:44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65000</v>
      </c>
      <c r="I12" s="42"/>
      <c r="J12" s="17"/>
      <c r="K12" s="17"/>
      <c r="L12" s="43"/>
      <c r="N12" s="15">
        <v>65000</v>
      </c>
      <c r="Q12" s="15"/>
    </row>
    <row r="13" spans="1:44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250000</v>
      </c>
      <c r="I13" s="46" t="s">
        <v>20</v>
      </c>
      <c r="J13" s="47"/>
      <c r="K13" s="47"/>
      <c r="L13" s="48">
        <f>L8+L11</f>
        <v>1787251.26875</v>
      </c>
      <c r="N13" s="15">
        <v>250000</v>
      </c>
      <c r="P13" s="49"/>
      <c r="Q13" s="15"/>
    </row>
    <row r="14" spans="1:44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15858</v>
      </c>
      <c r="N15" s="15">
        <f>20000-4142</f>
        <v>15858</v>
      </c>
      <c r="Q15" s="15"/>
    </row>
    <row r="16" spans="1:44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0</v>
      </c>
      <c r="Q17" s="15"/>
    </row>
    <row r="18" spans="1:17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100000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100000</v>
      </c>
      <c r="Q18" s="15"/>
    </row>
    <row r="19" spans="1:17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30000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30000</v>
      </c>
      <c r="Q19" s="15"/>
    </row>
    <row r="20" spans="1:17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</v>
      </c>
      <c r="I20" s="25" t="s">
        <v>39</v>
      </c>
      <c r="J20" s="25">
        <v>71500</v>
      </c>
      <c r="K20" s="25">
        <v>1</v>
      </c>
      <c r="L20" s="25">
        <f t="shared" si="1"/>
        <v>71500</v>
      </c>
      <c r="N20" s="15">
        <v>1</v>
      </c>
      <c r="Q20" s="15"/>
    </row>
    <row r="21" spans="1:17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10000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N21" s="15">
        <v>10000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N22" s="15"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1557879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N23" s="28">
        <f>SUM(N8:N22)</f>
        <v>1286124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f>1+1+1</f>
        <v>3</v>
      </c>
      <c r="L24" s="25">
        <f t="shared" si="1"/>
        <v>429000</v>
      </c>
      <c r="P24" s="8"/>
      <c r="Q24" s="8"/>
    </row>
    <row r="25" spans="1:17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f>1+1</f>
        <v>2</v>
      </c>
      <c r="L26" s="25">
        <f t="shared" si="1"/>
        <v>396000</v>
      </c>
      <c r="P26" s="8"/>
      <c r="Q26" s="32"/>
    </row>
    <row r="27" spans="1:17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7</v>
      </c>
      <c r="L28" s="25">
        <f>SUM(L16:L27)*1.2</f>
        <v>1207800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5">
      <c r="L30" s="25">
        <f>L28*1.2</f>
        <v>1449360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Q50"/>
  <sheetViews>
    <sheetView zoomScale="80" zoomScaleNormal="100" workbookViewId="0">
      <selection activeCell="D11" sqref="D11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21.1093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8.109375" style="25" hidden="1" customWidth="1"/>
    <col min="13" max="13" width="0" hidden="1" customWidth="1"/>
    <col min="14" max="14" width="9.6640625" customWidth="1"/>
    <col min="15" max="15" width="10.33203125" customWidth="1"/>
    <col min="16" max="16" width="10.6640625" customWidth="1"/>
  </cols>
  <sheetData>
    <row r="1" spans="1:43" ht="18" x14ac:dyDescent="0.3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34" t="s">
        <v>282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I4" s="39"/>
      <c r="J4" s="40"/>
      <c r="K4" s="40"/>
      <c r="L4" s="41"/>
    </row>
    <row r="5" spans="1:43" x14ac:dyDescent="0.25">
      <c r="I5" s="42"/>
      <c r="J5" s="17" t="s">
        <v>1</v>
      </c>
      <c r="K5" s="17" t="s">
        <v>2</v>
      </c>
      <c r="L5" s="43" t="s">
        <v>3</v>
      </c>
    </row>
    <row r="6" spans="1:43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1222275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P10" s="15"/>
    </row>
    <row r="11" spans="1:43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+H8*0.2+6345</f>
        <v>250800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67500</v>
      </c>
      <c r="I12" s="42"/>
      <c r="J12" s="17"/>
      <c r="K12" s="17"/>
      <c r="L12" s="43"/>
      <c r="P12" s="15"/>
    </row>
    <row r="13" spans="1:43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225000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45000</v>
      </c>
      <c r="P15" s="15"/>
    </row>
    <row r="16" spans="1:43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531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67500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90000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1.8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13500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1982107.8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5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9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5">
      <c r="K28" s="25">
        <f>SUM(K16:K27)</f>
        <v>10</v>
      </c>
      <c r="L28" s="25">
        <f>SUM(L16:L27)*1.2</f>
        <v>1630200</v>
      </c>
      <c r="O28" s="8"/>
      <c r="P28" s="8"/>
    </row>
    <row r="29" spans="1:16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9</v>
      </c>
      <c r="L29" s="52">
        <v>0.2</v>
      </c>
      <c r="O29" s="8"/>
      <c r="P29" s="32"/>
    </row>
    <row r="30" spans="1:16" hidden="1" x14ac:dyDescent="0.25">
      <c r="L30" s="25">
        <f>L28*1.2</f>
        <v>1956240</v>
      </c>
      <c r="O30" s="8"/>
      <c r="P30" s="8"/>
    </row>
    <row r="31" spans="1:16" hidden="1" x14ac:dyDescent="0.25">
      <c r="H31" s="33" t="s">
        <v>56</v>
      </c>
      <c r="L31"/>
      <c r="O31" s="8"/>
      <c r="P31" s="8"/>
    </row>
    <row r="32" spans="1:16" ht="13.8" hidden="1" x14ac:dyDescent="0.3">
      <c r="B32" s="14" t="s">
        <v>22</v>
      </c>
      <c r="C32" s="15">
        <v>254512</v>
      </c>
      <c r="L32"/>
      <c r="O32" s="8"/>
      <c r="P32" s="8"/>
    </row>
    <row r="33" spans="2:16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5">
      <c r="O35" s="8"/>
      <c r="P35" s="8"/>
    </row>
    <row r="36" spans="2:16" hidden="1" x14ac:dyDescent="0.25">
      <c r="O36" s="8"/>
      <c r="P36" s="8"/>
    </row>
    <row r="37" spans="2:16" hidden="1" x14ac:dyDescent="0.25">
      <c r="O37" s="8"/>
      <c r="P37" s="8"/>
    </row>
    <row r="38" spans="2:16" hidden="1" x14ac:dyDescent="0.25">
      <c r="O38" s="8"/>
      <c r="P38" s="8"/>
    </row>
    <row r="39" spans="2:16" x14ac:dyDescent="0.25">
      <c r="O39" s="8"/>
      <c r="P39" s="8"/>
    </row>
    <row r="42" spans="2:16" x14ac:dyDescent="0.25">
      <c r="B42" s="124"/>
      <c r="C42" s="124"/>
      <c r="D42" s="124"/>
    </row>
    <row r="43" spans="2:16" x14ac:dyDescent="0.25">
      <c r="B43" s="124"/>
      <c r="C43" s="124"/>
      <c r="D43" s="124"/>
    </row>
    <row r="44" spans="2:16" x14ac:dyDescent="0.25">
      <c r="B44" s="124"/>
      <c r="C44" s="124"/>
      <c r="D44" s="124"/>
    </row>
    <row r="45" spans="2:16" x14ac:dyDescent="0.25">
      <c r="B45" s="124"/>
      <c r="C45" s="124"/>
      <c r="D45" s="124"/>
    </row>
    <row r="46" spans="2:16" x14ac:dyDescent="0.25">
      <c r="B46" s="124"/>
      <c r="C46" s="124"/>
      <c r="D46" s="124"/>
    </row>
    <row r="47" spans="2:16" x14ac:dyDescent="0.25">
      <c r="B47" s="124"/>
      <c r="C47" s="124"/>
      <c r="D47" s="124"/>
    </row>
    <row r="48" spans="2:16" x14ac:dyDescent="0.25">
      <c r="B48" s="124"/>
      <c r="C48" s="124"/>
      <c r="D48" s="124"/>
    </row>
    <row r="49" spans="2:4" x14ac:dyDescent="0.25">
      <c r="B49" s="124"/>
      <c r="C49" s="124"/>
      <c r="D49" s="124"/>
    </row>
    <row r="50" spans="2:4" x14ac:dyDescent="0.25">
      <c r="B50" s="1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AQ42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5" max="15" width="10.33203125" customWidth="1"/>
    <col min="16" max="16" width="10.6640625" customWidth="1"/>
  </cols>
  <sheetData>
    <row r="1" spans="1:43" ht="18" x14ac:dyDescent="0.3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34" t="s">
        <v>68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I4" s="39"/>
      <c r="J4" s="40"/>
      <c r="K4" s="40"/>
      <c r="L4" s="41"/>
    </row>
    <row r="5" spans="1:43" x14ac:dyDescent="0.25">
      <c r="I5" s="42"/>
      <c r="J5" s="17" t="s">
        <v>1</v>
      </c>
      <c r="K5" s="17" t="s">
        <v>2</v>
      </c>
      <c r="L5" s="43" t="s">
        <v>3</v>
      </c>
    </row>
    <row r="6" spans="1:43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234685</v>
      </c>
      <c r="I8" s="42" t="s">
        <v>10</v>
      </c>
      <c r="J8" s="17">
        <v>0</v>
      </c>
      <c r="K8" s="17"/>
      <c r="L8" s="43">
        <f>L30</f>
        <v>364320</v>
      </c>
      <c r="P8" s="15"/>
    </row>
    <row r="9" spans="1:43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P10" s="15"/>
    </row>
    <row r="11" spans="1:43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45540</v>
      </c>
      <c r="I11" s="42" t="s">
        <v>15</v>
      </c>
      <c r="J11" s="17">
        <f>(E12+E13+E14+E15+E16+E17+E18+E19+E20+E21+E22)/E29</f>
        <v>48270.181250000009</v>
      </c>
      <c r="K11" s="17">
        <f>K28</f>
        <v>2</v>
      </c>
      <c r="L11" s="43">
        <f>J11*K11</f>
        <v>96540.362500000017</v>
      </c>
      <c r="P11" s="15"/>
    </row>
    <row r="12" spans="1:43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15000</v>
      </c>
      <c r="I12" s="42"/>
      <c r="J12" s="17"/>
      <c r="K12" s="17"/>
      <c r="L12" s="43"/>
      <c r="P12" s="15"/>
    </row>
    <row r="13" spans="1:43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50000</v>
      </c>
      <c r="I13" s="46" t="s">
        <v>20</v>
      </c>
      <c r="J13" s="47"/>
      <c r="K13" s="47"/>
      <c r="L13" s="48">
        <f>L8+L11</f>
        <v>460860.36250000005</v>
      </c>
      <c r="O13" s="49"/>
      <c r="P13" s="15"/>
    </row>
    <row r="14" spans="1:43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5000</v>
      </c>
      <c r="P15" s="15"/>
    </row>
    <row r="16" spans="1:43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98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25000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15000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5000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O21" s="8"/>
      <c r="P21" s="32"/>
    </row>
    <row r="22" spans="1:16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395325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O23" s="8"/>
      <c r="P23" s="29"/>
    </row>
    <row r="24" spans="1:16" x14ac:dyDescent="0.25">
      <c r="I24" s="25" t="s">
        <v>49</v>
      </c>
      <c r="J24" s="25">
        <v>143000</v>
      </c>
      <c r="K24" s="25">
        <v>1</v>
      </c>
      <c r="L24" s="25">
        <f t="shared" si="1"/>
        <v>143000</v>
      </c>
      <c r="O24" s="8"/>
      <c r="P24" s="8"/>
    </row>
    <row r="25" spans="1:16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2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O26" s="8"/>
      <c r="P26" s="32"/>
    </row>
    <row r="27" spans="1:16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5">
      <c r="K28" s="25">
        <f>SUM(K16:K27)</f>
        <v>2</v>
      </c>
      <c r="L28" s="25">
        <f>SUM(L16:L27)*1.2</f>
        <v>303600</v>
      </c>
      <c r="O28" s="8"/>
      <c r="P28" s="8"/>
    </row>
    <row r="29" spans="1:16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O29" s="8"/>
      <c r="P29" s="32"/>
    </row>
    <row r="30" spans="1:16" hidden="1" x14ac:dyDescent="0.25">
      <c r="L30" s="25">
        <f>L28*1.2</f>
        <v>364320</v>
      </c>
      <c r="O30" s="8"/>
      <c r="P30" s="8"/>
    </row>
    <row r="31" spans="1:16" hidden="1" x14ac:dyDescent="0.25">
      <c r="H31" s="33" t="s">
        <v>56</v>
      </c>
      <c r="L31"/>
      <c r="O31" s="8"/>
      <c r="P31" s="8"/>
    </row>
    <row r="32" spans="1:16" ht="13.8" hidden="1" x14ac:dyDescent="0.3">
      <c r="B32" s="14" t="s">
        <v>22</v>
      </c>
      <c r="C32" s="15">
        <v>254512</v>
      </c>
      <c r="L32"/>
      <c r="O32" s="8"/>
      <c r="P32" s="8"/>
    </row>
    <row r="33" spans="2:16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2</v>
      </c>
      <c r="L34" s="37">
        <f>+J34*K34</f>
        <v>96540.362500000017</v>
      </c>
      <c r="O34" s="8"/>
      <c r="P34" s="8"/>
    </row>
    <row r="35" spans="2:16" hidden="1" x14ac:dyDescent="0.25">
      <c r="O35" s="8"/>
      <c r="P35" s="8"/>
    </row>
    <row r="36" spans="2:16" hidden="1" x14ac:dyDescent="0.25">
      <c r="O36" s="8"/>
      <c r="P36" s="8"/>
    </row>
    <row r="37" spans="2:16" hidden="1" x14ac:dyDescent="0.25">
      <c r="O37" s="8"/>
      <c r="P37" s="8"/>
    </row>
    <row r="38" spans="2:16" hidden="1" x14ac:dyDescent="0.25">
      <c r="O38" s="8"/>
      <c r="P38" s="8"/>
    </row>
    <row r="39" spans="2:16" x14ac:dyDescent="0.25">
      <c r="O39" s="8"/>
      <c r="P39" s="8"/>
    </row>
    <row r="41" spans="2:16" x14ac:dyDescent="0.25">
      <c r="B41" t="s">
        <v>270</v>
      </c>
      <c r="H41" t="s">
        <v>49</v>
      </c>
    </row>
    <row r="42" spans="2:16" x14ac:dyDescent="0.25">
      <c r="B42" t="s">
        <v>271</v>
      </c>
      <c r="H42" t="s">
        <v>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R39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4" customWidth="1"/>
    <col min="15" max="15" width="13.88671875" customWidth="1"/>
    <col min="16" max="16" width="10.33203125" customWidth="1"/>
    <col min="17" max="17" width="10.6640625" customWidth="1"/>
  </cols>
  <sheetData>
    <row r="1" spans="1:44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253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321420</v>
      </c>
      <c r="I8" s="42" t="s">
        <v>10</v>
      </c>
      <c r="J8" s="17">
        <v>0</v>
      </c>
      <c r="K8" s="17"/>
      <c r="L8" s="43">
        <f>L30</f>
        <v>492624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82104</v>
      </c>
      <c r="I11" s="42" t="s">
        <v>15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N11" s="124"/>
      <c r="O11" s="124"/>
      <c r="P11" s="124"/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18487.421249999992</v>
      </c>
      <c r="I12" s="42"/>
      <c r="J12" s="17"/>
      <c r="K12" s="17"/>
      <c r="L12" s="43"/>
      <c r="N12" s="124"/>
      <c r="O12" s="124"/>
      <c r="P12" s="124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16454.870750000002</v>
      </c>
      <c r="I13" s="46" t="s">
        <v>20</v>
      </c>
      <c r="J13" s="47"/>
      <c r="K13" s="47"/>
      <c r="L13" s="48">
        <f>L8+L11</f>
        <v>637434.54374999995</v>
      </c>
      <c r="N13" s="124"/>
      <c r="O13" s="124"/>
      <c r="P13" s="124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6.0000000004947641E-3</v>
      </c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2614.0749999999998</v>
      </c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147.5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2678.8730000000005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2730.2579999999998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0.4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3394.7227499999972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539132.12675000005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1</v>
      </c>
      <c r="L24" s="25">
        <f t="shared" si="2"/>
        <v>143000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2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3</v>
      </c>
      <c r="L28" s="25">
        <f>SUM(L16:L27)*1.2</f>
        <v>410520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P29" s="8"/>
      <c r="Q29" s="32"/>
    </row>
    <row r="30" spans="1:17" hidden="1" x14ac:dyDescent="0.25">
      <c r="L30" s="25">
        <f>L28*1.2</f>
        <v>492624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P39"/>
  <sheetViews>
    <sheetView zoomScale="80" zoomScaleNormal="100" workbookViewId="0">
      <selection activeCell="M8" sqref="M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7.66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5" max="15" width="10.6640625" customWidth="1"/>
  </cols>
  <sheetData>
    <row r="1" spans="1:42" ht="18" x14ac:dyDescent="0.3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35">
      <c r="B2" s="134" t="s">
        <v>274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5">
      <c r="I4" s="39"/>
      <c r="J4" s="40"/>
      <c r="K4" s="40"/>
      <c r="L4" s="41"/>
    </row>
    <row r="5" spans="1:42" x14ac:dyDescent="0.25">
      <c r="I5" s="42"/>
      <c r="J5" s="17" t="s">
        <v>1</v>
      </c>
      <c r="K5" s="17" t="s">
        <v>2</v>
      </c>
      <c r="L5" s="43" t="s">
        <v>3</v>
      </c>
    </row>
    <row r="6" spans="1:42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O9" s="15"/>
    </row>
    <row r="10" spans="1:42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75000</v>
      </c>
      <c r="I10" s="42"/>
      <c r="J10" s="17"/>
      <c r="K10" s="17"/>
      <c r="L10" s="43"/>
      <c r="O10" s="15"/>
    </row>
    <row r="11" spans="1:42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15000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3125</v>
      </c>
      <c r="I12" s="42"/>
      <c r="J12" s="17"/>
      <c r="K12" s="17"/>
      <c r="L12" s="43"/>
      <c r="O12" s="15"/>
    </row>
    <row r="13" spans="1:42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3125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O14" s="15"/>
    </row>
    <row r="15" spans="1:42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2500</v>
      </c>
      <c r="O15" s="15"/>
    </row>
    <row r="16" spans="1:42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62.5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12500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0.125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3125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114437.625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5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5">
      <c r="K28" s="25">
        <f>SUM(K16:K27)</f>
        <v>8</v>
      </c>
      <c r="L28" s="25">
        <f>SUM(L16:L27)*1.2</f>
        <v>1260600</v>
      </c>
      <c r="O28" s="8"/>
    </row>
    <row r="29" spans="1:15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O29" s="32"/>
    </row>
    <row r="30" spans="1:15" hidden="1" x14ac:dyDescent="0.25">
      <c r="L30" s="25">
        <f>L28*1.2</f>
        <v>1512720</v>
      </c>
      <c r="O30" s="8"/>
    </row>
    <row r="31" spans="1:15" hidden="1" x14ac:dyDescent="0.25">
      <c r="H31" s="33" t="s">
        <v>56</v>
      </c>
      <c r="L31"/>
      <c r="O31" s="8"/>
    </row>
    <row r="32" spans="1:15" ht="13.8" hidden="1" x14ac:dyDescent="0.3">
      <c r="B32" s="14" t="s">
        <v>22</v>
      </c>
      <c r="C32" s="15">
        <v>254512</v>
      </c>
      <c r="L32"/>
      <c r="O32" s="8"/>
    </row>
    <row r="33" spans="8:15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5">
      <c r="O35" s="8"/>
    </row>
    <row r="36" spans="8:15" hidden="1" x14ac:dyDescent="0.25">
      <c r="O36" s="8"/>
    </row>
    <row r="37" spans="8:15" hidden="1" x14ac:dyDescent="0.25">
      <c r="O37" s="8"/>
    </row>
    <row r="38" spans="8:15" hidden="1" x14ac:dyDescent="0.25">
      <c r="O38" s="8"/>
    </row>
    <row r="39" spans="8:15" x14ac:dyDescent="0.25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R39"/>
  <sheetViews>
    <sheetView zoomScale="80" zoomScaleNormal="100" workbookViewId="0">
      <selection activeCell="M8" sqref="M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9.66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276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  <c r="N5" s="126" t="s">
        <v>255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1507968</v>
      </c>
      <c r="N8" s="15">
        <f>H8/2*1.5+75670+10715</f>
        <v>86385</v>
      </c>
      <c r="Q8" s="15"/>
    </row>
    <row r="9" spans="1:44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  <c r="Q9" s="15"/>
    </row>
    <row r="10" spans="1:44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420200</v>
      </c>
      <c r="I10" s="42"/>
      <c r="J10" s="17"/>
      <c r="K10" s="17"/>
      <c r="L10" s="43"/>
      <c r="N10" s="15">
        <v>420200</v>
      </c>
      <c r="Q10" s="15"/>
    </row>
    <row r="11" spans="1:44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84040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N11" s="15">
        <f>H11/2*1.5+24992</f>
        <v>88022</v>
      </c>
      <c r="Q11" s="15"/>
    </row>
    <row r="12" spans="1:44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45000</v>
      </c>
      <c r="I12" s="42"/>
      <c r="J12" s="17"/>
      <c r="K12" s="17"/>
      <c r="L12" s="43"/>
      <c r="N12" s="15">
        <v>75000</v>
      </c>
      <c r="Q12" s="15"/>
    </row>
    <row r="13" spans="1:44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45000</v>
      </c>
      <c r="I13" s="46" t="s">
        <v>20</v>
      </c>
      <c r="J13" s="47"/>
      <c r="K13" s="47"/>
      <c r="L13" s="48">
        <f>L8+L11</f>
        <v>1990669.8125</v>
      </c>
      <c r="N13" s="15">
        <v>75000</v>
      </c>
      <c r="P13" s="49"/>
      <c r="Q13" s="15"/>
    </row>
    <row r="14" spans="1:44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30000</v>
      </c>
      <c r="N15" s="15">
        <v>50000</v>
      </c>
      <c r="Q15" s="15"/>
    </row>
    <row r="16" spans="1:44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354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590</v>
      </c>
      <c r="Q17" s="15"/>
    </row>
    <row r="18" spans="1:17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60000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100000</v>
      </c>
      <c r="Q19" s="15"/>
    </row>
    <row r="20" spans="1:17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>
        <v>2</v>
      </c>
      <c r="Q20" s="15"/>
    </row>
    <row r="21" spans="1:17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9000</v>
      </c>
      <c r="I21" s="25" t="s">
        <v>42</v>
      </c>
      <c r="J21" s="25">
        <v>60500</v>
      </c>
      <c r="K21" s="25">
        <v>4</v>
      </c>
      <c r="L21" s="25">
        <f t="shared" si="1"/>
        <v>242000</v>
      </c>
      <c r="N21" s="15">
        <v>15000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N22" s="15"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693595.2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N23" s="28">
        <f>SUM(N8:N22)</f>
        <v>910199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f>3</f>
        <v>3</v>
      </c>
      <c r="L24" s="25">
        <f t="shared" si="1"/>
        <v>429000</v>
      </c>
      <c r="P24" s="8"/>
      <c r="Q24" s="8"/>
    </row>
    <row r="25" spans="1:17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6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10</v>
      </c>
      <c r="L28" s="25">
        <f>SUM(L16:L27)*1.2</f>
        <v>1256640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6</v>
      </c>
      <c r="L29" s="52">
        <v>0.2</v>
      </c>
      <c r="P29" s="8"/>
      <c r="Q29" s="32"/>
    </row>
    <row r="30" spans="1:17" hidden="1" x14ac:dyDescent="0.25">
      <c r="L30" s="25">
        <f>L28*1.2</f>
        <v>1507968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R39"/>
  <sheetViews>
    <sheetView zoomScaleNormal="100" workbookViewId="0">
      <selection activeCell="M8" sqref="M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7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88671875" customWidth="1"/>
    <col min="14" max="14" width="16.88671875" customWidth="1"/>
    <col min="15" max="15" width="17.6640625" customWidth="1"/>
    <col min="16" max="16" width="10.33203125" customWidth="1"/>
    <col min="17" max="17" width="10.6640625" customWidth="1"/>
  </cols>
  <sheetData>
    <row r="1" spans="1:44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278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985248</v>
      </c>
      <c r="M8" s="49"/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v>178200</v>
      </c>
      <c r="I10" s="42"/>
      <c r="J10" s="17"/>
      <c r="K10" s="17"/>
      <c r="L10" s="43"/>
      <c r="M10" s="49"/>
      <c r="N10" s="124"/>
      <c r="O10" s="124"/>
      <c r="P10" s="124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35640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M11" s="49"/>
      <c r="N11" s="124"/>
      <c r="O11" s="124"/>
      <c r="P11" s="124"/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10000</v>
      </c>
      <c r="I12" s="42"/>
      <c r="J12" s="17"/>
      <c r="K12" s="17"/>
      <c r="L12" s="43"/>
      <c r="M12" s="49"/>
      <c r="N12" s="124"/>
      <c r="O12" s="124"/>
      <c r="P12" s="124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14000</v>
      </c>
      <c r="I13" s="46" t="s">
        <v>20</v>
      </c>
      <c r="J13" s="47"/>
      <c r="K13" s="47"/>
      <c r="L13" s="48">
        <f>L8+L11</f>
        <v>1226598.90625</v>
      </c>
      <c r="M13" s="49"/>
      <c r="N13" s="124"/>
      <c r="O13" s="124"/>
      <c r="P13" s="124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2000</v>
      </c>
      <c r="M14" s="49"/>
      <c r="N14" s="124"/>
      <c r="O14" s="124"/>
      <c r="P14" s="124"/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8000</v>
      </c>
      <c r="M15" s="49"/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M16" s="49"/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98.333333333333329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M17" s="49"/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-8.4666666666453241E-2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M18" s="49"/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1820.1720000000003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M19" s="49"/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0.26666666666666666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M20" s="49"/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2400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M21" s="49"/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M22" s="49"/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252158.68733333334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M23" s="29"/>
      <c r="P23" s="8"/>
      <c r="Q23" s="29"/>
    </row>
    <row r="24" spans="1:17" x14ac:dyDescent="0.25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2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5</v>
      </c>
      <c r="L28" s="25">
        <f>SUM(L16:L27)*1.2</f>
        <v>821040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P29" s="8"/>
      <c r="Q29" s="32"/>
    </row>
    <row r="30" spans="1:17" hidden="1" x14ac:dyDescent="0.25">
      <c r="L30" s="25">
        <f>L28*1.2</f>
        <v>985248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R39"/>
  <sheetViews>
    <sheetView zoomScaleNormal="100" workbookViewId="0">
      <selection activeCell="M8" sqref="M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441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6.88671875" hidden="1" customWidth="1"/>
    <col min="15" max="15" width="15.88671875" hidden="1" customWidth="1"/>
    <col min="16" max="16" width="14" hidden="1" customWidth="1"/>
    <col min="17" max="17" width="10.6640625" customWidth="1"/>
  </cols>
  <sheetData>
    <row r="1" spans="1:44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279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17820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4" t="s">
        <v>261</v>
      </c>
      <c r="O11" s="124" t="s">
        <v>260</v>
      </c>
      <c r="P11" s="124" t="s">
        <v>262</v>
      </c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6162.4737499999974</v>
      </c>
      <c r="I12" s="42"/>
      <c r="J12" s="17"/>
      <c r="K12" s="17"/>
      <c r="L12" s="43"/>
      <c r="N12" s="124" t="s">
        <v>263</v>
      </c>
      <c r="O12" s="124" t="s">
        <v>256</v>
      </c>
      <c r="P12" s="124" t="s">
        <v>262</v>
      </c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5484.9569166666679</v>
      </c>
      <c r="I13" s="46" t="s">
        <v>20</v>
      </c>
      <c r="J13" s="47"/>
      <c r="K13" s="47"/>
      <c r="L13" s="48">
        <f>L8+L11</f>
        <v>176574.18125000002</v>
      </c>
      <c r="N13" s="124" t="s">
        <v>264</v>
      </c>
      <c r="O13" s="124" t="s">
        <v>256</v>
      </c>
      <c r="P13" s="124" t="s">
        <v>262</v>
      </c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2.0000000001649215E-3</v>
      </c>
      <c r="N14" s="124" t="s">
        <v>265</v>
      </c>
      <c r="O14" s="124" t="s">
        <v>257</v>
      </c>
      <c r="P14" s="124" t="s">
        <v>262</v>
      </c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N15" s="124" t="s">
        <v>266</v>
      </c>
      <c r="O15" s="124" t="s">
        <v>258</v>
      </c>
      <c r="P15" s="124" t="s">
        <v>262</v>
      </c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 t="s">
        <v>267</v>
      </c>
      <c r="O16" s="124" t="s">
        <v>258</v>
      </c>
      <c r="P16" s="124" t="s">
        <v>262</v>
      </c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 t="s">
        <v>268</v>
      </c>
      <c r="O17" s="125" t="s">
        <v>36</v>
      </c>
      <c r="P17" s="124" t="s">
        <v>262</v>
      </c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122422.70891666667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</v>
      </c>
      <c r="L28" s="25">
        <f>SUM(L16:L27)*1.2</f>
        <v>106920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5">
      <c r="L30" s="25">
        <f>L28*1.2</f>
        <v>128304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Q50"/>
  <sheetViews>
    <sheetView zoomScale="80" zoomScaleNormal="100" workbookViewId="0">
      <selection activeCell="M8" sqref="M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22.66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5" max="15" width="10.33203125" customWidth="1"/>
    <col min="16" max="16" width="10.6640625" customWidth="1"/>
  </cols>
  <sheetData>
    <row r="1" spans="1:43" ht="18" x14ac:dyDescent="0.3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34" t="s">
        <v>275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I4" s="39"/>
      <c r="J4" s="40"/>
      <c r="K4" s="40"/>
      <c r="L4" s="41"/>
    </row>
    <row r="5" spans="1:43" x14ac:dyDescent="0.25">
      <c r="I5" s="42"/>
      <c r="J5" s="17" t="s">
        <v>1</v>
      </c>
      <c r="K5" s="17" t="s">
        <v>2</v>
      </c>
      <c r="L5" s="43" t="s">
        <v>3</v>
      </c>
    </row>
    <row r="6" spans="1:43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60500</v>
      </c>
      <c r="I10" s="42"/>
      <c r="J10" s="17"/>
      <c r="K10" s="17"/>
      <c r="L10" s="43"/>
      <c r="P10" s="15"/>
    </row>
    <row r="11" spans="1:43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12100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7500</v>
      </c>
      <c r="I12" s="42"/>
      <c r="J12" s="17"/>
      <c r="K12" s="17"/>
      <c r="L12" s="43"/>
      <c r="P12" s="15"/>
    </row>
    <row r="13" spans="1:43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25000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5000</v>
      </c>
      <c r="P15" s="15"/>
    </row>
    <row r="16" spans="1:43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7500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129159.2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5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5">
      <c r="K28" s="25">
        <f>SUM(K16:K27)</f>
        <v>10</v>
      </c>
      <c r="L28" s="25">
        <f>SUM(L16:L27)*1.2</f>
        <v>1630200</v>
      </c>
      <c r="O28" s="8"/>
      <c r="P28" s="8"/>
    </row>
    <row r="29" spans="1:16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O29" s="8"/>
      <c r="P29" s="32"/>
    </row>
    <row r="30" spans="1:16" hidden="1" x14ac:dyDescent="0.25">
      <c r="L30" s="25">
        <f>L28*1.2</f>
        <v>1956240</v>
      </c>
      <c r="O30" s="8"/>
      <c r="P30" s="8"/>
    </row>
    <row r="31" spans="1:16" hidden="1" x14ac:dyDescent="0.25">
      <c r="H31" s="33" t="s">
        <v>56</v>
      </c>
      <c r="L31"/>
      <c r="O31" s="8"/>
      <c r="P31" s="8"/>
    </row>
    <row r="32" spans="1:16" ht="13.8" hidden="1" x14ac:dyDescent="0.3">
      <c r="B32" s="14" t="s">
        <v>22</v>
      </c>
      <c r="C32" s="15">
        <v>254512</v>
      </c>
      <c r="L32"/>
      <c r="O32" s="8"/>
      <c r="P32" s="8"/>
    </row>
    <row r="33" spans="2:16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5">
      <c r="O35" s="8"/>
      <c r="P35" s="8"/>
    </row>
    <row r="36" spans="2:16" hidden="1" x14ac:dyDescent="0.25">
      <c r="O36" s="8"/>
      <c r="P36" s="8"/>
    </row>
    <row r="37" spans="2:16" hidden="1" x14ac:dyDescent="0.25">
      <c r="O37" s="8"/>
      <c r="P37" s="8"/>
    </row>
    <row r="38" spans="2:16" hidden="1" x14ac:dyDescent="0.25">
      <c r="O38" s="8"/>
      <c r="P38" s="8"/>
    </row>
    <row r="39" spans="2:16" x14ac:dyDescent="0.25">
      <c r="O39" s="8"/>
      <c r="P39" s="8"/>
    </row>
    <row r="42" spans="2:16" x14ac:dyDescent="0.25">
      <c r="B42" s="124"/>
      <c r="C42" s="124"/>
      <c r="D42" s="124"/>
    </row>
    <row r="43" spans="2:16" x14ac:dyDescent="0.25">
      <c r="B43" s="124"/>
      <c r="C43" s="124"/>
      <c r="D43" s="124"/>
    </row>
    <row r="44" spans="2:16" x14ac:dyDescent="0.25">
      <c r="B44" s="124"/>
      <c r="C44" s="124"/>
      <c r="D44" s="124"/>
    </row>
    <row r="45" spans="2:16" x14ac:dyDescent="0.25">
      <c r="B45" s="124"/>
      <c r="C45" s="124"/>
      <c r="D45" s="124"/>
    </row>
    <row r="46" spans="2:16" x14ac:dyDescent="0.25">
      <c r="B46" s="124"/>
      <c r="C46" s="124"/>
      <c r="D46" s="124"/>
    </row>
    <row r="47" spans="2:16" x14ac:dyDescent="0.25">
      <c r="B47" s="124"/>
      <c r="C47" s="124"/>
      <c r="D47" s="124"/>
    </row>
    <row r="48" spans="2:16" x14ac:dyDescent="0.25">
      <c r="B48" s="124"/>
      <c r="C48" s="124"/>
      <c r="D48" s="124"/>
    </row>
    <row r="49" spans="2:4" x14ac:dyDescent="0.25">
      <c r="B49" s="124"/>
      <c r="C49" s="124"/>
      <c r="D49" s="124"/>
    </row>
    <row r="50" spans="2:4" x14ac:dyDescent="0.25">
      <c r="B50" s="1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88"/>
  <sheetViews>
    <sheetView zoomScaleNormal="100" workbookViewId="0">
      <selection activeCell="Q30" sqref="Q30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2" x14ac:dyDescent="0.25">
      <c r="A1" s="83" t="s">
        <v>144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5">
      <c r="A2" s="83" t="s">
        <v>210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8" thickBo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8" thickBot="1" x14ac:dyDescent="0.3">
      <c r="A4" s="60"/>
      <c r="H4" s="84" t="s">
        <v>199</v>
      </c>
      <c r="I4" s="111"/>
      <c r="J4" s="84">
        <v>2000</v>
      </c>
      <c r="L4" s="84" t="s">
        <v>200</v>
      </c>
      <c r="N4" s="84">
        <v>2001</v>
      </c>
      <c r="P4" s="84" t="s">
        <v>0</v>
      </c>
      <c r="T4" s="84" t="s">
        <v>0</v>
      </c>
    </row>
    <row r="5" spans="1:22" ht="13.8" thickBot="1" x14ac:dyDescent="0.3">
      <c r="E5" s="84" t="s">
        <v>145</v>
      </c>
      <c r="G5" s="121" t="s">
        <v>146</v>
      </c>
      <c r="H5" s="112" t="s">
        <v>147</v>
      </c>
      <c r="I5" s="111"/>
      <c r="J5" s="112" t="s">
        <v>50</v>
      </c>
      <c r="K5" s="111"/>
      <c r="L5" s="112" t="s">
        <v>147</v>
      </c>
      <c r="M5" s="2"/>
      <c r="N5" s="112" t="s">
        <v>50</v>
      </c>
      <c r="O5" s="2"/>
      <c r="P5" s="112" t="s">
        <v>147</v>
      </c>
      <c r="R5" s="84" t="s">
        <v>148</v>
      </c>
      <c r="T5" s="112" t="s">
        <v>50</v>
      </c>
    </row>
    <row r="6" spans="1:22" x14ac:dyDescent="0.25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5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5">
      <c r="B8" t="s">
        <v>209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149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5">
      <c r="E9" s="87"/>
      <c r="F9" s="88"/>
      <c r="G9" s="87"/>
      <c r="H9" s="87"/>
      <c r="I9" s="104"/>
      <c r="J9" s="101"/>
      <c r="K9" s="104"/>
      <c r="L9" s="103" t="s">
        <v>149</v>
      </c>
      <c r="M9" s="88"/>
      <c r="N9" s="90"/>
      <c r="O9" s="88"/>
      <c r="P9" s="87"/>
      <c r="Q9" s="88"/>
      <c r="R9" s="87"/>
      <c r="T9" s="90"/>
    </row>
    <row r="10" spans="1:22" x14ac:dyDescent="0.25">
      <c r="B10" t="s">
        <v>178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5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5">
      <c r="B12" t="s">
        <v>150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5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5">
      <c r="B14" t="s">
        <v>179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5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5">
      <c r="B16" t="s">
        <v>68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5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5">
      <c r="B18" t="s">
        <v>201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5">
      <c r="E19" s="87"/>
      <c r="F19" s="88"/>
      <c r="G19" s="87"/>
      <c r="H19" s="87"/>
      <c r="I19" s="104"/>
      <c r="J19" s="101" t="s">
        <v>149</v>
      </c>
      <c r="K19" s="104"/>
      <c r="L19" s="87"/>
      <c r="M19" s="88"/>
      <c r="N19" s="90" t="s">
        <v>149</v>
      </c>
      <c r="O19" s="88"/>
      <c r="P19" s="87"/>
      <c r="Q19" s="88"/>
      <c r="R19" s="87"/>
      <c r="T19" s="90" t="s">
        <v>149</v>
      </c>
      <c r="V19" s="8"/>
    </row>
    <row r="20" spans="2:24" hidden="1" x14ac:dyDescent="0.25">
      <c r="B20" t="s">
        <v>202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5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5">
      <c r="B22" t="s">
        <v>203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5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5">
      <c r="D24" s="33" t="s">
        <v>151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5">
      <c r="H25" s="90"/>
      <c r="I25" s="8"/>
      <c r="J25" s="97"/>
      <c r="L25" s="90"/>
      <c r="N25" s="97"/>
      <c r="P25" s="87"/>
      <c r="R25" s="97"/>
      <c r="T25" s="97"/>
    </row>
    <row r="26" spans="2:24" x14ac:dyDescent="0.25">
      <c r="B26" t="s">
        <v>152</v>
      </c>
      <c r="H26" s="114">
        <v>14</v>
      </c>
      <c r="I26" s="115"/>
      <c r="J26" s="93">
        <v>128</v>
      </c>
      <c r="L26" s="90">
        <v>7.9</v>
      </c>
      <c r="M26" t="s">
        <v>149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149</v>
      </c>
      <c r="V26" t="s">
        <v>149</v>
      </c>
      <c r="W26" t="s">
        <v>149</v>
      </c>
      <c r="X26" t="s">
        <v>149</v>
      </c>
    </row>
    <row r="27" spans="2:24" x14ac:dyDescent="0.25">
      <c r="H27" s="90"/>
      <c r="I27" s="8"/>
      <c r="J27" s="90"/>
      <c r="L27" s="90"/>
      <c r="N27" s="90"/>
      <c r="P27" s="87"/>
      <c r="R27" s="98"/>
      <c r="T27" s="90"/>
    </row>
    <row r="28" spans="2:24" x14ac:dyDescent="0.25">
      <c r="B28" t="s">
        <v>204</v>
      </c>
      <c r="E28" t="s">
        <v>149</v>
      </c>
      <c r="H28" s="90">
        <v>5.7</v>
      </c>
      <c r="I28" s="8"/>
      <c r="J28" s="93">
        <v>30</v>
      </c>
      <c r="L28" s="90">
        <v>2.5</v>
      </c>
      <c r="M28" t="s">
        <v>149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5">
      <c r="H29" s="90"/>
      <c r="I29" s="8"/>
      <c r="J29" s="90"/>
      <c r="L29" s="90" t="s">
        <v>149</v>
      </c>
      <c r="N29" s="90"/>
      <c r="P29" s="87"/>
      <c r="R29" s="98"/>
      <c r="T29" s="90"/>
    </row>
    <row r="30" spans="2:24" x14ac:dyDescent="0.25">
      <c r="B30" t="s">
        <v>116</v>
      </c>
      <c r="H30" s="90">
        <v>11.4</v>
      </c>
      <c r="I30" s="8"/>
      <c r="J30" s="116" t="s">
        <v>149</v>
      </c>
      <c r="L30" s="90">
        <v>9.5</v>
      </c>
      <c r="M30" t="s">
        <v>149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5">
      <c r="H31" s="90"/>
      <c r="I31" s="8"/>
      <c r="J31" s="90"/>
      <c r="L31" s="90"/>
      <c r="M31" t="s">
        <v>149</v>
      </c>
      <c r="N31" s="90"/>
      <c r="P31" s="87"/>
      <c r="R31" s="90"/>
      <c r="T31" s="90"/>
    </row>
    <row r="32" spans="2:24" x14ac:dyDescent="0.25">
      <c r="B32" t="s">
        <v>121</v>
      </c>
      <c r="H32" s="90">
        <v>11.4</v>
      </c>
      <c r="I32" s="8"/>
      <c r="J32" s="116" t="s">
        <v>149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5">
      <c r="H33" s="90"/>
      <c r="I33" s="8"/>
      <c r="J33" s="90"/>
      <c r="L33" s="90"/>
      <c r="N33" s="90"/>
      <c r="P33" s="87"/>
      <c r="R33" s="90"/>
      <c r="T33" s="90"/>
    </row>
    <row r="34" spans="2:22" x14ac:dyDescent="0.25">
      <c r="B34" t="s">
        <v>217</v>
      </c>
      <c r="H34" s="90">
        <v>1.2</v>
      </c>
      <c r="I34" s="8"/>
      <c r="J34" s="116">
        <v>0</v>
      </c>
      <c r="L34" s="90">
        <v>0.7</v>
      </c>
      <c r="M34" t="s">
        <v>149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5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5">
      <c r="B36" t="s">
        <v>177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5">
      <c r="H37" s="90"/>
      <c r="I37" s="8"/>
      <c r="J37" s="90" t="s">
        <v>149</v>
      </c>
      <c r="L37" s="90"/>
      <c r="N37" s="90" t="s">
        <v>149</v>
      </c>
      <c r="P37" s="87"/>
      <c r="R37" s="90"/>
      <c r="T37" s="90" t="s">
        <v>149</v>
      </c>
    </row>
    <row r="38" spans="2:22" x14ac:dyDescent="0.25">
      <c r="B38" t="s">
        <v>153</v>
      </c>
      <c r="H38" s="90"/>
      <c r="I38" s="8"/>
      <c r="J38" s="116" t="s">
        <v>149</v>
      </c>
      <c r="L38" s="90"/>
      <c r="M38" t="s">
        <v>149</v>
      </c>
      <c r="N38" s="90"/>
      <c r="P38" s="87"/>
      <c r="R38" s="98"/>
      <c r="T38" s="90"/>
    </row>
    <row r="39" spans="2:22" x14ac:dyDescent="0.25">
      <c r="C39" t="s">
        <v>154</v>
      </c>
      <c r="H39" s="90">
        <v>10.199999999999999</v>
      </c>
      <c r="I39" s="8"/>
      <c r="J39" s="113" t="s">
        <v>149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5">
      <c r="C40" t="s">
        <v>155</v>
      </c>
      <c r="H40" s="90">
        <v>8.6</v>
      </c>
      <c r="I40" s="8"/>
      <c r="J40" s="113" t="s">
        <v>149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5">
      <c r="C41" t="s">
        <v>156</v>
      </c>
      <c r="H41" s="90">
        <v>5.9</v>
      </c>
      <c r="I41" s="8"/>
      <c r="J41" s="113" t="s">
        <v>149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5">
      <c r="C42" t="s">
        <v>157</v>
      </c>
      <c r="H42" s="90">
        <v>3.1</v>
      </c>
      <c r="I42" s="8"/>
      <c r="J42" s="116" t="s">
        <v>149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5">
      <c r="C43" t="s">
        <v>158</v>
      </c>
      <c r="H43" s="90">
        <v>2.7</v>
      </c>
      <c r="I43" s="8"/>
      <c r="J43" s="116" t="s">
        <v>149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5">
      <c r="C44" t="s">
        <v>159</v>
      </c>
      <c r="H44" s="90">
        <v>2.7</v>
      </c>
      <c r="I44" s="8"/>
      <c r="J44" s="116" t="s">
        <v>149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5">
      <c r="C45" t="s">
        <v>160</v>
      </c>
      <c r="H45" s="90">
        <v>2.7</v>
      </c>
      <c r="I45" s="8"/>
      <c r="J45" s="116" t="s">
        <v>149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5">
      <c r="C46" t="s">
        <v>161</v>
      </c>
      <c r="H46" s="92">
        <v>3.3</v>
      </c>
      <c r="I46" s="8"/>
      <c r="J46" s="117" t="s">
        <v>149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5">
      <c r="C47" t="s">
        <v>218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5">
      <c r="C48" t="s">
        <v>219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5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162</v>
      </c>
    </row>
    <row r="50" spans="2:23" x14ac:dyDescent="0.25">
      <c r="H50" s="90"/>
      <c r="I50" s="8"/>
      <c r="J50" s="90"/>
      <c r="L50" s="90"/>
      <c r="N50" s="90"/>
      <c r="P50" s="90"/>
      <c r="R50" s="90"/>
      <c r="T50" s="90"/>
    </row>
    <row r="51" spans="2:23" x14ac:dyDescent="0.25">
      <c r="B51" t="s">
        <v>163</v>
      </c>
      <c r="H51" s="90">
        <v>10.7</v>
      </c>
      <c r="I51" s="8"/>
      <c r="J51" s="93">
        <v>39</v>
      </c>
      <c r="L51" s="90">
        <v>4.0999999999999996</v>
      </c>
      <c r="M51" t="s">
        <v>149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5">
      <c r="H52" s="90"/>
      <c r="I52" s="8"/>
      <c r="J52" s="90"/>
      <c r="L52" s="90"/>
      <c r="N52" s="90"/>
      <c r="P52" s="90"/>
      <c r="R52" s="90"/>
      <c r="T52" s="90"/>
    </row>
    <row r="53" spans="2:23" x14ac:dyDescent="0.25">
      <c r="B53" t="s">
        <v>180</v>
      </c>
      <c r="H53" s="90">
        <v>27.5</v>
      </c>
      <c r="I53" s="8"/>
      <c r="J53" s="93">
        <v>175</v>
      </c>
      <c r="L53" s="114">
        <v>29</v>
      </c>
      <c r="M53" t="s">
        <v>149</v>
      </c>
      <c r="N53" s="99"/>
      <c r="P53" s="87">
        <v>36</v>
      </c>
      <c r="R53" s="98">
        <f>G53-P53</f>
        <v>-36</v>
      </c>
      <c r="T53" s="99">
        <v>140</v>
      </c>
      <c r="U53" t="s">
        <v>149</v>
      </c>
      <c r="V53" t="s">
        <v>149</v>
      </c>
    </row>
    <row r="54" spans="2:23" x14ac:dyDescent="0.25">
      <c r="B54" t="s">
        <v>181</v>
      </c>
      <c r="H54" s="90">
        <v>48.9</v>
      </c>
      <c r="I54" s="8"/>
      <c r="J54" s="116" t="s">
        <v>149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5">
      <c r="B55" t="s">
        <v>182</v>
      </c>
      <c r="H55" s="90">
        <v>1.1000000000000001</v>
      </c>
      <c r="I55" s="8"/>
      <c r="J55" s="116" t="s">
        <v>149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5">
      <c r="B56" t="s">
        <v>183</v>
      </c>
      <c r="H56" s="90">
        <v>0.8</v>
      </c>
      <c r="I56" s="8"/>
      <c r="J56" s="116" t="s">
        <v>149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5">
      <c r="H57" s="90"/>
      <c r="I57" s="8"/>
      <c r="J57" s="99"/>
      <c r="L57" s="90"/>
      <c r="N57" s="99"/>
      <c r="P57" s="87"/>
      <c r="R57" s="98"/>
      <c r="T57" s="99"/>
    </row>
    <row r="58" spans="2:23" x14ac:dyDescent="0.25">
      <c r="H58" s="90"/>
      <c r="I58" s="8"/>
      <c r="J58" s="90"/>
      <c r="L58" s="90"/>
      <c r="N58" s="90"/>
      <c r="P58" s="93"/>
      <c r="R58" s="90"/>
      <c r="T58" s="90"/>
    </row>
    <row r="59" spans="2:23" x14ac:dyDescent="0.25">
      <c r="B59" t="s">
        <v>164</v>
      </c>
      <c r="H59" s="90">
        <v>2.8</v>
      </c>
      <c r="I59" s="8"/>
      <c r="J59" s="116">
        <v>0</v>
      </c>
      <c r="L59" s="90">
        <v>3.5</v>
      </c>
      <c r="M59" t="s">
        <v>149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5">
      <c r="H60" s="90"/>
      <c r="I60" s="8"/>
      <c r="J60" s="90"/>
      <c r="L60" s="90"/>
      <c r="N60" s="90"/>
      <c r="P60" s="93"/>
      <c r="R60" s="90"/>
      <c r="T60" s="90"/>
    </row>
    <row r="61" spans="2:23" x14ac:dyDescent="0.25">
      <c r="B61" t="s">
        <v>129</v>
      </c>
      <c r="H61" s="90">
        <v>39.299999999999997</v>
      </c>
      <c r="I61" s="8"/>
      <c r="J61" s="93">
        <v>90</v>
      </c>
      <c r="L61" s="90">
        <v>10.1</v>
      </c>
      <c r="M61" t="s">
        <v>149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149</v>
      </c>
      <c r="V61" t="s">
        <v>149</v>
      </c>
    </row>
    <row r="62" spans="2:23" x14ac:dyDescent="0.25">
      <c r="H62" s="90"/>
      <c r="I62" s="8"/>
      <c r="J62" s="99"/>
      <c r="L62" s="90"/>
      <c r="N62" s="99"/>
      <c r="P62" s="87"/>
      <c r="R62" s="98"/>
      <c r="T62" s="99"/>
      <c r="V62" t="s">
        <v>149</v>
      </c>
    </row>
    <row r="63" spans="2:23" x14ac:dyDescent="0.25">
      <c r="B63" t="s">
        <v>165</v>
      </c>
      <c r="H63" s="90"/>
      <c r="I63" s="8"/>
      <c r="J63" s="99"/>
      <c r="L63" s="90"/>
      <c r="M63" t="s">
        <v>149</v>
      </c>
      <c r="N63" s="99"/>
      <c r="P63" s="87"/>
      <c r="R63" s="98"/>
      <c r="T63" s="99"/>
    </row>
    <row r="64" spans="2:23" x14ac:dyDescent="0.25">
      <c r="C64" t="s">
        <v>184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5">
      <c r="C65" t="s">
        <v>185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5">
      <c r="C66" t="s">
        <v>162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5">
      <c r="C67" t="s">
        <v>68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5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5">
      <c r="B69" t="s">
        <v>205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5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5">
      <c r="B71" t="s">
        <v>15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5">
      <c r="H72" s="90"/>
      <c r="I72" s="8"/>
      <c r="J72" s="99"/>
      <c r="L72" s="90"/>
      <c r="N72" s="99"/>
      <c r="P72" s="87"/>
      <c r="R72" s="98"/>
      <c r="T72" s="99"/>
    </row>
    <row r="73" spans="2:21" x14ac:dyDescent="0.25">
      <c r="B73" t="s">
        <v>186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5">
      <c r="H74" s="90"/>
      <c r="I74" s="8"/>
      <c r="J74" s="99"/>
      <c r="L74" s="90"/>
      <c r="N74" s="99"/>
      <c r="P74" s="87"/>
      <c r="R74" s="98"/>
      <c r="T74" s="99"/>
    </row>
    <row r="75" spans="2:21" x14ac:dyDescent="0.25">
      <c r="H75" s="90"/>
      <c r="I75" s="8"/>
      <c r="J75" s="99"/>
      <c r="L75" s="90"/>
      <c r="N75" s="99"/>
      <c r="P75" s="87"/>
      <c r="R75" s="98"/>
      <c r="T75" s="99"/>
    </row>
    <row r="76" spans="2:21" x14ac:dyDescent="0.25">
      <c r="B76" t="s">
        <v>187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206</v>
      </c>
    </row>
    <row r="77" spans="2:21" x14ac:dyDescent="0.25">
      <c r="H77" s="90"/>
      <c r="I77" s="8"/>
      <c r="J77" s="99"/>
      <c r="L77" s="90"/>
      <c r="N77" s="99"/>
      <c r="P77" s="87"/>
      <c r="R77" s="98"/>
      <c r="T77" s="99"/>
      <c r="U77" t="s">
        <v>207</v>
      </c>
    </row>
    <row r="78" spans="2:21" x14ac:dyDescent="0.25">
      <c r="B78" t="s">
        <v>166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5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5">
      <c r="D80" s="33" t="s">
        <v>167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149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5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5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5">
      <c r="D83" s="33" t="s">
        <v>208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5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5">
      <c r="B85" t="s">
        <v>211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5">
      <c r="B86" t="s">
        <v>212</v>
      </c>
      <c r="G86" s="8"/>
      <c r="H86" s="8"/>
      <c r="I86" s="8"/>
      <c r="J86" s="8"/>
      <c r="K86" s="8"/>
      <c r="L86" s="8"/>
    </row>
    <row r="87" spans="2:20" x14ac:dyDescent="0.25">
      <c r="B87" t="s">
        <v>213</v>
      </c>
      <c r="G87" s="8"/>
      <c r="H87" s="8"/>
      <c r="I87" s="8"/>
      <c r="J87" s="8"/>
      <c r="K87" s="8"/>
      <c r="L87" s="8"/>
    </row>
    <row r="88" spans="2:20" x14ac:dyDescent="0.25">
      <c r="B88" t="s">
        <v>214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R39"/>
  <sheetViews>
    <sheetView zoomScaleNormal="100" workbookViewId="0">
      <selection activeCell="M8" sqref="M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22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21" customWidth="1"/>
    <col min="15" max="15" width="19" customWidth="1"/>
    <col min="16" max="16" width="28.44140625" bestFit="1" customWidth="1"/>
    <col min="17" max="17" width="10.6640625" customWidth="1"/>
  </cols>
  <sheetData>
    <row r="1" spans="1:44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277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+H10*0.2+6384</f>
        <v>24204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4"/>
      <c r="O11" s="124"/>
      <c r="P11" s="124"/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(E12/$E$29)*$K$11</f>
        <v>6162.4737499999974</v>
      </c>
      <c r="I12" s="42"/>
      <c r="J12" s="17"/>
      <c r="K12" s="17"/>
      <c r="L12" s="43"/>
      <c r="N12" s="124"/>
      <c r="O12" s="124"/>
      <c r="P12" s="124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15000</v>
      </c>
      <c r="I13" s="46" t="s">
        <v>20</v>
      </c>
      <c r="J13" s="47"/>
      <c r="K13" s="47"/>
      <c r="L13" s="48">
        <f>L8+L11</f>
        <v>176574.18125000002</v>
      </c>
      <c r="N13" s="124"/>
      <c r="O13" s="124"/>
      <c r="P13" s="124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ref="H14:H21" si="1">(E14/$E$29)*$K$11</f>
        <v>2.0000000001649215E-3</v>
      </c>
      <c r="N14" s="124"/>
      <c r="O14" s="124"/>
      <c r="P14" s="124"/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N15" s="124"/>
      <c r="O15" s="124"/>
      <c r="P15" s="124"/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/>
      <c r="O17" s="124"/>
      <c r="P17" s="124"/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N18" s="124"/>
      <c r="O18" s="124"/>
      <c r="P18" s="124"/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138321.75200000001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</v>
      </c>
      <c r="L28" s="25">
        <f>SUM(L16:L27)*1.2</f>
        <v>106920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5">
      <c r="L30" s="25">
        <f>L28*1.2</f>
        <v>128304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R39"/>
  <sheetViews>
    <sheetView zoomScaleNormal="100" workbookViewId="0">
      <selection activeCell="M4" sqref="M4:M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441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6.88671875" customWidth="1"/>
    <col min="15" max="15" width="15.88671875" customWidth="1"/>
    <col min="16" max="16" width="14" customWidth="1"/>
    <col min="17" max="17" width="10.6640625" customWidth="1"/>
  </cols>
  <sheetData>
    <row r="1" spans="1:44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251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1037520</v>
      </c>
      <c r="I8" s="42" t="s">
        <v>10</v>
      </c>
      <c r="J8" s="17">
        <v>0</v>
      </c>
      <c r="K8" s="17"/>
      <c r="L8" s="43">
        <f>L30</f>
        <v>1351944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225324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43137.316249999982</v>
      </c>
      <c r="I12" s="42"/>
      <c r="J12" s="17"/>
      <c r="K12" s="17"/>
      <c r="L12" s="43"/>
      <c r="N12" s="124"/>
      <c r="O12" s="124"/>
      <c r="P12" s="124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38394.698416666673</v>
      </c>
      <c r="I13" s="46" t="s">
        <v>20</v>
      </c>
      <c r="J13" s="47"/>
      <c r="K13" s="47"/>
      <c r="L13" s="48">
        <f>L8+L11</f>
        <v>1689835.26875</v>
      </c>
      <c r="N13" s="124"/>
      <c r="O13" s="124"/>
      <c r="P13" s="124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1.400000000115445E-2</v>
      </c>
      <c r="N14" s="124"/>
      <c r="O14" s="124"/>
      <c r="P14" s="124"/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6099.5083333333323</v>
      </c>
      <c r="N15" s="124"/>
      <c r="O15" s="124"/>
      <c r="P15" s="124"/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344.16666666666663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/>
      <c r="O17" s="125"/>
      <c r="P17" s="124"/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6250.7036666666672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6370.6019999999999</v>
      </c>
      <c r="I19" s="25" t="s">
        <v>36</v>
      </c>
      <c r="J19" s="25">
        <v>57750</v>
      </c>
      <c r="K19" s="25">
        <v>1</v>
      </c>
      <c r="L19" s="25">
        <f t="shared" si="2"/>
        <v>57750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0.93333333333333335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7921.0197499999931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1460462.9624166666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2"/>
        <v>396000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7</v>
      </c>
      <c r="L28" s="25">
        <f>SUM(L16:L27)*1.2</f>
        <v>1126620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5">
      <c r="L30" s="25">
        <f>L28*1.2</f>
        <v>1351944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topLeftCell="A6"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36" width="9.109375" hidden="1" customWidth="1"/>
  </cols>
  <sheetData>
    <row r="1" spans="1:45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34" t="s">
        <v>87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'East Power Trading'!F8+'East Power Origination'!F8+'East Power A&amp;A'!F8+'East Power Admins'!F8</f>
        <v>6382800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9273600</v>
      </c>
      <c r="O8" s="15">
        <f>+F8/$F$29*$O$29</f>
        <v>98196.923076923078</v>
      </c>
    </row>
    <row r="9" spans="1:45" ht="13.8" hidden="1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f>'East Power Trading'!F9+'East Power Origination'!F9+'East Power A&amp;A'!F9+'East Power Admins'!F9</f>
        <v>0</v>
      </c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'East Power Trading'!F10+'East Power Origination'!F10+'East Power A&amp;A'!F10+'East Power Admins'!F10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22541.538461538461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'East Power Trading'!F11+'East Power Origination'!F11+'East Power A&amp;A'!F11+'East Power Admins'!F11</f>
        <v>1569600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24147.692307692309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15">
        <f>'East Power Trading'!F12+'East Power Origination'!F12+'East Power A&amp;A'!F12+'East Power Admins'!F12</f>
        <v>358375.51631205669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5513.4694817239488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15">
        <f>'East Power Trading'!F13+'East Power Origination'!F13+'East Power A&amp;A'!F13+'East Power Admins'!F13</f>
        <v>950210.41588652483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11300875.641645391</v>
      </c>
      <c r="O13" s="15">
        <f t="shared" si="1"/>
        <v>14618.621782869614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15">
        <f>'East Power Trading'!F14+'East Power Origination'!F14+'East Power A&amp;A'!F14+'East Power Admins'!F14</f>
        <v>500000.1422978724</v>
      </c>
      <c r="H14" s="16">
        <f t="shared" si="0"/>
        <v>2.9853903459396468E-8</v>
      </c>
      <c r="N14" s="49"/>
      <c r="O14" s="15">
        <f t="shared" si="1"/>
        <v>7692.3098815057292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15">
        <f>'East Power Trading'!F15+'East Power Origination'!F15+'East Power A&amp;A'!F15+'East Power Admins'!F15</f>
        <v>68763.273191489352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15">
        <f>'East Power Trading'!F16+'East Power Origination'!F16+'East Power A&amp;A'!F16+'East Power Admins'!F16</f>
        <v>0</v>
      </c>
      <c r="H16" s="16">
        <f t="shared" si="0"/>
        <v>0</v>
      </c>
      <c r="J16" t="s">
        <v>27</v>
      </c>
      <c r="K16" s="25">
        <v>33600</v>
      </c>
      <c r="L16">
        <v>2</v>
      </c>
      <c r="M16" s="25">
        <f t="shared" ref="M16:M27" si="3">K16*L16</f>
        <v>67200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15">
        <f>'East Power Trading'!F17+'East Power Origination'!F17+'East Power A&amp;A'!F17+'East Power Admins'!F17</f>
        <v>3909.2198581560283</v>
      </c>
      <c r="H17" s="16">
        <f t="shared" si="0"/>
        <v>4.1638339022207621E-4</v>
      </c>
      <c r="J17" t="s">
        <v>30</v>
      </c>
      <c r="K17" s="25">
        <v>52800</v>
      </c>
      <c r="L17">
        <v>2</v>
      </c>
      <c r="M17" s="25">
        <f t="shared" si="3"/>
        <v>105600</v>
      </c>
      <c r="O17" s="15">
        <f t="shared" si="1"/>
        <v>60.141843971631204</v>
      </c>
    </row>
    <row r="18" spans="1:15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15">
        <f>'East Power Trading'!F18+'East Power Origination'!F18+'East Power A&amp;A'!F18+'East Power Admins'!F18</f>
        <v>211.90184397162867</v>
      </c>
      <c r="H18" s="16">
        <f t="shared" si="0"/>
        <v>2.2570336637150724E-5</v>
      </c>
      <c r="J18" t="s">
        <v>33</v>
      </c>
      <c r="K18" s="25">
        <v>54000</v>
      </c>
      <c r="L18">
        <f>1</f>
        <v>1</v>
      </c>
      <c r="M18" s="25">
        <f t="shared" si="3"/>
        <v>54000</v>
      </c>
      <c r="O18" s="15">
        <f t="shared" si="1"/>
        <v>3.2600283687942873</v>
      </c>
    </row>
    <row r="19" spans="1:15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15">
        <f>'East Power Trading'!F19+'East Power Origination'!F19+'East Power A&amp;A'!F19+'East Power Admins'!F19</f>
        <v>359315.72198581562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5527.9341843971633</v>
      </c>
    </row>
    <row r="20" spans="1:15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15">
        <f>'East Power Trading'!F20+'East Power Origination'!F20+'East Power A&amp;A'!F20+'East Power Admins'!F20</f>
        <v>29.275914893617024</v>
      </c>
      <c r="H20" s="16">
        <f t="shared" si="0"/>
        <v>6.1420478202947023E-6</v>
      </c>
      <c r="J20" t="s">
        <v>39</v>
      </c>
      <c r="K20" s="25">
        <v>78000</v>
      </c>
      <c r="L20">
        <f>6</f>
        <v>6</v>
      </c>
      <c r="M20" s="25">
        <f t="shared" si="3"/>
        <v>468000</v>
      </c>
      <c r="O20" s="15">
        <f t="shared" si="1"/>
        <v>0.45039869067103117</v>
      </c>
    </row>
    <row r="21" spans="1:15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15">
        <f>'East Power Trading'!F21+'East Power Origination'!F21+'East Power A&amp;A'!F21+'East Power Admins'!F21</f>
        <v>467194.92198581551</v>
      </c>
      <c r="H21" s="16">
        <f t="shared" si="0"/>
        <v>4.9762411061411306E-2</v>
      </c>
      <c r="J21" t="s">
        <v>42</v>
      </c>
      <c r="K21" s="25">
        <v>66000</v>
      </c>
      <c r="L21">
        <f>6</f>
        <v>6</v>
      </c>
      <c r="M21" s="25">
        <f t="shared" si="3"/>
        <v>396000</v>
      </c>
      <c r="O21" s="15">
        <f t="shared" si="1"/>
        <v>7187.6141843971618</v>
      </c>
    </row>
    <row r="22" spans="1:15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15">
        <f>'East Power Trading'!F22+'East Power Origination'!F22+'East Power A&amp;A'!F22+'East Power Admins'!F22</f>
        <v>877.90751773049635</v>
      </c>
      <c r="H22" s="16">
        <f t="shared" si="0"/>
        <v>9.350871063734415E-5</v>
      </c>
      <c r="J22" t="s">
        <v>45</v>
      </c>
      <c r="K22" s="25">
        <v>97200</v>
      </c>
      <c r="L22">
        <f>10+1</f>
        <v>11</v>
      </c>
      <c r="M22" s="25">
        <f t="shared" si="3"/>
        <v>1069200</v>
      </c>
      <c r="O22" s="15">
        <f t="shared" si="1"/>
        <v>13.506269503546097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12126488.296794331</v>
      </c>
      <c r="H23" s="30">
        <f>SUM(H8:H22)</f>
        <v>1</v>
      </c>
      <c r="J23" t="s">
        <v>48</v>
      </c>
      <c r="K23" s="25">
        <v>120000</v>
      </c>
      <c r="L23">
        <f>11+4</f>
        <v>15</v>
      </c>
      <c r="M23" s="25">
        <f t="shared" si="3"/>
        <v>1800000</v>
      </c>
      <c r="O23" s="58">
        <f>SUM(O8:O22)</f>
        <v>186561.3584122204</v>
      </c>
    </row>
    <row r="24" spans="1:15" x14ac:dyDescent="0.25">
      <c r="J24" t="s">
        <v>49</v>
      </c>
      <c r="K24" s="25">
        <v>156000</v>
      </c>
      <c r="L24">
        <f>2+4+7</f>
        <v>13</v>
      </c>
      <c r="M24" s="25">
        <f t="shared" si="3"/>
        <v>2028000</v>
      </c>
    </row>
    <row r="25" spans="1:15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15">
        <f>'East Power Trading'!F25+'East Power Origination'!F25+'East Power A&amp;A'!F25+'East Power Admins'!F25</f>
        <v>48</v>
      </c>
      <c r="J25" t="s">
        <v>51</v>
      </c>
      <c r="K25" s="25">
        <v>180000</v>
      </c>
      <c r="L25">
        <f>1</f>
        <v>1</v>
      </c>
      <c r="M25" s="25">
        <f t="shared" si="3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f>4+1</f>
        <v>5</v>
      </c>
      <c r="M26" s="25">
        <f t="shared" si="3"/>
        <v>1080000</v>
      </c>
      <c r="O26" s="15"/>
    </row>
    <row r="27" spans="1:15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15">
        <f>'East Power Trading'!F27+'East Power Origination'!F27+'East Power A&amp;A'!F27+'East Power Admins'!F27</f>
        <v>17</v>
      </c>
      <c r="J27" t="s">
        <v>54</v>
      </c>
      <c r="K27" s="25">
        <v>240000</v>
      </c>
      <c r="L27">
        <v>2</v>
      </c>
      <c r="M27" s="25">
        <f t="shared" si="3"/>
        <v>480000</v>
      </c>
      <c r="O27" s="31">
        <f>SUM(U21:U22)</f>
        <v>0</v>
      </c>
    </row>
    <row r="28" spans="1:15" ht="13.8" x14ac:dyDescent="0.3">
      <c r="B28" s="27"/>
      <c r="L28">
        <f>SUM(L16:L27)</f>
        <v>64</v>
      </c>
      <c r="M28" s="25">
        <f>SUM(M16:M27)</f>
        <v>7728000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65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T34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6" width="9.109375" hidden="1" customWidth="1"/>
  </cols>
  <sheetData>
    <row r="1" spans="1:45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34" t="s">
        <v>220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M16+M17+M18+M19+M20+M23+M24+M26+M27+M25</f>
        <v>4129200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4955040</v>
      </c>
      <c r="O8" s="15">
        <f t="shared" ref="O8:O22" si="1">+F8/$F$29*$O$29</f>
        <v>129037.5</v>
      </c>
    </row>
    <row r="9" spans="1:45" ht="13.8" hidden="1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E12/$E$29*$L$11-52061</f>
        <v>150000.05418439716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4687.5016932624112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E13/$E$29*$L$11-168337</f>
        <v>199999.94320567377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5968677.8208226953</v>
      </c>
      <c r="O13" s="15">
        <f t="shared" si="1"/>
        <v>6249.9982251773054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>200000+300000</f>
        <v>500000</v>
      </c>
      <c r="H14" s="16">
        <f t="shared" si="0"/>
        <v>2.9853903459396468E-8</v>
      </c>
      <c r="N14" s="49"/>
      <c r="O14" s="15">
        <f t="shared" si="1"/>
        <v>15625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ref="F15:F22" si="3">E15/$E$29*$L$11</f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33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E21/$E$29*$L$11</f>
        <v>230003.65390070918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6248251.2940709218</v>
      </c>
      <c r="H23" s="30">
        <f>SUM(H8:H22)</f>
        <v>1</v>
      </c>
      <c r="J23" t="s">
        <v>48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195257.85293971631</v>
      </c>
    </row>
    <row r="24" spans="1:15" x14ac:dyDescent="0.25">
      <c r="J24" t="s">
        <v>49</v>
      </c>
      <c r="K24" s="25">
        <v>156000</v>
      </c>
      <c r="L24">
        <f>2+4+7-7</f>
        <v>6</v>
      </c>
      <c r="M24" s="25">
        <f t="shared" si="4"/>
        <v>936000</v>
      </c>
    </row>
    <row r="25" spans="1:15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32</v>
      </c>
      <c r="J25" t="s">
        <v>51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32</v>
      </c>
      <c r="M28" s="25">
        <f>SUM(M16:M27)</f>
        <v>4129200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S34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9" width="9.109375" hidden="1" customWidth="1"/>
  </cols>
  <sheetData>
    <row r="1" spans="1:45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34" t="s">
        <v>221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M16+M17+M18+M19+M20+M23+M24+M26+M27</f>
        <v>2148000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2577600</v>
      </c>
      <c r="O8" s="15">
        <f t="shared" ref="O8:O22" si="1">+F8/$F$29*$O$29</f>
        <v>153428.57142857142</v>
      </c>
    </row>
    <row r="9" spans="1:45" ht="13.8" hidden="1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429600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14</v>
      </c>
      <c r="M11" s="18">
        <f>K11*L11</f>
        <v>443466.54660992895</v>
      </c>
      <c r="O11" s="15">
        <f t="shared" si="1"/>
        <v>30685.714285714286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88401.711205673753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E13/$E$29*$L$11+370363</f>
        <v>531510.41265248228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3021066.5466099288</v>
      </c>
      <c r="O13" s="15">
        <f t="shared" si="1"/>
        <v>37965.029475177304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6.0368794345475249E-2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14810.551148936169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841.98581560283685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45.640397163120021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77391.078581560287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12.420085106382979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100626.59858156026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189.08777304964539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3391429.5466099298</v>
      </c>
      <c r="H23" s="30">
        <f>SUM(H8:H22)</f>
        <v>1</v>
      </c>
      <c r="J23" t="s">
        <v>48</v>
      </c>
      <c r="K23" s="25">
        <v>120000</v>
      </c>
      <c r="L23">
        <v>5</v>
      </c>
      <c r="M23" s="25">
        <f t="shared" si="4"/>
        <v>600000</v>
      </c>
      <c r="O23" s="58">
        <f>SUM(O8:O22)</f>
        <v>242244.96761499488</v>
      </c>
    </row>
    <row r="24" spans="1:15" x14ac:dyDescent="0.25">
      <c r="J24" t="s">
        <v>49</v>
      </c>
      <c r="K24" s="25">
        <v>156000</v>
      </c>
      <c r="L24">
        <v>7</v>
      </c>
      <c r="M24" s="25">
        <f t="shared" si="4"/>
        <v>1092000</v>
      </c>
    </row>
    <row r="25" spans="1:15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14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4"/>
        <v>216000</v>
      </c>
      <c r="O26" s="15"/>
    </row>
    <row r="27" spans="1:15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14</v>
      </c>
      <c r="M28" s="25">
        <f>SUM(M16:M27)</f>
        <v>2148000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14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14</v>
      </c>
      <c r="M34" s="37">
        <f>+K34*L34</f>
        <v>443466.54660992895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AU34"/>
  <sheetViews>
    <sheetView zoomScaleNormal="100" workbookViewId="0">
      <selection activeCell="D64" sqref="D64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hidden="1" customWidth="1"/>
    <col min="5" max="5" width="13.88671875" hidden="1" customWidth="1"/>
    <col min="6" max="6" width="2.5546875" customWidth="1"/>
    <col min="7" max="7" width="13.55468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16" width="19.44140625" hidden="1" customWidth="1"/>
    <col min="17" max="17" width="20.5546875" hidden="1" customWidth="1"/>
    <col min="18" max="18" width="0" hidden="1" customWidth="1"/>
  </cols>
  <sheetData>
    <row r="1" spans="1:47" ht="18" x14ac:dyDescent="0.35">
      <c r="B1" s="134" t="str">
        <f>'[22]Team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34" t="s">
        <v>232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SUM(N16:N20,N23:N27)</f>
        <v>2157000</v>
      </c>
      <c r="H8" s="15"/>
      <c r="I8" s="16">
        <f t="shared" ref="I8:I22" si="0">+G8/$G$23</f>
        <v>0.6248277961861054</v>
      </c>
      <c r="K8" s="7" t="s">
        <v>10</v>
      </c>
      <c r="L8" s="17">
        <v>0</v>
      </c>
      <c r="M8" s="8">
        <v>64</v>
      </c>
      <c r="N8" s="18">
        <f>N28</f>
        <v>2588400</v>
      </c>
      <c r="O8" s="15">
        <f t="shared" ref="O8:O22" si="1">+G8/$G$29*$O$29</f>
        <v>134812.5</v>
      </c>
    </row>
    <row r="9" spans="1:47" ht="13.8" hidden="1" x14ac:dyDescent="0.3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  <c r="P10" s="124"/>
      <c r="Q10" s="124"/>
      <c r="R10" s="124"/>
    </row>
    <row r="11" spans="1:47" ht="13.8" x14ac:dyDescent="0.3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+G8*0.2+(N21+N22)*0.2</f>
        <v>431400</v>
      </c>
      <c r="H11" s="15"/>
      <c r="I11" s="16">
        <f t="shared" si="0"/>
        <v>0.12496555923722108</v>
      </c>
      <c r="K11" s="7" t="s">
        <v>15</v>
      </c>
      <c r="L11" s="19">
        <f>(E12+E13+E14+E15+E16+E17+E18+E19+E20+E21+E22)/E29</f>
        <v>47533.855280898868</v>
      </c>
      <c r="M11" s="8">
        <f>M28</f>
        <v>16</v>
      </c>
      <c r="N11" s="18">
        <f>L11*M11</f>
        <v>760541.68449438189</v>
      </c>
      <c r="O11" s="15">
        <f t="shared" si="1"/>
        <v>26962.5</v>
      </c>
      <c r="P11" s="124"/>
      <c r="Q11" s="124"/>
      <c r="R11" s="124"/>
    </row>
    <row r="12" spans="1:47" ht="13.8" x14ac:dyDescent="0.3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+(100*12*16)+(500*12*11)+((10000/9)*4)+30000+25000+25000</f>
        <v>169644.44444444444</v>
      </c>
      <c r="H12" s="15"/>
      <c r="I12" s="16">
        <f t="shared" si="0"/>
        <v>4.914166173270209E-2</v>
      </c>
      <c r="K12" s="7"/>
      <c r="L12" s="8"/>
      <c r="M12" s="8"/>
      <c r="N12" s="9"/>
      <c r="O12" s="15">
        <f t="shared" si="1"/>
        <v>10602.777777777777</v>
      </c>
      <c r="P12" s="124"/>
      <c r="Q12" s="124"/>
      <c r="R12" s="124"/>
    </row>
    <row r="13" spans="1:47" ht="14.4" thickBot="1" x14ac:dyDescent="0.3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+(3*1100*11)+(2*1100*5)+(8*1100*11)+(5*1100*5)+(16*300*6)</f>
        <v>200400</v>
      </c>
      <c r="H13" s="15"/>
      <c r="I13" s="16">
        <f t="shared" si="0"/>
        <v>5.8050760480155547E-2</v>
      </c>
      <c r="K13" s="22" t="s">
        <v>20</v>
      </c>
      <c r="L13" s="23"/>
      <c r="M13" s="23"/>
      <c r="N13" s="24">
        <f>N8+N11</f>
        <v>3348941.6844943818</v>
      </c>
      <c r="O13" s="15">
        <f t="shared" si="1"/>
        <v>12525</v>
      </c>
      <c r="P13" s="124"/>
      <c r="Q13" s="124"/>
      <c r="R13" s="124"/>
    </row>
    <row r="14" spans="1:47" ht="13.8" x14ac:dyDescent="0.3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f>120000+40000</f>
        <v>160000</v>
      </c>
      <c r="H14" s="15"/>
      <c r="I14" s="16">
        <f t="shared" si="0"/>
        <v>4.6347912559006429E-2</v>
      </c>
      <c r="O14" s="15">
        <f t="shared" si="1"/>
        <v>10000</v>
      </c>
      <c r="P14" s="124"/>
      <c r="Q14" s="124"/>
      <c r="R14" s="124"/>
    </row>
    <row r="15" spans="1:47" ht="13.8" x14ac:dyDescent="0.3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46080</v>
      </c>
      <c r="H15" s="15"/>
      <c r="I15" s="16">
        <f t="shared" si="0"/>
        <v>1.3348198816993851E-2</v>
      </c>
      <c r="O15" s="15">
        <f t="shared" si="1"/>
        <v>2880</v>
      </c>
      <c r="P15" s="124"/>
      <c r="Q15" s="124"/>
      <c r="R15" s="124"/>
    </row>
    <row r="16" spans="1:47" ht="13.8" x14ac:dyDescent="0.3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v>20000</v>
      </c>
      <c r="H16" s="15"/>
      <c r="I16" s="16">
        <f t="shared" si="0"/>
        <v>5.7934890698758037E-3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1250</v>
      </c>
      <c r="P16" s="124"/>
      <c r="Q16" s="124"/>
      <c r="R16" s="124"/>
    </row>
    <row r="17" spans="1:18" ht="13.8" x14ac:dyDescent="0.3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6094</v>
      </c>
      <c r="H17" s="15"/>
      <c r="I17" s="16">
        <f t="shared" si="0"/>
        <v>1.7652761195911574E-3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380.875</v>
      </c>
      <c r="P17" s="124"/>
      <c r="Q17" s="124"/>
      <c r="R17" s="124"/>
    </row>
    <row r="18" spans="1:18" ht="13.8" x14ac:dyDescent="0.3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+(75*12*16)+(3000*12)+(3000*12)+(500*12)</f>
        <v>92400</v>
      </c>
      <c r="H18" s="15"/>
      <c r="I18" s="16">
        <f t="shared" si="0"/>
        <v>2.676591950282621E-2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5775</v>
      </c>
      <c r="P18" s="124"/>
      <c r="Q18" s="124"/>
      <c r="R18" s="124"/>
    </row>
    <row r="19" spans="1:18" ht="13.8" x14ac:dyDescent="0.3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>(82000/15*11)+(22000/9*5)</f>
        <v>72355.555555555562</v>
      </c>
      <c r="H19" s="15"/>
      <c r="I19" s="16">
        <f t="shared" si="0"/>
        <v>2.095955601279513E-2</v>
      </c>
      <c r="K19" t="s">
        <v>36</v>
      </c>
      <c r="L19" s="25">
        <v>63000</v>
      </c>
      <c r="M19">
        <f>5</f>
        <v>5</v>
      </c>
      <c r="N19" s="25">
        <f t="shared" si="3"/>
        <v>315000</v>
      </c>
      <c r="O19" s="15">
        <f t="shared" si="1"/>
        <v>4522.2222222222226</v>
      </c>
      <c r="P19" s="124"/>
      <c r="Q19" s="124"/>
      <c r="R19" s="124"/>
    </row>
    <row r="20" spans="1:18" ht="13.8" x14ac:dyDescent="0.3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f>1</f>
        <v>1</v>
      </c>
      <c r="N20" s="25">
        <f t="shared" si="3"/>
        <v>78000</v>
      </c>
      <c r="O20" s="15">
        <f t="shared" si="1"/>
        <v>0</v>
      </c>
      <c r="P20" s="124"/>
      <c r="Q20" s="124"/>
      <c r="R20" s="124"/>
    </row>
    <row r="21" spans="1:18" ht="13.8" x14ac:dyDescent="0.3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75000</v>
      </c>
      <c r="H21" s="15"/>
      <c r="I21" s="16">
        <f t="shared" si="0"/>
        <v>2.1725584012034262E-2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4687.5</v>
      </c>
      <c r="P21" s="124"/>
      <c r="Q21" s="124"/>
      <c r="R21" s="124"/>
    </row>
    <row r="22" spans="1:18" ht="13.8" x14ac:dyDescent="0.3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+E22/$E$29*$M$11</f>
        <v>21777.15775280898</v>
      </c>
      <c r="H22" s="15"/>
      <c r="I22" s="16">
        <f t="shared" si="0"/>
        <v>6.3082862706929973E-3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1361.0723595505613</v>
      </c>
      <c r="P22" s="124"/>
      <c r="Q22" s="124"/>
      <c r="R22" s="124"/>
    </row>
    <row r="23" spans="1:18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3452151.1577528091</v>
      </c>
      <c r="H23" s="29"/>
      <c r="I23" s="30">
        <f>SUM(I8:I22)</f>
        <v>1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215759.44735955057</v>
      </c>
      <c r="P23" s="124"/>
      <c r="Q23" s="124"/>
      <c r="R23" s="124"/>
    </row>
    <row r="24" spans="1:18" x14ac:dyDescent="0.25">
      <c r="K24" t="s">
        <v>49</v>
      </c>
      <c r="L24" s="25">
        <v>156000</v>
      </c>
      <c r="M24">
        <v>7</v>
      </c>
      <c r="N24" s="25">
        <f t="shared" si="3"/>
        <v>1092000</v>
      </c>
      <c r="P24" s="124"/>
      <c r="Q24" s="124"/>
      <c r="R24" s="124"/>
    </row>
    <row r="25" spans="1:18" ht="13.8" x14ac:dyDescent="0.3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16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  <c r="P25" s="124"/>
      <c r="Q25" s="124"/>
      <c r="R25" s="124"/>
    </row>
    <row r="26" spans="1:18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2</v>
      </c>
      <c r="N26" s="25">
        <f t="shared" si="3"/>
        <v>432000</v>
      </c>
      <c r="O26" s="15"/>
    </row>
    <row r="27" spans="1:18" ht="13.8" x14ac:dyDescent="0.3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1</v>
      </c>
      <c r="N27" s="25">
        <f t="shared" si="3"/>
        <v>240000</v>
      </c>
      <c r="O27" s="31">
        <f>+U21+U22</f>
        <v>0</v>
      </c>
    </row>
    <row r="28" spans="1:18" x14ac:dyDescent="0.25">
      <c r="M28">
        <f>SUM(M16:M27)</f>
        <v>16</v>
      </c>
      <c r="N28" s="25">
        <f>SUM(N16:N27)*1.2</f>
        <v>2588400</v>
      </c>
    </row>
    <row r="29" spans="1:18" ht="13.8" x14ac:dyDescent="0.3">
      <c r="B29" s="27" t="s">
        <v>55</v>
      </c>
      <c r="C29" s="15"/>
      <c r="E29" s="31">
        <f>+E27+E25</f>
        <v>89</v>
      </c>
      <c r="F29" s="32"/>
      <c r="G29" s="31">
        <f>+G27+G25</f>
        <v>16</v>
      </c>
      <c r="H29" s="32"/>
      <c r="I29" s="25"/>
      <c r="O29" s="31">
        <v>1</v>
      </c>
    </row>
    <row r="31" spans="1:18" x14ac:dyDescent="0.25">
      <c r="J31" s="33" t="s">
        <v>56</v>
      </c>
      <c r="K31" s="25"/>
      <c r="L31" s="25"/>
      <c r="M31" s="25"/>
    </row>
    <row r="32" spans="1:18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16</v>
      </c>
      <c r="N34" s="37">
        <f>+L34*M34</f>
        <v>760541.68449438189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U34"/>
  <sheetViews>
    <sheetView zoomScaleNormal="100" workbookViewId="0">
      <selection activeCell="D64" sqref="D64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16" width="20.33203125" hidden="1" customWidth="1"/>
    <col min="17" max="17" width="20.88671875" hidden="1" customWidth="1"/>
    <col min="18" max="18" width="0" hidden="1" customWidth="1"/>
  </cols>
  <sheetData>
    <row r="1" spans="1:47" ht="18" x14ac:dyDescent="0.35">
      <c r="B1" s="134" t="str">
        <f>'[22]Team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34" t="s">
        <v>233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SUM(N16:N20,N23:N27)</f>
        <v>1896000</v>
      </c>
      <c r="H8" s="15"/>
      <c r="I8" s="16">
        <f t="shared" ref="I8:I22" si="0">+G8/$G$23</f>
        <v>0.57104930833292755</v>
      </c>
      <c r="K8" s="7" t="s">
        <v>10</v>
      </c>
      <c r="L8" s="17">
        <v>0</v>
      </c>
      <c r="M8" s="8">
        <v>64</v>
      </c>
      <c r="N8" s="18">
        <f>N28</f>
        <v>2275200</v>
      </c>
      <c r="O8" s="15">
        <f t="shared" ref="O8:O22" si="1">+G8/$G$29*$O$29</f>
        <v>158000</v>
      </c>
    </row>
    <row r="9" spans="1:47" ht="13.8" hidden="1" x14ac:dyDescent="0.3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  <c r="P10" s="124"/>
      <c r="Q10" s="124"/>
      <c r="R10" s="124"/>
    </row>
    <row r="11" spans="1:47" ht="13.8" x14ac:dyDescent="0.3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+G8*0.2+(N21+N22)*0.2</f>
        <v>379200</v>
      </c>
      <c r="H11" s="15"/>
      <c r="I11" s="16">
        <f t="shared" si="0"/>
        <v>0.1142098616665855</v>
      </c>
      <c r="K11" s="7" t="s">
        <v>15</v>
      </c>
      <c r="L11" s="19">
        <f>(E12+E13+E14+E15+E16+E17+E18+E19+E20+E21+E22)/E29</f>
        <v>47533.855280898868</v>
      </c>
      <c r="M11" s="8">
        <f>M28</f>
        <v>12</v>
      </c>
      <c r="N11" s="18">
        <f>L11*M11</f>
        <v>570406.26337078644</v>
      </c>
      <c r="O11" s="15">
        <f t="shared" si="1"/>
        <v>31600</v>
      </c>
      <c r="P11" s="124"/>
      <c r="Q11" s="124"/>
      <c r="R11" s="124"/>
    </row>
    <row r="12" spans="1:47" ht="13.8" x14ac:dyDescent="0.3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+E12/$E$29*$M$11</f>
        <v>141975.94894382026</v>
      </c>
      <c r="H12" s="15"/>
      <c r="I12" s="16">
        <f t="shared" si="0"/>
        <v>4.2761217006476573E-2</v>
      </c>
      <c r="K12" s="7"/>
      <c r="L12" s="8"/>
      <c r="M12" s="8"/>
      <c r="N12" s="9"/>
      <c r="O12" s="15">
        <f t="shared" si="1"/>
        <v>11831.329078651688</v>
      </c>
      <c r="P12" s="124"/>
      <c r="Q12" s="124"/>
      <c r="R12" s="124"/>
    </row>
    <row r="13" spans="1:47" ht="14.4" thickBot="1" x14ac:dyDescent="0.3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+(4000*12)*12</f>
        <v>576000</v>
      </c>
      <c r="H13" s="15"/>
      <c r="I13" s="16">
        <f t="shared" si="0"/>
        <v>0.17348333417709191</v>
      </c>
      <c r="K13" s="22" t="s">
        <v>20</v>
      </c>
      <c r="L13" s="23"/>
      <c r="M13" s="23"/>
      <c r="N13" s="24">
        <f>N8+N11</f>
        <v>2845606.2633707863</v>
      </c>
      <c r="O13" s="15">
        <f t="shared" si="1"/>
        <v>48000</v>
      </c>
      <c r="P13" s="124"/>
      <c r="Q13" s="124"/>
      <c r="R13" s="124"/>
    </row>
    <row r="14" spans="1:47" ht="13.8" x14ac:dyDescent="0.3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v>50000</v>
      </c>
      <c r="H14" s="15"/>
      <c r="I14" s="16">
        <f t="shared" si="0"/>
        <v>1.5059317202872562E-2</v>
      </c>
      <c r="O14" s="15">
        <f t="shared" si="1"/>
        <v>4166.666666666667</v>
      </c>
      <c r="P14" s="124"/>
      <c r="Q14" s="124"/>
      <c r="R14" s="124"/>
    </row>
    <row r="15" spans="1:47" ht="13.8" x14ac:dyDescent="0.3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31680</v>
      </c>
      <c r="H15" s="15"/>
      <c r="I15" s="16">
        <f t="shared" si="0"/>
        <v>9.5415833797400547E-3</v>
      </c>
      <c r="O15" s="15">
        <f t="shared" si="1"/>
        <v>2640</v>
      </c>
      <c r="P15" s="124"/>
      <c r="Q15" s="124"/>
      <c r="R15" s="124"/>
    </row>
    <row r="16" spans="1:47" ht="13.8" x14ac:dyDescent="0.3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 t="shared" ref="G16:G22" si="3">+E16/$E$29*$M$11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  <c r="P16" s="124"/>
      <c r="Q16" s="124"/>
      <c r="R16" s="124"/>
    </row>
    <row r="17" spans="1:18" ht="13.8" x14ac:dyDescent="0.3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f t="shared" si="3"/>
        <v>2437.7528089887637</v>
      </c>
      <c r="H17" s="15"/>
      <c r="I17" s="16">
        <f t="shared" si="0"/>
        <v>7.3421785625510795E-4</v>
      </c>
      <c r="K17" t="s">
        <v>30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  <c r="P17" s="124"/>
      <c r="Q17" s="124"/>
      <c r="R17" s="124"/>
    </row>
    <row r="18" spans="1:18" ht="13.8" x14ac:dyDescent="0.3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 t="shared" si="3"/>
        <v>70640.411325842695</v>
      </c>
      <c r="H18" s="15"/>
      <c r="I18" s="16">
        <f t="shared" si="0"/>
        <v>2.1275927229945132E-2</v>
      </c>
      <c r="K18" t="s">
        <v>33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  <c r="P18" s="124"/>
      <c r="Q18" s="124"/>
      <c r="R18" s="124"/>
    </row>
    <row r="19" spans="1:18" ht="13.8" x14ac:dyDescent="0.3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 t="shared" si="3"/>
        <v>33620.57420224719</v>
      </c>
      <c r="H19" s="15"/>
      <c r="I19" s="16">
        <f t="shared" si="0"/>
        <v>1.012605782908709E-2</v>
      </c>
      <c r="K19" t="s">
        <v>36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  <c r="P19" s="124"/>
      <c r="Q19" s="124"/>
      <c r="R19" s="124"/>
    </row>
    <row r="20" spans="1:18" ht="13.8" x14ac:dyDescent="0.3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f t="shared" si="3"/>
        <v>25.057078651685394</v>
      </c>
      <c r="H20" s="15"/>
      <c r="I20" s="16">
        <f t="shared" si="0"/>
        <v>7.5468499118611333E-6</v>
      </c>
      <c r="K20" t="s">
        <v>39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  <c r="P20" s="124"/>
      <c r="Q20" s="124"/>
      <c r="R20" s="124"/>
    </row>
    <row r="21" spans="1:18" ht="13.8" x14ac:dyDescent="0.3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f t="shared" si="3"/>
        <v>122291.04107865173</v>
      </c>
      <c r="H21" s="15"/>
      <c r="I21" s="16">
        <f t="shared" si="0"/>
        <v>3.6832391573458703E-2</v>
      </c>
      <c r="K21" t="s">
        <v>42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  <c r="P21" s="124"/>
      <c r="Q21" s="124"/>
      <c r="R21" s="124"/>
    </row>
    <row r="22" spans="1:18" ht="13.8" x14ac:dyDescent="0.3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 t="shared" si="3"/>
        <v>16332.868314606734</v>
      </c>
      <c r="H22" s="15"/>
      <c r="I22" s="16">
        <f t="shared" si="0"/>
        <v>4.9192368956481871E-3</v>
      </c>
      <c r="K22" t="s">
        <v>45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8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3320203.6537528085</v>
      </c>
      <c r="H23" s="29"/>
      <c r="I23" s="30">
        <f>SUM(I8:I22)</f>
        <v>1.0000000000000004</v>
      </c>
      <c r="K23" t="s">
        <v>48</v>
      </c>
      <c r="L23" s="25">
        <v>120000</v>
      </c>
      <c r="M23">
        <v>5</v>
      </c>
      <c r="N23" s="25">
        <f t="shared" si="4"/>
        <v>600000</v>
      </c>
      <c r="O23" s="28">
        <f>SUM(O8:O22)</f>
        <v>276683.63781273406</v>
      </c>
    </row>
    <row r="24" spans="1:18" x14ac:dyDescent="0.25">
      <c r="K24" t="s">
        <v>49</v>
      </c>
      <c r="L24" s="25">
        <v>156000</v>
      </c>
      <c r="M24">
        <v>4</v>
      </c>
      <c r="N24" s="25">
        <f t="shared" si="4"/>
        <v>624000</v>
      </c>
    </row>
    <row r="25" spans="1:18" ht="13.8" x14ac:dyDescent="0.3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12</v>
      </c>
      <c r="H25" s="32"/>
      <c r="K25" t="s">
        <v>51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8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2</v>
      </c>
      <c r="N26" s="25">
        <f t="shared" si="4"/>
        <v>432000</v>
      </c>
      <c r="O26" s="15"/>
    </row>
    <row r="27" spans="1:18" ht="13.8" x14ac:dyDescent="0.3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8" x14ac:dyDescent="0.25">
      <c r="M28">
        <f>SUM(M16:M27)</f>
        <v>12</v>
      </c>
      <c r="N28" s="25">
        <f>SUM(N16:N27)*1.2</f>
        <v>2275200</v>
      </c>
    </row>
    <row r="29" spans="1:18" ht="13.8" x14ac:dyDescent="0.3">
      <c r="B29" s="27" t="s">
        <v>55</v>
      </c>
      <c r="C29" s="15"/>
      <c r="E29" s="31">
        <f>+E27+E25</f>
        <v>89</v>
      </c>
      <c r="F29" s="32"/>
      <c r="G29" s="31">
        <f>+G27+G25</f>
        <v>12</v>
      </c>
      <c r="H29" s="32"/>
      <c r="I29" s="25"/>
      <c r="O29" s="31">
        <v>1</v>
      </c>
    </row>
    <row r="31" spans="1:18" x14ac:dyDescent="0.25">
      <c r="J31" s="33" t="s">
        <v>56</v>
      </c>
      <c r="K31" s="25"/>
      <c r="L31" s="25"/>
      <c r="M31" s="25"/>
    </row>
    <row r="32" spans="1:18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12</v>
      </c>
      <c r="N34" s="37">
        <f>+L34*M34</f>
        <v>570406.26337078644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scale="88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34" t="str">
        <f>'[2]Team Report'!B1</f>
        <v>Enron North America</v>
      </c>
      <c r="C1" s="134"/>
      <c r="D1" s="134"/>
      <c r="E1" s="134"/>
      <c r="F1" s="134"/>
      <c r="G1" s="134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34" t="s">
        <v>236</v>
      </c>
      <c r="C2" s="134"/>
      <c r="D2" s="134"/>
      <c r="E2" s="134"/>
      <c r="F2" s="134"/>
      <c r="G2" s="134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35" t="s">
        <v>0</v>
      </c>
      <c r="C3" s="135"/>
      <c r="D3" s="135"/>
      <c r="E3" s="135"/>
      <c r="F3" s="135"/>
      <c r="G3" s="135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K28-G10-137496</f>
        <v>990504</v>
      </c>
      <c r="H8" s="7" t="s">
        <v>10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G8*0.3105+52</f>
        <v>307603.49199999997</v>
      </c>
      <c r="H11" s="7" t="s">
        <v>15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66723.292159999997</v>
      </c>
      <c r="H13" s="22" t="s">
        <v>20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421.93088000000006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4302.6860800000004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11725.24416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4428.2940800000106</v>
      </c>
      <c r="H21" t="s">
        <v>42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1367.9008000000019</v>
      </c>
      <c r="H22" t="s">
        <v>45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48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5">
      <c r="H24" t="s">
        <v>49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7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7</v>
      </c>
      <c r="K28">
        <f>SUM(K16:K27)</f>
        <v>1128000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4" width="9.109375" customWidth="1"/>
  </cols>
  <sheetData>
    <row r="1" spans="1:43" ht="18" x14ac:dyDescent="0.35">
      <c r="B1" s="134" t="str">
        <f>'[2]Team Report'!B1</f>
        <v>Enron North America</v>
      </c>
      <c r="C1" s="134"/>
      <c r="D1" s="134"/>
      <c r="E1" s="134"/>
      <c r="F1" s="134"/>
      <c r="G1" s="134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34" t="s">
        <v>237</v>
      </c>
      <c r="C2" s="134"/>
      <c r="D2" s="134"/>
      <c r="E2" s="134"/>
      <c r="F2" s="134"/>
      <c r="G2" s="134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35" t="s">
        <v>0</v>
      </c>
      <c r="C3" s="135"/>
      <c r="D3" s="135"/>
      <c r="E3" s="135"/>
      <c r="F3" s="135"/>
      <c r="G3" s="135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K28-G10-137496</f>
        <v>1206504</v>
      </c>
      <c r="H8" s="7" t="s">
        <v>10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G8*0.3105+52</f>
        <v>374671.49199999997</v>
      </c>
      <c r="H11" s="7" t="s">
        <v>15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ref="G13:G22" si="1">(E13/$E$29)*$G$29</f>
        <v>85787.089919999984</v>
      </c>
      <c r="H13" s="22" t="s">
        <v>20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542.48256000000003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5532.0249599999997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15075.313919999999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5693.5209600000126</v>
      </c>
      <c r="H21" t="s">
        <v>42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1758.7296000000026</v>
      </c>
      <c r="H22" t="s">
        <v>45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48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5">
      <c r="H24" t="s">
        <v>49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9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9</v>
      </c>
      <c r="K28">
        <f>SUM(K16:K27)</f>
        <v>1344000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A29" sqref="A29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0" hidden="1" customWidth="1"/>
    <col min="15" max="15" width="9.109375" hidden="1" customWidth="1"/>
    <col min="16" max="20" width="0" hidden="1" customWidth="1"/>
  </cols>
  <sheetData>
    <row r="1" spans="1:45" ht="18" x14ac:dyDescent="0.35">
      <c r="B1" s="134" t="str">
        <f>'[15]Team Report'!B1</f>
        <v>Enron North America</v>
      </c>
      <c r="C1" s="134"/>
      <c r="D1" s="134"/>
      <c r="E1" s="134"/>
      <c r="F1" s="134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34" t="str">
        <f>'[15]Pull Sheet'!E9</f>
        <v>Office of the Chair</v>
      </c>
      <c r="C2" s="134"/>
      <c r="D2" s="134"/>
      <c r="E2" s="134"/>
      <c r="F2" s="134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34" t="s">
        <v>0</v>
      </c>
      <c r="C3" s="134"/>
      <c r="D3" s="134"/>
      <c r="E3" s="134"/>
      <c r="F3" s="134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9"/>
      <c r="K4" s="139"/>
      <c r="L4" s="139"/>
      <c r="M4" s="139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ht="13.8" x14ac:dyDescent="0.3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'[15]Team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/>
      <c r="J9" s="7" t="s">
        <v>10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ht="13.8" x14ac:dyDescent="0.3">
      <c r="A10" s="13"/>
      <c r="B10" s="14" t="s">
        <v>70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'[15]Team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ht="13.8" x14ac:dyDescent="0.3">
      <c r="A12" s="13" t="s">
        <v>16</v>
      </c>
      <c r="B12" s="14" t="s">
        <v>17</v>
      </c>
      <c r="C12" s="15">
        <f>'[15]Team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15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ht="13.8" x14ac:dyDescent="0.3">
      <c r="A13" s="13" t="s">
        <v>18</v>
      </c>
      <c r="B13" s="14" t="s">
        <v>19</v>
      </c>
      <c r="C13" s="15">
        <f>'[15]Team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20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ht="13.8" x14ac:dyDescent="0.3">
      <c r="A15" s="13" t="s">
        <v>23</v>
      </c>
      <c r="B15" s="14" t="s">
        <v>24</v>
      </c>
      <c r="C15" s="15">
        <f>'[15]Team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ht="13.8" x14ac:dyDescent="0.3">
      <c r="A16" s="13" t="s">
        <v>25</v>
      </c>
      <c r="B16" s="14" t="s">
        <v>26</v>
      </c>
      <c r="C16" s="15">
        <f>'[15]Team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'[15]Team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ht="13.8" x14ac:dyDescent="0.3">
      <c r="A18" s="13" t="s">
        <v>31</v>
      </c>
      <c r="B18" s="14" t="s">
        <v>32</v>
      </c>
      <c r="C18" s="15">
        <f>'[15]Team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30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ht="13.8" x14ac:dyDescent="0.3">
      <c r="A19" s="13" t="s">
        <v>34</v>
      </c>
      <c r="B19" s="14" t="s">
        <v>35</v>
      </c>
      <c r="C19" s="15">
        <f>'[15]Team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143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ht="13.8" x14ac:dyDescent="0.3">
      <c r="A20" s="13" t="s">
        <v>37</v>
      </c>
      <c r="B20" s="14" t="s">
        <v>38</v>
      </c>
      <c r="C20" s="15">
        <f>'[15]Team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90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ht="13.8" x14ac:dyDescent="0.3">
      <c r="A21" s="13" t="s">
        <v>40</v>
      </c>
      <c r="B21" s="14" t="s">
        <v>41</v>
      </c>
      <c r="C21" s="15">
        <f>'[15]Team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ht="13.8" x14ac:dyDescent="0.3">
      <c r="A22" s="13" t="s">
        <v>43</v>
      </c>
      <c r="B22" s="14" t="s">
        <v>44</v>
      </c>
      <c r="C22" s="15">
        <f>'[15]Team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ht="13.8" x14ac:dyDescent="0.3">
      <c r="B25" s="27" t="s">
        <v>50</v>
      </c>
      <c r="C25" s="55"/>
      <c r="E25" s="55">
        <v>5</v>
      </c>
      <c r="F25" s="79">
        <v>6</v>
      </c>
      <c r="I25" s="33" t="s">
        <v>56</v>
      </c>
      <c r="J25" s="25"/>
      <c r="M25"/>
      <c r="O25" s="31">
        <f>SUM(U16:U20,U23:U27)</f>
        <v>0</v>
      </c>
    </row>
    <row r="26" spans="1:15" ht="13.8" x14ac:dyDescent="0.3">
      <c r="J26" s="25"/>
      <c r="M26"/>
      <c r="O26" s="15"/>
    </row>
    <row r="27" spans="1:15" ht="13.8" x14ac:dyDescent="0.3">
      <c r="B27" s="27" t="s">
        <v>67</v>
      </c>
      <c r="C27" s="55"/>
      <c r="E27" s="55"/>
      <c r="F27" s="55"/>
      <c r="I27" s="34" t="s">
        <v>57</v>
      </c>
      <c r="J27" s="35" t="s">
        <v>58</v>
      </c>
      <c r="K27" s="35" t="s">
        <v>59</v>
      </c>
      <c r="L27" s="35" t="s">
        <v>2</v>
      </c>
      <c r="M27" s="35" t="s">
        <v>60</v>
      </c>
      <c r="O27" s="31">
        <f>SUM(U21:U22)</f>
        <v>0</v>
      </c>
    </row>
    <row r="28" spans="1:15" x14ac:dyDescent="0.25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ht="13.8" x14ac:dyDescent="0.3">
      <c r="B29" s="27" t="s">
        <v>55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ht="13.8" x14ac:dyDescent="0.3">
      <c r="B30" s="27"/>
      <c r="K30"/>
      <c r="M30"/>
    </row>
    <row r="31" spans="1:15" ht="13.8" hidden="1" x14ac:dyDescent="0.3">
      <c r="A31" s="13" t="s">
        <v>71</v>
      </c>
      <c r="B31" s="14" t="s">
        <v>72</v>
      </c>
      <c r="C31" s="15">
        <f>'[15]Team Report'!BA29</f>
        <v>143473.75</v>
      </c>
      <c r="E31" s="15">
        <f t="shared" ref="E31:E38" si="3">(C31/9)*12</f>
        <v>191298.33333333331</v>
      </c>
      <c r="F31" s="15"/>
    </row>
    <row r="32" spans="1:15" ht="13.8" hidden="1" x14ac:dyDescent="0.3">
      <c r="A32" s="13" t="s">
        <v>73</v>
      </c>
      <c r="B32" s="14" t="s">
        <v>74</v>
      </c>
      <c r="C32" s="15">
        <f>'[15]Team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75</v>
      </c>
      <c r="B33" s="14" t="s">
        <v>76</v>
      </c>
      <c r="C33" s="15">
        <f>'[15]Team Report'!BA31</f>
        <v>0</v>
      </c>
      <c r="E33" s="15">
        <f t="shared" si="3"/>
        <v>0</v>
      </c>
      <c r="F33" s="15"/>
    </row>
    <row r="34" spans="1:14" ht="13.8" hidden="1" x14ac:dyDescent="0.3">
      <c r="A34" s="13" t="s">
        <v>77</v>
      </c>
      <c r="B34" s="14" t="s">
        <v>78</v>
      </c>
      <c r="C34" s="15">
        <f>'[15]Team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79</v>
      </c>
      <c r="B35" s="14" t="s">
        <v>80</v>
      </c>
      <c r="C35" s="15">
        <f>'[15]Team Report'!BA40</f>
        <v>47150.06</v>
      </c>
      <c r="E35" s="15">
        <f t="shared" si="3"/>
        <v>62866.746666666659</v>
      </c>
      <c r="F35" s="15"/>
    </row>
    <row r="36" spans="1:14" ht="13.8" hidden="1" x14ac:dyDescent="0.3">
      <c r="A36" s="13" t="s">
        <v>81</v>
      </c>
      <c r="B36" s="14" t="s">
        <v>82</v>
      </c>
      <c r="C36" s="15">
        <f>'[15]Team Report'!BA41</f>
        <v>150417.00999999998</v>
      </c>
      <c r="E36" s="15">
        <f t="shared" si="3"/>
        <v>200556.01333333331</v>
      </c>
      <c r="F36" s="15"/>
    </row>
    <row r="37" spans="1:14" ht="13.8" hidden="1" x14ac:dyDescent="0.3">
      <c r="A37" s="13" t="s">
        <v>83</v>
      </c>
      <c r="B37" s="14" t="s">
        <v>84</v>
      </c>
      <c r="C37" s="15">
        <f>'[15]Team Report'!BA43</f>
        <v>7417.54</v>
      </c>
      <c r="E37" s="15">
        <f t="shared" si="3"/>
        <v>9890.0533333333333</v>
      </c>
      <c r="F37" s="15"/>
    </row>
    <row r="38" spans="1:14" ht="13.8" hidden="1" x14ac:dyDescent="0.3">
      <c r="A38" s="13" t="s">
        <v>85</v>
      </c>
      <c r="B38" s="14" t="s">
        <v>86</v>
      </c>
      <c r="C38" s="15">
        <f>'[15]Team Report'!BA45</f>
        <v>11194108.379999999</v>
      </c>
      <c r="E38" s="15">
        <f t="shared" si="3"/>
        <v>14925477.839999998</v>
      </c>
      <c r="F38" s="15"/>
    </row>
    <row r="39" spans="1:14" ht="13.8" hidden="1" x14ac:dyDescent="0.3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</row>
    <row r="40" spans="1:14" ht="13.8" hidden="1" x14ac:dyDescent="0.3">
      <c r="B40" s="14" t="s">
        <v>41</v>
      </c>
      <c r="C40" s="15">
        <v>243106037</v>
      </c>
      <c r="E40" s="15"/>
      <c r="F40" s="15"/>
      <c r="N40" s="25"/>
    </row>
    <row r="44" spans="1:14" x14ac:dyDescent="0.25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AR39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66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88671875" customWidth="1"/>
    <col min="14" max="14" width="16.88671875" customWidth="1"/>
    <col min="15" max="15" width="17.6640625" customWidth="1"/>
    <col min="16" max="16" width="10.33203125" customWidth="1"/>
    <col min="17" max="17" width="10.6640625" customWidth="1"/>
  </cols>
  <sheetData>
    <row r="1" spans="1:44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259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642840</v>
      </c>
      <c r="I8" s="42" t="s">
        <v>10</v>
      </c>
      <c r="J8" s="17">
        <v>0</v>
      </c>
      <c r="K8" s="17"/>
      <c r="L8" s="43">
        <f>L30</f>
        <v>985248</v>
      </c>
      <c r="M8" s="49"/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M10" s="49"/>
      <c r="N10" s="124"/>
      <c r="O10" s="124"/>
      <c r="P10" s="124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+H8*0.2</f>
        <v>128568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M11" s="49"/>
      <c r="N11" s="124"/>
      <c r="O11" s="124"/>
      <c r="P11" s="124"/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15000</v>
      </c>
      <c r="I12" s="42"/>
      <c r="J12" s="17"/>
      <c r="K12" s="17"/>
      <c r="L12" s="43"/>
      <c r="M12" s="49"/>
      <c r="N12" s="124"/>
      <c r="O12" s="124"/>
      <c r="P12" s="124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21000</v>
      </c>
      <c r="I13" s="46" t="s">
        <v>20</v>
      </c>
      <c r="J13" s="47"/>
      <c r="K13" s="47"/>
      <c r="L13" s="48">
        <f>L8+L11</f>
        <v>1226598.90625</v>
      </c>
      <c r="M13" s="49"/>
      <c r="N13" s="124"/>
      <c r="O13" s="124"/>
      <c r="P13" s="124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3000</v>
      </c>
      <c r="M14" s="49"/>
      <c r="N14" s="124"/>
      <c r="O14" s="124"/>
      <c r="P14" s="124"/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12000</v>
      </c>
      <c r="M15" s="49"/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M16" s="49"/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147.5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M17" s="49"/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-0.12699999999967984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M18" s="49"/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2730.2580000000003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M19" s="49"/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0.4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M20" s="49"/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3600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M21" s="49"/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M22" s="49"/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828886.03100000008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M23" s="29"/>
      <c r="P23" s="8"/>
      <c r="Q23" s="29"/>
    </row>
    <row r="24" spans="1:17" x14ac:dyDescent="0.25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5</v>
      </c>
      <c r="L28" s="25">
        <f>SUM(L16:L27)*1.2</f>
        <v>821040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P29" s="8"/>
      <c r="Q29" s="32"/>
    </row>
    <row r="30" spans="1:17" hidden="1" x14ac:dyDescent="0.25">
      <c r="L30" s="25">
        <f>L28*1.2</f>
        <v>985248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50" width="0" hidden="1" customWidth="1"/>
  </cols>
  <sheetData>
    <row r="1" spans="1:45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34" t="s">
        <v>230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t="13.8" hidden="1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42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45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5">
      <c r="J24" t="s">
        <v>49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0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17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17</v>
      </c>
      <c r="M28" s="25">
        <f>SUM(M16:M27)</f>
        <v>1465200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AP39"/>
  <sheetViews>
    <sheetView zoomScale="80"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7.66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5" max="15" width="10.6640625" customWidth="1"/>
  </cols>
  <sheetData>
    <row r="1" spans="1:42" ht="18" x14ac:dyDescent="0.3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35">
      <c r="B2" s="134" t="s">
        <v>280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5">
      <c r="I4" s="39"/>
      <c r="J4" s="40"/>
      <c r="K4" s="40"/>
      <c r="L4" s="41"/>
    </row>
    <row r="5" spans="1:42" x14ac:dyDescent="0.25">
      <c r="I5" s="42"/>
      <c r="J5" s="17" t="s">
        <v>1</v>
      </c>
      <c r="K5" s="17" t="s">
        <v>2</v>
      </c>
      <c r="L5" s="43" t="s">
        <v>3</v>
      </c>
    </row>
    <row r="6" spans="1:42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+'East-Trading AA'!H8+'West-Trading AA'!H8+'Texas-Trading AA'!H8+'Financial - AA'!H8+'Derivatives AA'!H8+'Central - Trading AA'!H8</f>
        <v>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f>+'East-Trading AA'!H9+'West-Trading AA'!H9+'Texas-Trading AA'!H9+'Financial - AA'!H9+'Derivatives AA'!H9+'Central - Trading AA'!H9</f>
        <v>0</v>
      </c>
      <c r="I9" s="42"/>
      <c r="J9" s="17"/>
      <c r="K9" s="17"/>
      <c r="L9" s="43"/>
      <c r="O9" s="15"/>
    </row>
    <row r="10" spans="1:42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f>+'East-Trading AA'!H10+'West-Trading AA'!H10+'Texas-Trading AA'!H10+'Financial - AA'!H10+'Derivatives AA'!H10+'Central - Trading AA'!H10</f>
        <v>912100</v>
      </c>
      <c r="I10" s="42"/>
      <c r="J10" s="17"/>
      <c r="K10" s="17"/>
      <c r="L10" s="43"/>
      <c r="O10" s="15"/>
    </row>
    <row r="11" spans="1:42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+'East-Trading AA'!H11+'West-Trading AA'!H11+'Texas-Trading AA'!H11+'Financial - AA'!H11+'Derivatives AA'!H11+'Central - Trading AA'!H11</f>
        <v>188804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+'East-Trading AA'!H12+'West-Trading AA'!H12+'Texas-Trading AA'!H12+'Financial - AA'!H12+'Derivatives AA'!H12+'Central - Trading AA'!H12</f>
        <v>77949.947500000009</v>
      </c>
      <c r="I12" s="42"/>
      <c r="J12" s="17"/>
      <c r="K12" s="17"/>
      <c r="L12" s="43"/>
      <c r="O12" s="15"/>
    </row>
    <row r="13" spans="1:42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+'East-Trading AA'!H13+'West-Trading AA'!H13+'Texas-Trading AA'!H13+'Financial - AA'!H13+'Derivatives AA'!H13+'Central - Trading AA'!H13</f>
        <v>107609.95691666666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+'East-Trading AA'!H14+'West-Trading AA'!H14+'Texas-Trading AA'!H14+'Financial - AA'!H14+'Derivatives AA'!H14+'Central - Trading AA'!H14</f>
        <v>2000.0040000000004</v>
      </c>
      <c r="O14" s="15"/>
    </row>
    <row r="15" spans="1:42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+'East-Trading AA'!H15+'West-Trading AA'!H15+'Texas-Trading AA'!H15+'Financial - AA'!H15+'Derivatives AA'!H15+'Central - Trading AA'!H15</f>
        <v>47242.71666666666</v>
      </c>
      <c r="O15" s="15"/>
    </row>
    <row r="16" spans="1:42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15">
        <f>+'East-Trading AA'!H16+'West-Trading AA'!H16+'Texas-Trading AA'!H16+'Financial - AA'!H16+'Derivatives AA'!H16+'Central - Trading AA'!H16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+'East-Trading AA'!H17+'West-Trading AA'!H17+'Texas-Trading AA'!H17+'Financial - AA'!H17+'Derivatives AA'!H17+'Central - Trading AA'!H17</f>
        <v>672.16666666666663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+'East-Trading AA'!H18+'West-Trading AA'!H18+'Texas-Trading AA'!H18+'Financial - AA'!H18+'Derivatives AA'!H18+'Central - Trading AA'!H18</f>
        <v>9285.8306666666667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+'East-Trading AA'!H19+'West-Trading AA'!H19+'Texas-Trading AA'!H19+'Financial - AA'!H19+'Derivatives AA'!H19+'Central - Trading AA'!H19</f>
        <v>86140.343999999997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+'East-Trading AA'!H20+'West-Trading AA'!H20+'Texas-Trading AA'!H20+'Financial - AA'!H20+'Derivatives AA'!H20+'Central - Trading AA'!H20</f>
        <v>2.0583333333333331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+'East-Trading AA'!H21+'West-Trading AA'!H21+'Texas-Trading AA'!H21+'Financial - AA'!H21+'Derivatives AA'!H21+'Central - Trading AA'!H21</f>
        <v>18288.148499999996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1450095.1732499998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5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+'East-Trading AA'!H25+'West-Trading AA'!H25+'Texas-Trading AA'!H25+'Financial - AA'!H25+'Derivatives AA'!H25+'Central - Trading AA'!H25</f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+'East-Trading AA'!H27+'West-Trading AA'!H27+'Texas-Trading AA'!H27+'Financial - AA'!H27+'Derivatives AA'!H27+'Central - Trading AA'!H27</f>
        <v>12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5">
      <c r="K28" s="25">
        <f>SUM(K16:K27)</f>
        <v>8</v>
      </c>
      <c r="L28" s="25">
        <f>SUM(L16:L27)*1.2</f>
        <v>1260600</v>
      </c>
      <c r="O28" s="8"/>
    </row>
    <row r="29" spans="1:15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O29" s="32"/>
    </row>
    <row r="30" spans="1:15" hidden="1" x14ac:dyDescent="0.25">
      <c r="L30" s="25">
        <f>L28*1.2</f>
        <v>1512720</v>
      </c>
      <c r="O30" s="8"/>
    </row>
    <row r="31" spans="1:15" hidden="1" x14ac:dyDescent="0.25">
      <c r="H31" s="33" t="s">
        <v>56</v>
      </c>
      <c r="L31"/>
      <c r="O31" s="8"/>
    </row>
    <row r="32" spans="1:15" ht="13.8" hidden="1" x14ac:dyDescent="0.3">
      <c r="B32" s="14" t="s">
        <v>22</v>
      </c>
      <c r="C32" s="15">
        <v>254512</v>
      </c>
      <c r="L32"/>
      <c r="O32" s="8"/>
    </row>
    <row r="33" spans="8:15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5">
      <c r="O35" s="8"/>
    </row>
    <row r="36" spans="8:15" hidden="1" x14ac:dyDescent="0.25">
      <c r="O36" s="8"/>
    </row>
    <row r="37" spans="8:15" hidden="1" x14ac:dyDescent="0.25">
      <c r="O37" s="8"/>
    </row>
    <row r="38" spans="8:15" hidden="1" x14ac:dyDescent="0.25">
      <c r="O38" s="8"/>
    </row>
    <row r="39" spans="8:15" x14ac:dyDescent="0.25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B34"/>
  <sheetViews>
    <sheetView zoomScaleNormal="100" workbookViewId="0">
      <selection activeCell="D64" sqref="D64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0" width="9.109375" hidden="1" customWidth="1"/>
    <col min="51" max="51" width="0" hidden="1" customWidth="1"/>
    <col min="52" max="52" width="21.109375" hidden="1" customWidth="1"/>
    <col min="53" max="53" width="11.5546875" hidden="1" customWidth="1"/>
    <col min="54" max="54" width="8.5546875" customWidth="1"/>
  </cols>
  <sheetData>
    <row r="1" spans="1:54" ht="18" x14ac:dyDescent="0.35">
      <c r="B1" s="134" t="str">
        <f>'[22]Team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54" ht="18" x14ac:dyDescent="0.35">
      <c r="B2" s="134" t="s">
        <v>234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54" ht="18.600000000000001" thickBot="1" x14ac:dyDescent="0.4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54" x14ac:dyDescent="0.25">
      <c r="K4" s="4"/>
      <c r="L4" s="5"/>
      <c r="M4" s="5"/>
      <c r="N4" s="6"/>
    </row>
    <row r="5" spans="1:54" x14ac:dyDescent="0.25">
      <c r="K5" s="7"/>
      <c r="L5" s="8" t="s">
        <v>1</v>
      </c>
      <c r="M5" s="8" t="s">
        <v>2</v>
      </c>
      <c r="N5" s="9" t="s">
        <v>3</v>
      </c>
    </row>
    <row r="6" spans="1:54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54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54" ht="13.8" x14ac:dyDescent="0.3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10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54" ht="13.8" hidden="1" x14ac:dyDescent="0.3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54" ht="13.8" x14ac:dyDescent="0.3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0.63153793215229126</v>
      </c>
      <c r="K10" s="7"/>
      <c r="L10" s="8"/>
      <c r="M10" s="8"/>
      <c r="N10" s="9"/>
      <c r="O10" s="15">
        <f t="shared" si="1"/>
        <v>69900</v>
      </c>
      <c r="AZ10" s="124"/>
      <c r="BA10" s="124"/>
      <c r="BB10" s="124"/>
    </row>
    <row r="11" spans="1:54" ht="13.8" x14ac:dyDescent="0.3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0.12630758643045825</v>
      </c>
      <c r="K11" s="7" t="s">
        <v>15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  <c r="AZ11" s="124"/>
      <c r="BA11" s="124"/>
      <c r="BB11" s="124"/>
    </row>
    <row r="12" spans="1:54" ht="13.8" x14ac:dyDescent="0.3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+(100*12*8)+(500*12*4)+((10000/9)*4)</f>
        <v>38044.444444444445</v>
      </c>
      <c r="H12" s="15"/>
      <c r="I12" s="16">
        <f t="shared" si="0"/>
        <v>4.2965861542072908E-2</v>
      </c>
      <c r="K12" s="7"/>
      <c r="L12" s="8"/>
      <c r="M12" s="8"/>
      <c r="N12" s="9"/>
      <c r="O12" s="15">
        <f t="shared" si="1"/>
        <v>4755.5555555555557</v>
      </c>
      <c r="AZ12" s="124"/>
      <c r="BA12" s="124"/>
      <c r="BB12" s="124"/>
    </row>
    <row r="13" spans="1:54" ht="14.4" thickBot="1" x14ac:dyDescent="0.3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+(3*1100*4)+(2*1100*4)+(8*1100*4)+(5*1100*4)+(6*300*8)</f>
        <v>93600</v>
      </c>
      <c r="H13" s="15"/>
      <c r="I13" s="16">
        <f t="shared" si="0"/>
        <v>0.10570806589673544</v>
      </c>
      <c r="K13" s="22" t="s">
        <v>20</v>
      </c>
      <c r="L13" s="23"/>
      <c r="M13" s="23"/>
      <c r="N13" s="24">
        <f>N8+N11</f>
        <v>1051310.8422471909</v>
      </c>
      <c r="O13" s="15">
        <f t="shared" si="1"/>
        <v>11700</v>
      </c>
      <c r="AZ13" s="124"/>
      <c r="BA13" s="124"/>
      <c r="BB13" s="124"/>
    </row>
    <row r="14" spans="1:54" ht="13.8" x14ac:dyDescent="0.3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f>+E14/$E$29*$M$11</f>
        <v>3.4516853897759076E-2</v>
      </c>
      <c r="H14" s="15"/>
      <c r="I14" s="16">
        <f t="shared" si="0"/>
        <v>3.8981943016798142E-8</v>
      </c>
      <c r="O14" s="15">
        <f t="shared" si="1"/>
        <v>4.3146067372198844E-3</v>
      </c>
      <c r="AZ14" s="124"/>
      <c r="BA14" s="124"/>
      <c r="BB14" s="124"/>
    </row>
    <row r="15" spans="1:54" ht="13.8" x14ac:dyDescent="0.3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23040</v>
      </c>
      <c r="H15" s="15"/>
      <c r="I15" s="16">
        <f t="shared" si="0"/>
        <v>2.6020446989965647E-2</v>
      </c>
      <c r="O15" s="15">
        <f t="shared" si="1"/>
        <v>2880</v>
      </c>
      <c r="AZ15" s="124"/>
      <c r="BA15" s="124"/>
      <c r="BB15" s="124"/>
    </row>
    <row r="16" spans="1:54" ht="13.8" x14ac:dyDescent="0.3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>+E16/$E$29*$M$11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  <c r="AZ16" s="124"/>
      <c r="BA16" s="124"/>
      <c r="BB16" s="124"/>
    </row>
    <row r="17" spans="1:54" ht="13.8" x14ac:dyDescent="0.3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  <c r="AZ17" s="124"/>
      <c r="BA17" s="124"/>
      <c r="BB17" s="124"/>
    </row>
    <row r="18" spans="1:54" ht="13.8" x14ac:dyDescent="0.3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+(75*12*8)</f>
        <v>7200</v>
      </c>
      <c r="H18" s="15"/>
      <c r="I18" s="16">
        <f t="shared" si="0"/>
        <v>8.1313896843642642E-3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54" ht="13.8" x14ac:dyDescent="0.3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>(82000/15*4)+(22000/9*4)</f>
        <v>31644.444444444445</v>
      </c>
      <c r="H19" s="15"/>
      <c r="I19" s="16">
        <f t="shared" si="0"/>
        <v>3.5737959600415779E-2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3955.5555555555557</v>
      </c>
    </row>
    <row r="20" spans="1:54" ht="13.8" x14ac:dyDescent="0.3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0</v>
      </c>
      <c r="N20" s="25">
        <f t="shared" si="3"/>
        <v>0</v>
      </c>
      <c r="O20" s="15">
        <f t="shared" si="1"/>
        <v>0</v>
      </c>
    </row>
    <row r="21" spans="1:54" ht="13.8" x14ac:dyDescent="0.3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10000</v>
      </c>
      <c r="H21" s="15"/>
      <c r="I21" s="16">
        <f t="shared" si="0"/>
        <v>1.1293596783839257E-2</v>
      </c>
      <c r="K21" t="s">
        <v>42</v>
      </c>
      <c r="L21" s="25">
        <v>66000</v>
      </c>
      <c r="M21">
        <f>7</f>
        <v>7</v>
      </c>
      <c r="N21" s="25">
        <f t="shared" si="3"/>
        <v>462000</v>
      </c>
      <c r="O21" s="15">
        <f t="shared" si="1"/>
        <v>1250</v>
      </c>
    </row>
    <row r="22" spans="1:54" ht="13.8" x14ac:dyDescent="0.3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+E22/$E$29*$M$11</f>
        <v>10888.57887640449</v>
      </c>
      <c r="H22" s="15"/>
      <c r="I22" s="16">
        <f t="shared" si="0"/>
        <v>1.2297121937914181E-2</v>
      </c>
      <c r="K22" t="s">
        <v>45</v>
      </c>
      <c r="L22" s="25">
        <v>97200</v>
      </c>
      <c r="M22">
        <f>1</f>
        <v>1</v>
      </c>
      <c r="N22" s="25">
        <f t="shared" si="3"/>
        <v>97200</v>
      </c>
      <c r="O22" s="15">
        <f t="shared" si="1"/>
        <v>1361.0723595505613</v>
      </c>
    </row>
    <row r="23" spans="1:54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885457.5022821473</v>
      </c>
      <c r="H23" s="29"/>
      <c r="I23" s="30">
        <f>SUM(I8:I22)</f>
        <v>1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110682.18778526841</v>
      </c>
    </row>
    <row r="24" spans="1:54" x14ac:dyDescent="0.25">
      <c r="K24" t="s">
        <v>49</v>
      </c>
      <c r="L24" s="25">
        <v>156000</v>
      </c>
      <c r="M24">
        <v>0</v>
      </c>
      <c r="N24" s="25">
        <f t="shared" si="3"/>
        <v>0</v>
      </c>
    </row>
    <row r="25" spans="1:54" ht="13.8" x14ac:dyDescent="0.3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0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</row>
    <row r="26" spans="1:54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54" ht="13.8" x14ac:dyDescent="0.3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8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54" x14ac:dyDescent="0.25">
      <c r="M28">
        <f>SUM(M16:M27)</f>
        <v>8</v>
      </c>
      <c r="N28" s="25">
        <f>SUM(N16:N27)*1.2</f>
        <v>671040</v>
      </c>
    </row>
    <row r="29" spans="1:54" ht="13.8" x14ac:dyDescent="0.3">
      <c r="B29" s="27" t="s">
        <v>55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54" x14ac:dyDescent="0.25">
      <c r="J31" s="33" t="s">
        <v>56</v>
      </c>
      <c r="K31" s="25"/>
      <c r="L31" s="25"/>
      <c r="M31" s="25"/>
    </row>
    <row r="32" spans="1:54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0" width="9.109375" customWidth="1"/>
  </cols>
  <sheetData>
    <row r="1" spans="1:43" ht="18" x14ac:dyDescent="0.35">
      <c r="B1" s="134" t="str">
        <f>'[2]Team Report'!B1</f>
        <v>Enron North America</v>
      </c>
      <c r="C1" s="134"/>
      <c r="D1" s="134"/>
      <c r="E1" s="134"/>
      <c r="F1" s="134"/>
      <c r="G1" s="134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34" t="s">
        <v>238</v>
      </c>
      <c r="C2" s="134"/>
      <c r="D2" s="134"/>
      <c r="E2" s="134"/>
      <c r="F2" s="134"/>
      <c r="G2" s="134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35" t="s">
        <v>0</v>
      </c>
      <c r="C3" s="135"/>
      <c r="D3" s="135"/>
      <c r="E3" s="135"/>
      <c r="F3" s="135"/>
      <c r="G3" s="135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v>0</v>
      </c>
      <c r="H8" s="7" t="s">
        <v>10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G10*0.3105</f>
        <v>244798.2</v>
      </c>
      <c r="H11" s="7" t="s">
        <v>15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104850.88767999999</v>
      </c>
      <c r="H13" s="22" t="s">
        <v>20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663.03424000000007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6761.36384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18425.383679999999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6958.7478400000164</v>
      </c>
      <c r="H21" t="s">
        <v>42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2149.5584000000031</v>
      </c>
      <c r="H22" t="s">
        <v>45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48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5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11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11</v>
      </c>
      <c r="K28">
        <f>SUM(K16:K27)*1.2</f>
        <v>946080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229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10</v>
      </c>
      <c r="J8" s="17">
        <v>0</v>
      </c>
      <c r="K8" s="17"/>
      <c r="L8" s="43">
        <f>L30</f>
        <v>836352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15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24000</v>
      </c>
      <c r="I12" s="42"/>
      <c r="J12" s="17"/>
      <c r="K12" s="17"/>
      <c r="L12" s="43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15000</v>
      </c>
      <c r="I13" s="46" t="s">
        <v>20</v>
      </c>
      <c r="J13" s="47"/>
      <c r="K13" s="47"/>
      <c r="L13" s="48">
        <f>L8+L11</f>
        <v>1415594.175</v>
      </c>
      <c r="N13" s="25"/>
      <c r="P13" s="49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</f>
        <v>2.4000000001979056E-2</v>
      </c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20000</v>
      </c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>(E16/$E$29)*$K$11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f>12</f>
        <v>12</v>
      </c>
      <c r="L17" s="25">
        <f t="shared" si="1"/>
        <v>580800</v>
      </c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5000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910351.69200000016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12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12</v>
      </c>
      <c r="L28" s="25">
        <f>SUM(L16:L27)*1.2</f>
        <v>696960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5">
      <c r="L30" s="25">
        <f>L28*1.2</f>
        <v>836352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28" width="9.109375" hidden="1" customWidth="1"/>
  </cols>
  <sheetData>
    <row r="1" spans="1:45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34" t="s">
        <v>231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t="13.8" hidden="1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30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5">
      <c r="J24" t="s">
        <v>49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2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2</v>
      </c>
      <c r="M28" s="25">
        <f>SUM(M16:M27)</f>
        <v>105600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topLeftCell="A4" zoomScaleNormal="100" workbookViewId="0">
      <selection activeCell="D64" sqref="D64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4.1093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16" width="18" hidden="1" customWidth="1"/>
    <col min="17" max="17" width="24.109375" hidden="1" customWidth="1"/>
    <col min="18" max="18" width="0" hidden="1" customWidth="1"/>
  </cols>
  <sheetData>
    <row r="1" spans="1:47" ht="18" x14ac:dyDescent="0.35">
      <c r="B1" s="134" t="str">
        <f>'[22]Team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34" t="s">
        <v>235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SUM(N16:N20,N23:N27)</f>
        <v>297600</v>
      </c>
      <c r="H8" s="15"/>
      <c r="I8" s="16">
        <f t="shared" ref="I8:I22" si="0">+G8/$G$23</f>
        <v>0.64982928399023165</v>
      </c>
      <c r="K8" s="7" t="s">
        <v>10</v>
      </c>
      <c r="L8" s="17">
        <v>0</v>
      </c>
      <c r="M8" s="8">
        <v>64</v>
      </c>
      <c r="N8" s="18">
        <f>N28</f>
        <v>357120</v>
      </c>
      <c r="O8" s="15">
        <f t="shared" ref="O8:O22" si="1">+G8/$G$29*$O$29</f>
        <v>49600</v>
      </c>
    </row>
    <row r="9" spans="1:47" ht="13.8" hidden="1" x14ac:dyDescent="0.3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+G8*0.2+(N21+N22)*0.2</f>
        <v>59520</v>
      </c>
      <c r="H11" s="15"/>
      <c r="I11" s="16">
        <f t="shared" si="0"/>
        <v>0.12996585679804631</v>
      </c>
      <c r="K11" s="7" t="s">
        <v>15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9920</v>
      </c>
    </row>
    <row r="12" spans="1:47" ht="13.8" x14ac:dyDescent="0.3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v>10000</v>
      </c>
      <c r="H12" s="15"/>
      <c r="I12" s="16">
        <f t="shared" si="0"/>
        <v>2.1835661424402946E-2</v>
      </c>
      <c r="K12" s="7"/>
      <c r="L12" s="8"/>
      <c r="M12" s="8"/>
      <c r="N12" s="9"/>
      <c r="O12" s="15">
        <f t="shared" si="1"/>
        <v>1666.6666666666667</v>
      </c>
      <c r="P12" s="124"/>
      <c r="Q12" s="124"/>
      <c r="R12" s="124"/>
    </row>
    <row r="13" spans="1:47" ht="14.4" thickBot="1" x14ac:dyDescent="0.3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v>10000</v>
      </c>
      <c r="H13" s="15"/>
      <c r="I13" s="16">
        <f t="shared" si="0"/>
        <v>2.1835661424402946E-2</v>
      </c>
      <c r="K13" s="22" t="s">
        <v>20</v>
      </c>
      <c r="L13" s="23"/>
      <c r="M13" s="23"/>
      <c r="N13" s="24">
        <f>N8+N11</f>
        <v>642323.13168539316</v>
      </c>
      <c r="O13" s="15">
        <f t="shared" si="1"/>
        <v>1666.6666666666667</v>
      </c>
      <c r="P13" s="124"/>
      <c r="Q13" s="124"/>
      <c r="R13" s="124"/>
    </row>
    <row r="14" spans="1:47" ht="13.8" x14ac:dyDescent="0.3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v>40000</v>
      </c>
      <c r="H14" s="15"/>
      <c r="I14" s="16">
        <f t="shared" si="0"/>
        <v>8.7342645697611784E-2</v>
      </c>
      <c r="O14" s="15">
        <f t="shared" si="1"/>
        <v>6666.666666666667</v>
      </c>
      <c r="P14" s="124"/>
      <c r="Q14" s="124"/>
      <c r="R14" s="124"/>
    </row>
    <row r="15" spans="1:47" ht="13.8" x14ac:dyDescent="0.3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17280</v>
      </c>
      <c r="H15" s="15"/>
      <c r="I15" s="16">
        <f t="shared" si="0"/>
        <v>3.7732022941368286E-2</v>
      </c>
      <c r="O15" s="15">
        <f t="shared" si="1"/>
        <v>2880</v>
      </c>
      <c r="P15" s="124"/>
      <c r="Q15" s="124"/>
      <c r="R15" s="124"/>
    </row>
    <row r="16" spans="1:47" ht="13.8" x14ac:dyDescent="0.3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>+E16/$E$29*$M$11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1</v>
      </c>
      <c r="N16" s="25">
        <f t="shared" ref="N16:N27" si="3">L16*M16</f>
        <v>33600</v>
      </c>
      <c r="O16" s="15">
        <f t="shared" si="1"/>
        <v>0</v>
      </c>
      <c r="P16" s="124"/>
      <c r="Q16" s="124"/>
      <c r="R16" s="124"/>
    </row>
    <row r="17" spans="1:18" ht="13.8" x14ac:dyDescent="0.3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f>5</f>
        <v>5</v>
      </c>
      <c r="N17" s="25">
        <f t="shared" si="3"/>
        <v>264000</v>
      </c>
      <c r="O17" s="15">
        <f t="shared" si="1"/>
        <v>0</v>
      </c>
      <c r="P17" s="124"/>
      <c r="Q17" s="124"/>
      <c r="R17" s="124"/>
    </row>
    <row r="18" spans="1:18" ht="13.8" x14ac:dyDescent="0.3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+(75*12*6)</f>
        <v>5400</v>
      </c>
      <c r="H18" s="15"/>
      <c r="I18" s="16">
        <f t="shared" si="0"/>
        <v>1.179125716917759E-2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8" ht="13.8" x14ac:dyDescent="0.3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v>5000</v>
      </c>
      <c r="H19" s="15"/>
      <c r="I19" s="16">
        <f t="shared" si="0"/>
        <v>1.0917830712201473E-2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833.33333333333337</v>
      </c>
    </row>
    <row r="20" spans="1:18" ht="13.8" x14ac:dyDescent="0.3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0</v>
      </c>
      <c r="N20" s="25">
        <f t="shared" si="3"/>
        <v>0</v>
      </c>
      <c r="O20" s="15">
        <f t="shared" si="1"/>
        <v>0</v>
      </c>
    </row>
    <row r="21" spans="1:18" ht="13.8" x14ac:dyDescent="0.3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5000</v>
      </c>
      <c r="H21" s="15"/>
      <c r="I21" s="16">
        <f t="shared" si="0"/>
        <v>1.0917830712201473E-2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833.33333333333337</v>
      </c>
    </row>
    <row r="22" spans="1:18" ht="13.8" x14ac:dyDescent="0.3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+E22/$E$29*$M$11</f>
        <v>8166.4341573033671</v>
      </c>
      <c r="H22" s="15"/>
      <c r="I22" s="16">
        <f t="shared" si="0"/>
        <v>1.783194913035557E-2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1361.0723595505613</v>
      </c>
    </row>
    <row r="23" spans="1:18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457966.43415730336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76327.739026217212</v>
      </c>
    </row>
    <row r="24" spans="1:18" x14ac:dyDescent="0.25">
      <c r="K24" t="s">
        <v>49</v>
      </c>
      <c r="L24" s="25">
        <v>156000</v>
      </c>
      <c r="M24">
        <v>0</v>
      </c>
      <c r="N24" s="25">
        <f t="shared" si="3"/>
        <v>0</v>
      </c>
    </row>
    <row r="25" spans="1:18" ht="13.8" x14ac:dyDescent="0.3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6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</row>
    <row r="26" spans="1:18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8" ht="13.8" x14ac:dyDescent="0.3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8" x14ac:dyDescent="0.25">
      <c r="M28">
        <f>SUM(M16:M27)</f>
        <v>6</v>
      </c>
      <c r="N28" s="25">
        <f>SUM(N16:N27)*1.2</f>
        <v>357120</v>
      </c>
    </row>
    <row r="29" spans="1:18" ht="13.8" x14ac:dyDescent="0.3">
      <c r="B29" s="27" t="s">
        <v>55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v>1</v>
      </c>
    </row>
    <row r="31" spans="1:18" x14ac:dyDescent="0.25">
      <c r="J31" s="33" t="s">
        <v>56</v>
      </c>
      <c r="K31" s="25"/>
      <c r="L31" s="25"/>
      <c r="M31" s="25"/>
    </row>
    <row r="32" spans="1:18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scale="9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D64" sqref="D64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34" t="str">
        <f>'[2]Team Report'!B1</f>
        <v>Enron North America</v>
      </c>
      <c r="C1" s="134"/>
      <c r="D1" s="134"/>
      <c r="E1" s="134"/>
      <c r="F1" s="134"/>
      <c r="G1" s="134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34" t="s">
        <v>88</v>
      </c>
      <c r="C2" s="134"/>
      <c r="D2" s="134"/>
      <c r="E2" s="134"/>
      <c r="F2" s="134"/>
      <c r="G2" s="134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35" t="s">
        <v>0</v>
      </c>
      <c r="C3" s="135"/>
      <c r="D3" s="135"/>
      <c r="E3" s="135"/>
      <c r="F3" s="135"/>
      <c r="G3" s="135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K28-G11-G10</f>
        <v>2197008</v>
      </c>
      <c r="H8" s="7" t="s">
        <v>10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v>927072</v>
      </c>
      <c r="H11" s="7" t="s">
        <v>15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257361.26975999997</v>
      </c>
      <c r="H13" s="22" t="s">
        <v>20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1627.4476800000002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16596.07488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45225.941760000002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17080.562880000038</v>
      </c>
      <c r="H21" t="s">
        <v>42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5276.1888000000081</v>
      </c>
      <c r="H22" t="s">
        <v>45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48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5">
      <c r="H24" t="s">
        <v>49</v>
      </c>
      <c r="I24" s="25">
        <v>156000</v>
      </c>
      <c r="J24">
        <v>4</v>
      </c>
      <c r="K24">
        <f t="shared" si="2"/>
        <v>624000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16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11</v>
      </c>
      <c r="H27" t="s">
        <v>90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27</v>
      </c>
      <c r="K28">
        <f>SUM(K16:K27)*1.2</f>
        <v>3912480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6" width="0" hidden="1" customWidth="1"/>
  </cols>
  <sheetData>
    <row r="1" spans="1:43" ht="18" x14ac:dyDescent="0.35">
      <c r="B1" s="134" t="str">
        <f>'[2]Team Report'!B1</f>
        <v>Enron North America</v>
      </c>
      <c r="C1" s="134"/>
      <c r="D1" s="134"/>
      <c r="E1" s="134"/>
      <c r="F1" s="134"/>
      <c r="G1" s="134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34" t="s">
        <v>239</v>
      </c>
      <c r="C2" s="134"/>
      <c r="D2" s="134"/>
      <c r="E2" s="134"/>
      <c r="F2" s="134"/>
      <c r="G2" s="134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35" t="s">
        <v>0</v>
      </c>
      <c r="C3" s="135"/>
      <c r="D3" s="135"/>
      <c r="E3" s="135"/>
      <c r="F3" s="135"/>
      <c r="G3" s="135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K28-G11-G10</f>
        <v>0</v>
      </c>
      <c r="H8" s="7" t="s">
        <v>10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v>0</v>
      </c>
      <c r="H11" s="7" t="s">
        <v>15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0</v>
      </c>
      <c r="H13" s="22" t="s">
        <v>20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0</v>
      </c>
      <c r="H17" t="s">
        <v>30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0</v>
      </c>
      <c r="H18" t="s">
        <v>33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0</v>
      </c>
      <c r="H19" t="s">
        <v>36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0</v>
      </c>
      <c r="H21" t="s">
        <v>42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0</v>
      </c>
      <c r="H22" t="s">
        <v>45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48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5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0</v>
      </c>
      <c r="K28">
        <f>SUM(K16:K27)*1.2</f>
        <v>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9" width="9.1093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22" width="9.109375" hidden="1" customWidth="1"/>
    <col min="23" max="52" width="0" hidden="1" customWidth="1"/>
  </cols>
  <sheetData>
    <row r="1" spans="1:44" ht="18" x14ac:dyDescent="0.35">
      <c r="B1" s="134" t="str">
        <f>'[4]Team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104</v>
      </c>
      <c r="C2" s="134"/>
      <c r="D2" s="134"/>
      <c r="E2" s="134"/>
      <c r="F2" s="134"/>
      <c r="G2" s="134"/>
      <c r="H2" s="134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35" t="s">
        <v>0</v>
      </c>
      <c r="C3" s="140"/>
      <c r="D3" s="140"/>
      <c r="E3" s="140"/>
      <c r="F3" s="140"/>
      <c r="G3" s="140"/>
      <c r="H3" s="140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39" t="s">
        <v>105</v>
      </c>
      <c r="K4" s="139"/>
      <c r="L4" s="139"/>
      <c r="M4" s="139"/>
      <c r="O4" s="139" t="s">
        <v>106</v>
      </c>
      <c r="P4" s="139"/>
      <c r="Q4" s="139"/>
      <c r="R4" s="139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61</v>
      </c>
      <c r="F6" s="44" t="s">
        <v>63</v>
      </c>
      <c r="H6" s="10" t="s">
        <v>4</v>
      </c>
      <c r="J6" s="7"/>
      <c r="K6" s="19" t="s">
        <v>1</v>
      </c>
      <c r="L6" s="19" t="s">
        <v>2</v>
      </c>
      <c r="M6" s="74" t="s">
        <v>107</v>
      </c>
      <c r="N6" s="8"/>
      <c r="O6" s="7"/>
      <c r="P6" s="19" t="s">
        <v>1</v>
      </c>
      <c r="Q6" s="19" t="s">
        <v>2</v>
      </c>
      <c r="R6" s="74" t="s">
        <v>107</v>
      </c>
      <c r="V6" s="44" t="s">
        <v>63</v>
      </c>
    </row>
    <row r="7" spans="1:44" ht="13.8" x14ac:dyDescent="0.3">
      <c r="C7" s="12" t="s">
        <v>5</v>
      </c>
      <c r="E7" s="12" t="s">
        <v>6</v>
      </c>
      <c r="F7" s="12" t="s">
        <v>7</v>
      </c>
      <c r="H7" s="12" t="s">
        <v>8</v>
      </c>
      <c r="J7" s="7"/>
      <c r="K7" s="17"/>
      <c r="L7" s="17"/>
      <c r="M7" s="43"/>
      <c r="N7" s="8"/>
      <c r="O7" s="7"/>
      <c r="P7" s="17"/>
      <c r="Q7" s="17"/>
      <c r="R7" s="43"/>
      <c r="V7" s="12" t="s">
        <v>7</v>
      </c>
    </row>
    <row r="8" spans="1:44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t="13.8" hidden="1" x14ac:dyDescent="0.3">
      <c r="A9" s="13"/>
      <c r="B9" s="14" t="s">
        <v>11</v>
      </c>
      <c r="C9" s="15">
        <v>0</v>
      </c>
      <c r="E9" s="15">
        <f>(C9/9)*12</f>
        <v>0</v>
      </c>
      <c r="F9" s="15">
        <v>0</v>
      </c>
      <c r="J9" s="7" t="s">
        <v>10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10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ht="13.8" x14ac:dyDescent="0.3">
      <c r="A10" s="13"/>
      <c r="B10" s="14" t="s">
        <v>70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15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15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4.4" thickBot="1" x14ac:dyDescent="0.3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5">
        <f>700000+300000</f>
        <v>1000000</v>
      </c>
      <c r="J14" s="22" t="s">
        <v>20</v>
      </c>
      <c r="K14" s="47"/>
      <c r="L14" s="47"/>
      <c r="M14" s="48">
        <f>SUM(M9:M12)</f>
        <v>6773780.1456310675</v>
      </c>
      <c r="N14" s="8"/>
      <c r="O14" s="22" t="s">
        <v>20</v>
      </c>
      <c r="P14" s="47"/>
      <c r="Q14" s="47"/>
      <c r="R14" s="48">
        <f>SUM(R9:R12)</f>
        <v>1137557.2893203883</v>
      </c>
      <c r="V14" s="15">
        <f t="shared" si="0"/>
        <v>22222.222222222223</v>
      </c>
    </row>
    <row r="15" spans="1:44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 t="shared" si="1"/>
        <v>0</v>
      </c>
      <c r="F16" s="15">
        <f>E16/$E$29*46</f>
        <v>0</v>
      </c>
      <c r="I16" s="49">
        <f>M14-F23</f>
        <v>-305823.65411003307</v>
      </c>
      <c r="J16" s="8"/>
      <c r="K16" s="17"/>
      <c r="L16" s="17"/>
      <c r="M16" s="17">
        <f>N16-F23</f>
        <v>831733.63521035574</v>
      </c>
      <c r="N16" s="75">
        <f>M14+R14</f>
        <v>7911337.4349514563</v>
      </c>
      <c r="V16" s="15">
        <f t="shared" si="0"/>
        <v>0</v>
      </c>
    </row>
    <row r="17" spans="1:22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 t="shared" si="1"/>
        <v>0</v>
      </c>
      <c r="F17" s="15">
        <f>E17/$E$29*46</f>
        <v>0</v>
      </c>
      <c r="J17" s="8" t="s">
        <v>27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27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93</v>
      </c>
      <c r="K18" s="17">
        <f>(40000*1.2)*1.2</f>
        <v>57600</v>
      </c>
      <c r="L18">
        <v>4</v>
      </c>
      <c r="M18" s="17">
        <f t="shared" si="2"/>
        <v>230400</v>
      </c>
      <c r="O18" t="s">
        <v>93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33</v>
      </c>
      <c r="K19" s="17">
        <v>49200</v>
      </c>
      <c r="L19">
        <v>2</v>
      </c>
      <c r="M19" s="17">
        <f t="shared" si="2"/>
        <v>98400</v>
      </c>
      <c r="O19" t="s">
        <v>33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 t="shared" si="1"/>
        <v>0</v>
      </c>
      <c r="F20" s="15">
        <f>E20/$E$29*46</f>
        <v>0</v>
      </c>
      <c r="J20" t="s">
        <v>94</v>
      </c>
      <c r="K20" s="17">
        <v>57600</v>
      </c>
      <c r="L20">
        <v>2</v>
      </c>
      <c r="M20" s="17">
        <f t="shared" si="2"/>
        <v>115200</v>
      </c>
      <c r="O20" t="s">
        <v>94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36</v>
      </c>
      <c r="K21" s="17">
        <v>62400</v>
      </c>
      <c r="L21">
        <v>7</v>
      </c>
      <c r="M21" s="17">
        <f t="shared" si="2"/>
        <v>436800</v>
      </c>
      <c r="O21" t="s">
        <v>36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108</v>
      </c>
      <c r="K22" s="17">
        <v>74400</v>
      </c>
      <c r="L22">
        <v>11</v>
      </c>
      <c r="M22" s="17">
        <f t="shared" si="2"/>
        <v>818400</v>
      </c>
      <c r="O22" t="s">
        <v>108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4.4" thickBot="1" x14ac:dyDescent="0.35">
      <c r="A23" s="26" t="s">
        <v>46</v>
      </c>
      <c r="B23" s="27" t="s">
        <v>47</v>
      </c>
      <c r="C23" s="28">
        <f>SUM(C8:C22)</f>
        <v>6646856.1299999999</v>
      </c>
      <c r="E23" s="31">
        <f>SUM(E8:E22)</f>
        <v>10147670.386666665</v>
      </c>
      <c r="F23" s="31">
        <f>SUM(F8:F22)</f>
        <v>7079603.7997411005</v>
      </c>
      <c r="J23" t="s">
        <v>96</v>
      </c>
      <c r="K23" s="17">
        <v>90000</v>
      </c>
      <c r="L23">
        <v>9</v>
      </c>
      <c r="M23" s="17">
        <f t="shared" si="2"/>
        <v>810000</v>
      </c>
      <c r="O23" t="s">
        <v>96</v>
      </c>
      <c r="P23" s="17">
        <v>90000</v>
      </c>
      <c r="Q23">
        <v>2</v>
      </c>
      <c r="R23" s="49">
        <f t="shared" si="3"/>
        <v>180000</v>
      </c>
      <c r="V23" s="58">
        <f>SUM(V8:V22)</f>
        <v>157324.52888313553</v>
      </c>
    </row>
    <row r="24" spans="1:22" x14ac:dyDescent="0.25">
      <c r="J24" t="s">
        <v>97</v>
      </c>
      <c r="K24" s="17">
        <v>120000</v>
      </c>
      <c r="L24">
        <v>4</v>
      </c>
      <c r="M24" s="17">
        <f t="shared" si="2"/>
        <v>480000</v>
      </c>
      <c r="O24" t="s">
        <v>97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50</v>
      </c>
      <c r="C25" s="55"/>
      <c r="E25" s="55">
        <v>99</v>
      </c>
      <c r="F25" s="55">
        <f>SUM(L17:L19,L21:L27)</f>
        <v>43</v>
      </c>
      <c r="J25" t="s">
        <v>98</v>
      </c>
      <c r="K25" s="17">
        <v>174000</v>
      </c>
      <c r="L25">
        <v>1</v>
      </c>
      <c r="M25" s="17">
        <f t="shared" si="2"/>
        <v>174000</v>
      </c>
      <c r="O25" t="s">
        <v>98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99</v>
      </c>
      <c r="K26" s="17">
        <v>216000</v>
      </c>
      <c r="L26">
        <v>4</v>
      </c>
      <c r="M26" s="17">
        <f t="shared" si="2"/>
        <v>864000</v>
      </c>
      <c r="O26" t="s">
        <v>99</v>
      </c>
      <c r="P26" s="17">
        <v>216000</v>
      </c>
      <c r="R26" s="49">
        <f t="shared" si="3"/>
        <v>0</v>
      </c>
      <c r="V26" s="15"/>
    </row>
    <row r="27" spans="1:22" ht="13.8" x14ac:dyDescent="0.3">
      <c r="B27" s="27" t="s">
        <v>67</v>
      </c>
      <c r="C27" s="55"/>
      <c r="E27" s="55">
        <v>4</v>
      </c>
      <c r="F27" s="55">
        <v>2</v>
      </c>
      <c r="J27" t="s">
        <v>100</v>
      </c>
      <c r="K27" s="17">
        <v>312000</v>
      </c>
      <c r="L27">
        <v>1</v>
      </c>
      <c r="M27" s="17">
        <f t="shared" si="2"/>
        <v>312000</v>
      </c>
      <c r="O27" t="s">
        <v>100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ht="13.8" x14ac:dyDescent="0.3">
      <c r="B29" s="27" t="s">
        <v>55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ht="13.8" x14ac:dyDescent="0.3">
      <c r="B30" s="27"/>
      <c r="J30" t="s">
        <v>102</v>
      </c>
      <c r="L30" s="52"/>
      <c r="M30" s="52">
        <v>0.2</v>
      </c>
      <c r="O30" t="s">
        <v>102</v>
      </c>
      <c r="P30" s="25"/>
      <c r="Q30" s="52"/>
      <c r="R30" s="52">
        <v>0.2</v>
      </c>
    </row>
    <row r="31" spans="1:22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4"/>
        <v>0</v>
      </c>
      <c r="F34" s="15"/>
      <c r="J34" s="33" t="s">
        <v>56</v>
      </c>
      <c r="N34" s="25"/>
    </row>
    <row r="35" spans="1:17" ht="14.4" hidden="1" thickBot="1" x14ac:dyDescent="0.35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4"/>
        <v>32893.85333333334</v>
      </c>
      <c r="F35" s="15"/>
      <c r="J35" s="139" t="s">
        <v>105</v>
      </c>
      <c r="K35" s="139"/>
      <c r="L35" s="139"/>
      <c r="M35" s="139"/>
      <c r="N35" s="25"/>
    </row>
    <row r="36" spans="1:17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4"/>
        <v>641393.90666666673</v>
      </c>
      <c r="F36" s="15"/>
      <c r="J36" s="34" t="s">
        <v>57</v>
      </c>
      <c r="L36" s="35" t="s">
        <v>58</v>
      </c>
      <c r="M36" s="35" t="s">
        <v>59</v>
      </c>
      <c r="N36" s="35" t="s">
        <v>2</v>
      </c>
      <c r="O36" s="35" t="s">
        <v>60</v>
      </c>
    </row>
    <row r="37" spans="1:17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109</v>
      </c>
    </row>
    <row r="38" spans="1:17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4"/>
        <v>0</v>
      </c>
      <c r="F38" s="15"/>
      <c r="P38" t="s">
        <v>110</v>
      </c>
    </row>
    <row r="39" spans="1:17" ht="13.8" x14ac:dyDescent="0.3">
      <c r="A39" s="13"/>
      <c r="B39" s="14"/>
      <c r="C39" s="15"/>
      <c r="E39" s="15"/>
      <c r="F39" s="15"/>
      <c r="P39" t="s">
        <v>111</v>
      </c>
    </row>
    <row r="40" spans="1:17" ht="13.8" x14ac:dyDescent="0.3">
      <c r="A40" s="13"/>
      <c r="B40" s="14"/>
      <c r="C40" s="15"/>
      <c r="E40" s="15"/>
      <c r="F40" s="15"/>
      <c r="P40" t="s">
        <v>112</v>
      </c>
    </row>
    <row r="41" spans="1:17" ht="14.4" thickBot="1" x14ac:dyDescent="0.35">
      <c r="A41" s="13"/>
      <c r="B41" s="14"/>
      <c r="C41" s="15"/>
      <c r="E41" s="15"/>
      <c r="F41" s="15"/>
      <c r="J41" s="139" t="s">
        <v>106</v>
      </c>
      <c r="K41" s="139"/>
      <c r="L41" s="139"/>
      <c r="M41" s="139"/>
      <c r="N41" s="25"/>
      <c r="P41" t="s">
        <v>113</v>
      </c>
    </row>
    <row r="42" spans="1:17" x14ac:dyDescent="0.25">
      <c r="J42" s="34" t="s">
        <v>57</v>
      </c>
      <c r="L42" s="35" t="s">
        <v>58</v>
      </c>
      <c r="M42" s="35" t="s">
        <v>59</v>
      </c>
      <c r="N42" s="35" t="s">
        <v>2</v>
      </c>
      <c r="O42" s="35" t="s">
        <v>60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114</v>
      </c>
    </row>
    <row r="44" spans="1:17" x14ac:dyDescent="0.25">
      <c r="P44" t="s">
        <v>115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P39"/>
  <sheetViews>
    <sheetView zoomScale="80"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5" max="15" width="10.6640625" customWidth="1"/>
  </cols>
  <sheetData>
    <row r="1" spans="1:42" ht="18" x14ac:dyDescent="0.3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35">
      <c r="B2" s="134" t="s">
        <v>273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5">
      <c r="I4" s="39"/>
      <c r="J4" s="40"/>
      <c r="K4" s="40"/>
      <c r="L4" s="41"/>
    </row>
    <row r="5" spans="1:42" x14ac:dyDescent="0.25">
      <c r="I5" s="42"/>
      <c r="J5" s="17" t="s">
        <v>1</v>
      </c>
      <c r="K5" s="17" t="s">
        <v>2</v>
      </c>
      <c r="L5" s="43" t="s">
        <v>3</v>
      </c>
    </row>
    <row r="6" spans="1:42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1025000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O9" s="15"/>
    </row>
    <row r="10" spans="1:42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O10" s="15"/>
    </row>
    <row r="11" spans="1:42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+H8*0.2</f>
        <v>205000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21875</v>
      </c>
      <c r="I12" s="42"/>
      <c r="J12" s="17"/>
      <c r="K12" s="17"/>
      <c r="L12" s="43"/>
      <c r="O12" s="15"/>
    </row>
    <row r="13" spans="1:42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21875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O14" s="15"/>
    </row>
    <row r="15" spans="1:42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17500</v>
      </c>
      <c r="O15" s="15"/>
    </row>
    <row r="16" spans="1:42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437.5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87500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0.875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21875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3571655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4972718.375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5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5">
      <c r="K28" s="25">
        <f>SUM(K16:K27)</f>
        <v>8</v>
      </c>
      <c r="L28" s="25">
        <f>SUM(L16:L27)*1.2</f>
        <v>1260600</v>
      </c>
      <c r="O28" s="8"/>
    </row>
    <row r="29" spans="1:15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O29" s="32"/>
    </row>
    <row r="30" spans="1:15" hidden="1" x14ac:dyDescent="0.25">
      <c r="L30" s="25">
        <f>L28*1.2</f>
        <v>1512720</v>
      </c>
      <c r="O30" s="8"/>
    </row>
    <row r="31" spans="1:15" hidden="1" x14ac:dyDescent="0.25">
      <c r="H31" s="33" t="s">
        <v>56</v>
      </c>
      <c r="L31"/>
      <c r="O31" s="8"/>
    </row>
    <row r="32" spans="1:15" ht="13.8" hidden="1" x14ac:dyDescent="0.3">
      <c r="B32" s="14" t="s">
        <v>22</v>
      </c>
      <c r="C32" s="15">
        <v>254512</v>
      </c>
      <c r="L32"/>
      <c r="O32" s="8"/>
    </row>
    <row r="33" spans="8:15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5">
      <c r="O35" s="8"/>
    </row>
    <row r="36" spans="8:15" hidden="1" x14ac:dyDescent="0.25">
      <c r="O36" s="8"/>
    </row>
    <row r="37" spans="8:15" hidden="1" x14ac:dyDescent="0.25">
      <c r="O37" s="8"/>
    </row>
    <row r="38" spans="8:15" hidden="1" x14ac:dyDescent="0.25">
      <c r="O38" s="8"/>
    </row>
    <row r="39" spans="8:15" x14ac:dyDescent="0.25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8" width="9.109375" hidden="1" customWidth="1"/>
    <col min="9" max="9" width="10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23" width="9.109375" hidden="1" customWidth="1"/>
    <col min="24" max="56" width="0" hidden="1" customWidth="1"/>
  </cols>
  <sheetData>
    <row r="1" spans="1:44" ht="18" x14ac:dyDescent="0.35">
      <c r="B1" s="134" t="str">
        <f>'[4]Team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106</v>
      </c>
      <c r="C2" s="134"/>
      <c r="D2" s="134"/>
      <c r="E2" s="134"/>
      <c r="F2" s="134"/>
      <c r="G2" s="134"/>
      <c r="H2" s="134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35" t="s">
        <v>0</v>
      </c>
      <c r="C3" s="140"/>
      <c r="D3" s="140"/>
      <c r="E3" s="140"/>
      <c r="F3" s="140"/>
      <c r="G3" s="140"/>
      <c r="H3" s="140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39" t="s">
        <v>105</v>
      </c>
      <c r="K4" s="139"/>
      <c r="L4" s="139"/>
      <c r="M4" s="139"/>
      <c r="O4" s="139" t="s">
        <v>106</v>
      </c>
      <c r="P4" s="139"/>
      <c r="Q4" s="139"/>
      <c r="R4" s="139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61</v>
      </c>
      <c r="F6" s="44" t="s">
        <v>63</v>
      </c>
      <c r="H6" s="10" t="s">
        <v>4</v>
      </c>
      <c r="J6" s="7"/>
      <c r="K6" s="19" t="s">
        <v>1</v>
      </c>
      <c r="L6" s="19" t="s">
        <v>2</v>
      </c>
      <c r="M6" s="74" t="s">
        <v>107</v>
      </c>
      <c r="N6" s="8"/>
      <c r="O6" s="7"/>
      <c r="P6" s="19" t="s">
        <v>1</v>
      </c>
      <c r="Q6" s="19" t="s">
        <v>2</v>
      </c>
      <c r="R6" s="74" t="s">
        <v>107</v>
      </c>
      <c r="V6" s="44" t="s">
        <v>63</v>
      </c>
    </row>
    <row r="7" spans="1:44" ht="13.8" x14ac:dyDescent="0.3">
      <c r="C7" s="12" t="s">
        <v>5</v>
      </c>
      <c r="E7" s="12" t="s">
        <v>6</v>
      </c>
      <c r="F7" s="12" t="s">
        <v>7</v>
      </c>
      <c r="H7" s="12" t="s">
        <v>8</v>
      </c>
      <c r="J7" s="7"/>
      <c r="K7" s="17"/>
      <c r="L7" s="17"/>
      <c r="M7" s="43"/>
      <c r="N7" s="8"/>
      <c r="O7" s="7"/>
      <c r="P7" s="17"/>
      <c r="Q7" s="17"/>
      <c r="R7" s="43"/>
      <c r="V7" s="12" t="s">
        <v>7</v>
      </c>
    </row>
    <row r="8" spans="1:44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t="13.8" hidden="1" x14ac:dyDescent="0.3">
      <c r="A9" s="13"/>
      <c r="B9" s="14" t="s">
        <v>11</v>
      </c>
      <c r="C9" s="15">
        <v>0</v>
      </c>
      <c r="E9" s="15">
        <f>(C9/9)*12</f>
        <v>0</v>
      </c>
      <c r="F9" s="109">
        <v>0</v>
      </c>
      <c r="J9" s="7" t="s">
        <v>10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10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t="13.8" hidden="1" x14ac:dyDescent="0.3">
      <c r="A10" s="13"/>
      <c r="B10" s="14" t="s">
        <v>70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15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15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4.4" thickBot="1" x14ac:dyDescent="0.3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09">
        <v>330000</v>
      </c>
      <c r="J14" s="22" t="s">
        <v>20</v>
      </c>
      <c r="K14" s="47"/>
      <c r="L14" s="47"/>
      <c r="M14" s="48">
        <f>SUM(M9:M12)</f>
        <v>6675923.6155339805</v>
      </c>
      <c r="N14" s="8"/>
      <c r="O14" s="22" t="s">
        <v>20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6420100.5251779929</v>
      </c>
      <c r="N16" s="75">
        <f>M14+R14</f>
        <v>7725577.4349514563</v>
      </c>
      <c r="V16" s="15">
        <f t="shared" si="0"/>
        <v>0</v>
      </c>
    </row>
    <row r="17" spans="1:22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 t="shared" si="1"/>
        <v>0</v>
      </c>
      <c r="F17" s="109">
        <f>E17/$E$29*7</f>
        <v>0</v>
      </c>
      <c r="J17" s="8" t="s">
        <v>27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27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93</v>
      </c>
      <c r="K18" s="17">
        <f>(40000*1.2)*1.2</f>
        <v>57600</v>
      </c>
      <c r="L18">
        <v>3</v>
      </c>
      <c r="M18" s="17">
        <f t="shared" si="2"/>
        <v>172800</v>
      </c>
      <c r="O18" t="s">
        <v>93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33</v>
      </c>
      <c r="K19" s="17">
        <v>49200</v>
      </c>
      <c r="L19">
        <v>1</v>
      </c>
      <c r="M19" s="17">
        <f t="shared" si="2"/>
        <v>49200</v>
      </c>
      <c r="O19" t="s">
        <v>33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 t="shared" si="1"/>
        <v>0</v>
      </c>
      <c r="F20" s="109">
        <f>E20/$E$29*46</f>
        <v>0</v>
      </c>
      <c r="J20" t="s">
        <v>94</v>
      </c>
      <c r="K20" s="17">
        <v>57600</v>
      </c>
      <c r="L20">
        <v>3</v>
      </c>
      <c r="M20" s="17">
        <f t="shared" si="2"/>
        <v>172800</v>
      </c>
      <c r="O20" t="s">
        <v>94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 t="shared" si="1"/>
        <v>100056.90666666668</v>
      </c>
      <c r="F21" s="109">
        <f>(E21/$E$29*7)+2000+250000</f>
        <v>258799.98394822006</v>
      </c>
      <c r="J21" t="s">
        <v>36</v>
      </c>
      <c r="K21" s="17">
        <v>62400</v>
      </c>
      <c r="L21">
        <v>12</v>
      </c>
      <c r="M21" s="17">
        <f t="shared" si="2"/>
        <v>748800</v>
      </c>
      <c r="O21" t="s">
        <v>36</v>
      </c>
      <c r="P21" s="17">
        <v>62400</v>
      </c>
      <c r="Q21">
        <v>0</v>
      </c>
      <c r="R21" s="49">
        <f t="shared" si="3"/>
        <v>0</v>
      </c>
      <c r="V21" s="15">
        <f t="shared" si="0"/>
        <v>43133.330658036677</v>
      </c>
    </row>
    <row r="22" spans="1:22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108</v>
      </c>
      <c r="K22" s="17">
        <v>74400</v>
      </c>
      <c r="L22">
        <v>8</v>
      </c>
      <c r="M22" s="17">
        <f t="shared" si="2"/>
        <v>595200</v>
      </c>
      <c r="O22" t="s">
        <v>108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4.4" thickBot="1" x14ac:dyDescent="0.35">
      <c r="A23" s="26" t="s">
        <v>46</v>
      </c>
      <c r="B23" s="27" t="s">
        <v>47</v>
      </c>
      <c r="C23" s="28">
        <f>SUM(C8:C22)</f>
        <v>6646856.1299999999</v>
      </c>
      <c r="E23" s="31">
        <f>SUM(E8:E22)</f>
        <v>9957590.3866666649</v>
      </c>
      <c r="F23" s="31">
        <f>SUM(F8:F22)</f>
        <v>1305476.9097734629</v>
      </c>
      <c r="J23" t="s">
        <v>96</v>
      </c>
      <c r="K23" s="17">
        <v>90000</v>
      </c>
      <c r="L23">
        <v>10</v>
      </c>
      <c r="M23" s="17">
        <f t="shared" si="2"/>
        <v>900000</v>
      </c>
      <c r="O23" t="s">
        <v>96</v>
      </c>
      <c r="P23" s="17">
        <v>90000</v>
      </c>
      <c r="Q23">
        <v>1</v>
      </c>
      <c r="R23" s="49">
        <f t="shared" si="3"/>
        <v>90000</v>
      </c>
      <c r="V23" s="58">
        <f>SUM(V8:V22)</f>
        <v>217579.48496224385</v>
      </c>
    </row>
    <row r="24" spans="1:22" x14ac:dyDescent="0.25">
      <c r="J24" t="s">
        <v>97</v>
      </c>
      <c r="K24" s="17">
        <v>120000</v>
      </c>
      <c r="L24">
        <v>4</v>
      </c>
      <c r="M24" s="17">
        <f t="shared" si="2"/>
        <v>480000</v>
      </c>
      <c r="O24" t="s">
        <v>97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50</v>
      </c>
      <c r="C25" s="55"/>
      <c r="E25" s="55">
        <v>99</v>
      </c>
      <c r="F25" s="55">
        <f>+Q28</f>
        <v>6</v>
      </c>
      <c r="J25" t="s">
        <v>98</v>
      </c>
      <c r="K25" s="17">
        <v>174000</v>
      </c>
      <c r="L25">
        <v>1</v>
      </c>
      <c r="M25" s="17">
        <f t="shared" si="2"/>
        <v>174000</v>
      </c>
      <c r="O25" t="s">
        <v>98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99</v>
      </c>
      <c r="K26" s="17">
        <v>216000</v>
      </c>
      <c r="L26">
        <v>3</v>
      </c>
      <c r="M26" s="17">
        <f t="shared" si="2"/>
        <v>648000</v>
      </c>
      <c r="O26" t="s">
        <v>99</v>
      </c>
      <c r="P26" s="17">
        <v>216000</v>
      </c>
      <c r="Q26">
        <v>0</v>
      </c>
      <c r="R26" s="49">
        <f t="shared" si="3"/>
        <v>0</v>
      </c>
      <c r="V26" s="15"/>
    </row>
    <row r="27" spans="1:22" ht="13.8" x14ac:dyDescent="0.3">
      <c r="B27" s="27" t="s">
        <v>67</v>
      </c>
      <c r="C27" s="55"/>
      <c r="E27" s="55">
        <v>4</v>
      </c>
      <c r="F27" s="55">
        <v>0</v>
      </c>
      <c r="J27" t="s">
        <v>100</v>
      </c>
      <c r="K27" s="17">
        <v>312000</v>
      </c>
      <c r="L27">
        <v>1</v>
      </c>
      <c r="M27" s="17">
        <f t="shared" si="2"/>
        <v>312000</v>
      </c>
      <c r="O27" t="s">
        <v>100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ht="13.8" x14ac:dyDescent="0.3">
      <c r="B29" s="27" t="s">
        <v>55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ht="13.8" x14ac:dyDescent="0.3">
      <c r="B30" s="27"/>
      <c r="J30" t="s">
        <v>102</v>
      </c>
      <c r="L30" s="52"/>
      <c r="M30" s="52">
        <v>0.2</v>
      </c>
      <c r="O30" t="s">
        <v>102</v>
      </c>
      <c r="P30" s="25"/>
      <c r="Q30" s="52"/>
      <c r="R30" s="52">
        <v>0.2</v>
      </c>
    </row>
    <row r="31" spans="1:22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4"/>
        <v>0</v>
      </c>
      <c r="F34" s="15"/>
      <c r="J34" s="33" t="s">
        <v>56</v>
      </c>
      <c r="N34" s="25"/>
    </row>
    <row r="35" spans="1:17" ht="14.4" hidden="1" thickBot="1" x14ac:dyDescent="0.35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4"/>
        <v>32893.85333333334</v>
      </c>
      <c r="F35" s="15"/>
      <c r="J35" s="139" t="s">
        <v>105</v>
      </c>
      <c r="K35" s="139"/>
      <c r="L35" s="139"/>
      <c r="M35" s="139"/>
      <c r="N35" s="25"/>
    </row>
    <row r="36" spans="1:17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4"/>
        <v>641393.90666666673</v>
      </c>
      <c r="F36" s="15"/>
      <c r="J36" s="34" t="s">
        <v>57</v>
      </c>
      <c r="L36" s="35" t="s">
        <v>58</v>
      </c>
      <c r="M36" s="35" t="s">
        <v>59</v>
      </c>
      <c r="N36" s="35" t="s">
        <v>2</v>
      </c>
      <c r="O36" s="35" t="s">
        <v>60</v>
      </c>
    </row>
    <row r="37" spans="1:17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109</v>
      </c>
    </row>
    <row r="38" spans="1:17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4"/>
        <v>0</v>
      </c>
      <c r="F38" s="15"/>
      <c r="P38" t="s">
        <v>110</v>
      </c>
    </row>
    <row r="39" spans="1:17" ht="13.8" x14ac:dyDescent="0.3">
      <c r="A39" s="13"/>
      <c r="B39" s="14"/>
      <c r="C39" s="15"/>
      <c r="E39" s="15"/>
      <c r="F39" s="15"/>
      <c r="P39" t="s">
        <v>111</v>
      </c>
    </row>
    <row r="40" spans="1:17" ht="13.8" x14ac:dyDescent="0.3">
      <c r="A40" s="13"/>
      <c r="B40" s="14"/>
      <c r="C40" s="15"/>
      <c r="E40" s="15"/>
      <c r="F40" s="15"/>
      <c r="P40" t="s">
        <v>112</v>
      </c>
    </row>
    <row r="41" spans="1:17" ht="14.4" thickBot="1" x14ac:dyDescent="0.35">
      <c r="A41" s="13"/>
      <c r="B41" s="14"/>
      <c r="C41" s="15"/>
      <c r="E41" s="15"/>
      <c r="F41" s="15"/>
      <c r="J41" s="139" t="s">
        <v>106</v>
      </c>
      <c r="K41" s="139"/>
      <c r="L41" s="139"/>
      <c r="M41" s="139"/>
      <c r="N41" s="25"/>
      <c r="P41" t="s">
        <v>113</v>
      </c>
    </row>
    <row r="42" spans="1:17" x14ac:dyDescent="0.25">
      <c r="J42" s="34" t="s">
        <v>57</v>
      </c>
      <c r="L42" s="35" t="s">
        <v>58</v>
      </c>
      <c r="M42" s="35" t="s">
        <v>59</v>
      </c>
      <c r="N42" s="35" t="s">
        <v>2</v>
      </c>
      <c r="O42" s="35" t="s">
        <v>60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114</v>
      </c>
    </row>
    <row r="44" spans="1:17" x14ac:dyDescent="0.25">
      <c r="P44" t="s">
        <v>115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3.2" x14ac:dyDescent="0.25"/>
  <cols>
    <col min="2" max="2" width="28.6640625" customWidth="1"/>
    <col min="3" max="3" width="19.109375" hidden="1" customWidth="1"/>
    <col min="4" max="4" width="2.5546875" hidden="1" customWidth="1"/>
    <col min="5" max="5" width="13.88671875" hidden="1" customWidth="1"/>
    <col min="6" max="6" width="3.88671875" customWidth="1"/>
    <col min="7" max="7" width="12" customWidth="1"/>
    <col min="8" max="8" width="12.6640625" hidden="1" customWidth="1"/>
    <col min="9" max="9" width="1.6640625" hidden="1" customWidth="1"/>
    <col min="10" max="10" width="15.33203125" hidden="1" customWidth="1"/>
    <col min="11" max="11" width="10.44140625" hidden="1" customWidth="1"/>
    <col min="12" max="12" width="9" hidden="1" customWidth="1"/>
    <col min="13" max="13" width="11.88671875" hidden="1" customWidth="1"/>
  </cols>
  <sheetData>
    <row r="1" spans="1:15" ht="18" x14ac:dyDescent="0.35">
      <c r="B1" s="134" t="str">
        <f>'[10]Team Report'!B1</f>
        <v>Enron North America</v>
      </c>
      <c r="C1" s="134"/>
      <c r="D1" s="136"/>
      <c r="E1" s="136"/>
      <c r="F1" s="136"/>
      <c r="G1" s="136"/>
      <c r="H1" s="1"/>
      <c r="I1" s="1"/>
      <c r="J1" s="1"/>
      <c r="K1" s="1"/>
      <c r="L1" s="1"/>
      <c r="M1" s="1"/>
    </row>
    <row r="2" spans="1:15" ht="18" x14ac:dyDescent="0.35">
      <c r="B2" s="134" t="s">
        <v>132</v>
      </c>
      <c r="C2" s="134"/>
      <c r="D2" s="136"/>
      <c r="E2" s="136"/>
      <c r="F2" s="136"/>
      <c r="G2" s="136"/>
      <c r="H2" s="1"/>
      <c r="I2" s="1"/>
      <c r="J2" s="1"/>
      <c r="K2" s="1"/>
      <c r="L2" s="1"/>
      <c r="M2" s="1"/>
    </row>
    <row r="3" spans="1:15" ht="18" x14ac:dyDescent="0.35">
      <c r="B3" s="134" t="s">
        <v>0</v>
      </c>
      <c r="C3" s="134"/>
      <c r="D3" s="136"/>
      <c r="E3" s="136"/>
      <c r="F3" s="136"/>
      <c r="G3" s="136"/>
      <c r="H3" s="3"/>
      <c r="I3" s="3"/>
      <c r="J3" s="3"/>
      <c r="K3" s="3"/>
      <c r="L3" s="3"/>
      <c r="M3" s="3"/>
    </row>
    <row r="4" spans="1:15" ht="13.8" thickBot="1" x14ac:dyDescent="0.3"/>
    <row r="5" spans="1:15" x14ac:dyDescent="0.25">
      <c r="J5" s="4"/>
      <c r="K5" s="40"/>
      <c r="L5" s="40"/>
      <c r="M5" s="41"/>
    </row>
    <row r="6" spans="1:1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15" ht="13.8" x14ac:dyDescent="0.3">
      <c r="C7" s="12" t="s">
        <v>5</v>
      </c>
      <c r="E7" s="12" t="s">
        <v>6</v>
      </c>
      <c r="F7" s="12"/>
      <c r="G7" s="12" t="s">
        <v>7</v>
      </c>
      <c r="H7" s="33"/>
      <c r="J7" s="7"/>
      <c r="K7" s="17"/>
      <c r="L7" s="17"/>
      <c r="M7" s="43"/>
      <c r="O7" s="12" t="s">
        <v>7</v>
      </c>
    </row>
    <row r="8" spans="1:15" ht="13.8" x14ac:dyDescent="0.3">
      <c r="A8" s="13" t="s">
        <v>9</v>
      </c>
      <c r="B8" s="14" t="s">
        <v>10</v>
      </c>
      <c r="C8" s="15">
        <f>'[10]Team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ht="13.8" x14ac:dyDescent="0.3">
      <c r="B10" s="14" t="s">
        <v>12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ht="13.8" x14ac:dyDescent="0.3">
      <c r="A11" s="13" t="s">
        <v>13</v>
      </c>
      <c r="B11" s="14" t="s">
        <v>14</v>
      </c>
      <c r="C11" s="15">
        <f>'[10]Team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ht="13.8" x14ac:dyDescent="0.3">
      <c r="A12" s="13" t="s">
        <v>16</v>
      </c>
      <c r="B12" s="14" t="s">
        <v>17</v>
      </c>
      <c r="C12" s="15">
        <f>'[10]Team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15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ht="13.8" x14ac:dyDescent="0.3">
      <c r="A13" s="13" t="s">
        <v>18</v>
      </c>
      <c r="B13" s="14" t="s">
        <v>19</v>
      </c>
      <c r="C13" s="15">
        <f>'[10]Team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4.4" thickBot="1" x14ac:dyDescent="0.35">
      <c r="A14" s="13" t="s">
        <v>21</v>
      </c>
      <c r="B14" s="14" t="s">
        <v>22</v>
      </c>
      <c r="C14" s="15">
        <f>'[10]Team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20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ht="13.8" x14ac:dyDescent="0.3">
      <c r="A15" s="13" t="s">
        <v>23</v>
      </c>
      <c r="B15" s="14" t="s">
        <v>24</v>
      </c>
      <c r="C15" s="15">
        <f>'[10]Team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ht="13.8" x14ac:dyDescent="0.3">
      <c r="A16" s="13" t="s">
        <v>25</v>
      </c>
      <c r="B16" s="14" t="s">
        <v>26</v>
      </c>
      <c r="C16" s="15">
        <f>'[10]Team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'[10]Team Report'!BA35</f>
        <v>0</v>
      </c>
      <c r="E17" s="15">
        <f t="shared" si="0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'[10]Team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30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34</v>
      </c>
      <c r="B19" s="14" t="s">
        <v>35</v>
      </c>
      <c r="C19" s="15">
        <f>'[10]Team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33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ht="13.8" x14ac:dyDescent="0.3">
      <c r="A20" s="13" t="s">
        <v>37</v>
      </c>
      <c r="B20" s="14" t="s">
        <v>38</v>
      </c>
      <c r="C20" s="15">
        <f>'[10]Team Report'!BA38</f>
        <v>0</v>
      </c>
      <c r="E20" s="15">
        <f t="shared" si="0"/>
        <v>0</v>
      </c>
      <c r="F20" s="15"/>
      <c r="G20" s="15">
        <v>0</v>
      </c>
      <c r="J20" t="s">
        <v>36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'[10]Team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39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ht="13.8" x14ac:dyDescent="0.3">
      <c r="A22" s="13" t="s">
        <v>43</v>
      </c>
      <c r="B22" s="14" t="s">
        <v>44</v>
      </c>
      <c r="C22" s="15">
        <f>'[10]Team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46</v>
      </c>
      <c r="B23" s="27" t="s">
        <v>47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45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5">
      <c r="J24" t="s">
        <v>48</v>
      </c>
      <c r="K24" s="25">
        <v>144000</v>
      </c>
      <c r="L24" s="25">
        <v>3</v>
      </c>
      <c r="M24" s="17">
        <f t="shared" si="2"/>
        <v>432000</v>
      </c>
    </row>
    <row r="25" spans="1:15" ht="13.8" x14ac:dyDescent="0.3">
      <c r="B25" s="27" t="s">
        <v>50</v>
      </c>
      <c r="C25" s="15"/>
      <c r="E25" s="31">
        <v>111</v>
      </c>
      <c r="F25" s="32"/>
      <c r="G25" s="31">
        <v>12</v>
      </c>
      <c r="J25" t="s">
        <v>49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J26" t="s">
        <v>51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101</v>
      </c>
      <c r="C27" s="15"/>
      <c r="E27" s="31">
        <v>0</v>
      </c>
      <c r="F27" s="32"/>
      <c r="G27" s="31">
        <v>0</v>
      </c>
      <c r="J27" t="s">
        <v>52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55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5">
      <c r="K30" s="25"/>
      <c r="L30" s="25"/>
      <c r="M30" s="25"/>
    </row>
    <row r="31" spans="1:15" ht="13.8" hidden="1" x14ac:dyDescent="0.3">
      <c r="A31" s="13" t="s">
        <v>71</v>
      </c>
      <c r="B31" s="14" t="s">
        <v>72</v>
      </c>
      <c r="C31" s="15">
        <f>'[10]Team Report'!BA29</f>
        <v>0</v>
      </c>
      <c r="E31" s="15">
        <f>(C31/9)*12</f>
        <v>0</v>
      </c>
      <c r="F31" s="15"/>
      <c r="J31" t="s">
        <v>102</v>
      </c>
      <c r="K31" s="25"/>
      <c r="L31" s="52"/>
      <c r="M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'[10]Team Report'!BA30</f>
        <v>0</v>
      </c>
      <c r="E32" s="15">
        <f>(C32/9)*12</f>
        <v>0</v>
      </c>
      <c r="F32" s="15"/>
      <c r="K32" s="25"/>
      <c r="L32" s="25"/>
      <c r="M32" s="25"/>
    </row>
    <row r="33" spans="1:13" ht="13.8" hidden="1" x14ac:dyDescent="0.3">
      <c r="A33" s="13" t="s">
        <v>75</v>
      </c>
      <c r="B33" s="14" t="s">
        <v>76</v>
      </c>
      <c r="C33" s="15">
        <f>'[10]Team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77</v>
      </c>
      <c r="B34" s="14" t="s">
        <v>78</v>
      </c>
      <c r="C34" s="15">
        <f>'[10]Team Report'!BA39</f>
        <v>-7489842.25</v>
      </c>
      <c r="E34" s="15">
        <v>0</v>
      </c>
      <c r="F34" s="15"/>
      <c r="K34" s="25"/>
      <c r="L34" s="25"/>
      <c r="M34" s="25"/>
    </row>
    <row r="35" spans="1:13" ht="13.8" hidden="1" x14ac:dyDescent="0.3">
      <c r="A35" s="13" t="s">
        <v>79</v>
      </c>
      <c r="B35" s="14" t="s">
        <v>80</v>
      </c>
      <c r="C35" s="15">
        <f>'[10]Team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t="13.8" hidden="1" x14ac:dyDescent="0.3">
      <c r="A36" s="13" t="s">
        <v>81</v>
      </c>
      <c r="B36" s="14" t="s">
        <v>82</v>
      </c>
      <c r="C36" s="15">
        <f>'[10]Team Report'!BA41</f>
        <v>205055.58999999997</v>
      </c>
      <c r="E36" s="15">
        <v>0</v>
      </c>
      <c r="F36" s="15"/>
      <c r="K36" s="25"/>
      <c r="L36" s="25"/>
      <c r="M36" s="25"/>
    </row>
    <row r="37" spans="1:13" ht="13.8" hidden="1" x14ac:dyDescent="0.3">
      <c r="A37" s="13" t="s">
        <v>83</v>
      </c>
      <c r="B37" s="14" t="s">
        <v>84</v>
      </c>
      <c r="C37" s="15">
        <f>'[10]Team Report'!BA43</f>
        <v>42687168.700000003</v>
      </c>
      <c r="E37" s="15">
        <v>0</v>
      </c>
      <c r="F37" s="15"/>
      <c r="I37" s="33" t="s">
        <v>56</v>
      </c>
    </row>
    <row r="38" spans="1:13" ht="13.8" hidden="1" x14ac:dyDescent="0.3">
      <c r="A38" s="13" t="s">
        <v>85</v>
      </c>
      <c r="B38" s="14" t="s">
        <v>86</v>
      </c>
      <c r="C38" s="15">
        <f>'[10]Team Report'!BA45</f>
        <v>8186094.0700000003</v>
      </c>
      <c r="E38" s="15">
        <v>0</v>
      </c>
      <c r="F38" s="15"/>
    </row>
    <row r="39" spans="1:13" x14ac:dyDescent="0.25">
      <c r="I39" t="s">
        <v>134</v>
      </c>
    </row>
    <row r="40" spans="1:13" x14ac:dyDescent="0.25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A42"/>
  <sheetViews>
    <sheetView zoomScaleNormal="100" workbookViewId="0">
      <selection activeCell="D64" sqref="D64"/>
    </sheetView>
  </sheetViews>
  <sheetFormatPr defaultRowHeight="13.2" x14ac:dyDescent="0.25"/>
  <cols>
    <col min="2" max="2" width="23.44140625" customWidth="1"/>
    <col min="3" max="3" width="1.88671875" hidden="1" customWidth="1"/>
    <col min="4" max="4" width="2.5546875" customWidth="1"/>
    <col min="5" max="5" width="13.88671875" hidden="1" customWidth="1"/>
    <col min="6" max="6" width="15.109375" customWidth="1"/>
    <col min="7" max="7" width="4.5546875" hidden="1" customWidth="1"/>
    <col min="8" max="8" width="4" hidden="1" customWidth="1"/>
    <col min="9" max="9" width="14.109375" hidden="1" customWidth="1"/>
    <col min="10" max="10" width="14.33203125" hidden="1" customWidth="1"/>
    <col min="11" max="11" width="10.44140625" hidden="1" customWidth="1"/>
    <col min="12" max="12" width="11.33203125" style="25" hidden="1" customWidth="1"/>
    <col min="13" max="13" width="1.44140625" hidden="1" customWidth="1"/>
    <col min="14" max="14" width="10.33203125" hidden="1" customWidth="1"/>
    <col min="15" max="15" width="2.5546875" hidden="1" customWidth="1"/>
    <col min="16" max="16" width="13.88671875" hidden="1" customWidth="1"/>
    <col min="17" max="53" width="9.109375" hidden="1" customWidth="1"/>
  </cols>
  <sheetData>
    <row r="1" spans="1:45" ht="18" x14ac:dyDescent="0.35">
      <c r="B1" s="134" t="str">
        <f>'[3]Team Report'!B1</f>
        <v>Enron North America</v>
      </c>
      <c r="C1" s="134"/>
      <c r="D1" s="134"/>
      <c r="E1" s="134"/>
      <c r="F1" s="134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34" t="str">
        <f>'[3]Pull Sheet'!E9</f>
        <v>Tax</v>
      </c>
      <c r="C2" s="134"/>
      <c r="D2" s="134"/>
      <c r="E2" s="134"/>
      <c r="F2" s="134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0" t="s">
        <v>0</v>
      </c>
      <c r="C3" s="140"/>
      <c r="D3" s="140"/>
      <c r="E3" s="140"/>
      <c r="F3" s="140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62"/>
      <c r="K4" s="63"/>
      <c r="L4" s="64"/>
      <c r="M4" s="63"/>
      <c r="N4" s="63"/>
      <c r="O4" s="63"/>
      <c r="P4" s="65"/>
    </row>
    <row r="5" spans="1:45" x14ac:dyDescent="0.25">
      <c r="J5" s="66"/>
      <c r="K5" s="8"/>
      <c r="L5" s="17"/>
      <c r="M5" s="8"/>
      <c r="N5" s="8"/>
      <c r="O5" s="8"/>
      <c r="P5" s="67"/>
    </row>
    <row r="6" spans="1:45" ht="13.8" x14ac:dyDescent="0.3">
      <c r="C6" s="10">
        <v>37135</v>
      </c>
      <c r="E6" s="44" t="s">
        <v>61</v>
      </c>
      <c r="F6" s="44" t="s">
        <v>63</v>
      </c>
      <c r="J6" s="66"/>
      <c r="K6" s="8"/>
      <c r="L6" s="17" t="s">
        <v>1</v>
      </c>
      <c r="M6" s="8"/>
      <c r="N6" s="8" t="s">
        <v>2</v>
      </c>
      <c r="O6" s="8"/>
      <c r="P6" s="67" t="s">
        <v>92</v>
      </c>
      <c r="Q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33"/>
      <c r="J7" s="68"/>
      <c r="K7" s="17"/>
      <c r="L7" s="17"/>
      <c r="M7" s="17"/>
      <c r="N7" s="17"/>
      <c r="O7" s="17"/>
      <c r="P7" s="69"/>
      <c r="Q7" s="12" t="s">
        <v>7</v>
      </c>
    </row>
    <row r="8" spans="1:45" ht="13.8" x14ac:dyDescent="0.3">
      <c r="A8" s="13" t="s">
        <v>9</v>
      </c>
      <c r="B8" s="14" t="s">
        <v>10</v>
      </c>
      <c r="C8" s="15">
        <f>'[3]Team Report'!BA25</f>
        <v>1971599.0200000003</v>
      </c>
      <c r="E8" s="21">
        <f>((C8/9)*12)*1.2</f>
        <v>3154558.4320000005</v>
      </c>
      <c r="F8" s="21">
        <f>L23+L24+45000</f>
        <v>735000</v>
      </c>
      <c r="J8" s="66" t="s">
        <v>10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147000</v>
      </c>
    </row>
    <row r="9" spans="1:45" ht="13.8" hidden="1" x14ac:dyDescent="0.3">
      <c r="A9" s="13"/>
      <c r="B9" s="14" t="s">
        <v>11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t="13.8" hidden="1" x14ac:dyDescent="0.3">
      <c r="B10" s="14" t="s">
        <v>12</v>
      </c>
      <c r="C10" s="15">
        <v>0</v>
      </c>
      <c r="E10" s="21">
        <f>((C10/9)*12)*1.2</f>
        <v>0</v>
      </c>
      <c r="F10" s="21"/>
      <c r="J10" s="66" t="s">
        <v>15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ht="13.8" x14ac:dyDescent="0.3">
      <c r="A11" s="13" t="s">
        <v>13</v>
      </c>
      <c r="B11" s="14" t="s">
        <v>14</v>
      </c>
      <c r="C11" s="15">
        <f>'[3]Team Report'!BA26</f>
        <v>441478.66999999993</v>
      </c>
      <c r="E11" s="21">
        <f>((C11/9)*12)*1.2</f>
        <v>706365.87199999986</v>
      </c>
      <c r="F11" s="21">
        <f>F8*0.2</f>
        <v>147000</v>
      </c>
      <c r="J11" s="66"/>
      <c r="K11" s="17"/>
      <c r="L11" s="17"/>
      <c r="M11" s="17"/>
      <c r="N11" s="17"/>
      <c r="O11" s="17"/>
      <c r="P11" s="69"/>
      <c r="Q11" s="21">
        <f t="shared" si="0"/>
        <v>29400</v>
      </c>
    </row>
    <row r="12" spans="1:45" ht="13.8" x14ac:dyDescent="0.3">
      <c r="A12" s="13" t="s">
        <v>16</v>
      </c>
      <c r="B12" s="14" t="s">
        <v>17</v>
      </c>
      <c r="C12" s="15">
        <f>'[3]Team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9904.8473283950625</v>
      </c>
    </row>
    <row r="13" spans="1:45" ht="13.8" x14ac:dyDescent="0.3">
      <c r="A13" s="13" t="s">
        <v>18</v>
      </c>
      <c r="B13" s="14" t="s">
        <v>19</v>
      </c>
      <c r="C13" s="15">
        <f>'[3]Team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5263.5002469135798</v>
      </c>
    </row>
    <row r="14" spans="1:45" ht="13.8" x14ac:dyDescent="0.3">
      <c r="A14" s="13" t="s">
        <v>21</v>
      </c>
      <c r="B14" s="14" t="s">
        <v>22</v>
      </c>
      <c r="C14" s="15">
        <f>'[3]Team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-54000.000000000116</v>
      </c>
      <c r="Q14" s="21">
        <f t="shared" si="0"/>
        <v>2.2281481482916407E-2</v>
      </c>
    </row>
    <row r="15" spans="1:45" ht="13.8" x14ac:dyDescent="0.3">
      <c r="A15" s="13" t="s">
        <v>23</v>
      </c>
      <c r="B15" s="14" t="s">
        <v>24</v>
      </c>
      <c r="C15" s="15">
        <f>'[3]Team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3860.3162864197534</v>
      </c>
    </row>
    <row r="16" spans="1:45" ht="13.8" x14ac:dyDescent="0.3">
      <c r="A16" s="13" t="s">
        <v>25</v>
      </c>
      <c r="B16" s="14" t="s">
        <v>26</v>
      </c>
      <c r="C16" s="15">
        <f>'[3]Team Report'!BA34</f>
        <v>0</v>
      </c>
      <c r="E16" s="21">
        <f>((C16/9)*12)*1.2</f>
        <v>0</v>
      </c>
      <c r="F16" s="21">
        <f>E16/$E$25*$N$8</f>
        <v>0</v>
      </c>
      <c r="J16" s="8" t="s">
        <v>27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ht="13.8" x14ac:dyDescent="0.3">
      <c r="A17" s="13" t="s">
        <v>28</v>
      </c>
      <c r="B17" s="14" t="s">
        <v>29</v>
      </c>
      <c r="C17" s="15">
        <f>'[3]Team Report'!BA35</f>
        <v>0</v>
      </c>
      <c r="E17" s="21">
        <f>((C17/9)*12)*1.2</f>
        <v>0</v>
      </c>
      <c r="F17" s="21">
        <f>E17/$E$25*$N$8</f>
        <v>0</v>
      </c>
      <c r="J17" t="s">
        <v>93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ht="13.8" x14ac:dyDescent="0.3">
      <c r="A18" s="13" t="s">
        <v>31</v>
      </c>
      <c r="B18" s="14" t="s">
        <v>32</v>
      </c>
      <c r="C18" s="15">
        <f>'[3]Team Report'!BA36</f>
        <v>0</v>
      </c>
      <c r="E18" s="21">
        <f>((C18/9)*12)*1.2</f>
        <v>0</v>
      </c>
      <c r="F18" s="21">
        <f>E18/$E$25*$N$8</f>
        <v>0</v>
      </c>
      <c r="J18" t="s">
        <v>33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ht="13.8" x14ac:dyDescent="0.3">
      <c r="A19" s="13" t="s">
        <v>34</v>
      </c>
      <c r="B19" s="14" t="s">
        <v>35</v>
      </c>
      <c r="C19" s="15">
        <f>'[3]Team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94</v>
      </c>
      <c r="K19" s="25">
        <v>48000</v>
      </c>
      <c r="L19" s="17">
        <f t="shared" si="1"/>
        <v>0</v>
      </c>
      <c r="Q19" s="21">
        <f t="shared" si="0"/>
        <v>3877.3499259259261</v>
      </c>
    </row>
    <row r="20" spans="1:17" ht="13.8" x14ac:dyDescent="0.3">
      <c r="A20" s="13" t="s">
        <v>37</v>
      </c>
      <c r="B20" s="14" t="s">
        <v>38</v>
      </c>
      <c r="C20" s="15">
        <f>'[3]Team Report'!BA38</f>
        <v>0</v>
      </c>
      <c r="E20" s="21">
        <f>((C20/9)*12)*1.2</f>
        <v>0</v>
      </c>
      <c r="F20" s="21">
        <f>E20/$E$25*$N$8</f>
        <v>0</v>
      </c>
      <c r="J20" t="s">
        <v>36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ht="13.8" x14ac:dyDescent="0.3">
      <c r="A21" s="13" t="s">
        <v>40</v>
      </c>
      <c r="B21" s="14" t="s">
        <v>41</v>
      </c>
      <c r="C21" s="15">
        <f>'[3]Team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95</v>
      </c>
      <c r="K21" s="25">
        <v>62000</v>
      </c>
      <c r="L21" s="17">
        <f t="shared" si="1"/>
        <v>0</v>
      </c>
      <c r="Q21" s="21">
        <f t="shared" si="0"/>
        <v>3469.963456790123</v>
      </c>
    </row>
    <row r="22" spans="1:17" ht="13.8" x14ac:dyDescent="0.3">
      <c r="A22" s="13" t="s">
        <v>43</v>
      </c>
      <c r="B22" s="14" t="s">
        <v>44</v>
      </c>
      <c r="C22" s="15">
        <f>'[3]Team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96</v>
      </c>
      <c r="K22" s="25">
        <v>75000</v>
      </c>
      <c r="L22" s="17">
        <f t="shared" si="1"/>
        <v>0</v>
      </c>
      <c r="Q22" s="21">
        <f t="shared" si="0"/>
        <v>23.913797530864194</v>
      </c>
    </row>
    <row r="23" spans="1:17" ht="13.8" x14ac:dyDescent="0.3">
      <c r="A23" s="26" t="s">
        <v>46</v>
      </c>
      <c r="B23" s="27" t="s">
        <v>47</v>
      </c>
      <c r="C23" s="28">
        <f>SUM(C8:C22)</f>
        <v>2626035.4200000009</v>
      </c>
      <c r="E23" s="73">
        <f>SUM(E8:E22)</f>
        <v>4293218.3786666663</v>
      </c>
      <c r="F23" s="73">
        <f>SUM(F8:F22)</f>
        <v>1013999.5666172841</v>
      </c>
      <c r="I23">
        <v>1</v>
      </c>
      <c r="J23" t="s">
        <v>97</v>
      </c>
      <c r="K23" s="25">
        <f>125000*1.2</f>
        <v>150000</v>
      </c>
      <c r="L23" s="17">
        <f t="shared" si="1"/>
        <v>150000</v>
      </c>
      <c r="Q23" s="73">
        <f>SUM(Q8:Q22)</f>
        <v>202799.91332345677</v>
      </c>
    </row>
    <row r="24" spans="1:17" x14ac:dyDescent="0.25">
      <c r="I24">
        <v>3</v>
      </c>
      <c r="J24" t="s">
        <v>98</v>
      </c>
      <c r="K24" s="25">
        <f>150000*1.2</f>
        <v>180000</v>
      </c>
      <c r="L24" s="17">
        <f t="shared" si="1"/>
        <v>540000</v>
      </c>
    </row>
    <row r="25" spans="1:17" ht="13.8" x14ac:dyDescent="0.3">
      <c r="B25" s="27" t="s">
        <v>50</v>
      </c>
      <c r="C25" s="15"/>
      <c r="E25" s="31">
        <v>27</v>
      </c>
      <c r="F25" s="31">
        <v>5</v>
      </c>
      <c r="J25" t="s">
        <v>99</v>
      </c>
      <c r="K25" s="25">
        <v>180000</v>
      </c>
      <c r="L25" s="17">
        <f t="shared" si="1"/>
        <v>0</v>
      </c>
      <c r="Q25" s="31">
        <v>1</v>
      </c>
    </row>
    <row r="26" spans="1:17" ht="13.8" x14ac:dyDescent="0.3">
      <c r="C26" s="15"/>
      <c r="E26" s="15"/>
      <c r="F26" s="15"/>
      <c r="J26" t="s">
        <v>100</v>
      </c>
      <c r="K26" s="25">
        <v>260000</v>
      </c>
      <c r="L26" s="17">
        <f t="shared" si="1"/>
        <v>0</v>
      </c>
      <c r="Q26" s="15"/>
    </row>
    <row r="27" spans="1:17" ht="13.8" x14ac:dyDescent="0.3">
      <c r="B27" s="27" t="s">
        <v>101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5">
      <c r="K28" s="25"/>
    </row>
    <row r="29" spans="1:17" ht="13.8" x14ac:dyDescent="0.3">
      <c r="B29" s="27" t="s">
        <v>55</v>
      </c>
      <c r="C29" s="15"/>
      <c r="E29" s="31">
        <f>+E27+E25</f>
        <v>27</v>
      </c>
      <c r="F29" s="31">
        <f>SUM(F25:F27)</f>
        <v>5</v>
      </c>
      <c r="G29" s="32"/>
      <c r="H29" s="25"/>
      <c r="J29" t="s">
        <v>102</v>
      </c>
      <c r="K29" s="25"/>
      <c r="L29" s="52">
        <v>0.2</v>
      </c>
      <c r="Q29" s="31">
        <f>SUM(Q25:Q27)</f>
        <v>1</v>
      </c>
    </row>
    <row r="31" spans="1:17" ht="13.8" hidden="1" x14ac:dyDescent="0.3">
      <c r="A31" s="13" t="s">
        <v>71</v>
      </c>
      <c r="B31" s="14" t="s">
        <v>72</v>
      </c>
      <c r="C31" s="15">
        <f>'[3]Team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t="13.8" hidden="1" x14ac:dyDescent="0.3">
      <c r="A32" s="13" t="s">
        <v>73</v>
      </c>
      <c r="B32" s="14" t="s">
        <v>74</v>
      </c>
      <c r="C32" s="15">
        <f>'[3]Team Report'!BA30</f>
        <v>-3920.75</v>
      </c>
      <c r="E32" s="15">
        <f t="shared" si="2"/>
        <v>-5227.666666666667</v>
      </c>
      <c r="F32" s="15"/>
    </row>
    <row r="33" spans="1:14" ht="13.8" hidden="1" x14ac:dyDescent="0.3">
      <c r="A33" s="13" t="s">
        <v>75</v>
      </c>
      <c r="B33" s="14" t="s">
        <v>76</v>
      </c>
      <c r="C33" s="15">
        <f>'[3]Team Report'!BA31</f>
        <v>0</v>
      </c>
      <c r="E33" s="15">
        <f t="shared" si="2"/>
        <v>0</v>
      </c>
      <c r="F33" s="15"/>
    </row>
    <row r="34" spans="1:14" ht="13.8" hidden="1" x14ac:dyDescent="0.3">
      <c r="A34" s="13" t="s">
        <v>77</v>
      </c>
      <c r="B34" s="14" t="s">
        <v>78</v>
      </c>
      <c r="C34" s="15">
        <f>'[3]Team Report'!BA39</f>
        <v>0</v>
      </c>
      <c r="E34" s="15">
        <f t="shared" si="2"/>
        <v>0</v>
      </c>
      <c r="F34" s="15"/>
    </row>
    <row r="35" spans="1:14" ht="13.8" hidden="1" x14ac:dyDescent="0.3">
      <c r="A35" s="13" t="s">
        <v>79</v>
      </c>
      <c r="B35" s="14" t="s">
        <v>80</v>
      </c>
      <c r="C35" s="15">
        <f>'[3]Team Report'!BA40</f>
        <v>37953.1</v>
      </c>
      <c r="E35" s="15">
        <f t="shared" si="2"/>
        <v>50604.133333333331</v>
      </c>
      <c r="F35" s="15"/>
    </row>
    <row r="36" spans="1:14" ht="13.8" hidden="1" x14ac:dyDescent="0.3">
      <c r="A36" s="13" t="s">
        <v>81</v>
      </c>
      <c r="B36" s="14" t="s">
        <v>82</v>
      </c>
      <c r="C36" s="15">
        <f>'[3]Team Report'!BA41</f>
        <v>218397.73</v>
      </c>
      <c r="E36" s="15">
        <f t="shared" si="2"/>
        <v>291196.97333333339</v>
      </c>
      <c r="F36" s="15"/>
    </row>
    <row r="37" spans="1:14" ht="13.8" hidden="1" x14ac:dyDescent="0.3">
      <c r="A37" s="13" t="s">
        <v>83</v>
      </c>
      <c r="B37" s="14" t="s">
        <v>84</v>
      </c>
      <c r="C37" s="15">
        <f>'[3]Team Report'!BA43</f>
        <v>-1506130.81</v>
      </c>
      <c r="E37" s="15">
        <f t="shared" si="2"/>
        <v>-2008174.4133333333</v>
      </c>
      <c r="F37" s="15"/>
      <c r="I37" s="33" t="s">
        <v>56</v>
      </c>
      <c r="J37" s="25"/>
      <c r="K37" s="25"/>
    </row>
    <row r="38" spans="1:14" ht="13.8" hidden="1" x14ac:dyDescent="0.3">
      <c r="A38" s="13" t="s">
        <v>85</v>
      </c>
      <c r="B38" s="14" t="s">
        <v>86</v>
      </c>
      <c r="C38" s="15">
        <f>'[3]Team Report'!BA45</f>
        <v>0</v>
      </c>
      <c r="E38" s="15">
        <f t="shared" si="2"/>
        <v>0</v>
      </c>
      <c r="F38" s="15"/>
      <c r="J38" s="25"/>
      <c r="K38" s="25"/>
    </row>
    <row r="39" spans="1:14" ht="13.8" hidden="1" x14ac:dyDescent="0.3">
      <c r="A39" s="13"/>
      <c r="B39" s="14" t="s">
        <v>22</v>
      </c>
      <c r="C39" s="15">
        <v>195340</v>
      </c>
      <c r="E39" s="15"/>
      <c r="F39" s="15"/>
      <c r="I39" s="34" t="s">
        <v>57</v>
      </c>
      <c r="J39" s="35" t="s">
        <v>58</v>
      </c>
      <c r="K39" s="35" t="s">
        <v>59</v>
      </c>
      <c r="L39" s="35" t="s">
        <v>2</v>
      </c>
      <c r="N39" s="35" t="s">
        <v>60</v>
      </c>
    </row>
    <row r="40" spans="1:14" x14ac:dyDescent="0.25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5">
      <c r="C41" s="54">
        <f>C23+C31+C32+C33+C34+C35+C36+C37+C38+C39</f>
        <v>1567674.6900000009</v>
      </c>
    </row>
    <row r="42" spans="1:14" x14ac:dyDescent="0.25">
      <c r="I42" t="s">
        <v>103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44140625" customWidth="1"/>
    <col min="8" max="8" width="13.5546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6" width="9.109375" hidden="1" customWidth="1"/>
    <col min="17" max="54" width="0" hidden="1" customWidth="1"/>
  </cols>
  <sheetData>
    <row r="1" spans="1:44" ht="18" x14ac:dyDescent="0.35">
      <c r="B1" s="134" t="str">
        <f>'[5]Team Report'!B1</f>
        <v>Enron North America</v>
      </c>
      <c r="C1" s="134"/>
      <c r="D1" s="134"/>
      <c r="E1" s="134"/>
      <c r="F1" s="134"/>
      <c r="G1" s="134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116</v>
      </c>
      <c r="C2" s="134"/>
      <c r="D2" s="134"/>
      <c r="E2" s="134"/>
      <c r="F2" s="134"/>
      <c r="G2" s="134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1</v>
      </c>
      <c r="K5" s="8" t="s">
        <v>2</v>
      </c>
      <c r="L5" s="9" t="s">
        <v>3</v>
      </c>
    </row>
    <row r="6" spans="1:44" ht="13.8" x14ac:dyDescent="0.3">
      <c r="C6" s="10">
        <v>37135</v>
      </c>
      <c r="E6" s="44" t="s">
        <v>61</v>
      </c>
      <c r="G6" s="44" t="s">
        <v>63</v>
      </c>
      <c r="I6" s="7"/>
      <c r="J6" s="8"/>
      <c r="K6" s="8"/>
      <c r="L6" s="9"/>
      <c r="O6" s="11">
        <v>2002</v>
      </c>
    </row>
    <row r="7" spans="1:44" ht="13.8" x14ac:dyDescent="0.3">
      <c r="C7" s="12" t="s">
        <v>5</v>
      </c>
      <c r="E7" s="12" t="s">
        <v>6</v>
      </c>
      <c r="G7" s="12" t="s">
        <v>7</v>
      </c>
      <c r="I7" s="7"/>
      <c r="J7" s="8"/>
      <c r="K7" s="8"/>
      <c r="L7" s="9"/>
      <c r="O7" s="12" t="s">
        <v>7</v>
      </c>
    </row>
    <row r="8" spans="1:44" ht="13.8" x14ac:dyDescent="0.3">
      <c r="A8" s="13" t="s">
        <v>9</v>
      </c>
      <c r="B8" s="14" t="s">
        <v>10</v>
      </c>
      <c r="C8" s="53">
        <f>'[5]Team Report'!BA25</f>
        <v>10228335.790000001</v>
      </c>
      <c r="E8" s="15">
        <f t="shared" ref="E8:E14" si="0">(C8/9)*12</f>
        <v>13637781.053333335</v>
      </c>
      <c r="G8" s="15">
        <f>L28+46200</f>
        <v>1695000</v>
      </c>
      <c r="I8" s="7" t="s">
        <v>10</v>
      </c>
      <c r="J8" s="17">
        <v>0</v>
      </c>
      <c r="K8" s="8"/>
      <c r="L8" s="18">
        <f>L28*1.2</f>
        <v>1978560</v>
      </c>
      <c r="O8" s="15">
        <f>+G8/$G$29*$O$29</f>
        <v>169500</v>
      </c>
    </row>
    <row r="9" spans="1:44" ht="13.8" hidden="1" x14ac:dyDescent="0.3">
      <c r="A9" s="13"/>
      <c r="B9" s="14" t="s">
        <v>11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ht="13.8" hidden="1" x14ac:dyDescent="0.3">
      <c r="A10" s="13"/>
      <c r="B10" s="14" t="s">
        <v>70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ht="13.8" x14ac:dyDescent="0.3">
      <c r="A11" s="13" t="s">
        <v>13</v>
      </c>
      <c r="B11" s="14" t="s">
        <v>14</v>
      </c>
      <c r="C11" s="15">
        <f>'[5]Team Report'!BA26</f>
        <v>1877442.13</v>
      </c>
      <c r="E11" s="15">
        <f t="shared" si="0"/>
        <v>2503256.1733333333</v>
      </c>
      <c r="G11" s="15">
        <f>L32-L28+9240</f>
        <v>339000</v>
      </c>
      <c r="I11" s="7" t="s">
        <v>15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33900</v>
      </c>
    </row>
    <row r="12" spans="1:44" ht="13.8" x14ac:dyDescent="0.3">
      <c r="A12" s="13" t="s">
        <v>16</v>
      </c>
      <c r="B12" s="14" t="s">
        <v>17</v>
      </c>
      <c r="C12" s="15">
        <f>'[5]Team Report'!BA27</f>
        <v>405632.98</v>
      </c>
      <c r="E12" s="15">
        <f t="shared" si="0"/>
        <v>540843.97333333339</v>
      </c>
      <c r="G12" s="15">
        <f>(E12/$E$29)*$K$11+51275</f>
        <v>99999.682282282287</v>
      </c>
      <c r="I12" s="7"/>
      <c r="J12" s="8"/>
      <c r="K12" s="8"/>
      <c r="L12" s="9"/>
      <c r="O12" s="15">
        <f t="shared" si="1"/>
        <v>9999.9682282282283</v>
      </c>
    </row>
    <row r="13" spans="1:44" ht="14.4" thickBot="1" x14ac:dyDescent="0.35">
      <c r="A13" s="13" t="s">
        <v>18</v>
      </c>
      <c r="B13" s="14" t="s">
        <v>19</v>
      </c>
      <c r="C13" s="15">
        <f>'[5]Team Report'!BA28</f>
        <v>648740.16999999993</v>
      </c>
      <c r="E13" s="15">
        <f t="shared" si="0"/>
        <v>864986.8933333332</v>
      </c>
      <c r="G13" s="15">
        <f>(E13/$E$29)*$K$11+522073</f>
        <v>599999.74714714708</v>
      </c>
      <c r="I13" s="22" t="s">
        <v>20</v>
      </c>
      <c r="J13" s="23"/>
      <c r="K13" s="23"/>
      <c r="L13" s="24">
        <f>L8+L11</f>
        <v>2200877.3429429429</v>
      </c>
      <c r="N13">
        <v>1893527</v>
      </c>
      <c r="O13" s="15">
        <f t="shared" si="1"/>
        <v>59999.974714714706</v>
      </c>
      <c r="P13" s="49">
        <f>N13-L13</f>
        <v>-307350.34294294287</v>
      </c>
    </row>
    <row r="14" spans="1:44" ht="13.8" x14ac:dyDescent="0.3">
      <c r="A14" s="13" t="s">
        <v>21</v>
      </c>
      <c r="B14" s="14" t="s">
        <v>22</v>
      </c>
      <c r="C14" s="15">
        <v>0</v>
      </c>
      <c r="E14" s="15">
        <f t="shared" si="0"/>
        <v>0</v>
      </c>
      <c r="G14" s="15">
        <v>3500000</v>
      </c>
      <c r="J14"/>
      <c r="K14"/>
      <c r="L14"/>
      <c r="O14" s="15">
        <f t="shared" si="1"/>
        <v>350000</v>
      </c>
    </row>
    <row r="15" spans="1:44" ht="13.8" x14ac:dyDescent="0.3">
      <c r="A15" s="13" t="s">
        <v>23</v>
      </c>
      <c r="B15" s="14" t="s">
        <v>24</v>
      </c>
      <c r="C15" s="15">
        <f>'[5]Team Report'!BA33</f>
        <v>76876.320000000007</v>
      </c>
      <c r="E15" s="15">
        <f>(C15/9)*12-25000</f>
        <v>77501.760000000009</v>
      </c>
      <c r="G15" s="15">
        <f t="shared" ref="G15:G22" si="2">(E15/$E$29)*$K$11</f>
        <v>6982.1405405405412</v>
      </c>
      <c r="J15"/>
      <c r="K15"/>
      <c r="L15"/>
      <c r="O15" s="15">
        <f t="shared" si="1"/>
        <v>698.21405405405415</v>
      </c>
    </row>
    <row r="16" spans="1:44" ht="13.8" x14ac:dyDescent="0.3">
      <c r="A16" s="13" t="s">
        <v>25</v>
      </c>
      <c r="B16" s="14" t="s">
        <v>26</v>
      </c>
      <c r="C16" s="15">
        <f>'[5]Team Report'!BA34</f>
        <v>0</v>
      </c>
      <c r="E16" s="15">
        <f>(C16/9)*12</f>
        <v>0</v>
      </c>
      <c r="G16" s="15">
        <f t="shared" si="2"/>
        <v>0</v>
      </c>
      <c r="I16" t="s">
        <v>27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'[5]Team Report'!BA35</f>
        <v>0</v>
      </c>
      <c r="E17" s="15">
        <f>(C17/9)*12</f>
        <v>0</v>
      </c>
      <c r="G17" s="15">
        <f t="shared" si="2"/>
        <v>0</v>
      </c>
      <c r="I17" t="s">
        <v>30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'[5]Team Report'!BA36</f>
        <v>5744.1</v>
      </c>
      <c r="E18" s="15">
        <f>(C18/9)*12</f>
        <v>7658.8</v>
      </c>
      <c r="G18" s="15">
        <f>(E18/$E$29)*$K$11+49310</f>
        <v>49999.981981981982</v>
      </c>
      <c r="I18" t="s">
        <v>117</v>
      </c>
      <c r="J18" s="25">
        <v>48000</v>
      </c>
      <c r="K18">
        <v>0</v>
      </c>
      <c r="L18" s="25">
        <f t="shared" si="3"/>
        <v>0</v>
      </c>
      <c r="O18" s="15">
        <f t="shared" si="1"/>
        <v>4999.9981981981982</v>
      </c>
    </row>
    <row r="19" spans="1:15" ht="13.8" x14ac:dyDescent="0.3">
      <c r="A19" s="13" t="s">
        <v>34</v>
      </c>
      <c r="B19" s="14" t="s">
        <v>35</v>
      </c>
      <c r="C19" s="15">
        <f>'[5]Team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36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ht="13.8" x14ac:dyDescent="0.3">
      <c r="A20" s="13" t="s">
        <v>37</v>
      </c>
      <c r="B20" s="14" t="s">
        <v>38</v>
      </c>
      <c r="C20" s="15">
        <f>'[5]Team Report'!BA38</f>
        <v>0</v>
      </c>
      <c r="E20" s="15">
        <f>(C20/9)*12</f>
        <v>0</v>
      </c>
      <c r="G20" s="15">
        <f t="shared" si="2"/>
        <v>0</v>
      </c>
      <c r="I20" t="s">
        <v>39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'[5]Team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42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ht="13.8" x14ac:dyDescent="0.3">
      <c r="A22" s="13" t="s">
        <v>43</v>
      </c>
      <c r="B22" s="14" t="s">
        <v>44</v>
      </c>
      <c r="C22" s="15">
        <f>'[5]Team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45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ht="13.8" x14ac:dyDescent="0.3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18608759.733333334</v>
      </c>
      <c r="G23" s="28">
        <f>SUM(G8:G22)</f>
        <v>6378975.3429429419</v>
      </c>
      <c r="I23" t="s">
        <v>48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637897.53429429419</v>
      </c>
    </row>
    <row r="24" spans="1:15" x14ac:dyDescent="0.25">
      <c r="I24" t="s">
        <v>49</v>
      </c>
      <c r="J24" s="25">
        <f>115000*1.2</f>
        <v>138000</v>
      </c>
      <c r="K24">
        <v>3</v>
      </c>
      <c r="L24" s="25">
        <f t="shared" si="3"/>
        <v>414000</v>
      </c>
    </row>
    <row r="25" spans="1:15" ht="13.8" x14ac:dyDescent="0.3">
      <c r="B25" s="27" t="s">
        <v>50</v>
      </c>
      <c r="C25" s="55"/>
      <c r="E25" s="55">
        <v>111</v>
      </c>
      <c r="G25" s="55">
        <f>+K28</f>
        <v>10</v>
      </c>
      <c r="I25" t="s">
        <v>51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ht="13.8" x14ac:dyDescent="0.3">
      <c r="I26" t="s">
        <v>52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ht="13.8" x14ac:dyDescent="0.3">
      <c r="B27" s="27" t="s">
        <v>67</v>
      </c>
      <c r="C27" s="55"/>
      <c r="E27" s="55"/>
      <c r="G27" s="55"/>
      <c r="I27" t="s">
        <v>54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5">
      <c r="J28"/>
      <c r="K28">
        <f>SUM(K16:K27)</f>
        <v>10</v>
      </c>
      <c r="L28" s="25">
        <f>SUM(L16:L27)*1.2</f>
        <v>1648800</v>
      </c>
    </row>
    <row r="29" spans="1:15" ht="13.8" x14ac:dyDescent="0.3">
      <c r="B29" s="27" t="s">
        <v>55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ht="13.8" x14ac:dyDescent="0.3">
      <c r="B30" s="27"/>
      <c r="I30" t="s">
        <v>102</v>
      </c>
      <c r="L30" s="52">
        <v>0.2</v>
      </c>
    </row>
    <row r="31" spans="1:15" ht="13.8" hidden="1" x14ac:dyDescent="0.3">
      <c r="A31" s="13" t="s">
        <v>71</v>
      </c>
      <c r="B31" s="14" t="s">
        <v>72</v>
      </c>
      <c r="C31" s="15">
        <f>'[5]Team Report'!BA29</f>
        <v>-24140467.679999996</v>
      </c>
      <c r="E31" s="15">
        <f t="shared" ref="E31:E38" si="4">(C31/9)*12</f>
        <v>-32187290.239999995</v>
      </c>
    </row>
    <row r="32" spans="1:15" ht="13.8" hidden="1" x14ac:dyDescent="0.3">
      <c r="A32" s="13" t="s">
        <v>73</v>
      </c>
      <c r="B32" s="14" t="s">
        <v>74</v>
      </c>
      <c r="C32" s="15">
        <f>'[5]Team Report'!BA30</f>
        <v>0</v>
      </c>
      <c r="E32" s="15">
        <f t="shared" si="4"/>
        <v>0</v>
      </c>
      <c r="L32" s="25">
        <f>L28*1.2</f>
        <v>1978560</v>
      </c>
    </row>
    <row r="33" spans="1:13" ht="13.8" hidden="1" x14ac:dyDescent="0.3">
      <c r="A33" s="13" t="s">
        <v>75</v>
      </c>
      <c r="B33" s="14" t="s">
        <v>76</v>
      </c>
      <c r="C33" s="15">
        <f>'[5]Team Report'!BA31</f>
        <v>0</v>
      </c>
      <c r="E33" s="15">
        <f t="shared" si="4"/>
        <v>0</v>
      </c>
    </row>
    <row r="34" spans="1:13" ht="13.8" hidden="1" x14ac:dyDescent="0.3">
      <c r="A34" s="13" t="s">
        <v>77</v>
      </c>
      <c r="B34" s="14" t="s">
        <v>78</v>
      </c>
      <c r="C34" s="15">
        <f>'[5]Team Report'!BA39</f>
        <v>0</v>
      </c>
      <c r="E34" s="15">
        <f t="shared" si="4"/>
        <v>0</v>
      </c>
      <c r="I34" s="33" t="s">
        <v>56</v>
      </c>
    </row>
    <row r="35" spans="1:13" ht="13.8" hidden="1" x14ac:dyDescent="0.3">
      <c r="A35" s="13" t="s">
        <v>79</v>
      </c>
      <c r="B35" s="14" t="s">
        <v>80</v>
      </c>
      <c r="C35" s="15">
        <f>'[5]Team Report'!BA40</f>
        <v>164920.93000000002</v>
      </c>
      <c r="E35" s="15">
        <f t="shared" si="4"/>
        <v>219894.57333333336</v>
      </c>
    </row>
    <row r="36" spans="1:13" ht="13.8" hidden="1" x14ac:dyDescent="0.3">
      <c r="A36" s="13" t="s">
        <v>81</v>
      </c>
      <c r="B36" s="14" t="s">
        <v>82</v>
      </c>
      <c r="C36" s="15">
        <f>'[5]Team Report'!BA41</f>
        <v>945381.27</v>
      </c>
      <c r="E36" s="15">
        <f t="shared" si="4"/>
        <v>1260508.3600000001</v>
      </c>
      <c r="I36" s="34" t="s">
        <v>118</v>
      </c>
    </row>
    <row r="37" spans="1:13" ht="13.8" hidden="1" x14ac:dyDescent="0.3">
      <c r="A37" s="13" t="s">
        <v>83</v>
      </c>
      <c r="B37" s="14" t="s">
        <v>84</v>
      </c>
      <c r="C37" s="15">
        <f>'[5]Team Report'!BA43</f>
        <v>-5121278.5200000005</v>
      </c>
      <c r="E37" s="15">
        <f t="shared" si="4"/>
        <v>-6828371.3600000013</v>
      </c>
      <c r="L37"/>
    </row>
    <row r="38" spans="1:13" ht="13.8" hidden="1" x14ac:dyDescent="0.3">
      <c r="A38" s="13" t="s">
        <v>85</v>
      </c>
      <c r="B38" s="14" t="s">
        <v>86</v>
      </c>
      <c r="C38" s="15">
        <f>'[5]Team Report'!BA45</f>
        <v>0</v>
      </c>
      <c r="E38" s="15">
        <f t="shared" si="4"/>
        <v>0</v>
      </c>
      <c r="L38"/>
    </row>
    <row r="39" spans="1:13" ht="13.8" hidden="1" x14ac:dyDescent="0.3">
      <c r="A39" s="13" t="s">
        <v>21</v>
      </c>
      <c r="B39" s="14" t="s">
        <v>22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5">
      <c r="H40" s="36"/>
      <c r="I40" s="56"/>
      <c r="J40" s="37"/>
      <c r="K40" s="37"/>
      <c r="L40" s="37"/>
      <c r="M40" s="25"/>
    </row>
    <row r="41" spans="1:13" hidden="1" x14ac:dyDescent="0.25">
      <c r="J41"/>
      <c r="L41"/>
    </row>
    <row r="42" spans="1:13" hidden="1" x14ac:dyDescent="0.25">
      <c r="J42"/>
      <c r="L42"/>
    </row>
    <row r="43" spans="1:13" hidden="1" x14ac:dyDescent="0.25"/>
    <row r="44" spans="1:13" hidden="1" x14ac:dyDescent="0.25">
      <c r="C44" s="54">
        <f>C23+C31+C32+C33+C34+C35+C36+C37+C38</f>
        <v>-13992730.449999996</v>
      </c>
    </row>
    <row r="45" spans="1:13" hidden="1" x14ac:dyDescent="0.25"/>
    <row r="46" spans="1:13" hidden="1" x14ac:dyDescent="0.25"/>
    <row r="47" spans="1:13" hidden="1" x14ac:dyDescent="0.25"/>
    <row r="48" spans="1:13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33203125" customWidth="1"/>
    <col min="8" max="8" width="9.88671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4" width="9.109375" hidden="1" customWidth="1"/>
    <col min="15" max="15" width="12.109375" hidden="1" customWidth="1"/>
    <col min="16" max="42" width="0" hidden="1" customWidth="1"/>
  </cols>
  <sheetData>
    <row r="1" spans="1:36" ht="18" x14ac:dyDescent="0.35">
      <c r="B1" s="134" t="str">
        <f>'[4]Team Report'!B1</f>
        <v>Enron North America</v>
      </c>
      <c r="C1" s="134"/>
      <c r="D1" s="134"/>
      <c r="E1" s="134"/>
      <c r="F1" s="134"/>
      <c r="G1" s="134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35">
      <c r="B2" s="134" t="s">
        <v>120</v>
      </c>
      <c r="C2" s="134"/>
      <c r="D2" s="134"/>
      <c r="E2" s="134"/>
      <c r="F2" s="134"/>
      <c r="G2" s="134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35">
      <c r="B3" s="135" t="s">
        <v>0</v>
      </c>
      <c r="C3" s="135"/>
      <c r="D3" s="135"/>
      <c r="E3" s="135"/>
      <c r="F3" s="135"/>
      <c r="G3" s="135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8" thickBot="1" x14ac:dyDescent="0.3">
      <c r="I4" s="139" t="s">
        <v>121</v>
      </c>
      <c r="J4" s="139"/>
      <c r="K4" s="139"/>
      <c r="L4" s="139"/>
    </row>
    <row r="5" spans="1:36" x14ac:dyDescent="0.25">
      <c r="I5" s="4"/>
      <c r="J5" s="40"/>
      <c r="K5" s="40"/>
      <c r="L5" s="41"/>
      <c r="M5" s="8"/>
    </row>
    <row r="6" spans="1:36" ht="13.8" x14ac:dyDescent="0.3">
      <c r="C6" s="10">
        <v>37135</v>
      </c>
      <c r="E6" s="76">
        <v>2001</v>
      </c>
      <c r="G6" s="76">
        <v>2002</v>
      </c>
      <c r="I6" s="7"/>
      <c r="J6" s="19" t="s">
        <v>1</v>
      </c>
      <c r="K6" s="19" t="s">
        <v>2</v>
      </c>
      <c r="L6" s="74" t="s">
        <v>107</v>
      </c>
      <c r="M6" s="8"/>
      <c r="O6" s="76">
        <v>2002</v>
      </c>
    </row>
    <row r="7" spans="1:36" ht="13.8" x14ac:dyDescent="0.3">
      <c r="C7" s="12" t="s">
        <v>5</v>
      </c>
      <c r="E7" s="12" t="s">
        <v>6</v>
      </c>
      <c r="G7" s="12" t="s">
        <v>7</v>
      </c>
      <c r="I7" s="7"/>
      <c r="J7" s="17"/>
      <c r="K7" s="17"/>
      <c r="L7" s="43"/>
      <c r="M7" s="8"/>
      <c r="O7" s="12" t="s">
        <v>7</v>
      </c>
    </row>
    <row r="8" spans="1:36" ht="13.8" x14ac:dyDescent="0.3">
      <c r="A8" s="13" t="s">
        <v>9</v>
      </c>
      <c r="B8" s="14" t="s">
        <v>10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t="13.8" hidden="1" x14ac:dyDescent="0.3">
      <c r="A9" s="13"/>
      <c r="B9" s="14" t="s">
        <v>11</v>
      </c>
      <c r="C9" s="15">
        <v>0</v>
      </c>
      <c r="E9" s="15">
        <f>(C9/9)*12</f>
        <v>0</v>
      </c>
      <c r="G9" s="15">
        <v>0</v>
      </c>
      <c r="I9" s="7" t="s">
        <v>10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ht="13.8" x14ac:dyDescent="0.3">
      <c r="A10" s="13"/>
      <c r="B10" s="14" t="s">
        <v>122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ht="13.8" x14ac:dyDescent="0.3">
      <c r="A11" s="13" t="s">
        <v>13</v>
      </c>
      <c r="B11" s="14" t="s">
        <v>14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ht="13.8" x14ac:dyDescent="0.3">
      <c r="A12" s="13" t="s">
        <v>16</v>
      </c>
      <c r="B12" s="14" t="s">
        <v>17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15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ht="13.8" x14ac:dyDescent="0.3">
      <c r="A13" s="13" t="s">
        <v>18</v>
      </c>
      <c r="B13" s="14" t="s">
        <v>19</v>
      </c>
      <c r="C13" s="15">
        <v>158715.85999999999</v>
      </c>
      <c r="E13" s="20">
        <f t="shared" si="1"/>
        <v>253945.37599999999</v>
      </c>
      <c r="G13" s="21">
        <f>(E13/$E$30)*$G$30+9324</f>
        <v>74999.52827586206</v>
      </c>
      <c r="I13" s="7"/>
      <c r="J13" s="17"/>
      <c r="K13" s="17"/>
      <c r="L13" s="43"/>
      <c r="M13" s="8"/>
      <c r="O13" s="15">
        <f t="shared" si="0"/>
        <v>9999.9371034482738</v>
      </c>
    </row>
    <row r="14" spans="1:36" ht="14.4" thickBot="1" x14ac:dyDescent="0.35">
      <c r="A14" s="13" t="s">
        <v>21</v>
      </c>
      <c r="B14" s="14" t="s">
        <v>22</v>
      </c>
      <c r="C14" s="15">
        <v>0</v>
      </c>
      <c r="E14" s="20">
        <f t="shared" si="1"/>
        <v>0</v>
      </c>
      <c r="G14" s="21">
        <f>(E14/$E$30)*$G$30+25000</f>
        <v>25000</v>
      </c>
      <c r="I14" s="22" t="s">
        <v>20</v>
      </c>
      <c r="J14" s="47"/>
      <c r="K14" s="47"/>
      <c r="L14" s="48">
        <f>SUM(L9:L12)</f>
        <v>2251300.4731034483</v>
      </c>
      <c r="M14" s="8"/>
      <c r="O14" s="15">
        <f t="shared" si="0"/>
        <v>3333.3333333333335</v>
      </c>
    </row>
    <row r="15" spans="1:36" ht="13.8" x14ac:dyDescent="0.3">
      <c r="A15" s="13" t="s">
        <v>23</v>
      </c>
      <c r="B15" s="14" t="s">
        <v>24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ht="13.8" x14ac:dyDescent="0.3">
      <c r="A16" s="13" t="s">
        <v>25</v>
      </c>
      <c r="B16" s="14" t="s">
        <v>26</v>
      </c>
      <c r="C16" s="15">
        <f>'[4]Team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'[4]Team Report'!BA35</f>
        <v>0</v>
      </c>
      <c r="E17" s="20">
        <f t="shared" si="1"/>
        <v>0</v>
      </c>
      <c r="G17" s="21">
        <f t="shared" si="2"/>
        <v>0</v>
      </c>
      <c r="I17" s="8" t="s">
        <v>27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ht="13.8" x14ac:dyDescent="0.3">
      <c r="A18" s="13" t="s">
        <v>31</v>
      </c>
      <c r="B18" s="14" t="s">
        <v>32</v>
      </c>
      <c r="C18" s="15">
        <v>1844.33</v>
      </c>
      <c r="E18" s="20">
        <f t="shared" si="1"/>
        <v>2950.9279999999999</v>
      </c>
      <c r="G18" s="21">
        <f>(E18/$E$30)*$G$30+237</f>
        <v>1000.1710344827585</v>
      </c>
      <c r="I18" t="s">
        <v>93</v>
      </c>
      <c r="J18" s="17">
        <v>49200</v>
      </c>
      <c r="K18">
        <v>1</v>
      </c>
      <c r="L18" s="17">
        <f t="shared" si="3"/>
        <v>49200</v>
      </c>
      <c r="O18" s="15">
        <f t="shared" si="0"/>
        <v>133.35613793103445</v>
      </c>
    </row>
    <row r="19" spans="1:15" ht="13.8" hidden="1" x14ac:dyDescent="0.3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123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ht="13.8" x14ac:dyDescent="0.3">
      <c r="A20" s="13" t="s">
        <v>34</v>
      </c>
      <c r="B20" s="14" t="s">
        <v>35</v>
      </c>
      <c r="C20" s="15">
        <v>29491.73</v>
      </c>
      <c r="E20" s="20">
        <f t="shared" si="1"/>
        <v>47186.768000000004</v>
      </c>
      <c r="G20" s="21">
        <f>(E20/$E$30)*$G$30+37797</f>
        <v>50000.474482758626</v>
      </c>
      <c r="I20" t="s">
        <v>33</v>
      </c>
      <c r="J20" s="17">
        <v>49200</v>
      </c>
      <c r="K20">
        <v>0</v>
      </c>
      <c r="L20" s="17">
        <f t="shared" si="3"/>
        <v>0</v>
      </c>
      <c r="O20" s="15">
        <f t="shared" si="0"/>
        <v>6666.7299310344833</v>
      </c>
    </row>
    <row r="21" spans="1:15" ht="13.8" x14ac:dyDescent="0.3">
      <c r="A21" s="13" t="s">
        <v>37</v>
      </c>
      <c r="B21" s="14" t="s">
        <v>38</v>
      </c>
      <c r="C21" s="15">
        <f>'[4]Team Report'!BA38</f>
        <v>0</v>
      </c>
      <c r="E21" s="20">
        <f t="shared" si="1"/>
        <v>0</v>
      </c>
      <c r="G21" s="21">
        <f t="shared" si="2"/>
        <v>0</v>
      </c>
      <c r="I21" t="s">
        <v>94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ht="13.8" x14ac:dyDescent="0.3">
      <c r="A22" s="13" t="s">
        <v>40</v>
      </c>
      <c r="B22" s="14" t="s">
        <v>41</v>
      </c>
      <c r="C22" s="15">
        <v>2056.67</v>
      </c>
      <c r="E22" s="20">
        <f t="shared" si="1"/>
        <v>3290.672</v>
      </c>
      <c r="G22" s="21">
        <f>(E22/$E$30)*$G$30+299149</f>
        <v>300000.03586206894</v>
      </c>
      <c r="I22" t="s">
        <v>36</v>
      </c>
      <c r="J22" s="17">
        <v>66000</v>
      </c>
      <c r="K22">
        <v>1</v>
      </c>
      <c r="L22" s="17">
        <f t="shared" si="3"/>
        <v>66000</v>
      </c>
      <c r="O22" s="15">
        <f t="shared" si="0"/>
        <v>40000.00478160919</v>
      </c>
    </row>
    <row r="23" spans="1:15" ht="13.8" x14ac:dyDescent="0.3">
      <c r="A23" s="13" t="s">
        <v>43</v>
      </c>
      <c r="B23" s="14" t="s">
        <v>44</v>
      </c>
      <c r="C23" s="15">
        <v>0</v>
      </c>
      <c r="E23" s="15">
        <f t="shared" si="1"/>
        <v>0</v>
      </c>
      <c r="G23" s="21">
        <f t="shared" si="2"/>
        <v>0</v>
      </c>
      <c r="I23" t="s">
        <v>108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ht="13.8" x14ac:dyDescent="0.3">
      <c r="A24" s="26" t="s">
        <v>46</v>
      </c>
      <c r="B24" s="27" t="s">
        <v>47</v>
      </c>
      <c r="C24" s="28">
        <f>SUM(C8:C23)</f>
        <v>335482.80999999994</v>
      </c>
      <c r="E24" s="28">
        <f>SUM(E8:E23)</f>
        <v>3702451.4959999998</v>
      </c>
      <c r="G24" s="28">
        <f>SUM(G8:G23)</f>
        <v>2622807.4731034478</v>
      </c>
      <c r="I24" t="s">
        <v>96</v>
      </c>
      <c r="J24" s="17">
        <v>105600</v>
      </c>
      <c r="K24">
        <v>5</v>
      </c>
      <c r="L24" s="17">
        <f t="shared" si="3"/>
        <v>528000</v>
      </c>
      <c r="O24" s="28">
        <f>SUM(O8:O23)</f>
        <v>349707.66308045975</v>
      </c>
    </row>
    <row r="25" spans="1:15" x14ac:dyDescent="0.25">
      <c r="I25" t="s">
        <v>97</v>
      </c>
      <c r="J25" s="17">
        <v>156000</v>
      </c>
      <c r="K25">
        <v>2</v>
      </c>
      <c r="L25" s="17">
        <f t="shared" si="3"/>
        <v>312000</v>
      </c>
    </row>
    <row r="26" spans="1:15" ht="13.8" x14ac:dyDescent="0.3">
      <c r="B26" s="27" t="s">
        <v>50</v>
      </c>
      <c r="C26" s="55"/>
      <c r="E26" s="55">
        <v>58</v>
      </c>
      <c r="G26" s="55">
        <f>SUM(K17:K20,K22:K28)</f>
        <v>14</v>
      </c>
      <c r="I26" t="s">
        <v>98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5">
      <c r="I27" t="s">
        <v>99</v>
      </c>
      <c r="J27" s="17">
        <v>210000</v>
      </c>
      <c r="K27">
        <v>1</v>
      </c>
      <c r="L27" s="17">
        <f t="shared" si="3"/>
        <v>210000</v>
      </c>
    </row>
    <row r="28" spans="1:15" ht="13.8" x14ac:dyDescent="0.3">
      <c r="B28" s="27" t="s">
        <v>67</v>
      </c>
      <c r="C28" s="55"/>
      <c r="E28" s="55">
        <v>0</v>
      </c>
      <c r="G28" s="55">
        <f>SUM(K21)</f>
        <v>1</v>
      </c>
      <c r="I28" t="s">
        <v>124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5">
      <c r="K29" s="25">
        <f>SUM(K17:K28)</f>
        <v>15</v>
      </c>
      <c r="L29" s="25">
        <f>SUM(L17:L28)</f>
        <v>1760400</v>
      </c>
    </row>
    <row r="30" spans="1:15" ht="13.8" x14ac:dyDescent="0.3">
      <c r="B30" s="27" t="s">
        <v>55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ht="13.8" x14ac:dyDescent="0.3">
      <c r="B31" s="27"/>
      <c r="I31" t="s">
        <v>102</v>
      </c>
      <c r="K31" s="52"/>
      <c r="L31" s="52">
        <v>0.2</v>
      </c>
    </row>
    <row r="32" spans="1:15" ht="13.8" hidden="1" x14ac:dyDescent="0.3">
      <c r="A32" s="13" t="s">
        <v>71</v>
      </c>
      <c r="B32" s="14" t="s">
        <v>72</v>
      </c>
      <c r="C32" s="15">
        <f>'[4]Team Report'!BA29</f>
        <v>0</v>
      </c>
      <c r="E32" s="15">
        <f t="shared" ref="E32:E39" si="4">(C32/9)*12</f>
        <v>0</v>
      </c>
    </row>
    <row r="33" spans="1:13" ht="13.8" hidden="1" x14ac:dyDescent="0.3">
      <c r="A33" s="13" t="s">
        <v>73</v>
      </c>
      <c r="B33" s="14" t="s">
        <v>74</v>
      </c>
      <c r="C33" s="15">
        <f>'[4]Team Report'!BA30</f>
        <v>0</v>
      </c>
      <c r="E33" s="15">
        <f t="shared" si="4"/>
        <v>0</v>
      </c>
      <c r="L33" s="25">
        <f>L29*1.2</f>
        <v>2112480</v>
      </c>
    </row>
    <row r="34" spans="1:13" ht="13.8" hidden="1" x14ac:dyDescent="0.3">
      <c r="A34" s="13" t="s">
        <v>75</v>
      </c>
      <c r="B34" s="14" t="s">
        <v>76</v>
      </c>
      <c r="C34" s="15">
        <f>'[4]Team Report'!BA31</f>
        <v>0</v>
      </c>
      <c r="E34" s="15">
        <f t="shared" si="4"/>
        <v>0</v>
      </c>
    </row>
    <row r="35" spans="1:13" ht="13.8" hidden="1" x14ac:dyDescent="0.3">
      <c r="A35" s="13" t="s">
        <v>77</v>
      </c>
      <c r="B35" s="14" t="s">
        <v>78</v>
      </c>
      <c r="C35" s="15">
        <f>'[4]Team Report'!BA39</f>
        <v>0</v>
      </c>
      <c r="E35" s="15">
        <f t="shared" si="4"/>
        <v>0</v>
      </c>
    </row>
    <row r="36" spans="1:13" ht="13.8" hidden="1" x14ac:dyDescent="0.3">
      <c r="A36" s="13" t="s">
        <v>79</v>
      </c>
      <c r="B36" s="14" t="s">
        <v>80</v>
      </c>
      <c r="C36" s="15">
        <f>'[4]Team Report'!BA40</f>
        <v>24670.390000000003</v>
      </c>
      <c r="E36" s="15">
        <f t="shared" si="4"/>
        <v>32893.85333333334</v>
      </c>
    </row>
    <row r="37" spans="1:13" ht="13.8" hidden="1" x14ac:dyDescent="0.3">
      <c r="A37" s="13" t="s">
        <v>81</v>
      </c>
      <c r="B37" s="14" t="s">
        <v>82</v>
      </c>
      <c r="C37" s="15">
        <f>'[4]Team Report'!BA41</f>
        <v>481045.43000000005</v>
      </c>
      <c r="E37" s="15">
        <f t="shared" si="4"/>
        <v>641393.90666666673</v>
      </c>
      <c r="H37" s="33" t="s">
        <v>56</v>
      </c>
      <c r="I37" s="25"/>
      <c r="L37"/>
    </row>
    <row r="38" spans="1:13" ht="13.8" hidden="1" x14ac:dyDescent="0.3">
      <c r="A38" s="13" t="s">
        <v>83</v>
      </c>
      <c r="B38" s="14" t="s">
        <v>84</v>
      </c>
      <c r="C38" s="15">
        <f>'[4]Team Report'!BA43</f>
        <v>-771915.88</v>
      </c>
      <c r="E38" s="15">
        <f t="shared" si="4"/>
        <v>-1029221.1733333333</v>
      </c>
      <c r="I38" s="25"/>
      <c r="L38"/>
    </row>
    <row r="39" spans="1:13" ht="13.8" hidden="1" x14ac:dyDescent="0.3">
      <c r="A39" s="13" t="s">
        <v>85</v>
      </c>
      <c r="B39" s="14" t="s">
        <v>86</v>
      </c>
      <c r="C39" s="15">
        <f>'[4]Team Report'!BA45</f>
        <v>0</v>
      </c>
      <c r="E39" s="15">
        <f t="shared" si="4"/>
        <v>0</v>
      </c>
      <c r="H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3" ht="13.8" hidden="1" x14ac:dyDescent="0.3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5"/>
    <row r="42" spans="1:13" hidden="1" x14ac:dyDescent="0.25"/>
    <row r="43" spans="1:13" hidden="1" x14ac:dyDescent="0.25"/>
    <row r="45" spans="1:13" x14ac:dyDescent="0.25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10" zoomScaleNormal="100" workbookViewId="0">
      <selection activeCell="K27" sqref="K2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customWidth="1"/>
    <col min="8" max="8" width="1.6640625" customWidth="1"/>
    <col min="9" max="9" width="20.6640625" customWidth="1"/>
    <col min="10" max="10" width="10.44140625" style="25" customWidth="1"/>
    <col min="11" max="11" width="10.88671875" style="25" customWidth="1"/>
    <col min="12" max="12" width="11.44140625" style="25" customWidth="1"/>
  </cols>
  <sheetData>
    <row r="1" spans="1:41" ht="18" x14ac:dyDescent="0.35">
      <c r="B1" s="134" t="str">
        <f>'[7]Team Report'!B1</f>
        <v>Enron North America</v>
      </c>
      <c r="C1" s="134"/>
      <c r="D1" s="134"/>
      <c r="E1" s="134"/>
      <c r="F1" s="134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34" t="str">
        <f>'[7]Pull Sheet'!E9</f>
        <v>Research</v>
      </c>
      <c r="C2" s="134"/>
      <c r="D2" s="134"/>
      <c r="E2" s="134"/>
      <c r="F2" s="134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35" t="s">
        <v>0</v>
      </c>
      <c r="C3" s="135"/>
      <c r="D3" s="135"/>
      <c r="E3" s="135"/>
      <c r="F3" s="135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ht="13.8" x14ac:dyDescent="0.3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ht="13.8" x14ac:dyDescent="0.3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t="13.8" hidden="1" x14ac:dyDescent="0.3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ht="13.8" x14ac:dyDescent="0.3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ht="13.8" x14ac:dyDescent="0.3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15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ht="13.8" x14ac:dyDescent="0.3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20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ht="13.8" x14ac:dyDescent="0.3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ht="13.8" x14ac:dyDescent="0.3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ht="13.8" x14ac:dyDescent="0.3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95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5">
      <c r="I24" t="s">
        <v>96</v>
      </c>
      <c r="J24" s="17">
        <v>90000</v>
      </c>
      <c r="K24" s="17">
        <v>0</v>
      </c>
      <c r="L24" s="17">
        <f t="shared" si="2"/>
        <v>0</v>
      </c>
    </row>
    <row r="25" spans="1:15" ht="13.8" x14ac:dyDescent="0.3">
      <c r="B25" s="27" t="s">
        <v>50</v>
      </c>
      <c r="C25" s="15"/>
      <c r="E25" s="31">
        <v>44</v>
      </c>
      <c r="F25" s="31">
        <f>+K29</f>
        <v>2</v>
      </c>
      <c r="I25" t="s">
        <v>97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119</v>
      </c>
      <c r="J26" s="17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100</v>
      </c>
      <c r="J28" s="17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55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5"/>
    <row r="31" spans="1:15" ht="13.8" hidden="1" x14ac:dyDescent="0.3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t="13.8" hidden="1" x14ac:dyDescent="0.3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403200</v>
      </c>
    </row>
    <row r="34" spans="1:12" ht="13.8" hidden="1" x14ac:dyDescent="0.3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t="13.8" hidden="1" x14ac:dyDescent="0.3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t="13.8" hidden="1" x14ac:dyDescent="0.3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hidden="1" customWidth="1"/>
    <col min="8" max="8" width="1.6640625" hidden="1" customWidth="1"/>
    <col min="9" max="9" width="20.6640625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54" width="0" hidden="1" customWidth="1"/>
  </cols>
  <sheetData>
    <row r="1" spans="1:41" ht="18" x14ac:dyDescent="0.35">
      <c r="B1" s="134" t="str">
        <f>'[7]Team Report'!B1</f>
        <v>Enron North America</v>
      </c>
      <c r="C1" s="134"/>
      <c r="D1" s="134"/>
      <c r="E1" s="134"/>
      <c r="F1" s="134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34" t="s">
        <v>177</v>
      </c>
      <c r="C2" s="134"/>
      <c r="D2" s="134"/>
      <c r="E2" s="134"/>
      <c r="F2" s="134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35" t="s">
        <v>0</v>
      </c>
      <c r="C3" s="135"/>
      <c r="D3" s="135"/>
      <c r="E3" s="135"/>
      <c r="F3" s="135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ht="13.8" x14ac:dyDescent="0.3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ht="13.8" x14ac:dyDescent="0.3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L29+433200</f>
        <v>1952400</v>
      </c>
      <c r="I8" s="7"/>
      <c r="J8" s="17"/>
      <c r="K8" s="17"/>
      <c r="L8" s="43"/>
      <c r="O8" s="15">
        <f>+F8/$F$29*$O$29</f>
        <v>177490.90909090909</v>
      </c>
    </row>
    <row r="9" spans="1:41" ht="13.8" hidden="1" x14ac:dyDescent="0.3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ht="13.8" x14ac:dyDescent="0.3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L33-L29+86640</f>
        <v>390480</v>
      </c>
      <c r="I11" s="7"/>
      <c r="J11" s="17"/>
      <c r="K11" s="17"/>
      <c r="L11" s="43"/>
      <c r="O11" s="15">
        <f t="shared" si="0"/>
        <v>35498.181818181816</v>
      </c>
    </row>
    <row r="12" spans="1:41" ht="13.8" x14ac:dyDescent="0.3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15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ht="13.8" x14ac:dyDescent="0.3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20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ht="13.8" x14ac:dyDescent="0.3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ht="13.8" x14ac:dyDescent="0.3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>(E19/$E$29)*$F$29+60000</f>
        <v>106541.91412244897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9685.6285565862709</v>
      </c>
    </row>
    <row r="20" spans="1:15" ht="13.8" x14ac:dyDescent="0.3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2768847.859265306</v>
      </c>
      <c r="I23" t="s">
        <v>95</v>
      </c>
      <c r="J23" s="17">
        <v>74400</v>
      </c>
      <c r="K23" s="17">
        <v>1</v>
      </c>
      <c r="L23" s="17">
        <f t="shared" si="2"/>
        <v>74400</v>
      </c>
      <c r="O23" s="58">
        <f>SUM(O8:O22)</f>
        <v>251713.44175139145</v>
      </c>
    </row>
    <row r="24" spans="1:15" x14ac:dyDescent="0.25">
      <c r="I24" t="s">
        <v>96</v>
      </c>
      <c r="J24" s="17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50</v>
      </c>
      <c r="C25" s="15"/>
      <c r="E25" s="31">
        <v>44</v>
      </c>
      <c r="F25" s="31">
        <f>+K29</f>
        <v>11</v>
      </c>
      <c r="I25" t="s">
        <v>97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98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ht="13.8" x14ac:dyDescent="0.3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100</v>
      </c>
      <c r="J28" s="17">
        <v>312000</v>
      </c>
      <c r="K28" s="17">
        <v>1</v>
      </c>
      <c r="L28" s="17">
        <f t="shared" si="2"/>
        <v>312000</v>
      </c>
    </row>
    <row r="29" spans="1:15" ht="13.8" x14ac:dyDescent="0.3">
      <c r="B29" s="27" t="s">
        <v>55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5"/>
    <row r="31" spans="1:15" ht="13.8" hidden="1" x14ac:dyDescent="0.3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t="13.8" hidden="1" x14ac:dyDescent="0.3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1823040</v>
      </c>
    </row>
    <row r="34" spans="1:12" ht="13.8" hidden="1" x14ac:dyDescent="0.3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t="13.8" hidden="1" x14ac:dyDescent="0.3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t="13.8" hidden="1" x14ac:dyDescent="0.3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34" t="str">
        <f>'[4]Team Report'!B1</f>
        <v>Enron North America</v>
      </c>
      <c r="C1" s="134"/>
      <c r="D1" s="134"/>
      <c r="E1" s="134"/>
      <c r="F1" s="134"/>
      <c r="G1" s="134"/>
      <c r="H1" s="134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34" t="s">
        <v>172</v>
      </c>
      <c r="C2" s="134"/>
      <c r="D2" s="134"/>
      <c r="E2" s="134"/>
      <c r="F2" s="134"/>
      <c r="G2" s="134"/>
      <c r="H2" s="134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35" t="s">
        <v>0</v>
      </c>
      <c r="C3" s="135"/>
      <c r="D3" s="135"/>
      <c r="E3" s="135"/>
      <c r="F3" s="135"/>
      <c r="G3" s="135"/>
      <c r="H3" s="135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39" t="s">
        <v>173</v>
      </c>
      <c r="J4" s="139"/>
      <c r="K4" s="139"/>
      <c r="L4" s="139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t="13.8" hidden="1" x14ac:dyDescent="0.3">
      <c r="A9" s="13"/>
      <c r="B9" s="14" t="s">
        <v>11</v>
      </c>
      <c r="C9" s="15">
        <v>0</v>
      </c>
      <c r="E9" s="15">
        <f>(C9/9)*12</f>
        <v>0</v>
      </c>
      <c r="H9" s="15"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ht="13.8" x14ac:dyDescent="0.3">
      <c r="A10" s="13"/>
      <c r="B10" s="14" t="s">
        <v>70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4.4" thickBot="1" x14ac:dyDescent="0.3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 t="shared" si="1"/>
        <v>0</v>
      </c>
      <c r="I17" s="8" t="s">
        <v>27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93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 t="shared" si="1"/>
        <v>226101.69491525422</v>
      </c>
      <c r="I19" t="s">
        <v>33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 t="shared" si="1"/>
        <v>0</v>
      </c>
      <c r="I20" t="s">
        <v>45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94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36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ht="13.8" x14ac:dyDescent="0.3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108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5">
      <c r="I24" t="s">
        <v>96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ht="13.8" x14ac:dyDescent="0.3">
      <c r="B25" s="27" t="s">
        <v>50</v>
      </c>
      <c r="C25" s="55"/>
      <c r="E25" s="55">
        <v>114</v>
      </c>
      <c r="H25" s="55">
        <f>SUM(K17:K19,K22:K28)</f>
        <v>165</v>
      </c>
      <c r="I25" t="s">
        <v>97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ht="13.8" x14ac:dyDescent="0.3">
      <c r="I26" t="s">
        <v>98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ht="13.8" x14ac:dyDescent="0.3">
      <c r="B27" s="27" t="s">
        <v>67</v>
      </c>
      <c r="C27" s="55"/>
      <c r="E27" s="55">
        <v>4</v>
      </c>
      <c r="H27" s="55">
        <f>SUM(K20:K21)</f>
        <v>19</v>
      </c>
      <c r="I27" t="s">
        <v>99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5">
      <c r="I28" t="s">
        <v>100</v>
      </c>
      <c r="J28" s="25">
        <v>312500</v>
      </c>
      <c r="K28">
        <v>0</v>
      </c>
      <c r="L28" s="17">
        <f t="shared" si="2"/>
        <v>0</v>
      </c>
    </row>
    <row r="29" spans="1:17" ht="13.8" x14ac:dyDescent="0.3">
      <c r="B29" s="27" t="s">
        <v>55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7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3"/>
        <v>0</v>
      </c>
    </row>
    <row r="33" spans="1:12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3"/>
        <v>0</v>
      </c>
      <c r="L33" s="25">
        <f>L29*1.2</f>
        <v>17530500</v>
      </c>
    </row>
    <row r="34" spans="1:12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3"/>
        <v>0</v>
      </c>
    </row>
    <row r="35" spans="1:12" ht="13.8" hidden="1" x14ac:dyDescent="0.3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3"/>
        <v>32893.85333333334</v>
      </c>
    </row>
    <row r="36" spans="1:12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3"/>
        <v>641393.90666666673</v>
      </c>
    </row>
    <row r="37" spans="1:12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3"/>
        <v>-1029221.1733333333</v>
      </c>
      <c r="H37" s="33" t="s">
        <v>56</v>
      </c>
    </row>
    <row r="38" spans="1:12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3"/>
        <v>0</v>
      </c>
    </row>
    <row r="39" spans="1:12" ht="13.8" hidden="1" x14ac:dyDescent="0.3">
      <c r="A39" s="13"/>
      <c r="B39" s="14"/>
      <c r="C39" s="15"/>
      <c r="E39" s="15"/>
      <c r="H39" t="s">
        <v>134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.33203125" customWidth="1"/>
    <col min="7" max="7" width="15.109375" customWidth="1"/>
    <col min="8" max="8" width="13.5546875" hidden="1" customWidth="1"/>
    <col min="9" max="9" width="20.6640625" hidden="1" customWidth="1"/>
    <col min="10" max="10" width="11.88671875" style="25" hidden="1" customWidth="1"/>
    <col min="11" max="11" width="10.88671875" style="25" hidden="1" customWidth="1"/>
    <col min="12" max="12" width="12.33203125" style="25" hidden="1" customWidth="1"/>
    <col min="13" max="13" width="12.109375" hidden="1" customWidth="1"/>
    <col min="14" max="16" width="9.109375" hidden="1" customWidth="1"/>
    <col min="17" max="46" width="0" hidden="1" customWidth="1"/>
  </cols>
  <sheetData>
    <row r="1" spans="1:44" ht="18" x14ac:dyDescent="0.35">
      <c r="B1" s="134" t="str">
        <f>'[8]Team Report'!B1</f>
        <v>Enron North America</v>
      </c>
      <c r="C1" s="134"/>
      <c r="D1" s="134"/>
      <c r="E1" s="134"/>
      <c r="F1" s="134"/>
      <c r="G1" s="134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125</v>
      </c>
      <c r="C2" s="134"/>
      <c r="D2" s="134"/>
      <c r="E2" s="134"/>
      <c r="F2" s="134"/>
      <c r="G2" s="134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40" t="s">
        <v>0</v>
      </c>
      <c r="C3" s="140"/>
      <c r="D3" s="140"/>
      <c r="E3" s="140"/>
      <c r="F3" s="140"/>
      <c r="G3" s="140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/>
    <row r="5" spans="1:44" x14ac:dyDescent="0.25">
      <c r="I5" s="4"/>
      <c r="J5" s="40"/>
      <c r="K5" s="40"/>
      <c r="L5" s="41"/>
    </row>
    <row r="6" spans="1:44" ht="13.8" x14ac:dyDescent="0.3">
      <c r="C6" s="10">
        <v>37135</v>
      </c>
      <c r="E6" s="44" t="s">
        <v>61</v>
      </c>
      <c r="G6" s="44" t="s">
        <v>63</v>
      </c>
      <c r="I6" s="7"/>
      <c r="J6" s="19" t="s">
        <v>1</v>
      </c>
      <c r="K6" s="19" t="s">
        <v>2</v>
      </c>
      <c r="L6" s="74" t="s">
        <v>107</v>
      </c>
      <c r="O6" s="11">
        <v>2002</v>
      </c>
    </row>
    <row r="7" spans="1:44" ht="13.8" x14ac:dyDescent="0.3">
      <c r="C7" s="12" t="s">
        <v>5</v>
      </c>
      <c r="E7" s="12" t="s">
        <v>6</v>
      </c>
      <c r="G7" s="12" t="s">
        <v>7</v>
      </c>
      <c r="I7" s="7"/>
      <c r="J7" s="17"/>
      <c r="K7" s="17"/>
      <c r="L7" s="43"/>
      <c r="O7" s="12" t="s">
        <v>7</v>
      </c>
    </row>
    <row r="8" spans="1:44" ht="13.8" x14ac:dyDescent="0.3">
      <c r="A8" s="13" t="s">
        <v>9</v>
      </c>
      <c r="B8" s="14" t="s">
        <v>10</v>
      </c>
      <c r="C8" s="53">
        <f>'[8]Team Report'!BA25</f>
        <v>3696902.5199999996</v>
      </c>
      <c r="E8" s="15">
        <f>(C8/9)*12</f>
        <v>4929203.3599999994</v>
      </c>
      <c r="G8" s="15">
        <f>L29-G10+212800</f>
        <v>1420000</v>
      </c>
      <c r="I8" s="7"/>
      <c r="J8" s="17"/>
      <c r="K8" s="17"/>
      <c r="L8" s="43"/>
      <c r="O8" s="15">
        <f>+G8/$G$29*$O$29</f>
        <v>101428.57142857143</v>
      </c>
    </row>
    <row r="9" spans="1:44" ht="13.8" hidden="1" x14ac:dyDescent="0.3">
      <c r="A9" s="13"/>
      <c r="B9" s="14" t="s">
        <v>11</v>
      </c>
      <c r="C9" s="15">
        <v>0</v>
      </c>
      <c r="E9" s="15">
        <f>(C9/9)*12</f>
        <v>0</v>
      </c>
      <c r="G9" s="15">
        <v>0</v>
      </c>
      <c r="I9" s="7" t="s">
        <v>10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ht="13.8" hidden="1" x14ac:dyDescent="0.3">
      <c r="A10" s="13"/>
      <c r="B10" s="14" t="s">
        <v>122</v>
      </c>
      <c r="C10" s="15">
        <v>0</v>
      </c>
      <c r="E10" s="15">
        <f>(C10/9)*12</f>
        <v>0</v>
      </c>
      <c r="G10" s="15">
        <v>0</v>
      </c>
      <c r="I10" s="7"/>
      <c r="J10" s="17"/>
      <c r="K10" s="17"/>
      <c r="L10" s="43"/>
      <c r="O10" s="15">
        <f t="shared" si="0"/>
        <v>0</v>
      </c>
    </row>
    <row r="11" spans="1:44" ht="13.8" x14ac:dyDescent="0.3">
      <c r="A11" s="13" t="s">
        <v>13</v>
      </c>
      <c r="B11" s="14" t="s">
        <v>14</v>
      </c>
      <c r="C11" s="15">
        <f>'[8]Team Report'!BA26</f>
        <v>823813.24</v>
      </c>
      <c r="E11" s="15">
        <f>(C11/9)*12</f>
        <v>1098417.6533333333</v>
      </c>
      <c r="G11" s="15">
        <f>L33-L29+141960</f>
        <v>383400</v>
      </c>
      <c r="I11" s="7"/>
      <c r="J11" s="17"/>
      <c r="K11" s="17"/>
      <c r="L11" s="43"/>
      <c r="O11" s="15">
        <f t="shared" si="0"/>
        <v>27385.714285714286</v>
      </c>
    </row>
    <row r="12" spans="1:44" ht="13.8" x14ac:dyDescent="0.3">
      <c r="A12" s="13" t="s">
        <v>16</v>
      </c>
      <c r="B12" s="14" t="s">
        <v>17</v>
      </c>
      <c r="C12" s="15">
        <f>'[8]Team Report'!BA27</f>
        <v>-177210.59000000003</v>
      </c>
      <c r="E12" s="20">
        <f>((C12/9)*12+350000)*1.4</f>
        <v>159206.89866666665</v>
      </c>
      <c r="G12" s="21">
        <f>(E12/$E$29)*$G$29+13466</f>
        <v>40000.483111111105</v>
      </c>
      <c r="I12" s="7" t="s">
        <v>15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2857.1773650793648</v>
      </c>
    </row>
    <row r="13" spans="1:44" ht="13.8" x14ac:dyDescent="0.3">
      <c r="A13" s="13" t="s">
        <v>18</v>
      </c>
      <c r="B13" s="14" t="s">
        <v>19</v>
      </c>
      <c r="C13" s="15">
        <f>'[8]Team Report'!BA28</f>
        <v>238343.32</v>
      </c>
      <c r="E13" s="20">
        <f>((C13/9)*12)*1.4</f>
        <v>444907.53066666669</v>
      </c>
      <c r="G13" s="21">
        <f>(E13/$E$29)*$G$29-19151</f>
        <v>55000.255111111124</v>
      </c>
      <c r="I13" s="7"/>
      <c r="J13" s="17"/>
      <c r="K13" s="17"/>
      <c r="L13" s="43"/>
      <c r="O13" s="15">
        <f t="shared" si="0"/>
        <v>3928.5896507936518</v>
      </c>
    </row>
    <row r="14" spans="1:44" ht="14.4" thickBot="1" x14ac:dyDescent="0.35">
      <c r="A14" s="13" t="s">
        <v>21</v>
      </c>
      <c r="B14" s="14" t="s">
        <v>22</v>
      </c>
      <c r="C14" s="15">
        <v>0</v>
      </c>
      <c r="E14" s="20">
        <f>(C14/9)*12</f>
        <v>0</v>
      </c>
      <c r="G14" s="21">
        <f>(E14/$E$29)*$G$29+80000</f>
        <v>80000</v>
      </c>
      <c r="I14" s="22" t="s">
        <v>20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5714.2857142857147</v>
      </c>
      <c r="P14" s="49">
        <f>N14-L14</f>
        <v>499752.89641269832</v>
      </c>
    </row>
    <row r="15" spans="1:44" ht="13.8" x14ac:dyDescent="0.3">
      <c r="A15" s="13" t="s">
        <v>23</v>
      </c>
      <c r="B15" s="14" t="s">
        <v>24</v>
      </c>
      <c r="C15" s="15">
        <f>'[8]Team Report'!BA33</f>
        <v>93641.700000000012</v>
      </c>
      <c r="E15" s="20">
        <f>((C15/9)*12)*1.4</f>
        <v>174797.84000000003</v>
      </c>
      <c r="G15" s="21">
        <f t="shared" ref="G15:G22" si="1">(E15/$E$29)*$G$29</f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ht="13.8" x14ac:dyDescent="0.3">
      <c r="A16" s="13" t="s">
        <v>25</v>
      </c>
      <c r="B16" s="14" t="s">
        <v>26</v>
      </c>
      <c r="C16" s="15">
        <f>'[8]Team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'[8]Team Report'!BA35</f>
        <v>0</v>
      </c>
      <c r="E17" s="20">
        <f>(C17/9)*12</f>
        <v>0</v>
      </c>
      <c r="G17" s="21">
        <f t="shared" si="1"/>
        <v>0</v>
      </c>
      <c r="I17" s="8" t="s">
        <v>27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31</v>
      </c>
      <c r="B18" s="14" t="s">
        <v>32</v>
      </c>
      <c r="C18" s="15">
        <f>'[8]Team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93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ht="13.8" x14ac:dyDescent="0.3">
      <c r="A19" s="13" t="s">
        <v>34</v>
      </c>
      <c r="B19" s="14" t="s">
        <v>35</v>
      </c>
      <c r="C19" s="15">
        <f>'[8]Team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33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ht="13.8" x14ac:dyDescent="0.3">
      <c r="A20" s="13" t="s">
        <v>37</v>
      </c>
      <c r="B20" s="14" t="s">
        <v>38</v>
      </c>
      <c r="C20" s="15">
        <f>'[8]Team Report'!BA38</f>
        <v>1258.2</v>
      </c>
      <c r="E20" s="20">
        <f>((C20/9)*12)*1.2</f>
        <v>2013.1200000000001</v>
      </c>
      <c r="G20" s="21">
        <f>(E20/$E$29)*$G$29-336</f>
        <v>-0.47999999999996135</v>
      </c>
      <c r="I20" t="s">
        <v>94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-3.4285714285711526E-2</v>
      </c>
    </row>
    <row r="21" spans="1:15" ht="13.8" x14ac:dyDescent="0.3">
      <c r="A21" s="13" t="s">
        <v>40</v>
      </c>
      <c r="B21" s="14" t="s">
        <v>41</v>
      </c>
      <c r="C21" s="15">
        <f>'[8]Team Report'!BA42</f>
        <v>33298.459999999992</v>
      </c>
      <c r="E21" s="20">
        <f>((C21/9)*12)*1.6</f>
        <v>71036.714666666652</v>
      </c>
      <c r="G21" s="21">
        <f>(E21/$E$29)*$G$29+7698</f>
        <v>19537.452444444443</v>
      </c>
      <c r="I21" t="s">
        <v>45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1395.5323174603175</v>
      </c>
    </row>
    <row r="22" spans="1:15" ht="13.8" x14ac:dyDescent="0.3">
      <c r="A22" s="13" t="s">
        <v>43</v>
      </c>
      <c r="B22" s="14" t="s">
        <v>44</v>
      </c>
      <c r="C22" s="15">
        <f>'[8]Team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36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ht="13.8" x14ac:dyDescent="0.3">
      <c r="A23" s="26" t="s">
        <v>46</v>
      </c>
      <c r="B23" s="27" t="s">
        <v>47</v>
      </c>
      <c r="C23" s="28">
        <f>SUM(C8:C22)</f>
        <v>4836935.0500000007</v>
      </c>
      <c r="E23" s="28">
        <f>SUM(E8:E22)</f>
        <v>7169884.4186666673</v>
      </c>
      <c r="G23" s="28">
        <f>SUM(G8:G22)</f>
        <v>2075454.2342222224</v>
      </c>
      <c r="I23" t="s">
        <v>95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148246.731015873</v>
      </c>
    </row>
    <row r="24" spans="1:15" x14ac:dyDescent="0.25">
      <c r="I24" t="s">
        <v>96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ht="13.8" x14ac:dyDescent="0.3">
      <c r="B25" s="27" t="s">
        <v>50</v>
      </c>
      <c r="C25" s="55"/>
      <c r="E25" s="55">
        <v>84</v>
      </c>
      <c r="G25" s="79">
        <f>SUM(K17:K19,K22:K28)</f>
        <v>11</v>
      </c>
      <c r="I25" t="s">
        <v>97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I26" t="s">
        <v>119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ht="13.8" x14ac:dyDescent="0.3">
      <c r="B27" s="27" t="s">
        <v>67</v>
      </c>
      <c r="C27" s="55"/>
      <c r="E27" s="55"/>
      <c r="G27" s="79">
        <f>SUM(K20:K21)</f>
        <v>3</v>
      </c>
      <c r="I27" t="s">
        <v>99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5">
      <c r="I28" t="s">
        <v>100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55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71</v>
      </c>
      <c r="B31" s="14" t="s">
        <v>72</v>
      </c>
      <c r="C31" s="15">
        <f>'[8]Team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'[8]Team Report'!BA30</f>
        <v>0</v>
      </c>
      <c r="E32" s="15">
        <f t="shared" si="3"/>
        <v>0</v>
      </c>
    </row>
    <row r="33" spans="1:12" ht="13.8" hidden="1" x14ac:dyDescent="0.3">
      <c r="A33" s="13" t="s">
        <v>75</v>
      </c>
      <c r="B33" s="14" t="s">
        <v>76</v>
      </c>
      <c r="C33" s="15">
        <f>'[8]Team Report'!BA31</f>
        <v>0</v>
      </c>
      <c r="E33" s="15">
        <f t="shared" si="3"/>
        <v>0</v>
      </c>
      <c r="L33" s="25">
        <f>L29*1.2</f>
        <v>1448640</v>
      </c>
    </row>
    <row r="34" spans="1:12" ht="13.8" hidden="1" x14ac:dyDescent="0.3">
      <c r="A34" s="13" t="s">
        <v>77</v>
      </c>
      <c r="B34" s="14" t="s">
        <v>78</v>
      </c>
      <c r="C34" s="15">
        <f>'[8]Team Report'!BA39</f>
        <v>0</v>
      </c>
      <c r="E34" s="15">
        <f t="shared" si="3"/>
        <v>0</v>
      </c>
    </row>
    <row r="35" spans="1:12" ht="13.8" hidden="1" x14ac:dyDescent="0.3">
      <c r="A35" s="13" t="s">
        <v>79</v>
      </c>
      <c r="B35" s="14" t="s">
        <v>80</v>
      </c>
      <c r="C35" s="15">
        <f>'[8]Team Report'!BA40</f>
        <v>77797.26999999999</v>
      </c>
      <c r="E35" s="15">
        <f t="shared" si="3"/>
        <v>103729.69333333333</v>
      </c>
    </row>
    <row r="36" spans="1:12" ht="13.8" hidden="1" x14ac:dyDescent="0.3">
      <c r="A36" s="13" t="s">
        <v>81</v>
      </c>
      <c r="B36" s="14" t="s">
        <v>82</v>
      </c>
      <c r="C36" s="15">
        <f>'[8]Team Report'!BA41</f>
        <v>677124.53999999992</v>
      </c>
      <c r="E36" s="15">
        <f t="shared" si="3"/>
        <v>902832.72</v>
      </c>
    </row>
    <row r="37" spans="1:12" ht="13.8" hidden="1" x14ac:dyDescent="0.3">
      <c r="A37" s="13" t="s">
        <v>83</v>
      </c>
      <c r="B37" s="14" t="s">
        <v>84</v>
      </c>
      <c r="C37" s="15">
        <f>'[8]Team Report'!BA43</f>
        <v>-1637349.75</v>
      </c>
      <c r="E37" s="15">
        <f t="shared" si="3"/>
        <v>-2183133</v>
      </c>
      <c r="H37" s="33" t="s">
        <v>56</v>
      </c>
      <c r="I37" s="25"/>
      <c r="L37"/>
    </row>
    <row r="38" spans="1:12" ht="13.8" hidden="1" x14ac:dyDescent="0.3">
      <c r="A38" s="13" t="s">
        <v>85</v>
      </c>
      <c r="B38" s="14" t="s">
        <v>86</v>
      </c>
      <c r="C38" s="15">
        <f>'[8]Team Report'!BA45</f>
        <v>15745.09</v>
      </c>
      <c r="E38" s="15">
        <f t="shared" si="3"/>
        <v>20993.453333333335</v>
      </c>
      <c r="I38" s="25"/>
      <c r="L38"/>
    </row>
    <row r="39" spans="1:12" ht="13.8" hidden="1" x14ac:dyDescent="0.3">
      <c r="A39" s="77" t="s">
        <v>21</v>
      </c>
      <c r="B39" s="14" t="s">
        <v>22</v>
      </c>
      <c r="C39" s="15">
        <v>180700.52</v>
      </c>
      <c r="E39" s="15">
        <v>240934.02666666661</v>
      </c>
      <c r="H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5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3970252.2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topLeftCell="A2"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49" width="0" hidden="1" customWidth="1"/>
  </cols>
  <sheetData>
    <row r="1" spans="1:45" ht="18" x14ac:dyDescent="0.35">
      <c r="B1" s="134" t="str">
        <f>'[12]Team Report'!B1</f>
        <v>Enron North America</v>
      </c>
      <c r="C1" s="134"/>
      <c r="D1" s="134"/>
      <c r="E1" s="134"/>
      <c r="F1" s="136"/>
      <c r="G1" s="136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34" t="s">
        <v>135</v>
      </c>
      <c r="C2" s="134"/>
      <c r="D2" s="134"/>
      <c r="E2" s="134"/>
      <c r="F2" s="136"/>
      <c r="G2" s="136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34" t="s">
        <v>0</v>
      </c>
      <c r="C3" s="134"/>
      <c r="D3" s="134"/>
      <c r="E3" s="134"/>
      <c r="F3" s="136"/>
      <c r="G3" s="136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9"/>
      <c r="K4" s="139"/>
      <c r="L4" s="139"/>
      <c r="M4" s="139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ht="13.8" x14ac:dyDescent="0.3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SUM(M17:M28)+348000</f>
        <v>16582800</v>
      </c>
      <c r="J8" s="7"/>
      <c r="K8" s="17"/>
      <c r="L8" s="17"/>
      <c r="M8" s="43"/>
      <c r="O8" s="15">
        <f t="shared" ref="O8:O22" si="1">+G8/$G$29*$O$29</f>
        <v>117608.51063829787</v>
      </c>
    </row>
    <row r="9" spans="1:4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ht="13.8" x14ac:dyDescent="0.3">
      <c r="A10" s="13"/>
      <c r="B10" s="14" t="s">
        <v>70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+G8*0.2</f>
        <v>3316560</v>
      </c>
      <c r="J11" s="7"/>
      <c r="K11" s="17"/>
      <c r="L11" s="17"/>
      <c r="M11" s="43"/>
      <c r="O11" s="15">
        <f t="shared" si="1"/>
        <v>23521.702127659573</v>
      </c>
    </row>
    <row r="12" spans="1:45" ht="13.8" x14ac:dyDescent="0.3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15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15633.631205673759</v>
      </c>
    </row>
    <row r="13" spans="1:45" ht="13.8" x14ac:dyDescent="0.3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8484.098156028369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20</v>
      </c>
      <c r="K14" s="47"/>
      <c r="L14" s="47"/>
      <c r="M14" s="48">
        <f>SUM(M9:M12)</f>
        <v>22588920</v>
      </c>
      <c r="O14" s="15">
        <f t="shared" si="1"/>
        <v>0</v>
      </c>
    </row>
    <row r="15" spans="1:45" ht="13.8" x14ac:dyDescent="0.3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3513.4002836879431</v>
      </c>
    </row>
    <row r="16" spans="1:45" ht="13.8" x14ac:dyDescent="0.3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27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30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ht="13.8" x14ac:dyDescent="0.3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+'IT Dev'!G19+'IT EOL'!G19+2775700</f>
        <v>5600999.9199999999</v>
      </c>
      <c r="J19" t="s">
        <v>33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39723.403687943261</v>
      </c>
    </row>
    <row r="20" spans="1:15" ht="13.8" x14ac:dyDescent="0.3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36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+'IT Dev'!G21+'IT EOL'!G21-7942105</f>
        <v>1845972.4000000004</v>
      </c>
      <c r="J21" t="s">
        <v>39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13092.002836879436</v>
      </c>
    </row>
    <row r="22" spans="1:15" ht="13.8" x14ac:dyDescent="0.3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136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ht="13.8" x14ac:dyDescent="0.3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31242321.600000001</v>
      </c>
      <c r="J23" t="s">
        <v>137</v>
      </c>
      <c r="K23" s="25">
        <v>192000</v>
      </c>
      <c r="L23" s="25">
        <v>0</v>
      </c>
      <c r="M23" s="17">
        <f t="shared" si="2"/>
        <v>0</v>
      </c>
      <c r="O23" s="28">
        <f>SUM(O8:O22)</f>
        <v>221576.74893617022</v>
      </c>
    </row>
    <row r="24" spans="1:15" x14ac:dyDescent="0.25">
      <c r="J24" t="s">
        <v>48</v>
      </c>
      <c r="K24" s="25">
        <v>144000</v>
      </c>
      <c r="L24" s="25">
        <v>28</v>
      </c>
      <c r="M24" s="17">
        <f t="shared" si="2"/>
        <v>4032000</v>
      </c>
    </row>
    <row r="25" spans="1:15" ht="13.8" x14ac:dyDescent="0.3">
      <c r="B25" s="27" t="s">
        <v>50</v>
      </c>
      <c r="C25" s="55"/>
      <c r="E25" s="55">
        <v>111</v>
      </c>
      <c r="F25" s="60">
        <v>40</v>
      </c>
      <c r="G25" s="79">
        <v>141</v>
      </c>
      <c r="J25" t="s">
        <v>49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ht="13.8" x14ac:dyDescent="0.3">
      <c r="J26" t="s">
        <v>51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54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55</v>
      </c>
      <c r="C29" s="55"/>
      <c r="E29" s="55">
        <f>SUM(E25:E28)</f>
        <v>111</v>
      </c>
      <c r="F29" s="60"/>
      <c r="G29" s="55">
        <f>SUM(G25:G28)</f>
        <v>141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t="13.8" hidden="1" x14ac:dyDescent="0.3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t="13.8" hidden="1" x14ac:dyDescent="0.3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t="13.8" hidden="1" x14ac:dyDescent="0.3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169</v>
      </c>
    </row>
    <row r="47" spans="1:13" ht="13.8" x14ac:dyDescent="0.3">
      <c r="B47" s="14" t="s">
        <v>170</v>
      </c>
    </row>
    <row r="48" spans="1:13" ht="13.8" x14ac:dyDescent="0.3">
      <c r="B48" s="14" t="s">
        <v>171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R39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21" customWidth="1"/>
    <col min="15" max="15" width="19" customWidth="1"/>
    <col min="16" max="16" width="28.44140625" bestFit="1" customWidth="1"/>
    <col min="17" max="17" width="10.6640625" customWidth="1"/>
  </cols>
  <sheetData>
    <row r="1" spans="1:44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250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1062600</v>
      </c>
      <c r="I8" s="42" t="s">
        <v>10</v>
      </c>
      <c r="J8" s="17">
        <v>0</v>
      </c>
      <c r="K8" s="17"/>
      <c r="L8" s="43">
        <f>L30</f>
        <v>1275120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212520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(E12/$E$29)*$K$11</f>
        <v>43137.316249999982</v>
      </c>
      <c r="I12" s="42"/>
      <c r="J12" s="17"/>
      <c r="K12" s="17"/>
      <c r="L12" s="43"/>
      <c r="N12" s="124"/>
      <c r="O12" s="124"/>
      <c r="P12" s="124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15000</v>
      </c>
      <c r="I13" s="46" t="s">
        <v>20</v>
      </c>
      <c r="J13" s="47"/>
      <c r="K13" s="47"/>
      <c r="L13" s="48">
        <f>L8+L11</f>
        <v>1613011.26875</v>
      </c>
      <c r="N13" s="124"/>
      <c r="O13" s="124"/>
      <c r="P13" s="124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ref="H14:H21" si="1">(E14/$E$29)*$K$11</f>
        <v>1.400000000115445E-2</v>
      </c>
      <c r="N14" s="124"/>
      <c r="O14" s="124"/>
      <c r="P14" s="124"/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6099.5083333333323</v>
      </c>
      <c r="N15" s="124"/>
      <c r="O15" s="124"/>
      <c r="P15" s="124"/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344.16666666666663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/>
      <c r="O17" s="124"/>
      <c r="P17" s="124"/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6250.7036666666672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N18" s="124"/>
      <c r="O18" s="124"/>
      <c r="P18" s="124"/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6370.6019999999999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0.93333333333333335</v>
      </c>
      <c r="I20" s="25" t="s">
        <v>39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7921.0197499999931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1360244.264</v>
      </c>
      <c r="I23" s="25" t="s">
        <v>48</v>
      </c>
      <c r="J23" s="25">
        <v>110000</v>
      </c>
      <c r="K23" s="25">
        <v>3</v>
      </c>
      <c r="L23" s="25">
        <f t="shared" si="2"/>
        <v>330000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7</v>
      </c>
      <c r="L28" s="25">
        <f>SUM(L16:L27)*1.2</f>
        <v>1062600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5">
      <c r="L30" s="25">
        <f>L28*1.2</f>
        <v>1275120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D64" sqref="D64"/>
    </sheetView>
  </sheetViews>
  <sheetFormatPr defaultRowHeight="13.2" x14ac:dyDescent="0.25"/>
  <cols>
    <col min="1" max="1" width="5.109375" customWidth="1"/>
    <col min="2" max="2" width="23.44140625" bestFit="1" customWidth="1"/>
    <col min="3" max="3" width="15.88671875" hidden="1" customWidth="1"/>
    <col min="4" max="4" width="1.88671875" customWidth="1"/>
    <col min="5" max="5" width="13.88671875" hidden="1" customWidth="1"/>
    <col min="6" max="7" width="2.33203125" hidden="1" customWidth="1"/>
    <col min="8" max="8" width="13" customWidth="1"/>
    <col min="9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50" width="0" hidden="1" customWidth="1"/>
  </cols>
  <sheetData>
    <row r="1" spans="1:45" ht="18" x14ac:dyDescent="0.35">
      <c r="B1" s="134" t="str">
        <f>'[11]Team Report'!B1</f>
        <v>Enron North America</v>
      </c>
      <c r="C1" s="134"/>
      <c r="D1" s="134"/>
      <c r="E1" s="134"/>
      <c r="F1" s="136"/>
      <c r="G1" s="136"/>
      <c r="H1" s="136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34" t="str">
        <f>"IT Infrastructure"</f>
        <v>IT Infrastructure</v>
      </c>
      <c r="C2" s="134"/>
      <c r="D2" s="134"/>
      <c r="E2" s="134"/>
      <c r="F2" s="136"/>
      <c r="G2" s="136"/>
      <c r="H2" s="136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34" t="s">
        <v>0</v>
      </c>
      <c r="C3" s="134"/>
      <c r="D3" s="134"/>
      <c r="E3" s="134"/>
      <c r="F3" s="136"/>
      <c r="G3" s="136"/>
      <c r="H3" s="136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9"/>
      <c r="K4" s="139"/>
      <c r="L4" s="139"/>
      <c r="M4" s="139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H6" s="11">
        <v>2002</v>
      </c>
      <c r="J6" s="7"/>
      <c r="K6" s="19" t="s">
        <v>1</v>
      </c>
      <c r="L6" s="19" t="s">
        <v>2</v>
      </c>
      <c r="M6" s="74" t="s">
        <v>107</v>
      </c>
      <c r="Q6" s="44" t="s">
        <v>63</v>
      </c>
    </row>
    <row r="7" spans="1:45" ht="13.8" x14ac:dyDescent="0.3">
      <c r="C7" s="12" t="s">
        <v>5</v>
      </c>
      <c r="E7" s="12" t="s">
        <v>6</v>
      </c>
      <c r="H7" s="12" t="s">
        <v>7</v>
      </c>
      <c r="J7" s="7"/>
      <c r="K7" s="17"/>
      <c r="L7" s="17"/>
      <c r="M7" s="43"/>
      <c r="Q7" s="12" t="s">
        <v>7</v>
      </c>
    </row>
    <row r="8" spans="1:45" ht="13.8" x14ac:dyDescent="0.3">
      <c r="A8" s="13" t="s">
        <v>9</v>
      </c>
      <c r="B8" s="14" t="s">
        <v>10</v>
      </c>
      <c r="C8" s="53">
        <f>'[11]Team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t="13.8" hidden="1" x14ac:dyDescent="0.3">
      <c r="A9" s="13"/>
      <c r="B9" s="14" t="s">
        <v>11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10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t="13.8" hidden="1" x14ac:dyDescent="0.3">
      <c r="A10" s="13"/>
      <c r="B10" s="14" t="s">
        <v>122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'[11]Team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ht="13.8" x14ac:dyDescent="0.3">
      <c r="A12" s="13" t="s">
        <v>16</v>
      </c>
      <c r="B12" s="14" t="s">
        <v>17</v>
      </c>
      <c r="C12" s="15">
        <f>'[11]Team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15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ht="13.8" x14ac:dyDescent="0.3">
      <c r="A13" s="13" t="s">
        <v>18</v>
      </c>
      <c r="B13" s="14" t="s">
        <v>19</v>
      </c>
      <c r="C13" s="15">
        <f>'[11]Team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15">
        <f t="shared" si="0"/>
        <v>0</v>
      </c>
      <c r="H14" s="15">
        <v>2000000</v>
      </c>
      <c r="J14" s="22" t="s">
        <v>20</v>
      </c>
      <c r="K14" s="47"/>
      <c r="L14" s="47"/>
      <c r="M14" s="48">
        <f>SUM(M9:M12)</f>
        <v>44037043</v>
      </c>
      <c r="Q14" s="15">
        <f t="shared" si="1"/>
        <v>33898.305084745763</v>
      </c>
    </row>
    <row r="15" spans="1:45" ht="13.8" x14ac:dyDescent="0.3">
      <c r="A15" s="13" t="s">
        <v>23</v>
      </c>
      <c r="B15" s="14" t="s">
        <v>24</v>
      </c>
      <c r="C15" s="15">
        <f>'[11]Team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ht="13.8" x14ac:dyDescent="0.3">
      <c r="A16" s="13" t="s">
        <v>25</v>
      </c>
      <c r="B16" s="14" t="s">
        <v>26</v>
      </c>
      <c r="C16" s="15">
        <f>'[11]Team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ht="13.8" x14ac:dyDescent="0.3">
      <c r="A17" s="13" t="s">
        <v>28</v>
      </c>
      <c r="B17" s="14" t="s">
        <v>29</v>
      </c>
      <c r="C17" s="15">
        <f>'[11]Team Report'!BA35</f>
        <v>0</v>
      </c>
      <c r="E17" s="15">
        <f t="shared" si="0"/>
        <v>0</v>
      </c>
      <c r="H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ht="13.8" x14ac:dyDescent="0.3">
      <c r="A18" s="13" t="s">
        <v>31</v>
      </c>
      <c r="B18" s="14" t="s">
        <v>32</v>
      </c>
      <c r="C18" s="15">
        <f>'[11]Team Report'!BA36</f>
        <v>5744.1</v>
      </c>
      <c r="E18" s="15">
        <f t="shared" si="0"/>
        <v>7658.8</v>
      </c>
      <c r="H18" s="15">
        <v>1936000</v>
      </c>
      <c r="J18" t="s">
        <v>30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32813.5593220339</v>
      </c>
    </row>
    <row r="19" spans="1:17" ht="13.8" x14ac:dyDescent="0.3">
      <c r="A19" s="13" t="s">
        <v>34</v>
      </c>
      <c r="B19" s="14" t="s">
        <v>35</v>
      </c>
      <c r="C19" s="15">
        <f>'[11]Team Report'!BA37</f>
        <v>67058.599999999991</v>
      </c>
      <c r="E19" s="15">
        <f t="shared" si="0"/>
        <v>89411.466666666645</v>
      </c>
      <c r="H19" s="15">
        <f>(2485728*0.29+2500000)*0.559633027522936+3445700</f>
        <v>5248200.2598165143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88952.546776551084</v>
      </c>
    </row>
    <row r="20" spans="1:17" ht="13.8" x14ac:dyDescent="0.3">
      <c r="A20" s="13" t="s">
        <v>37</v>
      </c>
      <c r="B20" s="14" t="s">
        <v>38</v>
      </c>
      <c r="C20" s="15">
        <f>'[11]Team Report'!BA38</f>
        <v>0</v>
      </c>
      <c r="E20" s="15">
        <f t="shared" si="0"/>
        <v>0</v>
      </c>
      <c r="H20" s="15">
        <v>0</v>
      </c>
      <c r="J20" t="s">
        <v>36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ht="13.8" x14ac:dyDescent="0.3">
      <c r="A21" s="13" t="s">
        <v>40</v>
      </c>
      <c r="B21" s="14" t="s">
        <v>41</v>
      </c>
      <c r="C21" s="15">
        <f>'[11]Team Report'!BA42</f>
        <v>842429.76</v>
      </c>
      <c r="E21" s="15">
        <f>(C21/9)*12+32600125</f>
        <v>33723364.68</v>
      </c>
      <c r="H21" s="15">
        <f>2485728*0.15+2500000+35100000-32660209</f>
        <v>5312650.200000003</v>
      </c>
      <c r="J21" t="s">
        <v>39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90044.918644067846</v>
      </c>
    </row>
    <row r="22" spans="1:17" ht="13.8" x14ac:dyDescent="0.3">
      <c r="A22" s="13" t="s">
        <v>43</v>
      </c>
      <c r="B22" s="14" t="s">
        <v>44</v>
      </c>
      <c r="C22" s="15">
        <f>'[11]Team Report'!BA44</f>
        <v>6453.6999999999989</v>
      </c>
      <c r="E22" s="15">
        <f>(C22/9)*12</f>
        <v>8604.9333333333325</v>
      </c>
      <c r="H22" s="15">
        <f>(F22/9)*12</f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ht="13.8" x14ac:dyDescent="0.3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51478409.733333327</v>
      </c>
      <c r="H23" s="28">
        <f>SUM(H8:H22)</f>
        <v>24865013.28990826</v>
      </c>
      <c r="J23" t="s">
        <v>137</v>
      </c>
      <c r="K23" s="25">
        <v>192000</v>
      </c>
      <c r="L23" s="25">
        <v>0</v>
      </c>
      <c r="M23" s="17">
        <f t="shared" si="2"/>
        <v>0</v>
      </c>
      <c r="Q23" s="28">
        <f>SUM(Q8:Q22)</f>
        <v>421440.90321878402</v>
      </c>
    </row>
    <row r="24" spans="1:17" x14ac:dyDescent="0.25">
      <c r="J24" t="s">
        <v>48</v>
      </c>
      <c r="K24" s="25">
        <v>144000</v>
      </c>
      <c r="L24" s="25">
        <v>15</v>
      </c>
      <c r="M24" s="17">
        <f t="shared" si="2"/>
        <v>2160000</v>
      </c>
    </row>
    <row r="25" spans="1:17" ht="13.8" x14ac:dyDescent="0.3">
      <c r="B25" s="27" t="s">
        <v>50</v>
      </c>
      <c r="C25" s="55"/>
      <c r="E25" s="55">
        <v>111</v>
      </c>
      <c r="F25">
        <v>40</v>
      </c>
      <c r="H25" s="79">
        <f>+L29-1</f>
        <v>58</v>
      </c>
      <c r="J25" t="s">
        <v>49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ht="13.8" x14ac:dyDescent="0.3">
      <c r="J26" t="s">
        <v>51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ht="13.8" x14ac:dyDescent="0.3">
      <c r="B27" s="27" t="s">
        <v>67</v>
      </c>
      <c r="C27" s="55"/>
      <c r="E27" s="55"/>
      <c r="H27" s="55">
        <v>1</v>
      </c>
      <c r="J27" t="s">
        <v>52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5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7" ht="13.8" x14ac:dyDescent="0.3">
      <c r="B29" s="27" t="s">
        <v>55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ht="13.8" x14ac:dyDescent="0.3">
      <c r="B30" s="27"/>
    </row>
    <row r="31" spans="1:17" ht="13.8" hidden="1" x14ac:dyDescent="0.3">
      <c r="A31" s="13" t="s">
        <v>71</v>
      </c>
      <c r="B31" s="14" t="s">
        <v>72</v>
      </c>
      <c r="C31" s="15">
        <f>'[11]Team Report'!BA29</f>
        <v>-24140467.679999996</v>
      </c>
      <c r="E31" s="15">
        <v>0</v>
      </c>
      <c r="J31" t="s">
        <v>102</v>
      </c>
      <c r="L31" s="52"/>
      <c r="M31" s="52">
        <v>0.2</v>
      </c>
    </row>
    <row r="32" spans="1:17" ht="13.8" hidden="1" x14ac:dyDescent="0.3">
      <c r="A32" s="13" t="s">
        <v>73</v>
      </c>
      <c r="B32" s="14" t="s">
        <v>74</v>
      </c>
      <c r="C32" s="15">
        <f>'[11]Team Report'!BA30</f>
        <v>0</v>
      </c>
      <c r="E32" s="15">
        <f>(C32/9)*12</f>
        <v>0</v>
      </c>
    </row>
    <row r="33" spans="1:13" ht="13.8" hidden="1" x14ac:dyDescent="0.3">
      <c r="A33" s="13" t="s">
        <v>75</v>
      </c>
      <c r="B33" s="14" t="s">
        <v>76</v>
      </c>
      <c r="C33" s="15">
        <f>'[11]Team Report'!BA31</f>
        <v>0</v>
      </c>
      <c r="E33" s="15">
        <f>(C33/9)*12</f>
        <v>0</v>
      </c>
      <c r="J33" t="s">
        <v>133</v>
      </c>
      <c r="K33" s="25">
        <v>192000</v>
      </c>
      <c r="L33" s="25">
        <v>8</v>
      </c>
      <c r="M33" s="17">
        <f>K33*L33</f>
        <v>1536000</v>
      </c>
    </row>
    <row r="34" spans="1:13" ht="13.8" hidden="1" x14ac:dyDescent="0.3">
      <c r="A34" s="13" t="s">
        <v>77</v>
      </c>
      <c r="B34" s="14" t="s">
        <v>78</v>
      </c>
      <c r="C34" s="15">
        <f>'[11]Team Report'!BA39</f>
        <v>0</v>
      </c>
      <c r="E34" s="15">
        <f>(C34/9)*12</f>
        <v>0</v>
      </c>
    </row>
    <row r="35" spans="1:13" ht="13.8" hidden="1" x14ac:dyDescent="0.3">
      <c r="A35" s="13" t="s">
        <v>79</v>
      </c>
      <c r="B35" s="14" t="s">
        <v>80</v>
      </c>
      <c r="C35" s="15">
        <f>'[11]Team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t="13.8" hidden="1" x14ac:dyDescent="0.3">
      <c r="A36" s="13" t="s">
        <v>81</v>
      </c>
      <c r="B36" s="14" t="s">
        <v>82</v>
      </c>
      <c r="C36" s="15">
        <f>'[11]Team Report'!BA41</f>
        <v>945381.27</v>
      </c>
      <c r="E36" s="15">
        <v>0</v>
      </c>
    </row>
    <row r="37" spans="1:13" ht="13.8" hidden="1" x14ac:dyDescent="0.3">
      <c r="A37" s="13" t="s">
        <v>83</v>
      </c>
      <c r="B37" s="14" t="s">
        <v>84</v>
      </c>
      <c r="C37" s="15">
        <f>'[11]Team Report'!BA43</f>
        <v>-5121278.5200000005</v>
      </c>
      <c r="E37" s="15">
        <v>0</v>
      </c>
      <c r="I37" s="33" t="s">
        <v>56</v>
      </c>
    </row>
    <row r="38" spans="1:13" ht="13.8" hidden="1" x14ac:dyDescent="0.3">
      <c r="A38" s="13" t="s">
        <v>85</v>
      </c>
      <c r="B38" s="14" t="s">
        <v>86</v>
      </c>
      <c r="C38" s="15">
        <f>'[11]Team Report'!BA45</f>
        <v>0</v>
      </c>
      <c r="E38" s="15">
        <f>(C38/9)*12</f>
        <v>0</v>
      </c>
    </row>
    <row r="39" spans="1:13" ht="13.8" hidden="1" x14ac:dyDescent="0.3">
      <c r="A39" s="13" t="s">
        <v>21</v>
      </c>
      <c r="B39" s="14" t="s">
        <v>22</v>
      </c>
      <c r="C39" s="15">
        <v>24143776.43</v>
      </c>
      <c r="E39" s="15">
        <v>0</v>
      </c>
      <c r="I39" t="s">
        <v>134</v>
      </c>
    </row>
    <row r="40" spans="1:13" x14ac:dyDescent="0.25">
      <c r="J40">
        <f>61/109</f>
        <v>0.55963302752293576</v>
      </c>
    </row>
    <row r="42" spans="1:13" ht="13.8" x14ac:dyDescent="0.3">
      <c r="B42" s="14" t="s">
        <v>168</v>
      </c>
    </row>
    <row r="43" spans="1:13" ht="13.8" x14ac:dyDescent="0.3">
      <c r="B43" s="14" t="s">
        <v>174</v>
      </c>
    </row>
    <row r="44" spans="1:13" ht="13.8" x14ac:dyDescent="0.3">
      <c r="B44" s="14" t="s">
        <v>175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" customWidth="1"/>
    <col min="7" max="7" width="13.88671875" customWidth="1"/>
    <col min="8" max="8" width="2.33203125" hidden="1" customWidth="1"/>
    <col min="9" max="10" width="9.109375" hidden="1" customWidth="1"/>
    <col min="11" max="11" width="13" hidden="1" customWidth="1"/>
    <col min="12" max="12" width="10.44140625" style="25" hidden="1" customWidth="1"/>
    <col min="13" max="13" width="10.88671875" style="25" hidden="1" customWidth="1"/>
    <col min="14" max="14" width="11.44140625" style="25" hidden="1" customWidth="1"/>
    <col min="15" max="15" width="9.109375" hidden="1" customWidth="1"/>
    <col min="16" max="16" width="12.88671875" hidden="1" customWidth="1"/>
    <col min="17" max="17" width="8.6640625" hidden="1" customWidth="1"/>
    <col min="18" max="18" width="8.88671875" hidden="1" customWidth="1"/>
    <col min="19" max="19" width="10.33203125" hidden="1" customWidth="1"/>
    <col min="20" max="49" width="0" hidden="1" customWidth="1"/>
  </cols>
  <sheetData>
    <row r="1" spans="1:45" ht="18" x14ac:dyDescent="0.35">
      <c r="B1" s="134" t="str">
        <f>'[4]Team Report'!B1</f>
        <v>Enron North America</v>
      </c>
      <c r="C1" s="134"/>
      <c r="D1" s="134"/>
      <c r="E1" s="134"/>
      <c r="F1" s="136"/>
      <c r="G1" s="136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34" t="s">
        <v>139</v>
      </c>
      <c r="C2" s="134"/>
      <c r="D2" s="134"/>
      <c r="E2" s="134"/>
      <c r="F2" s="136"/>
      <c r="G2" s="136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35" t="s">
        <v>0</v>
      </c>
      <c r="C3" s="135"/>
      <c r="D3" s="135"/>
      <c r="E3" s="135"/>
      <c r="F3" s="136"/>
      <c r="G3" s="136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K4" s="139"/>
      <c r="L4" s="139"/>
      <c r="M4" s="139"/>
      <c r="N4" s="139"/>
      <c r="P4" s="141"/>
      <c r="Q4" s="141"/>
      <c r="R4" s="141"/>
      <c r="S4" s="141"/>
      <c r="T4" s="8"/>
    </row>
    <row r="5" spans="1:45" x14ac:dyDescent="0.25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ht="13.8" x14ac:dyDescent="0.3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1</v>
      </c>
      <c r="M6" s="19" t="s">
        <v>2</v>
      </c>
      <c r="N6" s="74" t="s">
        <v>107</v>
      </c>
      <c r="O6" s="11">
        <v>2002</v>
      </c>
      <c r="P6" s="8"/>
      <c r="Q6" s="19"/>
      <c r="R6" s="19"/>
      <c r="S6" s="82"/>
      <c r="T6" s="8"/>
    </row>
    <row r="7" spans="1:45" ht="13.8" x14ac:dyDescent="0.3">
      <c r="C7" s="12" t="s">
        <v>5</v>
      </c>
      <c r="E7" s="12" t="s">
        <v>6</v>
      </c>
      <c r="F7" s="12"/>
      <c r="G7" s="12" t="s">
        <v>6</v>
      </c>
      <c r="I7" s="12"/>
      <c r="K7" s="7"/>
      <c r="L7" s="17"/>
      <c r="M7" s="17"/>
      <c r="N7" s="43"/>
      <c r="O7" s="12" t="s">
        <v>7</v>
      </c>
      <c r="P7" s="8"/>
      <c r="Q7" s="17"/>
      <c r="R7" s="17"/>
      <c r="S7" s="17"/>
      <c r="T7" s="8"/>
    </row>
    <row r="8" spans="1:45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(C8/9)*12</f>
        <v>6647336.3066666666</v>
      </c>
      <c r="F8" s="15"/>
      <c r="G8" s="15">
        <f>SUM(N17:N19,N21:N27)+172800+561516</f>
        <v>3526716</v>
      </c>
      <c r="K8" s="7"/>
      <c r="L8" s="17"/>
      <c r="M8" s="17"/>
      <c r="N8" s="43"/>
      <c r="O8" s="15">
        <f>+G8/$G$29*$O$29</f>
        <v>90428.61538461539</v>
      </c>
      <c r="P8" s="8"/>
      <c r="Q8" s="17"/>
      <c r="R8" s="17"/>
      <c r="S8" s="17"/>
      <c r="T8" s="8"/>
    </row>
    <row r="9" spans="1:45" ht="13.8" hidden="1" x14ac:dyDescent="0.3">
      <c r="A9" s="13"/>
      <c r="B9" s="14" t="s">
        <v>11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10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ht="13.8" hidden="1" x14ac:dyDescent="0.3">
      <c r="A10" s="13"/>
      <c r="B10" s="14" t="s">
        <v>122</v>
      </c>
      <c r="C10" s="15">
        <v>0</v>
      </c>
      <c r="E10" s="15">
        <f>(C10/9)*12</f>
        <v>0</v>
      </c>
      <c r="F10" s="15"/>
      <c r="G10" s="15">
        <v>0</v>
      </c>
      <c r="K10" s="7"/>
      <c r="L10" s="17"/>
      <c r="M10" s="17"/>
      <c r="N10" s="43"/>
      <c r="O10" s="15">
        <f t="shared" si="0"/>
        <v>0</v>
      </c>
      <c r="P10" s="8"/>
      <c r="Q10" s="17"/>
      <c r="R10" s="17"/>
      <c r="S10" s="17"/>
      <c r="T10" s="8"/>
    </row>
    <row r="11" spans="1:45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(C11/9)*12</f>
        <v>1613708.146666667</v>
      </c>
      <c r="F11" s="15"/>
      <c r="G11" s="15">
        <f>SUM(G8:G10)*0.2+49374</f>
        <v>754717.20000000007</v>
      </c>
      <c r="K11" s="7"/>
      <c r="L11" s="17"/>
      <c r="M11" s="17"/>
      <c r="N11" s="43"/>
      <c r="O11" s="15">
        <f t="shared" si="0"/>
        <v>19351.723076923077</v>
      </c>
      <c r="P11" s="8"/>
      <c r="Q11" s="17"/>
      <c r="R11" s="17"/>
      <c r="S11" s="17"/>
      <c r="T11" s="8"/>
    </row>
    <row r="12" spans="1:45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>((C12/9)*12)*1.99</f>
        <v>504212.85373333335</v>
      </c>
      <c r="F12" s="15"/>
      <c r="G12" s="15">
        <f>348924+240000-409440+61200</f>
        <v>240684</v>
      </c>
      <c r="K12" s="7" t="s">
        <v>15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6171.3846153846152</v>
      </c>
      <c r="P12" s="8"/>
      <c r="Q12" s="17"/>
      <c r="R12" s="17"/>
      <c r="S12" s="17"/>
      <c r="T12" s="8"/>
    </row>
    <row r="13" spans="1:45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>((C13/9)*12)*2.35</f>
        <v>245623.81733333334</v>
      </c>
      <c r="F13" s="15"/>
      <c r="G13" s="15">
        <f>262411+100000-5411</f>
        <v>357000</v>
      </c>
      <c r="K13" s="7"/>
      <c r="L13" s="17"/>
      <c r="M13" s="17"/>
      <c r="N13" s="43"/>
      <c r="O13" s="15">
        <f t="shared" si="0"/>
        <v>9153.8461538461543</v>
      </c>
      <c r="P13" s="8"/>
      <c r="Q13" s="17"/>
      <c r="R13" s="17"/>
      <c r="S13" s="17"/>
      <c r="T13" s="8"/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15">
        <f>((C14/9)*12)*1.2</f>
        <v>0</v>
      </c>
      <c r="F14" s="15"/>
      <c r="G14" s="15">
        <v>25500</v>
      </c>
      <c r="K14" s="22" t="s">
        <v>20</v>
      </c>
      <c r="L14" s="47"/>
      <c r="M14" s="47"/>
      <c r="N14" s="48">
        <f>SUM(N9:N12)</f>
        <v>5078843.3320915252</v>
      </c>
      <c r="O14" s="15">
        <f t="shared" si="0"/>
        <v>653.84615384615381</v>
      </c>
      <c r="P14" s="8"/>
      <c r="Q14" s="17"/>
      <c r="R14" s="17"/>
      <c r="S14" s="17"/>
      <c r="T14" s="8"/>
    </row>
    <row r="15" spans="1:45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>((C15/9)*12)*1.81</f>
        <v>168744.20040000003</v>
      </c>
      <c r="F15" s="15"/>
      <c r="G15" s="15">
        <f>96365+40000-136365+92328</f>
        <v>92328</v>
      </c>
      <c r="K15" s="8"/>
      <c r="L15" s="17"/>
      <c r="M15" s="17"/>
      <c r="N15" s="17"/>
      <c r="O15" s="15">
        <f t="shared" si="0"/>
        <v>2367.3846153846152</v>
      </c>
      <c r="P15" s="8"/>
      <c r="Q15" s="8"/>
      <c r="R15" s="8"/>
      <c r="S15" s="8"/>
      <c r="T15" s="8"/>
    </row>
    <row r="16" spans="1:45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>((C16/9)*12)*1.2</f>
        <v>0</v>
      </c>
      <c r="F16" s="15"/>
      <c r="G16" s="15">
        <v>340000</v>
      </c>
      <c r="K16" s="8"/>
      <c r="L16" s="17"/>
      <c r="M16" s="17"/>
      <c r="N16" s="17"/>
      <c r="O16" s="15">
        <f t="shared" si="0"/>
        <v>8717.9487179487187</v>
      </c>
      <c r="P16" s="8"/>
      <c r="Q16" s="8"/>
      <c r="R16" s="8"/>
      <c r="S16" s="8"/>
      <c r="T16" s="8"/>
    </row>
    <row r="17" spans="1:20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>((C17/9)*12)*1.2</f>
        <v>0</v>
      </c>
      <c r="F17" s="15"/>
      <c r="G17" s="15">
        <v>0</v>
      </c>
      <c r="K17" s="8" t="s">
        <v>27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((C18/9)*12)*1.29</f>
        <v>32748.232400000004</v>
      </c>
      <c r="F18" s="15"/>
      <c r="G18" s="15">
        <f>6000</f>
        <v>6000</v>
      </c>
      <c r="K18" t="s">
        <v>93</v>
      </c>
      <c r="L18" s="25">
        <v>48000</v>
      </c>
      <c r="M18">
        <v>2</v>
      </c>
      <c r="N18" s="17">
        <f t="shared" si="1"/>
        <v>96000</v>
      </c>
      <c r="O18" s="15">
        <f t="shared" si="0"/>
        <v>153.84615384615384</v>
      </c>
      <c r="Q18" s="25"/>
      <c r="S18" s="49"/>
    </row>
    <row r="19" spans="1:20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f>((C19/9)*12)*2.2</f>
        <v>51104.591999999997</v>
      </c>
      <c r="F19" s="15"/>
      <c r="G19" s="15">
        <f>+$N$12*0.19+150000-438915+107240+169200+435536</f>
        <v>711975.63309738983</v>
      </c>
      <c r="K19" t="s">
        <v>33</v>
      </c>
      <c r="L19" s="25">
        <v>49200</v>
      </c>
      <c r="M19">
        <v>7</v>
      </c>
      <c r="N19" s="17">
        <f t="shared" si="1"/>
        <v>344400</v>
      </c>
      <c r="O19" s="15">
        <f t="shared" si="0"/>
        <v>18255.785464035638</v>
      </c>
      <c r="Q19" s="25"/>
      <c r="S19" s="49"/>
    </row>
    <row r="20" spans="1:20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>((C20/9)*12)*1.2</f>
        <v>0</v>
      </c>
      <c r="F20" s="15"/>
      <c r="G20" s="15">
        <v>0</v>
      </c>
      <c r="K20" t="s">
        <v>94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((C21/9)*12)*1.75</f>
        <v>175099.58666666667</v>
      </c>
      <c r="F21" s="15"/>
      <c r="G21" s="15">
        <f>264168+100000+405121-769289+553800+420160+443302</f>
        <v>1417262</v>
      </c>
      <c r="K21" t="s">
        <v>36</v>
      </c>
      <c r="L21" s="25">
        <v>62400</v>
      </c>
      <c r="M21">
        <v>8</v>
      </c>
      <c r="N21" s="17">
        <f t="shared" si="1"/>
        <v>499200</v>
      </c>
      <c r="O21" s="15">
        <f t="shared" si="0"/>
        <v>36340.051282051281</v>
      </c>
      <c r="Q21" s="25"/>
      <c r="S21" s="49"/>
    </row>
    <row r="22" spans="1:20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>((C22/9)*12)*1.6</f>
        <v>2615.9786666666669</v>
      </c>
      <c r="F22" s="15"/>
      <c r="G22" s="15">
        <v>0</v>
      </c>
      <c r="K22" t="s">
        <v>108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ht="13.8" x14ac:dyDescent="0.3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7472182.8330973899</v>
      </c>
      <c r="K23" t="s">
        <v>96</v>
      </c>
      <c r="L23" s="25">
        <v>96000</v>
      </c>
      <c r="M23">
        <v>8</v>
      </c>
      <c r="N23" s="17">
        <f t="shared" si="1"/>
        <v>768000</v>
      </c>
      <c r="O23" s="28">
        <f>SUM(O8:O22)</f>
        <v>191594.43161788181</v>
      </c>
      <c r="Q23" s="25"/>
      <c r="S23" s="49"/>
    </row>
    <row r="24" spans="1:20" x14ac:dyDescent="0.25">
      <c r="K24" t="s">
        <v>97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ht="13.8" x14ac:dyDescent="0.3">
      <c r="B25" s="27" t="s">
        <v>50</v>
      </c>
      <c r="C25" s="55"/>
      <c r="E25" s="55">
        <v>114</v>
      </c>
      <c r="F25" s="60"/>
      <c r="G25" s="55">
        <f>SUM(M17:M19,M21:M27)</f>
        <v>36</v>
      </c>
      <c r="K25" t="s">
        <v>98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ht="13.8" x14ac:dyDescent="0.3">
      <c r="K26" t="s">
        <v>99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ht="13.8" x14ac:dyDescent="0.3">
      <c r="B27" s="27" t="s">
        <v>67</v>
      </c>
      <c r="C27" s="55"/>
      <c r="E27" s="55">
        <v>4</v>
      </c>
      <c r="F27" s="60"/>
      <c r="G27" s="55">
        <f>SUM(M20)</f>
        <v>3</v>
      </c>
      <c r="K27" t="s">
        <v>100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5">
      <c r="M28" s="25">
        <f>SUM(M17:M27)</f>
        <v>39</v>
      </c>
      <c r="N28" s="25">
        <f>SUM(N17:N27)</f>
        <v>2965200</v>
      </c>
      <c r="Q28" s="25"/>
      <c r="S28" s="49"/>
    </row>
    <row r="29" spans="1:20" ht="13.8" x14ac:dyDescent="0.3">
      <c r="B29" s="27" t="s">
        <v>55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ht="13.8" x14ac:dyDescent="0.3">
      <c r="B30" s="27"/>
      <c r="K30" t="s">
        <v>102</v>
      </c>
      <c r="M30" s="52"/>
      <c r="N30" s="52">
        <v>0.2</v>
      </c>
      <c r="Q30" s="25"/>
      <c r="R30" s="52"/>
      <c r="S30" s="52"/>
    </row>
    <row r="31" spans="1:20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  <c r="F34" s="15"/>
      <c r="G34" s="15"/>
    </row>
    <row r="35" spans="1:18" ht="13.8" hidden="1" x14ac:dyDescent="0.3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  <c r="F35" s="15"/>
      <c r="G35" s="15"/>
    </row>
    <row r="36" spans="1:18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  <c r="F36" s="15"/>
      <c r="G36" s="15"/>
    </row>
    <row r="37" spans="1:18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F37" s="15"/>
      <c r="G37" s="15"/>
      <c r="J37" s="33" t="s">
        <v>56</v>
      </c>
    </row>
    <row r="38" spans="1:18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  <c r="F38" s="15"/>
      <c r="G38" s="15"/>
    </row>
    <row r="39" spans="1:18" ht="13.8" x14ac:dyDescent="0.3">
      <c r="A39" s="13"/>
      <c r="B39" s="14"/>
      <c r="C39" s="15"/>
      <c r="E39" s="15"/>
      <c r="F39" s="15"/>
      <c r="G39" s="15"/>
      <c r="J39" t="s">
        <v>134</v>
      </c>
    </row>
    <row r="44" spans="1:18" x14ac:dyDescent="0.25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D64" sqref="D64"/>
    </sheetView>
  </sheetViews>
  <sheetFormatPr defaultRowHeight="13.2" x14ac:dyDescent="0.25"/>
  <cols>
    <col min="1" max="1" width="7.109375" customWidth="1"/>
    <col min="2" max="2" width="23.554687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10.44140625" hidden="1" customWidth="1"/>
    <col min="8" max="8" width="2.5546875" hidden="1" customWidth="1"/>
    <col min="9" max="9" width="5.33203125" hidden="1" customWidth="1"/>
    <col min="10" max="10" width="13.109375" hidden="1" customWidth="1"/>
    <col min="11" max="11" width="10.33203125" hidden="1" customWidth="1"/>
    <col min="12" max="12" width="9.44140625" hidden="1" customWidth="1"/>
    <col min="13" max="13" width="13.88671875" hidden="1" customWidth="1"/>
    <col min="14" max="14" width="9.33203125" hidden="1" customWidth="1"/>
    <col min="15" max="15" width="9.109375" hidden="1" customWidth="1"/>
    <col min="16" max="50" width="0" hidden="1" customWidth="1"/>
  </cols>
  <sheetData>
    <row r="1" spans="1:35" ht="18" x14ac:dyDescent="0.35">
      <c r="B1" s="134" t="str">
        <f>'[9]Team Report'!B1</f>
        <v>Enron North America</v>
      </c>
      <c r="C1" s="134"/>
      <c r="D1" s="136"/>
      <c r="E1" s="136"/>
      <c r="F1" s="1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35">
      <c r="B2" s="134" t="str">
        <f>'[9]Pull Sheet'!E9</f>
        <v>Canada Support</v>
      </c>
      <c r="C2" s="134"/>
      <c r="D2" s="136"/>
      <c r="E2" s="136"/>
      <c r="F2" s="1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600000000000001" thickBot="1" x14ac:dyDescent="0.4">
      <c r="B3" s="134" t="s">
        <v>0</v>
      </c>
      <c r="C3" s="134"/>
      <c r="D3" s="136"/>
      <c r="E3" s="136"/>
      <c r="F3" s="13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J4" s="4"/>
      <c r="K4" s="5"/>
      <c r="L4" s="5"/>
      <c r="M4" s="6"/>
    </row>
    <row r="5" spans="1:35" x14ac:dyDescent="0.25">
      <c r="J5" s="7"/>
      <c r="K5" s="8" t="s">
        <v>1</v>
      </c>
      <c r="L5" s="8" t="s">
        <v>2</v>
      </c>
      <c r="M5" s="9" t="s">
        <v>3</v>
      </c>
    </row>
    <row r="6" spans="1:35" ht="13.8" x14ac:dyDescent="0.3">
      <c r="C6" s="10">
        <v>37135</v>
      </c>
      <c r="E6" s="44" t="s">
        <v>61</v>
      </c>
      <c r="F6" s="76">
        <v>2002</v>
      </c>
      <c r="J6" s="7"/>
      <c r="K6" s="8"/>
      <c r="L6" s="8"/>
      <c r="M6" s="9"/>
      <c r="O6" s="44" t="s">
        <v>63</v>
      </c>
    </row>
    <row r="7" spans="1:35" ht="13.8" x14ac:dyDescent="0.3">
      <c r="C7" s="12" t="s">
        <v>5</v>
      </c>
      <c r="E7" s="12" t="s">
        <v>6</v>
      </c>
      <c r="F7" s="12" t="s">
        <v>7</v>
      </c>
      <c r="H7" s="33"/>
      <c r="J7" s="7"/>
      <c r="K7" s="8"/>
      <c r="L7" s="8"/>
      <c r="M7" s="9"/>
      <c r="O7" s="12" t="s">
        <v>7</v>
      </c>
    </row>
    <row r="8" spans="1:35" ht="13.8" x14ac:dyDescent="0.3">
      <c r="A8" s="13" t="s">
        <v>9</v>
      </c>
      <c r="B8" s="14" t="s">
        <v>10</v>
      </c>
      <c r="C8" s="15">
        <f>'[9]Team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10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t="13.8" hidden="1" x14ac:dyDescent="0.3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t="13.8" hidden="1" x14ac:dyDescent="0.3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ht="13.8" x14ac:dyDescent="0.3">
      <c r="A11" s="13" t="s">
        <v>13</v>
      </c>
      <c r="B11" s="14" t="s">
        <v>14</v>
      </c>
      <c r="C11" s="15">
        <f>'[9]Team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15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ht="13.8" x14ac:dyDescent="0.3">
      <c r="A12" s="13" t="s">
        <v>16</v>
      </c>
      <c r="B12" s="14" t="s">
        <v>17</v>
      </c>
      <c r="C12" s="15">
        <f>'[9]Team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4.4" thickBot="1" x14ac:dyDescent="0.35">
      <c r="A13" s="13" t="s">
        <v>18</v>
      </c>
      <c r="B13" s="14" t="s">
        <v>19</v>
      </c>
      <c r="C13" s="15">
        <f>'[9]Team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20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ht="13.8" x14ac:dyDescent="0.3">
      <c r="A14" s="13" t="s">
        <v>21</v>
      </c>
      <c r="B14" s="14" t="s">
        <v>22</v>
      </c>
      <c r="C14" s="15">
        <f>'[9]Team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ht="13.8" x14ac:dyDescent="0.3">
      <c r="A15" s="13" t="s">
        <v>23</v>
      </c>
      <c r="B15" s="14" t="s">
        <v>24</v>
      </c>
      <c r="C15" s="15">
        <f>'[9]Team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126</v>
      </c>
      <c r="N15" s="25"/>
      <c r="O15" s="15">
        <f t="shared" si="0"/>
        <v>2360.8496551724143</v>
      </c>
    </row>
    <row r="16" spans="1:35" ht="13.8" x14ac:dyDescent="0.3">
      <c r="A16" s="13" t="s">
        <v>25</v>
      </c>
      <c r="B16" s="14" t="s">
        <v>26</v>
      </c>
      <c r="C16" s="15">
        <f>'[9]Team Report'!BA34</f>
        <v>0</v>
      </c>
      <c r="E16" s="20">
        <f t="shared" si="1"/>
        <v>0</v>
      </c>
      <c r="F16" s="21">
        <f t="shared" si="2"/>
        <v>0</v>
      </c>
      <c r="J16" t="s">
        <v>27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'[9]Team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33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ht="13.8" x14ac:dyDescent="0.3">
      <c r="A18" s="13" t="s">
        <v>31</v>
      </c>
      <c r="B18" s="14" t="s">
        <v>32</v>
      </c>
      <c r="C18" s="15">
        <f>'[9]Team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36</v>
      </c>
      <c r="K18" s="25">
        <v>62400</v>
      </c>
      <c r="L18">
        <f>3+1</f>
        <v>4</v>
      </c>
      <c r="M18" s="25">
        <f t="shared" si="3"/>
        <v>249600</v>
      </c>
      <c r="N18" t="s">
        <v>216</v>
      </c>
      <c r="O18" s="15">
        <f t="shared" si="0"/>
        <v>8726.4331257401627</v>
      </c>
    </row>
    <row r="19" spans="1:15" ht="13.8" x14ac:dyDescent="0.3">
      <c r="A19" s="13" t="s">
        <v>34</v>
      </c>
      <c r="B19" s="14" t="s">
        <v>35</v>
      </c>
      <c r="C19" s="15">
        <f>'[9]Team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39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ht="13.8" x14ac:dyDescent="0.3">
      <c r="A20" s="13" t="s">
        <v>37</v>
      </c>
      <c r="B20" s="14" t="s">
        <v>38</v>
      </c>
      <c r="C20" s="15">
        <f>'[9]Team Report'!BA38</f>
        <v>0</v>
      </c>
      <c r="E20" s="20">
        <f t="shared" si="1"/>
        <v>0</v>
      </c>
      <c r="F20" s="21">
        <f t="shared" si="2"/>
        <v>0</v>
      </c>
      <c r="J20" t="s">
        <v>48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ht="13.8" x14ac:dyDescent="0.3">
      <c r="A21" s="13" t="s">
        <v>40</v>
      </c>
      <c r="B21" s="14" t="s">
        <v>41</v>
      </c>
      <c r="C21" s="15">
        <f>'[9]Team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52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ht="13.8" x14ac:dyDescent="0.3">
      <c r="A22" s="13" t="s">
        <v>43</v>
      </c>
      <c r="B22" s="14" t="s">
        <v>44</v>
      </c>
      <c r="C22" s="15">
        <f>'[9]Team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5">
      <c r="J24" s="33" t="s">
        <v>127</v>
      </c>
    </row>
    <row r="25" spans="1:15" ht="13.8" x14ac:dyDescent="0.3">
      <c r="B25" s="27" t="s">
        <v>50</v>
      </c>
      <c r="C25" s="15"/>
      <c r="E25" s="31">
        <v>82</v>
      </c>
      <c r="F25" s="31">
        <f>SUM(L16:L21,L25:L27,L31:L36,L40:L42,L46,L49:L50)-1</f>
        <v>32</v>
      </c>
      <c r="J25" t="s">
        <v>33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36</v>
      </c>
      <c r="K26" s="25">
        <v>78000</v>
      </c>
      <c r="L26">
        <v>1</v>
      </c>
      <c r="M26" s="25">
        <f>K26*L26</f>
        <v>78000</v>
      </c>
      <c r="O26" s="15"/>
    </row>
    <row r="27" spans="1:15" ht="13.8" x14ac:dyDescent="0.3">
      <c r="B27" s="27" t="s">
        <v>101</v>
      </c>
      <c r="C27" s="15"/>
      <c r="E27" s="31">
        <v>5</v>
      </c>
      <c r="F27" s="31">
        <v>1</v>
      </c>
      <c r="J27" t="s">
        <v>39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5">
      <c r="L28">
        <f>SUM(L25:L27)</f>
        <v>3</v>
      </c>
      <c r="M28" s="25">
        <f>SUM(M25:M27)*1.2</f>
        <v>237600</v>
      </c>
    </row>
    <row r="29" spans="1:15" ht="13.8" x14ac:dyDescent="0.3">
      <c r="B29" s="27" t="s">
        <v>55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5">
      <c r="J30" s="33" t="s">
        <v>128</v>
      </c>
    </row>
    <row r="31" spans="1:15" ht="13.8" hidden="1" x14ac:dyDescent="0.3">
      <c r="A31" s="13" t="s">
        <v>71</v>
      </c>
      <c r="B31" s="14" t="s">
        <v>72</v>
      </c>
      <c r="C31" s="15">
        <f>'[9]Team Report'!BA29</f>
        <v>0</v>
      </c>
      <c r="E31" s="15">
        <f t="shared" ref="E31:E38" si="4">(C31/9)*12</f>
        <v>0</v>
      </c>
      <c r="F31" s="15"/>
      <c r="J31" t="s">
        <v>33</v>
      </c>
      <c r="K31" s="25">
        <v>49200</v>
      </c>
      <c r="L31">
        <v>0</v>
      </c>
      <c r="M31" s="25">
        <f t="shared" ref="M31:M36" si="5">K31*L31</f>
        <v>0</v>
      </c>
    </row>
    <row r="32" spans="1:15" ht="13.8" hidden="1" x14ac:dyDescent="0.3">
      <c r="A32" s="13" t="s">
        <v>73</v>
      </c>
      <c r="B32" s="14" t="s">
        <v>74</v>
      </c>
      <c r="C32" s="15">
        <f>'[9]Team Report'!BA30</f>
        <v>0</v>
      </c>
      <c r="E32" s="15">
        <f t="shared" si="4"/>
        <v>0</v>
      </c>
      <c r="F32" s="15"/>
      <c r="J32" t="s">
        <v>36</v>
      </c>
      <c r="K32" s="25">
        <v>62400</v>
      </c>
      <c r="L32">
        <v>2</v>
      </c>
      <c r="M32" s="25">
        <f t="shared" si="5"/>
        <v>124800</v>
      </c>
    </row>
    <row r="33" spans="1:14" ht="13.8" hidden="1" x14ac:dyDescent="0.3">
      <c r="A33" s="13" t="s">
        <v>75</v>
      </c>
      <c r="B33" s="14" t="s">
        <v>76</v>
      </c>
      <c r="C33" s="15">
        <f>'[9]Team Report'!BA31</f>
        <v>0</v>
      </c>
      <c r="E33" s="15">
        <f t="shared" si="4"/>
        <v>0</v>
      </c>
      <c r="F33" s="15"/>
      <c r="J33" t="s">
        <v>39</v>
      </c>
      <c r="K33" s="25">
        <v>74400</v>
      </c>
      <c r="L33">
        <f>2+1</f>
        <v>3</v>
      </c>
      <c r="M33" s="25">
        <f t="shared" si="5"/>
        <v>223200</v>
      </c>
      <c r="N33" t="s">
        <v>196</v>
      </c>
    </row>
    <row r="34" spans="1:14" ht="13.8" hidden="1" x14ac:dyDescent="0.3">
      <c r="A34" s="13" t="s">
        <v>77</v>
      </c>
      <c r="B34" s="14" t="s">
        <v>78</v>
      </c>
      <c r="C34" s="15">
        <f>'[9]Team Report'!BA39</f>
        <v>0</v>
      </c>
      <c r="E34" s="15">
        <f t="shared" si="4"/>
        <v>0</v>
      </c>
      <c r="F34" s="15"/>
      <c r="J34" t="s">
        <v>48</v>
      </c>
      <c r="K34" s="25">
        <v>90000</v>
      </c>
      <c r="L34">
        <v>1</v>
      </c>
      <c r="M34" s="25">
        <f t="shared" si="5"/>
        <v>90000</v>
      </c>
    </row>
    <row r="35" spans="1:14" ht="13.8" hidden="1" x14ac:dyDescent="0.3">
      <c r="A35" s="13" t="s">
        <v>79</v>
      </c>
      <c r="B35" s="14" t="s">
        <v>80</v>
      </c>
      <c r="C35" s="15">
        <f>'[9]Team Report'!BA40</f>
        <v>25924.200000000004</v>
      </c>
      <c r="E35" s="15">
        <f t="shared" si="4"/>
        <v>34565.600000000006</v>
      </c>
      <c r="F35" s="15"/>
      <c r="J35" t="s">
        <v>49</v>
      </c>
      <c r="K35" s="25">
        <v>120000</v>
      </c>
      <c r="L35">
        <v>1</v>
      </c>
      <c r="M35" s="25">
        <f t="shared" si="5"/>
        <v>120000</v>
      </c>
    </row>
    <row r="36" spans="1:14" ht="13.8" hidden="1" x14ac:dyDescent="0.3">
      <c r="A36" s="13" t="s">
        <v>81</v>
      </c>
      <c r="B36" s="14" t="s">
        <v>82</v>
      </c>
      <c r="C36" s="15">
        <f>'[9]Team Report'!BA41</f>
        <v>1904.7300000000002</v>
      </c>
      <c r="E36" s="15">
        <f t="shared" si="4"/>
        <v>2539.6400000000003</v>
      </c>
      <c r="F36" s="15"/>
      <c r="J36" t="s">
        <v>52</v>
      </c>
      <c r="K36" s="25">
        <v>216000</v>
      </c>
      <c r="L36">
        <v>1</v>
      </c>
      <c r="M36" s="25">
        <f t="shared" si="5"/>
        <v>216000</v>
      </c>
    </row>
    <row r="37" spans="1:14" ht="13.8" hidden="1" x14ac:dyDescent="0.3">
      <c r="A37" s="13" t="s">
        <v>83</v>
      </c>
      <c r="B37" s="14" t="s">
        <v>84</v>
      </c>
      <c r="C37" s="15">
        <f>'[9]Team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t="13.8" hidden="1" x14ac:dyDescent="0.3">
      <c r="A38" s="13" t="s">
        <v>85</v>
      </c>
      <c r="B38" s="14" t="s">
        <v>86</v>
      </c>
      <c r="C38" s="15">
        <f>'[9]Team Report'!BA45</f>
        <v>0</v>
      </c>
      <c r="E38" s="15">
        <f t="shared" si="4"/>
        <v>0</v>
      </c>
      <c r="F38" s="15"/>
    </row>
    <row r="39" spans="1:14" ht="13.8" hidden="1" x14ac:dyDescent="0.3">
      <c r="A39" s="13"/>
      <c r="B39" s="14" t="s">
        <v>22</v>
      </c>
      <c r="C39" s="15">
        <v>5703580</v>
      </c>
      <c r="E39" s="15"/>
      <c r="F39" s="15"/>
      <c r="J39" s="33" t="s">
        <v>129</v>
      </c>
    </row>
    <row r="40" spans="1:14" hidden="1" x14ac:dyDescent="0.25">
      <c r="J40" t="s">
        <v>30</v>
      </c>
      <c r="K40" s="25">
        <v>52800</v>
      </c>
      <c r="L40">
        <v>1</v>
      </c>
      <c r="M40" s="25">
        <f>K40*L40</f>
        <v>52800</v>
      </c>
    </row>
    <row r="41" spans="1:14" hidden="1" x14ac:dyDescent="0.25">
      <c r="C41" s="54">
        <f>C23+C31+C32+C33+C34+C35+C36+C37+C38</f>
        <v>4487627.13</v>
      </c>
      <c r="J41" t="s">
        <v>130</v>
      </c>
      <c r="K41" s="25">
        <v>195600</v>
      </c>
      <c r="L41">
        <f>2+1</f>
        <v>3</v>
      </c>
      <c r="M41" s="25">
        <f>K41*L41</f>
        <v>586800</v>
      </c>
      <c r="N41" t="s">
        <v>215</v>
      </c>
    </row>
    <row r="42" spans="1:14" hidden="1" x14ac:dyDescent="0.25">
      <c r="J42" t="s">
        <v>52</v>
      </c>
      <c r="K42" s="25">
        <v>217200</v>
      </c>
      <c r="L42">
        <v>1</v>
      </c>
      <c r="M42" s="25">
        <f>K42*L42</f>
        <v>217200</v>
      </c>
    </row>
    <row r="43" spans="1:14" hidden="1" x14ac:dyDescent="0.25">
      <c r="L43">
        <f>SUM(L40:L42)</f>
        <v>5</v>
      </c>
      <c r="M43" s="25">
        <f>SUM(M40:M42)*1.2</f>
        <v>1028160</v>
      </c>
    </row>
    <row r="44" spans="1:14" hidden="1" x14ac:dyDescent="0.25">
      <c r="A44" s="33" t="s">
        <v>56</v>
      </c>
      <c r="B44" s="25"/>
      <c r="C44" s="25"/>
      <c r="D44" s="25"/>
    </row>
    <row r="45" spans="1:14" hidden="1" x14ac:dyDescent="0.25">
      <c r="B45" s="25"/>
      <c r="C45" s="25"/>
      <c r="D45" s="25"/>
      <c r="J45" s="33" t="s">
        <v>30</v>
      </c>
    </row>
    <row r="46" spans="1:14" hidden="1" x14ac:dyDescent="0.25">
      <c r="A46" s="34" t="s">
        <v>8</v>
      </c>
      <c r="B46" s="35" t="s">
        <v>58</v>
      </c>
      <c r="C46" s="35" t="s">
        <v>59</v>
      </c>
      <c r="E46" s="35" t="s">
        <v>2</v>
      </c>
      <c r="F46" s="35"/>
      <c r="G46" s="35" t="s">
        <v>60</v>
      </c>
      <c r="J46" t="s">
        <v>30</v>
      </c>
      <c r="K46" s="25">
        <v>52800</v>
      </c>
      <c r="L46">
        <v>3</v>
      </c>
      <c r="M46" s="25">
        <f>K46*L46</f>
        <v>158400</v>
      </c>
    </row>
    <row r="47" spans="1:14" hidden="1" x14ac:dyDescent="0.25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5">
      <c r="J48" s="33" t="s">
        <v>131</v>
      </c>
    </row>
    <row r="49" spans="10:13" hidden="1" x14ac:dyDescent="0.25">
      <c r="J49" t="s">
        <v>48</v>
      </c>
      <c r="K49" s="25">
        <v>90000</v>
      </c>
      <c r="L49">
        <v>1</v>
      </c>
      <c r="M49" s="25">
        <f>K49*L49</f>
        <v>90000</v>
      </c>
    </row>
    <row r="50" spans="10:13" hidden="1" x14ac:dyDescent="0.25">
      <c r="J50" t="s">
        <v>49</v>
      </c>
      <c r="K50" s="25">
        <v>168000</v>
      </c>
      <c r="L50">
        <v>1</v>
      </c>
      <c r="M50" s="25">
        <f>K50*L50</f>
        <v>168000</v>
      </c>
    </row>
    <row r="51" spans="10:13" hidden="1" x14ac:dyDescent="0.25">
      <c r="L51">
        <f>SUM(L50:L50)</f>
        <v>1</v>
      </c>
      <c r="M51" s="25">
        <f>SUM(M49:M50)*1.2</f>
        <v>309600</v>
      </c>
    </row>
    <row r="52" spans="10:13" hidden="1" x14ac:dyDescent="0.25"/>
    <row r="53" spans="10:13" hidden="1" x14ac:dyDescent="0.25"/>
    <row r="54" spans="10:13" hidden="1" x14ac:dyDescent="0.25"/>
    <row r="55" spans="10:13" hidden="1" x14ac:dyDescent="0.25"/>
    <row r="56" spans="10:13" hidden="1" x14ac:dyDescent="0.25"/>
    <row r="57" spans="10:13" hidden="1" x14ac:dyDescent="0.25"/>
    <row r="58" spans="10:13" hidden="1" x14ac:dyDescent="0.25"/>
    <row r="59" spans="10:13" hidden="1" x14ac:dyDescent="0.25"/>
    <row r="60" spans="10:13" hidden="1" x14ac:dyDescent="0.25"/>
    <row r="61" spans="10:13" hidden="1" x14ac:dyDescent="0.25"/>
    <row r="62" spans="10:13" hidden="1" x14ac:dyDescent="0.25"/>
    <row r="63" spans="10:13" hidden="1" x14ac:dyDescent="0.25"/>
    <row r="64" spans="10:13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5" width="9.109375" hidden="1" customWidth="1"/>
    <col min="16" max="49" width="0" hidden="1" customWidth="1"/>
  </cols>
  <sheetData>
    <row r="1" spans="1:45" ht="18" x14ac:dyDescent="0.35">
      <c r="B1" s="134" t="str">
        <f>'[14]Team Report'!B1</f>
        <v>Enron North America</v>
      </c>
      <c r="C1" s="134"/>
      <c r="D1" s="134"/>
      <c r="E1" s="134"/>
      <c r="F1" s="134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34" t="s">
        <v>129</v>
      </c>
      <c r="C2" s="134"/>
      <c r="D2" s="134"/>
      <c r="E2" s="134"/>
      <c r="F2" s="134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35" t="s">
        <v>0</v>
      </c>
      <c r="C3" s="135"/>
      <c r="D3" s="135"/>
      <c r="E3" s="135"/>
      <c r="F3" s="13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9" t="s">
        <v>129</v>
      </c>
      <c r="K4" s="139"/>
      <c r="L4" s="139"/>
      <c r="M4" s="139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76" t="s">
        <v>63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'[14]Team Report'!BA25</f>
        <v>10228335.790000001</v>
      </c>
      <c r="E8" s="15">
        <f>(C8/9)*12</f>
        <v>13637781.053333335</v>
      </c>
      <c r="F8" s="15">
        <f>M21+M25+M26+M27+M28+360800</f>
        <v>3230000</v>
      </c>
      <c r="J8" s="7"/>
      <c r="K8" s="17"/>
      <c r="L8" s="17"/>
      <c r="M8" s="43"/>
      <c r="O8" s="15">
        <f>+F8/$F$29*$O$29</f>
        <v>153809.52380952382</v>
      </c>
    </row>
    <row r="9" spans="1:45" ht="13.8" hidden="1" x14ac:dyDescent="0.3">
      <c r="A9" s="13"/>
      <c r="B9" s="14" t="s">
        <v>11</v>
      </c>
      <c r="C9" s="15">
        <v>0</v>
      </c>
      <c r="E9" s="15">
        <f>(C9/9)*12</f>
        <v>0</v>
      </c>
      <c r="F9" s="15"/>
      <c r="J9" s="7" t="s">
        <v>10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t="13.8" hidden="1" x14ac:dyDescent="0.3">
      <c r="A10" s="13"/>
      <c r="B10" s="14" t="s">
        <v>70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13</v>
      </c>
      <c r="B11" s="14" t="s">
        <v>14</v>
      </c>
      <c r="C11" s="15">
        <f>'[14]Team Report'!BA26</f>
        <v>1877442.13</v>
      </c>
      <c r="E11" s="15">
        <f>(C11/9)*12</f>
        <v>2503256.1733333333</v>
      </c>
      <c r="F11" s="15">
        <f>F8*0.2</f>
        <v>646000</v>
      </c>
      <c r="J11" s="7"/>
      <c r="K11" s="17"/>
      <c r="L11" s="17"/>
      <c r="M11" s="43"/>
      <c r="O11" s="15">
        <f t="shared" si="0"/>
        <v>30761.904761904763</v>
      </c>
    </row>
    <row r="12" spans="1:45" ht="13.8" x14ac:dyDescent="0.3">
      <c r="A12" s="13" t="s">
        <v>16</v>
      </c>
      <c r="B12" s="14" t="s">
        <v>17</v>
      </c>
      <c r="C12" s="15">
        <f>'[14]Team Report'!BA27</f>
        <v>405632.98</v>
      </c>
      <c r="E12" s="21">
        <f>((C12/9)*12)*2.6</f>
        <v>1406194.3306666669</v>
      </c>
      <c r="F12" s="21">
        <f>E12/$E$29*$L$12+179963</f>
        <v>445999.76526126126</v>
      </c>
      <c r="J12" s="7" t="s">
        <v>15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21238.08406006006</v>
      </c>
    </row>
    <row r="13" spans="1:45" ht="13.8" x14ac:dyDescent="0.3">
      <c r="A13" s="13" t="s">
        <v>18</v>
      </c>
      <c r="B13" s="14" t="s">
        <v>19</v>
      </c>
      <c r="C13" s="15">
        <f>'[14]Team Report'!BA28</f>
        <v>648740.16999999993</v>
      </c>
      <c r="E13" s="21">
        <f>((C13/9)*12)*2.13</f>
        <v>1842422.0827999995</v>
      </c>
      <c r="F13" s="21">
        <f>E13/$E$29*$L$12+68434</f>
        <v>417000.33998918912</v>
      </c>
      <c r="J13" s="7"/>
      <c r="K13" s="17"/>
      <c r="L13" s="17"/>
      <c r="M13" s="43"/>
      <c r="O13" s="15">
        <f t="shared" si="0"/>
        <v>19857.159047104244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21">
        <v>0</v>
      </c>
      <c r="F14" s="21">
        <v>3500000</v>
      </c>
      <c r="J14" s="22" t="s">
        <v>20</v>
      </c>
      <c r="K14" s="47"/>
      <c r="L14" s="47"/>
      <c r="M14" s="48">
        <f>SUM(M9:M12)</f>
        <v>10017736.090259459</v>
      </c>
      <c r="O14" s="15">
        <f t="shared" si="0"/>
        <v>166666.66666666666</v>
      </c>
    </row>
    <row r="15" spans="1:45" ht="13.8" x14ac:dyDescent="0.3">
      <c r="A15" s="13" t="s">
        <v>23</v>
      </c>
      <c r="B15" s="14" t="s">
        <v>24</v>
      </c>
      <c r="C15" s="15">
        <f>'[14]Team Report'!BA33</f>
        <v>76876.320000000007</v>
      </c>
      <c r="E15" s="21">
        <f>((C15/9)*12)*2.1</f>
        <v>215253.69600000003</v>
      </c>
      <c r="F15" s="21">
        <f>E15/$E$29*$L$12+4276</f>
        <v>44999.672216216226</v>
      </c>
      <c r="I15" s="49">
        <f>M14-F23</f>
        <v>1326287</v>
      </c>
      <c r="J15" s="8"/>
      <c r="K15" s="17"/>
      <c r="L15" s="17"/>
      <c r="M15" s="17"/>
      <c r="O15" s="15">
        <f t="shared" si="0"/>
        <v>2142.8415341055347</v>
      </c>
    </row>
    <row r="16" spans="1:45" ht="13.8" x14ac:dyDescent="0.3">
      <c r="A16" s="13" t="s">
        <v>25</v>
      </c>
      <c r="B16" s="14" t="s">
        <v>26</v>
      </c>
      <c r="C16" s="15">
        <f>'[14]Team Report'!BA34</f>
        <v>0</v>
      </c>
      <c r="E16" s="21">
        <f>((C16/9)*12)*1.2</f>
        <v>0</v>
      </c>
      <c r="F16" s="21">
        <f t="shared" ref="F16:F22" si="1">E16/$E$29*$L$12</f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'[14]Team Report'!BA35</f>
        <v>0</v>
      </c>
      <c r="E17" s="21">
        <f>((C17/9)*12)*1.2</f>
        <v>0</v>
      </c>
      <c r="F17" s="21">
        <f t="shared" si="1"/>
        <v>0</v>
      </c>
      <c r="J17" t="s">
        <v>27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31</v>
      </c>
      <c r="B18" s="14" t="s">
        <v>32</v>
      </c>
      <c r="C18" s="15">
        <f>'[14]Team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30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ht="13.8" x14ac:dyDescent="0.3">
      <c r="A19" s="13" t="s">
        <v>34</v>
      </c>
      <c r="B19" s="14" t="s">
        <v>35</v>
      </c>
      <c r="C19" s="15">
        <f>'[14]Team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33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ht="13.8" x14ac:dyDescent="0.3">
      <c r="A20" s="13" t="s">
        <v>37</v>
      </c>
      <c r="B20" s="14" t="s">
        <v>38</v>
      </c>
      <c r="C20" s="15">
        <f>'[14]Team Report'!BA38</f>
        <v>0</v>
      </c>
      <c r="E20" s="21">
        <f>((C20/9)*12)*1.2</f>
        <v>0</v>
      </c>
      <c r="F20" s="21">
        <f t="shared" si="1"/>
        <v>0</v>
      </c>
      <c r="J20" t="s">
        <v>36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ht="13.8" x14ac:dyDescent="0.3">
      <c r="A21" s="13" t="s">
        <v>40</v>
      </c>
      <c r="B21" s="14" t="s">
        <v>41</v>
      </c>
      <c r="C21" s="15">
        <f>'[14]Team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39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ht="13.8" x14ac:dyDescent="0.3">
      <c r="A22" s="13" t="s">
        <v>43</v>
      </c>
      <c r="B22" s="14" t="s">
        <v>44</v>
      </c>
      <c r="C22" s="15">
        <f>'[14]Team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42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21758567.989466671</v>
      </c>
      <c r="F23" s="28">
        <f>SUM(F8:F22)</f>
        <v>8691449.0902594589</v>
      </c>
      <c r="J23" t="s">
        <v>45</v>
      </c>
      <c r="K23" s="25">
        <v>97200</v>
      </c>
      <c r="L23" s="25">
        <v>0</v>
      </c>
      <c r="M23" s="17">
        <f t="shared" si="2"/>
        <v>0</v>
      </c>
      <c r="O23" s="58">
        <f>SUM(O8:O22)</f>
        <v>413878.5281075933</v>
      </c>
    </row>
    <row r="24" spans="1:15" x14ac:dyDescent="0.25">
      <c r="J24" t="s">
        <v>48</v>
      </c>
      <c r="K24" s="25">
        <v>132000</v>
      </c>
      <c r="L24" s="25">
        <v>1</v>
      </c>
      <c r="M24" s="17">
        <f t="shared" si="2"/>
        <v>132000</v>
      </c>
    </row>
    <row r="25" spans="1:15" ht="13.8" x14ac:dyDescent="0.3">
      <c r="B25" s="27" t="s">
        <v>50</v>
      </c>
      <c r="C25" s="55"/>
      <c r="E25" s="55">
        <v>111</v>
      </c>
      <c r="F25" s="79">
        <f>+L29</f>
        <v>21</v>
      </c>
      <c r="J25" t="s">
        <v>119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ht="13.8" x14ac:dyDescent="0.3">
      <c r="J26" t="s">
        <v>140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ht="13.8" x14ac:dyDescent="0.3">
      <c r="B27" s="27" t="s">
        <v>67</v>
      </c>
      <c r="C27" s="55"/>
      <c r="E27" s="55"/>
      <c r="F27" s="55"/>
      <c r="J27" t="s">
        <v>141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5">
      <c r="J28" t="s">
        <v>54</v>
      </c>
      <c r="K28" s="25">
        <v>345600</v>
      </c>
      <c r="L28" s="25">
        <v>0</v>
      </c>
      <c r="M28" s="17">
        <f t="shared" si="2"/>
        <v>0</v>
      </c>
    </row>
    <row r="29" spans="1:15" ht="13.8" x14ac:dyDescent="0.3">
      <c r="B29" s="27" t="s">
        <v>55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71</v>
      </c>
      <c r="B31" s="14" t="s">
        <v>72</v>
      </c>
      <c r="C31" s="15">
        <f>'[14]Team Report'!BA29</f>
        <v>-24140467.679999996</v>
      </c>
      <c r="E31" s="15">
        <f t="shared" ref="E31:E38" si="3">(C31/9)*12</f>
        <v>-32187290.239999995</v>
      </c>
      <c r="F31" s="15"/>
      <c r="J31" t="s">
        <v>102</v>
      </c>
      <c r="L31" s="52"/>
      <c r="M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'[14]Team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75</v>
      </c>
      <c r="B33" s="14" t="s">
        <v>76</v>
      </c>
      <c r="C33" s="15">
        <f>'[14]Team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t="13.8" hidden="1" x14ac:dyDescent="0.3">
      <c r="A34" s="13" t="s">
        <v>77</v>
      </c>
      <c r="B34" s="14" t="s">
        <v>78</v>
      </c>
      <c r="C34" s="15">
        <f>'[14]Team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79</v>
      </c>
      <c r="B35" s="14" t="s">
        <v>80</v>
      </c>
      <c r="C35" s="15">
        <f>'[14]Team Report'!BA40</f>
        <v>164920.93000000002</v>
      </c>
      <c r="E35" s="15">
        <f t="shared" si="3"/>
        <v>219894.57333333336</v>
      </c>
      <c r="F35" s="15"/>
    </row>
    <row r="36" spans="1:14" ht="13.8" hidden="1" x14ac:dyDescent="0.3">
      <c r="A36" s="13" t="s">
        <v>81</v>
      </c>
      <c r="B36" s="14" t="s">
        <v>82</v>
      </c>
      <c r="C36" s="15">
        <f>'[14]Team Report'!BA41</f>
        <v>945381.27</v>
      </c>
      <c r="E36" s="15">
        <f t="shared" si="3"/>
        <v>1260508.3600000001</v>
      </c>
      <c r="F36" s="15"/>
    </row>
    <row r="37" spans="1:14" ht="13.8" hidden="1" x14ac:dyDescent="0.3">
      <c r="A37" s="13" t="s">
        <v>83</v>
      </c>
      <c r="B37" s="14" t="s">
        <v>84</v>
      </c>
      <c r="C37" s="15">
        <f>'[14]Team Report'!BA43</f>
        <v>-5121278.5200000005</v>
      </c>
      <c r="E37" s="15">
        <f t="shared" si="3"/>
        <v>-6828371.3600000013</v>
      </c>
      <c r="F37" s="15"/>
      <c r="I37" s="33" t="s">
        <v>56</v>
      </c>
      <c r="J37" s="25"/>
      <c r="M37"/>
    </row>
    <row r="38" spans="1:14" ht="13.8" hidden="1" x14ac:dyDescent="0.3">
      <c r="A38" s="13" t="s">
        <v>85</v>
      </c>
      <c r="B38" s="14" t="s">
        <v>86</v>
      </c>
      <c r="C38" s="15">
        <f>'[14]Team Report'!BA45</f>
        <v>0</v>
      </c>
      <c r="E38" s="15">
        <f t="shared" si="3"/>
        <v>0</v>
      </c>
      <c r="F38" s="15"/>
      <c r="J38" s="25"/>
      <c r="M38"/>
    </row>
    <row r="39" spans="1:14" ht="13.8" hidden="1" x14ac:dyDescent="0.3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  <c r="I39" s="34" t="s">
        <v>57</v>
      </c>
      <c r="J39" s="35" t="s">
        <v>58</v>
      </c>
      <c r="K39" s="35" t="s">
        <v>59</v>
      </c>
      <c r="L39" s="35" t="s">
        <v>2</v>
      </c>
      <c r="M39" s="35" t="s">
        <v>60</v>
      </c>
    </row>
    <row r="40" spans="1:14" x14ac:dyDescent="0.25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5">
      <c r="K41"/>
      <c r="M41"/>
    </row>
    <row r="42" spans="1:14" x14ac:dyDescent="0.25">
      <c r="I42" t="s">
        <v>142</v>
      </c>
      <c r="K42"/>
      <c r="M42"/>
    </row>
    <row r="44" spans="1:14" x14ac:dyDescent="0.25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topLeftCell="A3"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195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1811380</v>
      </c>
      <c r="I8" s="42" t="s">
        <v>10</v>
      </c>
      <c r="J8" s="17">
        <v>0</v>
      </c>
      <c r="K8" s="17"/>
      <c r="L8" s="43">
        <f>L30</f>
        <v>2208096</v>
      </c>
      <c r="Q8" s="15">
        <f t="shared" ref="Q8:Q22" si="1">+H8/$H$29*$Q$29</f>
        <v>54890.303030303032</v>
      </c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1269500</v>
      </c>
      <c r="I10" s="42"/>
      <c r="J10" s="17"/>
      <c r="K10" s="17"/>
      <c r="L10" s="43"/>
      <c r="Q10" s="15">
        <f t="shared" si="1"/>
        <v>38469.696969696968</v>
      </c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616176</v>
      </c>
      <c r="I11" s="42" t="s">
        <v>15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18672</v>
      </c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179533.47917426541</v>
      </c>
      <c r="I12" s="42"/>
      <c r="J12" s="17"/>
      <c r="K12" s="17"/>
      <c r="L12" s="43"/>
      <c r="Q12" s="15">
        <f t="shared" si="1"/>
        <v>5440.4084598262243</v>
      </c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240573.79887386021</v>
      </c>
      <c r="I13" s="46" t="s">
        <v>20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7290.1151173897033</v>
      </c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2035600.0094285714</v>
      </c>
      <c r="Q14" s="15">
        <f t="shared" si="1"/>
        <v>61684.84877056277</v>
      </c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46295.705931610937</v>
      </c>
      <c r="Q15" s="15">
        <f t="shared" si="1"/>
        <v>1402.9001797457859</v>
      </c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66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1109.3262411347516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>
        <f t="shared" si="1"/>
        <v>33.615946701053076</v>
      </c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19073.593603343463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>
        <f t="shared" si="1"/>
        <v>577.98768494980186</v>
      </c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168546.1389563767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>
        <f t="shared" si="1"/>
        <v>5107.4587562538391</v>
      </c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10.502304457953393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>
        <f t="shared" si="1"/>
        <v>0.31825165024101193</v>
      </c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193730.09370570793</v>
      </c>
      <c r="I21" s="25" t="s">
        <v>42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5870.6089001729679</v>
      </c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140838.43616528375</v>
      </c>
      <c r="I22" s="25" t="s">
        <v>45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4267.831398947993</v>
      </c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6722367.0843846137</v>
      </c>
      <c r="I23" s="25" t="s">
        <v>48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203708.09346620034</v>
      </c>
    </row>
    <row r="24" spans="1:17" x14ac:dyDescent="0.25">
      <c r="I24" s="25" t="s">
        <v>49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+'Competitive Ana'!F25+'Gas - Fund'!H25+'East - Fund'!F25+'West - Fund'!G25</f>
        <v>16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+'Competitive Ana'!F27+'Gas - Fund'!H27+'East - Fund'!F27+'West - Fund'!G27</f>
        <v>17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56</v>
      </c>
      <c r="L31"/>
    </row>
    <row r="32" spans="1:17" ht="13.8" hidden="1" x14ac:dyDescent="0.3">
      <c r="B32" s="14" t="s">
        <v>22</v>
      </c>
      <c r="C32" s="15">
        <v>254512</v>
      </c>
      <c r="L32"/>
    </row>
    <row r="33" spans="8:12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AU34"/>
  <sheetViews>
    <sheetView topLeftCell="B1" zoomScaleNormal="100" workbookViewId="0">
      <selection activeCell="D64" sqref="D64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0" hidden="1" customWidth="1"/>
  </cols>
  <sheetData>
    <row r="1" spans="1:47" ht="18" x14ac:dyDescent="0.35">
      <c r="B1" s="134" t="str">
        <f>'[16]Team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34" t="s">
        <v>194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0.63286946497004104</v>
      </c>
      <c r="K8" s="7" t="s">
        <v>10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119040</v>
      </c>
    </row>
    <row r="9" spans="1:47" ht="13.8" hidden="1" x14ac:dyDescent="0.3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f>+'West - Struct'!G10+'Gas - Struct'!H10</f>
        <v>97200</v>
      </c>
      <c r="H10" s="15"/>
      <c r="I10" s="16">
        <f t="shared" si="0"/>
        <v>0.10335166665841397</v>
      </c>
      <c r="K10" s="7"/>
      <c r="L10" s="8"/>
      <c r="M10" s="8"/>
      <c r="N10" s="9"/>
      <c r="O10" s="15">
        <f t="shared" si="1"/>
        <v>19440</v>
      </c>
    </row>
    <row r="11" spans="1:47" ht="13.8" x14ac:dyDescent="0.3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f>+'West - Struct'!G11+'Gas - Struct'!H11</f>
        <v>138480</v>
      </c>
      <c r="H11" s="15"/>
      <c r="I11" s="16">
        <f t="shared" si="0"/>
        <v>0.14724422632569101</v>
      </c>
      <c r="K11" s="7" t="s">
        <v>15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27696</v>
      </c>
    </row>
    <row r="12" spans="1:47" ht="13.8" x14ac:dyDescent="0.3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32887.421249999992</v>
      </c>
      <c r="H12" s="15"/>
      <c r="I12" s="16">
        <f t="shared" si="0"/>
        <v>3.4968825085234974E-2</v>
      </c>
      <c r="K12" s="7"/>
      <c r="L12" s="8"/>
      <c r="M12" s="8"/>
      <c r="N12" s="9"/>
      <c r="O12" s="15">
        <f t="shared" si="1"/>
        <v>6577.4842499999986</v>
      </c>
    </row>
    <row r="13" spans="1:47" ht="14.4" thickBot="1" x14ac:dyDescent="0.3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44254.870750000002</v>
      </c>
      <c r="H13" s="15"/>
      <c r="I13" s="16">
        <f t="shared" si="0"/>
        <v>4.7055706273304472E-2</v>
      </c>
      <c r="K13" s="22" t="s">
        <v>20</v>
      </c>
      <c r="L13" s="23"/>
      <c r="M13" s="23"/>
      <c r="N13" s="24">
        <f>N8+N11</f>
        <v>355707.71056179772</v>
      </c>
      <c r="O13" s="15">
        <f t="shared" si="1"/>
        <v>8850.97415</v>
      </c>
    </row>
    <row r="14" spans="1:47" ht="13.8" x14ac:dyDescent="0.3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1.4629213474934533E-2</v>
      </c>
      <c r="H14" s="15"/>
      <c r="I14" s="16">
        <f t="shared" si="0"/>
        <v>1.5555078133088597E-8</v>
      </c>
      <c r="O14" s="15">
        <f t="shared" si="1"/>
        <v>2.9258426949869067E-3</v>
      </c>
    </row>
    <row r="15" spans="1:47" ht="13.8" x14ac:dyDescent="0.3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15">
        <f>+'West - Struct'!G15+'Gas - Struct'!H15</f>
        <v>8374.0750000000007</v>
      </c>
      <c r="H15" s="15"/>
      <c r="I15" s="16">
        <f t="shared" si="0"/>
        <v>8.9040597528040957E-3</v>
      </c>
      <c r="O15" s="15">
        <f t="shared" si="1"/>
        <v>1674.8150000000001</v>
      </c>
    </row>
    <row r="16" spans="1:47" ht="13.8" x14ac:dyDescent="0.3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15">
        <f>+'West - Struct'!G17+'Gas - Struct'!H17</f>
        <v>147.5</v>
      </c>
      <c r="H17" s="15"/>
      <c r="I17" s="16">
        <f t="shared" si="0"/>
        <v>1.5683509086539157E-4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29.5</v>
      </c>
    </row>
    <row r="18" spans="1:15" ht="13.8" x14ac:dyDescent="0.3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4478.8730000000005</v>
      </c>
      <c r="H18" s="15"/>
      <c r="I18" s="16">
        <f t="shared" si="0"/>
        <v>4.7623352808782984E-3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895.77460000000008</v>
      </c>
    </row>
    <row r="19" spans="1:15" ht="13.8" x14ac:dyDescent="0.3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15">
        <f>+'West - Struct'!G19+'Gas - Struct'!H19</f>
        <v>8333.6870337078653</v>
      </c>
      <c r="H19" s="15"/>
      <c r="I19" s="16">
        <f t="shared" si="0"/>
        <v>8.8611156825444647E-3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1666.7374067415731</v>
      </c>
    </row>
    <row r="20" spans="1:15" ht="13.8" x14ac:dyDescent="0.3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15">
        <f>+'West - Struct'!G20+'Gas - Struct'!H20</f>
        <v>4.5761797752808997</v>
      </c>
      <c r="H20" s="15"/>
      <c r="I20" s="16">
        <f t="shared" si="0"/>
        <v>4.8658004804918442E-6</v>
      </c>
      <c r="K20" t="s">
        <v>39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0.91523595505617994</v>
      </c>
    </row>
    <row r="21" spans="1:15" ht="13.8" x14ac:dyDescent="0.3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8394.7227499999972</v>
      </c>
      <c r="H21" s="15"/>
      <c r="I21" s="16">
        <f t="shared" si="0"/>
        <v>8.9260142731255546E-3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1678.9445499999995</v>
      </c>
    </row>
    <row r="22" spans="1:15" ht="13.8" x14ac:dyDescent="0.3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2722.5617191011675</v>
      </c>
      <c r="H22" s="15"/>
      <c r="I22" s="16">
        <f t="shared" si="0"/>
        <v>2.8948692515380898E-3</v>
      </c>
      <c r="K22" t="s">
        <v>45</v>
      </c>
      <c r="L22" s="25">
        <v>97200</v>
      </c>
      <c r="M22">
        <v>1</v>
      </c>
      <c r="N22" s="25">
        <f t="shared" si="3"/>
        <v>97200</v>
      </c>
      <c r="O22" s="15">
        <f t="shared" si="1"/>
        <v>544.51234382023347</v>
      </c>
    </row>
    <row r="23" spans="1:15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940478.30231179774</v>
      </c>
      <c r="H23" s="29"/>
      <c r="I23" s="30">
        <f>SUM(I8:I22)</f>
        <v>1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188095.66046235958</v>
      </c>
    </row>
    <row r="24" spans="1:15" x14ac:dyDescent="0.25">
      <c r="K24" t="s">
        <v>49</v>
      </c>
      <c r="L24" s="25">
        <v>156000</v>
      </c>
      <c r="M24">
        <f>1-1</f>
        <v>0</v>
      </c>
      <c r="N24" s="25">
        <f t="shared" si="3"/>
        <v>0</v>
      </c>
    </row>
    <row r="25" spans="1:15" ht="13.8" x14ac:dyDescent="0.3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f>+'West - Struct'!G25+'Gas - Struct'!H25</f>
        <v>4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ht="13.8" x14ac:dyDescent="0.3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f>+'West - Struct'!G27+'Gas - Struct'!H27</f>
        <v>1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5">
      <c r="M28">
        <f>SUM(M16:M27)</f>
        <v>2</v>
      </c>
      <c r="N28" s="25">
        <f>SUM(N16:N27)*1.2</f>
        <v>260640</v>
      </c>
    </row>
    <row r="29" spans="1:15" ht="13.8" x14ac:dyDescent="0.3">
      <c r="B29" s="27" t="s">
        <v>55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f>+O27+O25</f>
        <v>1</v>
      </c>
    </row>
    <row r="31" spans="1:15" x14ac:dyDescent="0.25">
      <c r="J31" s="33" t="s">
        <v>56</v>
      </c>
      <c r="K31" s="25"/>
      <c r="L31" s="25"/>
      <c r="M31" s="25"/>
    </row>
    <row r="32" spans="1:15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topLeftCell="A4"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9.109375" hidden="1" customWidth="1"/>
    <col min="18" max="55" width="0" hidden="1" customWidth="1"/>
  </cols>
  <sheetData>
    <row r="1" spans="1:44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176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10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20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133800</v>
      </c>
      <c r="Q14" s="15">
        <f t="shared" si="1"/>
        <v>26760</v>
      </c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30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33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36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39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42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45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1172895.8962500002</v>
      </c>
      <c r="I23" s="25" t="s">
        <v>48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234579.17925000002</v>
      </c>
    </row>
    <row r="24" spans="1:17" x14ac:dyDescent="0.25">
      <c r="I24" s="25" t="s">
        <v>49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5</v>
      </c>
      <c r="I25" s="25" t="s">
        <v>51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5</v>
      </c>
      <c r="L28" s="25">
        <f>SUM(L16:L27)*1.2</f>
        <v>719400</v>
      </c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5">
      <c r="L30" s="25">
        <f>L28*1.2</f>
        <v>863280</v>
      </c>
    </row>
    <row r="31" spans="1:17" hidden="1" x14ac:dyDescent="0.25">
      <c r="H31" s="33" t="s">
        <v>56</v>
      </c>
      <c r="L31"/>
    </row>
    <row r="32" spans="1:17" ht="13.8" hidden="1" x14ac:dyDescent="0.3">
      <c r="B32" s="14" t="s">
        <v>22</v>
      </c>
      <c r="C32" s="15">
        <v>254512</v>
      </c>
      <c r="L32"/>
    </row>
    <row r="33" spans="8:12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  <col min="15" max="15" width="0" hidden="1" customWidth="1"/>
  </cols>
  <sheetData>
    <row r="1" spans="1:45" ht="18" x14ac:dyDescent="0.35">
      <c r="B1" s="134" t="str">
        <f>'[12]Team Report'!B1</f>
        <v>Enron North America</v>
      </c>
      <c r="C1" s="134"/>
      <c r="D1" s="134"/>
      <c r="E1" s="134"/>
      <c r="F1" s="136"/>
      <c r="G1" s="136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34" t="s">
        <v>135</v>
      </c>
      <c r="C2" s="134"/>
      <c r="D2" s="134"/>
      <c r="E2" s="134"/>
      <c r="F2" s="136"/>
      <c r="G2" s="136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34" t="s">
        <v>0</v>
      </c>
      <c r="C3" s="134"/>
      <c r="D3" s="134"/>
      <c r="E3" s="134"/>
      <c r="F3" s="136"/>
      <c r="G3" s="136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9"/>
      <c r="K4" s="139"/>
      <c r="L4" s="139"/>
      <c r="M4" s="139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ht="13.8" x14ac:dyDescent="0.3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ht="13.8" x14ac:dyDescent="0.3">
      <c r="A10" s="13"/>
      <c r="B10" s="14" t="s">
        <v>70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ht="13.8" x14ac:dyDescent="0.3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15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ht="13.8" x14ac:dyDescent="0.3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v>0</v>
      </c>
      <c r="J14" s="22" t="s">
        <v>20</v>
      </c>
      <c r="K14" s="47"/>
      <c r="L14" s="47"/>
      <c r="M14" s="48">
        <f>SUM(M9:M12)</f>
        <v>21013632</v>
      </c>
      <c r="O14" s="15">
        <f t="shared" si="1"/>
        <v>0</v>
      </c>
    </row>
    <row r="15" spans="1:45" ht="13.8" x14ac:dyDescent="0.3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ht="13.8" x14ac:dyDescent="0.3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v>0</v>
      </c>
      <c r="J18" t="s">
        <v>30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33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ht="13.8" x14ac:dyDescent="0.3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v>0</v>
      </c>
      <c r="J20" t="s">
        <v>36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39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ht="13.8" x14ac:dyDescent="0.3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136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ht="13.8" x14ac:dyDescent="0.3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137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5">
      <c r="J24" t="s">
        <v>48</v>
      </c>
      <c r="K24" s="25">
        <v>144000</v>
      </c>
      <c r="L24" s="25">
        <v>15</v>
      </c>
      <c r="M24" s="17">
        <f t="shared" si="2"/>
        <v>2160000</v>
      </c>
    </row>
    <row r="25" spans="1:15" ht="13.8" x14ac:dyDescent="0.3">
      <c r="B25" s="27" t="s">
        <v>50</v>
      </c>
      <c r="C25" s="55"/>
      <c r="E25" s="55">
        <v>111</v>
      </c>
      <c r="F25" s="60">
        <v>40</v>
      </c>
      <c r="G25" s="79">
        <v>133</v>
      </c>
      <c r="J25" t="s">
        <v>49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ht="13.8" x14ac:dyDescent="0.3">
      <c r="J26" t="s">
        <v>51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ht="13.8" x14ac:dyDescent="0.3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55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t="13.8" hidden="1" x14ac:dyDescent="0.3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t="13.8" hidden="1" x14ac:dyDescent="0.3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t="13.8" hidden="1" x14ac:dyDescent="0.3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169</v>
      </c>
    </row>
    <row r="47" spans="1:13" ht="13.8" x14ac:dyDescent="0.3">
      <c r="B47" s="14" t="s">
        <v>170</v>
      </c>
    </row>
    <row r="48" spans="1:13" ht="13.8" x14ac:dyDescent="0.3">
      <c r="B48" s="14" t="s">
        <v>171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1.8867187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</cols>
  <sheetData>
    <row r="1" spans="1:45" ht="18" x14ac:dyDescent="0.35">
      <c r="B1" s="134" t="str">
        <f>'[13]Team Report'!B1</f>
        <v>Enron North America</v>
      </c>
      <c r="C1" s="134"/>
      <c r="D1" s="134"/>
      <c r="E1" s="134"/>
      <c r="F1" s="136"/>
      <c r="G1" s="136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34" t="str">
        <f>"IT EOL"</f>
        <v>IT EOL</v>
      </c>
      <c r="C2" s="134"/>
      <c r="D2" s="134"/>
      <c r="E2" s="134"/>
      <c r="F2" s="136"/>
      <c r="G2" s="136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34" t="s">
        <v>0</v>
      </c>
      <c r="C3" s="134"/>
      <c r="D3" s="134"/>
      <c r="E3" s="134"/>
      <c r="F3" s="136"/>
      <c r="G3" s="136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9"/>
      <c r="K4" s="139"/>
      <c r="L4" s="139"/>
      <c r="M4" s="139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ht="13.8" x14ac:dyDescent="0.3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'[13]Team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t="13.8" hidden="1" x14ac:dyDescent="0.3">
      <c r="A9" s="13"/>
      <c r="B9" s="14" t="s">
        <v>11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10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ht="13.8" x14ac:dyDescent="0.3">
      <c r="A10" s="13"/>
      <c r="B10" s="14" t="s">
        <v>70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13</v>
      </c>
      <c r="B11" s="14" t="s">
        <v>14</v>
      </c>
      <c r="C11" s="15">
        <f>'[13]Team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ht="13.8" x14ac:dyDescent="0.3">
      <c r="A12" s="13" t="s">
        <v>16</v>
      </c>
      <c r="B12" s="14" t="s">
        <v>17</v>
      </c>
      <c r="C12" s="15">
        <f>'[13]Team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15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ht="13.8" x14ac:dyDescent="0.3">
      <c r="A13" s="13" t="s">
        <v>18</v>
      </c>
      <c r="B13" s="14" t="s">
        <v>19</v>
      </c>
      <c r="C13" s="15">
        <f>'[13]Team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5"/>
      <c r="G14" s="15">
        <v>0</v>
      </c>
      <c r="J14" s="22" t="s">
        <v>20</v>
      </c>
      <c r="K14" s="47"/>
      <c r="L14" s="47"/>
      <c r="M14" s="48">
        <f>SUM(M9:M12)</f>
        <v>7124376</v>
      </c>
      <c r="O14" s="15">
        <f t="shared" si="0"/>
        <v>0</v>
      </c>
    </row>
    <row r="15" spans="1:45" ht="13.8" x14ac:dyDescent="0.3">
      <c r="A15" s="13" t="s">
        <v>23</v>
      </c>
      <c r="B15" s="14" t="s">
        <v>24</v>
      </c>
      <c r="C15" s="15">
        <f>'[13]Team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ht="13.8" x14ac:dyDescent="0.3">
      <c r="A16" s="13" t="s">
        <v>25</v>
      </c>
      <c r="B16" s="14" t="s">
        <v>26</v>
      </c>
      <c r="C16" s="15">
        <f>'[13]Team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'[13]Team Report'!BA35</f>
        <v>0</v>
      </c>
      <c r="E17" s="15">
        <f t="shared" si="1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31</v>
      </c>
      <c r="B18" s="14" t="s">
        <v>32</v>
      </c>
      <c r="C18" s="15">
        <f>'[13]Team Report'!BA36</f>
        <v>5744.1</v>
      </c>
      <c r="E18" s="15">
        <f t="shared" si="1"/>
        <v>9190.56</v>
      </c>
      <c r="F18" s="15"/>
      <c r="G18" s="15">
        <v>0</v>
      </c>
      <c r="J18" t="s">
        <v>30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ht="13.8" x14ac:dyDescent="0.3">
      <c r="A19" s="13" t="s">
        <v>34</v>
      </c>
      <c r="B19" s="14" t="s">
        <v>35</v>
      </c>
      <c r="C19" s="15">
        <f>'[13]Team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ht="13.8" x14ac:dyDescent="0.3">
      <c r="A20" s="13" t="s">
        <v>37</v>
      </c>
      <c r="B20" s="14" t="s">
        <v>38</v>
      </c>
      <c r="C20" s="15">
        <f>'[13]Team Report'!BA38</f>
        <v>0</v>
      </c>
      <c r="E20" s="15">
        <f t="shared" si="1"/>
        <v>0</v>
      </c>
      <c r="F20" s="15"/>
      <c r="G20" s="15">
        <v>0</v>
      </c>
      <c r="J20" t="s">
        <v>36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ht="13.8" x14ac:dyDescent="0.3">
      <c r="A21" s="13" t="s">
        <v>40</v>
      </c>
      <c r="B21" s="14" t="s">
        <v>41</v>
      </c>
      <c r="C21" s="15">
        <f>'[13]Team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39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ht="13.8" x14ac:dyDescent="0.3">
      <c r="A22" s="13" t="s">
        <v>43</v>
      </c>
      <c r="B22" s="14" t="s">
        <v>44</v>
      </c>
      <c r="C22" s="15">
        <f>'[13]Team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45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5">
      <c r="J24" t="s">
        <v>48</v>
      </c>
      <c r="K24" s="25">
        <v>144000</v>
      </c>
      <c r="L24" s="25">
        <v>6</v>
      </c>
      <c r="M24" s="17">
        <f t="shared" si="2"/>
        <v>864000</v>
      </c>
    </row>
    <row r="25" spans="1:15" ht="13.8" x14ac:dyDescent="0.3">
      <c r="B25" s="27" t="s">
        <v>50</v>
      </c>
      <c r="C25" s="55"/>
      <c r="E25" s="55">
        <v>0</v>
      </c>
      <c r="F25" s="60">
        <v>40</v>
      </c>
      <c r="G25" s="79">
        <f>+L12</f>
        <v>44</v>
      </c>
      <c r="J25" t="s">
        <v>49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ht="13.8" x14ac:dyDescent="0.3">
      <c r="J26" t="s">
        <v>51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55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71</v>
      </c>
      <c r="B31" s="14" t="s">
        <v>72</v>
      </c>
      <c r="C31" s="15">
        <f>'[13]Team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75</v>
      </c>
      <c r="B33" s="14" t="s">
        <v>76</v>
      </c>
      <c r="C33" s="15">
        <f>'[13]Team Report'!BA31</f>
        <v>0</v>
      </c>
      <c r="E33" s="15">
        <f>(C33/9)*12</f>
        <v>0</v>
      </c>
      <c r="F33" s="15"/>
      <c r="M33" s="25">
        <f>M29*1.2</f>
        <v>5955840</v>
      </c>
    </row>
    <row r="34" spans="1:13" ht="13.8" hidden="1" x14ac:dyDescent="0.3">
      <c r="A34" s="13" t="s">
        <v>77</v>
      </c>
      <c r="B34" s="14" t="s">
        <v>78</v>
      </c>
      <c r="C34" s="15">
        <f>'[13]Team Report'!BA39</f>
        <v>0</v>
      </c>
      <c r="E34" s="15">
        <v>0</v>
      </c>
      <c r="F34" s="15"/>
    </row>
    <row r="35" spans="1:13" ht="13.8" hidden="1" x14ac:dyDescent="0.3">
      <c r="A35" s="13" t="s">
        <v>79</v>
      </c>
      <c r="B35" s="14" t="s">
        <v>80</v>
      </c>
      <c r="C35" s="15">
        <f>'[13]Team Report'!BA40</f>
        <v>164920.93000000002</v>
      </c>
      <c r="E35" s="15">
        <v>0</v>
      </c>
      <c r="F35" s="15"/>
      <c r="J35" t="s">
        <v>138</v>
      </c>
      <c r="K35" s="25">
        <v>192000</v>
      </c>
      <c r="L35" s="25">
        <v>1</v>
      </c>
      <c r="M35" s="25">
        <f>K35*L35</f>
        <v>192000</v>
      </c>
    </row>
    <row r="36" spans="1:13" ht="13.8" hidden="1" x14ac:dyDescent="0.3">
      <c r="A36" s="13" t="s">
        <v>81</v>
      </c>
      <c r="B36" s="14" t="s">
        <v>82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83</v>
      </c>
      <c r="B37" s="14" t="s">
        <v>84</v>
      </c>
      <c r="C37" s="15">
        <f>'[13]Team Report'!BA43</f>
        <v>-5121278.5200000005</v>
      </c>
      <c r="E37" s="15">
        <v>0</v>
      </c>
      <c r="F37" s="15"/>
      <c r="I37" s="33" t="s">
        <v>56</v>
      </c>
    </row>
    <row r="38" spans="1:13" ht="13.8" hidden="1" x14ac:dyDescent="0.3">
      <c r="A38" s="13" t="s">
        <v>85</v>
      </c>
      <c r="B38" s="14" t="s">
        <v>86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x14ac:dyDescent="0.25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69" width="0" hidden="1" customWidth="1"/>
  </cols>
  <sheetData>
    <row r="1" spans="1:45" ht="18" x14ac:dyDescent="0.35">
      <c r="B1" s="134" t="str">
        <f>'[12]Team Report'!B1</f>
        <v>Enron North America</v>
      </c>
      <c r="C1" s="134"/>
      <c r="D1" s="134"/>
      <c r="E1" s="134"/>
      <c r="F1" s="136"/>
      <c r="G1" s="136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34" t="s">
        <v>197</v>
      </c>
      <c r="C2" s="134"/>
      <c r="D2" s="134"/>
      <c r="E2" s="134"/>
      <c r="F2" s="136"/>
      <c r="G2" s="136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34" t="s">
        <v>0</v>
      </c>
      <c r="C3" s="134"/>
      <c r="D3" s="134"/>
      <c r="E3" s="134"/>
      <c r="F3" s="136"/>
      <c r="G3" s="136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9"/>
      <c r="K4" s="139"/>
      <c r="L4" s="139"/>
      <c r="M4" s="139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ht="13.8" x14ac:dyDescent="0.3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23594400</v>
      </c>
      <c r="J8" s="7"/>
      <c r="K8" s="17"/>
      <c r="L8" s="17"/>
      <c r="M8" s="43"/>
      <c r="O8" s="15">
        <f t="shared" ref="O8:O22" si="1">+G8/$G$29*$O$29</f>
        <v>118564.82412060302</v>
      </c>
    </row>
    <row r="9" spans="1:4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10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ht="13.8" x14ac:dyDescent="0.3">
      <c r="A10" s="13"/>
      <c r="B10" s="14" t="s">
        <v>122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+'IT Dev-EOL'!G11+'IT Infra'!H11</f>
        <v>4718880</v>
      </c>
      <c r="J11" s="7"/>
      <c r="K11" s="17"/>
      <c r="L11" s="17"/>
      <c r="M11" s="43"/>
      <c r="O11" s="15">
        <f t="shared" si="1"/>
        <v>23712.964824120601</v>
      </c>
    </row>
    <row r="12" spans="1:45" ht="13.8" x14ac:dyDescent="0.3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15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ht="13.8" x14ac:dyDescent="0.3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f>+'IT Dev-EOL'!G14+'IT Infra'!H14</f>
        <v>2000000</v>
      </c>
      <c r="J14" s="22" t="s">
        <v>20</v>
      </c>
      <c r="K14" s="47"/>
      <c r="L14" s="47"/>
      <c r="M14" s="48">
        <f>SUM(M9:M12)</f>
        <v>23304600</v>
      </c>
      <c r="O14" s="15">
        <f t="shared" si="1"/>
        <v>10050.251256281406</v>
      </c>
    </row>
    <row r="15" spans="1:45" ht="13.8" x14ac:dyDescent="0.3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ht="13.8" x14ac:dyDescent="0.3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27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f>+'IT Dev-EOL'!G18+'IT Infra'!H18</f>
        <v>1936000</v>
      </c>
      <c r="J18" t="s">
        <v>30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9728.6432160804015</v>
      </c>
    </row>
    <row r="19" spans="1:15" ht="13.8" x14ac:dyDescent="0.3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+'IT Dev-EOL'!G19+'IT Infra'!H19</f>
        <v>10849200.179816514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54518.593868424694</v>
      </c>
    </row>
    <row r="20" spans="1:15" ht="13.8" x14ac:dyDescent="0.3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36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+'IT Dev-EOL'!G21+'IT Infra'!H21</f>
        <v>7158622.6000000034</v>
      </c>
      <c r="J21" t="s">
        <v>39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35972.977889447255</v>
      </c>
    </row>
    <row r="22" spans="1:15" ht="13.8" x14ac:dyDescent="0.3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136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ht="13.8" x14ac:dyDescent="0.3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56107334.889908269</v>
      </c>
      <c r="J23" t="s">
        <v>137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281946.40648195101</v>
      </c>
    </row>
    <row r="24" spans="1:15" x14ac:dyDescent="0.25">
      <c r="J24" t="s">
        <v>48</v>
      </c>
      <c r="K24" s="25">
        <v>144000</v>
      </c>
      <c r="L24" s="25">
        <v>16</v>
      </c>
      <c r="M24" s="17">
        <f t="shared" si="2"/>
        <v>2304000</v>
      </c>
    </row>
    <row r="25" spans="1:15" ht="13.8" x14ac:dyDescent="0.3">
      <c r="B25" s="27" t="s">
        <v>50</v>
      </c>
      <c r="C25" s="55"/>
      <c r="E25" s="55">
        <v>111</v>
      </c>
      <c r="F25" s="60">
        <v>40</v>
      </c>
      <c r="G25" s="79">
        <v>199</v>
      </c>
      <c r="J25" t="s">
        <v>49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ht="13.8" x14ac:dyDescent="0.3">
      <c r="J26" t="s">
        <v>51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54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55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t="13.8" hidden="1" x14ac:dyDescent="0.3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t="13.8" hidden="1" x14ac:dyDescent="0.3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t="13.8" hidden="1" x14ac:dyDescent="0.3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198</v>
      </c>
    </row>
    <row r="47" spans="1:13" ht="13.8" x14ac:dyDescent="0.3">
      <c r="B47" s="14"/>
    </row>
    <row r="48" spans="1:13" ht="13.8" x14ac:dyDescent="0.3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R39"/>
  <sheetViews>
    <sheetView zoomScale="80"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9.66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281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  <c r="N5" s="126" t="s">
        <v>255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713715</v>
      </c>
      <c r="I8" s="42" t="s">
        <v>10</v>
      </c>
      <c r="J8" s="17">
        <v>0</v>
      </c>
      <c r="K8" s="17"/>
      <c r="L8" s="43">
        <f>L30</f>
        <v>1507968</v>
      </c>
      <c r="N8" s="15">
        <f>H8/2*1.5+75670+10715</f>
        <v>621671.25</v>
      </c>
      <c r="Q8" s="15"/>
    </row>
    <row r="9" spans="1:44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  <c r="Q9" s="15"/>
    </row>
    <row r="10" spans="1:44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>
        <v>420200</v>
      </c>
      <c r="Q10" s="15"/>
    </row>
    <row r="11" spans="1:44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129448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N11" s="15">
        <f>H11/2*1.5+24992</f>
        <v>122078</v>
      </c>
      <c r="Q11" s="15"/>
    </row>
    <row r="12" spans="1:44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30000</v>
      </c>
      <c r="I12" s="42"/>
      <c r="J12" s="17"/>
      <c r="K12" s="17"/>
      <c r="L12" s="43"/>
      <c r="N12" s="15">
        <v>75000</v>
      </c>
      <c r="Q12" s="15"/>
    </row>
    <row r="13" spans="1:44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30000</v>
      </c>
      <c r="I13" s="46" t="s">
        <v>20</v>
      </c>
      <c r="J13" s="47"/>
      <c r="K13" s="47"/>
      <c r="L13" s="48">
        <f>L8+L11</f>
        <v>1990669.8125</v>
      </c>
      <c r="N13" s="15">
        <v>75000</v>
      </c>
      <c r="P13" s="49"/>
      <c r="Q13" s="15"/>
    </row>
    <row r="14" spans="1:44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20000</v>
      </c>
      <c r="N15" s="15">
        <v>50000</v>
      </c>
      <c r="Q15" s="15"/>
    </row>
    <row r="16" spans="1:44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236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590</v>
      </c>
      <c r="Q17" s="15"/>
    </row>
    <row r="18" spans="1:17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40000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100000</v>
      </c>
      <c r="Q19" s="15"/>
    </row>
    <row r="20" spans="1:17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0.8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>
        <v>2</v>
      </c>
      <c r="Q20" s="15"/>
    </row>
    <row r="21" spans="1:17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6000</v>
      </c>
      <c r="I21" s="25" t="s">
        <v>42</v>
      </c>
      <c r="J21" s="25">
        <v>60500</v>
      </c>
      <c r="K21" s="25">
        <v>4</v>
      </c>
      <c r="L21" s="25">
        <f t="shared" si="1"/>
        <v>242000</v>
      </c>
      <c r="N21" s="15">
        <v>15000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N22" s="15"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969399.8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N23" s="28">
        <f>SUM(N8:N22)</f>
        <v>1479541.25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f>3</f>
        <v>3</v>
      </c>
      <c r="L24" s="25">
        <f t="shared" si="1"/>
        <v>429000</v>
      </c>
      <c r="P24" s="8"/>
      <c r="Q24" s="8"/>
    </row>
    <row r="25" spans="1:17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10</v>
      </c>
      <c r="L28" s="25">
        <f>SUM(L16:L27)*1.2</f>
        <v>1256640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P29" s="8"/>
      <c r="Q29" s="32"/>
    </row>
    <row r="30" spans="1:17" hidden="1" x14ac:dyDescent="0.25">
      <c r="L30" s="25">
        <f>L28*1.2</f>
        <v>1507968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topLeftCell="A3"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195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1316380</v>
      </c>
      <c r="I8" s="42" t="s">
        <v>10</v>
      </c>
      <c r="J8" s="17">
        <v>0</v>
      </c>
      <c r="K8" s="17"/>
      <c r="L8" s="43">
        <f>L30</f>
        <v>2208096</v>
      </c>
      <c r="Q8" s="15">
        <f>+H8/$H$29*$Q$29</f>
        <v>50630</v>
      </c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1137500</v>
      </c>
      <c r="I10" s="42"/>
      <c r="J10" s="17"/>
      <c r="K10" s="17"/>
      <c r="L10" s="43"/>
      <c r="Q10" s="15">
        <f t="shared" si="1"/>
        <v>43750</v>
      </c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490776</v>
      </c>
      <c r="I11" s="42" t="s">
        <v>15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18876</v>
      </c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149533.47917426541</v>
      </c>
      <c r="I12" s="42"/>
      <c r="J12" s="17"/>
      <c r="K12" s="17"/>
      <c r="L12" s="43"/>
      <c r="Q12" s="15">
        <f t="shared" si="1"/>
        <v>5751.287660548669</v>
      </c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210573.79887386021</v>
      </c>
      <c r="I13" s="46" t="s">
        <v>20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8098.9922643792388</v>
      </c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1955600.0094285714</v>
      </c>
      <c r="Q14" s="15">
        <f t="shared" si="1"/>
        <v>75215.384978021975</v>
      </c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26135.705931610937</v>
      </c>
      <c r="Q15" s="15">
        <f t="shared" si="1"/>
        <v>1005.219458908113</v>
      </c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66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1109.3262411347516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>
        <f t="shared" si="1"/>
        <v>42.666393889798137</v>
      </c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12773.593603343465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>
        <f t="shared" si="1"/>
        <v>491.29206166705632</v>
      </c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118934.13733839919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>
        <f t="shared" si="1"/>
        <v>4574.3898976307382</v>
      </c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10.502304457953393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0.40393478684436129</v>
      </c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122393.6530764944</v>
      </c>
      <c r="I21" s="25" t="s">
        <v>42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4707.4481952497845</v>
      </c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131310.92964842982</v>
      </c>
      <c r="I22" s="25" t="s">
        <v>45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5050.4203710934544</v>
      </c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5673031.1356205689</v>
      </c>
      <c r="I23" s="25" t="s">
        <v>48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218193.50521617563</v>
      </c>
    </row>
    <row r="24" spans="1:17" x14ac:dyDescent="0.25">
      <c r="I24" s="25" t="s">
        <v>49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+'Competitive Ana'!F25+'Gas - Fund'!H25+'East - Fund'!F25</f>
        <v>11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+'Competitive Ana'!F27+'Gas - Fund'!H27+'East - Fund'!F27</f>
        <v>15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26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56</v>
      </c>
      <c r="L31"/>
    </row>
    <row r="32" spans="1:17" ht="13.8" hidden="1" x14ac:dyDescent="0.3">
      <c r="B32" s="14" t="s">
        <v>22</v>
      </c>
      <c r="C32" s="15">
        <v>254512</v>
      </c>
      <c r="L32"/>
    </row>
    <row r="33" spans="8:12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4.88671875" customWidth="1"/>
    <col min="7" max="7" width="13.33203125" hidden="1" customWidth="1"/>
    <col min="8" max="8" width="1.6640625" hidden="1" customWidth="1"/>
    <col min="9" max="9" width="19.44140625" hidden="1" customWidth="1"/>
    <col min="10" max="10" width="12" hidden="1" customWidth="1"/>
    <col min="11" max="11" width="8.88671875" hidden="1" customWidth="1"/>
    <col min="12" max="12" width="12.6640625" hidden="1" customWidth="1"/>
    <col min="13" max="13" width="9.109375" hidden="1" customWidth="1"/>
    <col min="14" max="14" width="11.33203125" hidden="1" customWidth="1"/>
    <col min="15" max="15" width="9.109375" hidden="1" customWidth="1"/>
    <col min="16" max="27" width="0" hidden="1" customWidth="1"/>
  </cols>
  <sheetData>
    <row r="1" spans="1:16" ht="18" x14ac:dyDescent="0.35">
      <c r="B1" s="134" t="str">
        <f>'[6]Team Report'!B1</f>
        <v>Enron North America</v>
      </c>
      <c r="C1" s="134"/>
      <c r="D1" s="134"/>
      <c r="E1" s="134"/>
      <c r="F1" s="134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35">
      <c r="B2" s="134" t="str">
        <f>'[6]Pull Sheet'!E9</f>
        <v>Competitive Analysis</v>
      </c>
      <c r="C2" s="134"/>
      <c r="D2" s="134"/>
      <c r="E2" s="134"/>
      <c r="F2" s="134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35">
      <c r="B3" s="135" t="s">
        <v>0</v>
      </c>
      <c r="C3" s="135"/>
      <c r="D3" s="135"/>
      <c r="E3" s="135"/>
      <c r="F3" s="135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8" thickBot="1" x14ac:dyDescent="0.3"/>
    <row r="5" spans="1:16" x14ac:dyDescent="0.25">
      <c r="I5" s="4"/>
      <c r="J5" s="40"/>
      <c r="K5" s="40"/>
      <c r="L5" s="41"/>
    </row>
    <row r="6" spans="1:16" ht="13.8" x14ac:dyDescent="0.3">
      <c r="C6" s="10">
        <v>37135</v>
      </c>
      <c r="E6" s="11">
        <v>2001</v>
      </c>
      <c r="F6" s="11">
        <v>2002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16" ht="13.8" x14ac:dyDescent="0.3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16" ht="13.8" x14ac:dyDescent="0.3">
      <c r="A8" s="13" t="s">
        <v>9</v>
      </c>
      <c r="B8" s="14" t="s">
        <v>10</v>
      </c>
      <c r="C8" s="15">
        <f>'[6]Team Report'!BA25</f>
        <v>1004954.44</v>
      </c>
      <c r="E8" s="15">
        <f>(C8/9)*12</f>
        <v>1339939.2533333334</v>
      </c>
      <c r="F8" s="15">
        <f>L29</f>
        <v>406800</v>
      </c>
      <c r="I8" s="7"/>
      <c r="J8" s="17"/>
      <c r="K8" s="17"/>
      <c r="L8" s="43"/>
      <c r="O8" s="15">
        <f>+F8/$F$29*$O$29</f>
        <v>81360</v>
      </c>
    </row>
    <row r="9" spans="1:16" ht="12.75" hidden="1" customHeight="1" x14ac:dyDescent="0.3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5</v>
      </c>
      <c r="L9" s="43">
        <f>L33</f>
        <v>488160</v>
      </c>
      <c r="O9" s="15">
        <f t="shared" ref="O9:O22" si="0">+F9/$F$29*$O$29</f>
        <v>0</v>
      </c>
    </row>
    <row r="10" spans="1:16" ht="12.75" hidden="1" customHeight="1" x14ac:dyDescent="0.3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ht="13.8" x14ac:dyDescent="0.3">
      <c r="A11" s="13" t="s">
        <v>13</v>
      </c>
      <c r="B11" s="14" t="s">
        <v>14</v>
      </c>
      <c r="C11" s="15">
        <f>'[6]Team Report'!BA26</f>
        <v>241285.2</v>
      </c>
      <c r="E11" s="15">
        <f>(C11/9)*12</f>
        <v>321713.59999999998</v>
      </c>
      <c r="F11" s="15">
        <f>L33-L29</f>
        <v>81360</v>
      </c>
      <c r="I11" s="7"/>
      <c r="J11" s="17"/>
      <c r="K11" s="17"/>
      <c r="L11" s="43"/>
      <c r="O11" s="15">
        <f t="shared" si="0"/>
        <v>16272</v>
      </c>
    </row>
    <row r="12" spans="1:16" ht="13.8" x14ac:dyDescent="0.3">
      <c r="A12" s="13" t="s">
        <v>16</v>
      </c>
      <c r="B12" s="14" t="s">
        <v>17</v>
      </c>
      <c r="C12" s="15">
        <f>'[6]Team Report'!BA27</f>
        <v>64034.85</v>
      </c>
      <c r="E12" s="20">
        <f>((C12/9)*12)*1.25</f>
        <v>106724.75</v>
      </c>
      <c r="F12" s="21">
        <f t="shared" ref="F12:F22" si="1">(E12/$E$29)*$F$29</f>
        <v>19057.991071428572</v>
      </c>
      <c r="I12" s="7" t="s">
        <v>15</v>
      </c>
      <c r="J12" s="17">
        <f>(E12+E13+E14+E15+E16+E17+E18+E19+E20+E21+E22)/E29</f>
        <v>29159.270999999997</v>
      </c>
      <c r="K12" s="17">
        <f>K29</f>
        <v>5</v>
      </c>
      <c r="L12" s="43">
        <f>J12*K12</f>
        <v>145796.35499999998</v>
      </c>
      <c r="O12" s="15">
        <f t="shared" si="0"/>
        <v>3811.5982142857147</v>
      </c>
    </row>
    <row r="13" spans="1:16" ht="13.8" x14ac:dyDescent="0.3">
      <c r="A13" s="13" t="s">
        <v>18</v>
      </c>
      <c r="B13" s="14" t="s">
        <v>19</v>
      </c>
      <c r="C13" s="15">
        <f>'[6]Team Report'!BA28</f>
        <v>201286.59999999998</v>
      </c>
      <c r="E13" s="20">
        <f>((C13/9)*12)*1.17</f>
        <v>314007.09599999996</v>
      </c>
      <c r="F13" s="21">
        <f>(E13/$E$29)*$F$29+63927</f>
        <v>119999.69571428571</v>
      </c>
      <c r="I13" s="7"/>
      <c r="J13" s="17"/>
      <c r="K13" s="17"/>
      <c r="L13" s="43"/>
      <c r="O13" s="15">
        <f t="shared" si="0"/>
        <v>23999.939142857143</v>
      </c>
    </row>
    <row r="14" spans="1:16" ht="14.4" thickBot="1" x14ac:dyDescent="0.35">
      <c r="A14" s="13" t="s">
        <v>21</v>
      </c>
      <c r="B14" s="14" t="s">
        <v>22</v>
      </c>
      <c r="C14" s="15">
        <f>'[6]Team Report'!BA32-C39</f>
        <v>-6.0000000055879354E-2</v>
      </c>
      <c r="E14" s="20">
        <f>((C14/9)*12)*1.3</f>
        <v>-0.10400000009685754</v>
      </c>
      <c r="F14" s="21">
        <f>(E14/$E$29)*$F$29+480000</f>
        <v>479999.98142857139</v>
      </c>
      <c r="I14" s="22" t="s">
        <v>20</v>
      </c>
      <c r="J14" s="47"/>
      <c r="K14" s="47"/>
      <c r="L14" s="48">
        <f>SUM(L9:L12)</f>
        <v>633956.35499999998</v>
      </c>
      <c r="N14" s="25"/>
      <c r="O14" s="15">
        <f t="shared" si="0"/>
        <v>95999.996285714282</v>
      </c>
    </row>
    <row r="15" spans="1:16" ht="13.8" x14ac:dyDescent="0.3">
      <c r="A15" s="13" t="s">
        <v>23</v>
      </c>
      <c r="B15" s="14" t="s">
        <v>24</v>
      </c>
      <c r="C15" s="15">
        <f>'[6]Team Report'!BA33</f>
        <v>21945.55</v>
      </c>
      <c r="E15" s="20">
        <f>((C15/9)*12)*1.25</f>
        <v>36575.916666666664</v>
      </c>
      <c r="F15" s="21">
        <f t="shared" si="1"/>
        <v>6531.4136904761908</v>
      </c>
      <c r="I15" s="8"/>
      <c r="J15" s="17"/>
      <c r="K15" s="17"/>
      <c r="L15" s="17"/>
      <c r="O15" s="15">
        <f t="shared" si="0"/>
        <v>1306.2827380952381</v>
      </c>
    </row>
    <row r="16" spans="1:16" ht="13.8" x14ac:dyDescent="0.3">
      <c r="A16" s="13" t="s">
        <v>25</v>
      </c>
      <c r="B16" s="14" t="s">
        <v>26</v>
      </c>
      <c r="C16" s="15">
        <f>'[6]Team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'[6]Team Report'!BA35</f>
        <v>0</v>
      </c>
      <c r="E17" s="20">
        <f>((C17/9)*12)*1.3</f>
        <v>0</v>
      </c>
      <c r="F17" s="21">
        <f t="shared" si="1"/>
        <v>0</v>
      </c>
      <c r="I17" s="8" t="s">
        <v>27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31</v>
      </c>
      <c r="B18" s="14" t="s">
        <v>32</v>
      </c>
      <c r="C18" s="15">
        <f>'[6]Team Report'!BA36</f>
        <v>837.87000000000012</v>
      </c>
      <c r="E18" s="20">
        <f>((C18/9)*12)*1.25</f>
        <v>1396.45</v>
      </c>
      <c r="F18" s="21">
        <f t="shared" si="1"/>
        <v>249.36607142857144</v>
      </c>
      <c r="I18" t="s">
        <v>93</v>
      </c>
      <c r="J18" s="25">
        <v>48000</v>
      </c>
      <c r="K18" s="17">
        <v>1</v>
      </c>
      <c r="L18" s="17">
        <f t="shared" si="2"/>
        <v>48000</v>
      </c>
      <c r="O18" s="15">
        <f t="shared" si="0"/>
        <v>49.87321428571429</v>
      </c>
    </row>
    <row r="19" spans="1:15" ht="13.8" x14ac:dyDescent="0.3">
      <c r="A19" s="13" t="s">
        <v>34</v>
      </c>
      <c r="B19" s="14" t="s">
        <v>35</v>
      </c>
      <c r="C19" s="15">
        <f>'[6]Team Report'!BA37</f>
        <v>24222.35</v>
      </c>
      <c r="E19" s="20">
        <f>((C19/9)*12)*1.3</f>
        <v>41985.406666666669</v>
      </c>
      <c r="F19" s="21">
        <f>(E19/$E$29)*$F$29+60000</f>
        <v>67497.394047619047</v>
      </c>
      <c r="I19" t="s">
        <v>33</v>
      </c>
      <c r="J19" s="25">
        <v>49200</v>
      </c>
      <c r="K19" s="17">
        <v>0</v>
      </c>
      <c r="L19" s="17">
        <f t="shared" si="2"/>
        <v>0</v>
      </c>
      <c r="O19" s="15">
        <f t="shared" si="0"/>
        <v>13499.478809523809</v>
      </c>
    </row>
    <row r="20" spans="1:15" ht="13.8" x14ac:dyDescent="0.3">
      <c r="A20" s="13" t="s">
        <v>37</v>
      </c>
      <c r="B20" s="14" t="s">
        <v>38</v>
      </c>
      <c r="C20" s="15">
        <f>'[6]Team Report'!BA38</f>
        <v>8.15</v>
      </c>
      <c r="E20" s="20">
        <f>((C20/9)*12)*1.25</f>
        <v>13.583333333333334</v>
      </c>
      <c r="F20" s="21">
        <f t="shared" si="1"/>
        <v>2.4255952380952381</v>
      </c>
      <c r="I20" t="s">
        <v>94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ht="13.8" x14ac:dyDescent="0.3">
      <c r="A21" s="13" t="s">
        <v>40</v>
      </c>
      <c r="B21" s="14" t="s">
        <v>41</v>
      </c>
      <c r="C21" s="15">
        <f>'[6]Team Report'!BA42</f>
        <v>196834.1</v>
      </c>
      <c r="E21" s="20">
        <f>((C21/9)*12)*1.2</f>
        <v>314934.56</v>
      </c>
      <c r="F21" s="21">
        <f t="shared" si="1"/>
        <v>56238.314285714288</v>
      </c>
      <c r="I21" t="s">
        <v>45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ht="13.8" x14ac:dyDescent="0.3">
      <c r="A22" s="13" t="s">
        <v>43</v>
      </c>
      <c r="B22" s="14" t="s">
        <v>44</v>
      </c>
      <c r="C22" s="15">
        <f>'[6]Team Report'!BA44</f>
        <v>474.19</v>
      </c>
      <c r="E22" s="20">
        <f>((C22/9)*12)*1.3</f>
        <v>821.92933333333337</v>
      </c>
      <c r="F22" s="21">
        <f t="shared" si="1"/>
        <v>146.77309523809524</v>
      </c>
      <c r="I22" t="s">
        <v>36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29.354619047619046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1755883.24</v>
      </c>
      <c r="E23" s="28">
        <f>SUM(E8:E22)</f>
        <v>2478112.441333334</v>
      </c>
      <c r="F23" s="28">
        <f>SUM(F8:F22)</f>
        <v>1237883.355</v>
      </c>
      <c r="I23" t="s">
        <v>95</v>
      </c>
      <c r="J23" s="25">
        <v>74400</v>
      </c>
      <c r="K23" s="17">
        <v>2</v>
      </c>
      <c r="L23" s="17">
        <f t="shared" si="2"/>
        <v>148800</v>
      </c>
      <c r="O23" s="58">
        <f>SUM(O8:O22)</f>
        <v>247576.67099999997</v>
      </c>
    </row>
    <row r="24" spans="1:15" x14ac:dyDescent="0.25">
      <c r="I24" t="s">
        <v>96</v>
      </c>
      <c r="J24" s="25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50</v>
      </c>
      <c r="C25" s="15"/>
      <c r="E25" s="31">
        <v>28</v>
      </c>
      <c r="F25" s="31">
        <f>+K29</f>
        <v>5</v>
      </c>
      <c r="I25" t="s">
        <v>97</v>
      </c>
      <c r="J25" s="25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119</v>
      </c>
      <c r="J26" s="25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101</v>
      </c>
      <c r="C27" s="15"/>
      <c r="E27" s="31">
        <v>0</v>
      </c>
      <c r="F27" s="31">
        <v>0</v>
      </c>
      <c r="I27" t="s">
        <v>99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5">
      <c r="I28" t="s">
        <v>100</v>
      </c>
      <c r="J28" s="25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55</v>
      </c>
      <c r="C29" s="15"/>
      <c r="E29" s="31">
        <f>+E27+E25</f>
        <v>28</v>
      </c>
      <c r="F29" s="31">
        <f>+F27+F25</f>
        <v>5</v>
      </c>
      <c r="G29" s="25"/>
      <c r="J29" s="25"/>
      <c r="K29" s="25">
        <f>SUM(K17:K28)</f>
        <v>5</v>
      </c>
      <c r="L29" s="17">
        <f>SUM(L17:L28)</f>
        <v>406800</v>
      </c>
      <c r="O29" s="31">
        <v>1</v>
      </c>
    </row>
    <row r="30" spans="1:15" x14ac:dyDescent="0.25">
      <c r="J30" s="25"/>
      <c r="K30" s="25"/>
      <c r="L30" s="25"/>
    </row>
    <row r="31" spans="1:15" ht="13.8" hidden="1" x14ac:dyDescent="0.3">
      <c r="A31" s="13" t="s">
        <v>71</v>
      </c>
      <c r="B31" s="14" t="s">
        <v>72</v>
      </c>
      <c r="C31" s="15">
        <f>'[6]Team Report'!BA29</f>
        <v>0</v>
      </c>
      <c r="E31" s="15">
        <f t="shared" ref="E31:E38" si="3">(C31/9)*12</f>
        <v>0</v>
      </c>
      <c r="I31" t="s">
        <v>102</v>
      </c>
      <c r="J31" s="25"/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'[6]Team Report'!BA30</f>
        <v>0</v>
      </c>
      <c r="E32" s="15">
        <f t="shared" si="3"/>
        <v>0</v>
      </c>
      <c r="J32" s="25"/>
      <c r="K32" s="25"/>
      <c r="L32" s="25"/>
    </row>
    <row r="33" spans="1:12" ht="13.8" hidden="1" x14ac:dyDescent="0.3">
      <c r="A33" s="13" t="s">
        <v>75</v>
      </c>
      <c r="B33" s="14" t="s">
        <v>76</v>
      </c>
      <c r="C33" s="15">
        <f>'[6]Team Report'!BA31</f>
        <v>0</v>
      </c>
      <c r="E33" s="15">
        <f t="shared" si="3"/>
        <v>0</v>
      </c>
      <c r="J33" s="25"/>
      <c r="K33" s="25"/>
      <c r="L33" s="25">
        <f>L29*1.2</f>
        <v>488160</v>
      </c>
    </row>
    <row r="34" spans="1:12" ht="13.8" hidden="1" x14ac:dyDescent="0.3">
      <c r="A34" s="13" t="s">
        <v>77</v>
      </c>
      <c r="B34" s="14" t="s">
        <v>78</v>
      </c>
      <c r="C34" s="15">
        <f>'[6]Team Report'!BA39</f>
        <v>0</v>
      </c>
      <c r="E34" s="15">
        <f t="shared" si="3"/>
        <v>0</v>
      </c>
      <c r="J34" s="25"/>
      <c r="K34" s="25"/>
      <c r="L34" s="25"/>
    </row>
    <row r="35" spans="1:12" ht="13.8" hidden="1" x14ac:dyDescent="0.3">
      <c r="A35" s="13" t="s">
        <v>79</v>
      </c>
      <c r="B35" s="14" t="s">
        <v>80</v>
      </c>
      <c r="C35" s="15">
        <f>'[6]Team Report'!BA40</f>
        <v>155543.13</v>
      </c>
      <c r="E35" s="15">
        <f t="shared" si="3"/>
        <v>207390.84</v>
      </c>
    </row>
    <row r="36" spans="1:12" ht="13.8" hidden="1" x14ac:dyDescent="0.3">
      <c r="A36" s="13" t="s">
        <v>81</v>
      </c>
      <c r="B36" s="14" t="s">
        <v>82</v>
      </c>
      <c r="C36" s="15">
        <f>'[6]Team Report'!BA41</f>
        <v>132051.71</v>
      </c>
      <c r="E36" s="15">
        <f t="shared" si="3"/>
        <v>176068.94666666666</v>
      </c>
    </row>
    <row r="37" spans="1:12" ht="13.8" hidden="1" x14ac:dyDescent="0.3">
      <c r="A37" s="13" t="s">
        <v>83</v>
      </c>
      <c r="B37" s="14" t="s">
        <v>84</v>
      </c>
      <c r="C37" s="15">
        <f>'[6]Team Report'!BA43</f>
        <v>-1900070.7900000003</v>
      </c>
      <c r="E37" s="15">
        <f t="shared" si="3"/>
        <v>-2533427.7200000002</v>
      </c>
      <c r="G37" s="33" t="s">
        <v>56</v>
      </c>
      <c r="I37" s="25"/>
      <c r="J37" s="25"/>
      <c r="K37" s="25"/>
    </row>
    <row r="38" spans="1:12" ht="13.8" hidden="1" x14ac:dyDescent="0.3">
      <c r="A38" s="13" t="s">
        <v>85</v>
      </c>
      <c r="B38" s="14" t="s">
        <v>86</v>
      </c>
      <c r="C38" s="15">
        <f>'[6]Team Report'!BA45</f>
        <v>0</v>
      </c>
      <c r="E38" s="15">
        <f t="shared" si="3"/>
        <v>0</v>
      </c>
      <c r="I38" s="25"/>
      <c r="J38" s="25"/>
      <c r="K38" s="25"/>
    </row>
    <row r="39" spans="1:12" ht="13.8" hidden="1" x14ac:dyDescent="0.3">
      <c r="B39" s="14" t="s">
        <v>22</v>
      </c>
      <c r="C39" s="15">
        <v>1140923</v>
      </c>
      <c r="E39" s="15"/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t="13.8" hidden="1" x14ac:dyDescent="0.3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5</v>
      </c>
      <c r="L40" s="37">
        <f>+J40*K40</f>
        <v>145796.35499999998</v>
      </c>
    </row>
    <row r="41" spans="1:12" hidden="1" x14ac:dyDescent="0.25">
      <c r="C41" s="54">
        <f>C23+C31+C32+C33+C34+C35+C36+C37+C38</f>
        <v>143407.2899999998</v>
      </c>
    </row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R38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17" width="12.6640625" hidden="1" customWidth="1"/>
    <col min="18" max="52" width="0" hidden="1" customWidth="1"/>
  </cols>
  <sheetData>
    <row r="1" spans="1:44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188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591580</v>
      </c>
      <c r="I8" s="42" t="s">
        <v>10</v>
      </c>
      <c r="J8" s="17">
        <v>0</v>
      </c>
      <c r="K8" s="17"/>
      <c r="L8" s="43">
        <f>L30</f>
        <v>1645776</v>
      </c>
      <c r="Q8" s="15">
        <f>+H8/$H$29*$Q$29</f>
        <v>42255.714285714283</v>
      </c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779900</v>
      </c>
      <c r="I10" s="42"/>
      <c r="J10" s="17"/>
      <c r="K10" s="17"/>
      <c r="L10" s="43"/>
      <c r="Q10" s="15">
        <f t="shared" si="1"/>
        <v>55707.142857142855</v>
      </c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274296</v>
      </c>
      <c r="I11" s="42" t="s">
        <v>15</v>
      </c>
      <c r="J11" s="17">
        <f>(E12+E13+E14+E15+E16+E17+E18+E19+E20+E21+E22)/E29</f>
        <v>48270.181250000009</v>
      </c>
      <c r="K11" s="17">
        <f>K28</f>
        <v>14</v>
      </c>
      <c r="L11" s="43">
        <f>J11*K11</f>
        <v>675782.53750000009</v>
      </c>
      <c r="Q11" s="15">
        <f t="shared" si="1"/>
        <v>19592.571428571428</v>
      </c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86274.632499999963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(E13/$E$29)*$K$11-66789</f>
        <v>10000.396833333347</v>
      </c>
      <c r="I13" s="46" t="s">
        <v>20</v>
      </c>
      <c r="J13" s="47"/>
      <c r="K13" s="47"/>
      <c r="L13" s="48">
        <f>L8+L11</f>
        <v>2321558.5375000001</v>
      </c>
      <c r="N13" s="25">
        <v>24109311.029375006</v>
      </c>
      <c r="P13" s="49">
        <f>N13-L13</f>
        <v>21787752.491875004</v>
      </c>
      <c r="Q13" s="15">
        <f t="shared" si="1"/>
        <v>714.31405952381044</v>
      </c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(E14/$E$29)*$K$11+180000+250000+6600+9000+30000</f>
        <v>475600.02799999999</v>
      </c>
      <c r="Q14" s="15">
        <f t="shared" si="1"/>
        <v>33971.430571428573</v>
      </c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12199.016666666665</v>
      </c>
      <c r="Q15" s="15">
        <f t="shared" si="1"/>
        <v>871.35833333333323</v>
      </c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688.33333333333326</v>
      </c>
      <c r="I17" s="25" t="s">
        <v>30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12501.407333333334</v>
      </c>
      <c r="I18" s="25" t="s">
        <v>33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12741.204</v>
      </c>
      <c r="I19" s="25" t="s">
        <v>36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1.8666666666666667</v>
      </c>
      <c r="I20" s="25" t="s">
        <v>39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15842.039499999986</v>
      </c>
      <c r="I21" s="25" t="s">
        <v>42</v>
      </c>
      <c r="J21" s="25">
        <v>60500</v>
      </c>
      <c r="K21" s="25">
        <v>7</v>
      </c>
      <c r="L21" s="25">
        <f t="shared" si="3"/>
        <v>423500</v>
      </c>
      <c r="Q21" s="15">
        <f t="shared" si="1"/>
        <v>1131.574249999999</v>
      </c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131069.61266666692</v>
      </c>
      <c r="I22" s="25" t="s">
        <v>45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9362.1151904762082</v>
      </c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2402694.5375000006</v>
      </c>
      <c r="I23" s="25" t="s">
        <v>48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171621.03839285715</v>
      </c>
    </row>
    <row r="24" spans="1:17" x14ac:dyDescent="0.25">
      <c r="I24" s="25" t="s">
        <v>49</v>
      </c>
      <c r="J24" s="25">
        <v>143000</v>
      </c>
      <c r="K24" s="25">
        <v>1</v>
      </c>
      <c r="L24" s="25">
        <f t="shared" si="3"/>
        <v>143000</v>
      </c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11</v>
      </c>
      <c r="I27" s="25" t="s">
        <v>54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14</v>
      </c>
      <c r="L28" s="25">
        <f>SUM(L16:L27)*1.2</f>
        <v>1371480</v>
      </c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14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1645776</v>
      </c>
    </row>
    <row r="31" spans="1:17" hidden="1" x14ac:dyDescent="0.25">
      <c r="H31" s="33" t="s">
        <v>56</v>
      </c>
      <c r="L31"/>
    </row>
    <row r="32" spans="1:17" ht="13.8" hidden="1" x14ac:dyDescent="0.3">
      <c r="B32" s="14" t="s">
        <v>22</v>
      </c>
      <c r="C32" s="15">
        <v>254512</v>
      </c>
      <c r="L32"/>
    </row>
    <row r="33" spans="8:12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14</v>
      </c>
      <c r="L34" s="37">
        <f>+J34*K34</f>
        <v>675782.53750000009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AS34"/>
  <sheetViews>
    <sheetView topLeftCell="A6"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2" width="0" hidden="1" customWidth="1"/>
  </cols>
  <sheetData>
    <row r="1" spans="1:45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34" t="s">
        <v>192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N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N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ht="13.8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1000000</v>
      </c>
      <c r="H14" s="16">
        <f t="shared" si="0"/>
        <v>2.9853903459396468E-8</v>
      </c>
      <c r="N14" s="15">
        <f t="shared" si="1"/>
        <v>142857.14285714287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f>'[17]Ercot Trading'!K16+'[17]Ercot Origination'!K16+'[17]Southeast Trading'!K16+'[17]Southeast Origination'!K16+'[17]Midwest Trading'!K16+'[17]Midwest Origination'!K16+'[17]Northeast Trading'!K16+'[17]Northeast Origination'!K16+'[17]Management Book'!K16+[17]Structuring_Fund!K16+[17]Services!K16+[17]Options!K16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30</v>
      </c>
      <c r="K17" s="25">
        <v>52800</v>
      </c>
      <c r="L17">
        <f>'[17]Ercot Trading'!K17+'[17]Ercot Origination'!K17+'[17]Southeast Trading'!K17+'[17]Southeast Origination'!K17+'[17]Midwest Trading'!K17+'[17]Midwest Origination'!K17+'[17]Northeast Trading'!K17+'[17]Northeast Origination'!K17+'[17]Management Book'!K17+[17]Structuring_Fund!K17+[17]Services!K17+[17]Options!K17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33</v>
      </c>
      <c r="K18" s="25">
        <v>54000</v>
      </c>
      <c r="L18">
        <f>'[17]Ercot Trading'!K18+'[17]Ercot Origination'!K18+'[17]Southeast Trading'!K18+'[17]Southeast Origination'!K18+'[17]Midwest Trading'!K18+'[17]Midwest Origination'!K18+'[17]Northeast Trading'!K18+'[17]Northeast Origination'!K18+'[17]Management Book'!K18+[17]Structuring_Fund!K18+[17]Services!K18+[17]Options!K18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36</v>
      </c>
      <c r="K19" s="25">
        <v>63000</v>
      </c>
      <c r="L19">
        <f>'[17]Ercot Trading'!K19+'[17]Ercot Origination'!K19+'[17]Southeast Trading'!K19+'[17]Southeast Origination'!K19+'[17]Midwest Trading'!K19+'[17]Midwest Origination'!K19+'[17]Northeast Trading'!K19+'[17]Northeast Origination'!K19+'[17]Management Book'!K19+[17]Structuring_Fund!K19+[17]Services!K19+[17]Options!K19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42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45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2032453.2431205676</v>
      </c>
      <c r="H23" s="30">
        <f>SUM(H8:H22)</f>
        <v>1</v>
      </c>
      <c r="J23" t="s">
        <v>48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290350.46330293821</v>
      </c>
    </row>
    <row r="24" spans="1:14" x14ac:dyDescent="0.25">
      <c r="J24" t="s">
        <v>49</v>
      </c>
      <c r="K24" s="25">
        <v>156000</v>
      </c>
      <c r="L24">
        <f>1-1</f>
        <v>0</v>
      </c>
      <c r="M24" s="25">
        <f t="shared" si="4"/>
        <v>0</v>
      </c>
    </row>
    <row r="25" spans="1:14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3</v>
      </c>
      <c r="J25" t="s">
        <v>51</v>
      </c>
      <c r="K25" s="25">
        <v>180000</v>
      </c>
      <c r="L25">
        <f>'[17]Ercot Trading'!K25+'[17]Ercot Origination'!K25+'[17]Southeast Trading'!K25+'[17]Southeast Origination'!K25+'[17]Midwest Trading'!K25+'[17]Midwest Origination'!K25+'[17]Northeast Trading'!K25+'[17]Northeast Origination'!K25+'[17]Management Book'!K25+[17]Structuring_Fund!K25+[17]Services!K25+[17]Options!K25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52</v>
      </c>
      <c r="K26" s="25">
        <v>216000</v>
      </c>
      <c r="L26">
        <f>'[17]Ercot Trading'!K26+'[17]Ercot Origination'!K26+'[17]Southeast Trading'!K26+'[17]Southeast Origination'!K26+'[17]Midwest Trading'!K26+'[17]Midwest Origination'!K26+'[17]Northeast Trading'!K26+'[17]Northeast Origination'!K26+'[17]Management Book'!K26+[17]Structuring_Fund!K26+[17]Services!K26+[17]Options!K26</f>
        <v>0</v>
      </c>
      <c r="M26" s="25">
        <f t="shared" si="4"/>
        <v>0</v>
      </c>
      <c r="N26" s="15"/>
    </row>
    <row r="27" spans="1:14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4</v>
      </c>
      <c r="J27" t="s">
        <v>54</v>
      </c>
      <c r="K27" s="25">
        <v>240000</v>
      </c>
      <c r="L27">
        <f>'[17]Ercot Trading'!K27+'[17]Ercot Origination'!K27+'[17]Southeast Trading'!K27+'[17]Southeast Origination'!K27+'[17]Midwest Trading'!K27+'[17]Midwest Origination'!K27+'[17]Northeast Trading'!K27+'[17]Northeast Origination'!K27+'[17]Management Book'!K27+[17]Structuring_Fund!K27+[17]Services!K27+[17]Options!K27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7</v>
      </c>
      <c r="M28" s="25">
        <f>SUM(M16:M27)</f>
        <v>675600</v>
      </c>
    </row>
    <row r="29" spans="1:14" ht="13.8" x14ac:dyDescent="0.3">
      <c r="B29" s="27" t="s">
        <v>55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5">
      <c r="I31" s="33" t="s">
        <v>56</v>
      </c>
      <c r="J31" s="25"/>
      <c r="K31" s="25"/>
      <c r="L31" s="25"/>
    </row>
    <row r="32" spans="1:14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AU34"/>
  <sheetViews>
    <sheetView zoomScaleNormal="100" workbookViewId="0">
      <selection activeCell="D64" sqref="D64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55" width="0" hidden="1" customWidth="1"/>
  </cols>
  <sheetData>
    <row r="1" spans="1:47" ht="18" x14ac:dyDescent="0.35">
      <c r="B1" s="134" t="str">
        <f>'[16]Team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34" t="s">
        <v>190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v>495000</v>
      </c>
      <c r="H8" s="15"/>
      <c r="I8" s="16">
        <f t="shared" ref="I8:I22" si="0">+G8/$G$23</f>
        <v>0.471726905556827</v>
      </c>
      <c r="K8" s="7" t="s">
        <v>10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70714.28571428571</v>
      </c>
    </row>
    <row r="9" spans="1:47" ht="13.8" hidden="1" x14ac:dyDescent="0.3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v>132000</v>
      </c>
      <c r="H10" s="15"/>
      <c r="I10" s="16">
        <f t="shared" si="0"/>
        <v>0.12579384148182052</v>
      </c>
      <c r="K10" s="7"/>
      <c r="L10" s="8"/>
      <c r="M10" s="8"/>
      <c r="N10" s="9"/>
      <c r="O10" s="15">
        <f t="shared" si="1"/>
        <v>18857.142857142859</v>
      </c>
    </row>
    <row r="11" spans="1:47" ht="13.8" x14ac:dyDescent="0.3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v>125400</v>
      </c>
      <c r="H11" s="15"/>
      <c r="I11" s="16">
        <f t="shared" si="0"/>
        <v>0.11950414940772951</v>
      </c>
      <c r="K11" s="7" t="s">
        <v>15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17914.285714285714</v>
      </c>
    </row>
    <row r="12" spans="1:47" ht="13.8" x14ac:dyDescent="0.3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21">
        <v>30000</v>
      </c>
      <c r="H12" s="15"/>
      <c r="I12" s="16">
        <f t="shared" si="0"/>
        <v>2.8589509427686483E-2</v>
      </c>
      <c r="K12" s="7"/>
      <c r="L12" s="8"/>
      <c r="M12" s="8"/>
      <c r="N12" s="9"/>
      <c r="O12" s="15">
        <f t="shared" si="1"/>
        <v>4285.7142857142853</v>
      </c>
    </row>
    <row r="13" spans="1:47" ht="14.4" thickBot="1" x14ac:dyDescent="0.3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21">
        <v>30000</v>
      </c>
      <c r="H13" s="15"/>
      <c r="I13" s="16">
        <f t="shared" si="0"/>
        <v>2.8589509427686483E-2</v>
      </c>
      <c r="K13" s="22" t="s">
        <v>20</v>
      </c>
      <c r="L13" s="23"/>
      <c r="M13" s="23"/>
      <c r="N13" s="24">
        <f>N8+N11</f>
        <v>958403.13168539316</v>
      </c>
      <c r="O13" s="15">
        <f t="shared" si="1"/>
        <v>4285.7142857142853</v>
      </c>
    </row>
    <row r="14" spans="1:47" ht="13.8" x14ac:dyDescent="0.3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21">
        <v>80000</v>
      </c>
      <c r="H14" s="15"/>
      <c r="I14" s="16">
        <f t="shared" si="0"/>
        <v>7.6238691807163958E-2</v>
      </c>
      <c r="O14" s="15">
        <f t="shared" si="1"/>
        <v>11428.571428571429</v>
      </c>
    </row>
    <row r="15" spans="1:47" ht="13.8" x14ac:dyDescent="0.3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21">
        <v>20160</v>
      </c>
      <c r="H15" s="15"/>
      <c r="I15" s="16">
        <f t="shared" si="0"/>
        <v>1.9212150335405319E-2</v>
      </c>
      <c r="O15" s="15">
        <f t="shared" si="1"/>
        <v>2880</v>
      </c>
    </row>
    <row r="16" spans="1:47" ht="13.8" x14ac:dyDescent="0.3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21"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21">
        <v>6300</v>
      </c>
      <c r="H18" s="15"/>
      <c r="I18" s="16">
        <f t="shared" si="0"/>
        <v>6.0037969798141617E-3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5" ht="13.8" x14ac:dyDescent="0.3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21">
        <v>49612.001617977527</v>
      </c>
      <c r="H19" s="15"/>
      <c r="I19" s="16">
        <f t="shared" si="0"/>
        <v>4.7279426266118856E-2</v>
      </c>
      <c r="K19" t="s">
        <v>36</v>
      </c>
      <c r="L19" s="25">
        <v>63000</v>
      </c>
      <c r="M19">
        <v>1</v>
      </c>
      <c r="N19" s="25">
        <f t="shared" si="3"/>
        <v>63000</v>
      </c>
      <c r="O19" s="15">
        <f t="shared" si="1"/>
        <v>7087.4288025682181</v>
      </c>
    </row>
    <row r="20" spans="1:15" ht="13.8" x14ac:dyDescent="0.3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2</v>
      </c>
      <c r="N20" s="25">
        <f t="shared" si="3"/>
        <v>156000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21">
        <v>71336.44062921351</v>
      </c>
      <c r="H21" s="15"/>
      <c r="I21" s="16">
        <f t="shared" si="0"/>
        <v>6.7982461396883229E-2</v>
      </c>
      <c r="K21" t="s">
        <v>42</v>
      </c>
      <c r="L21" s="25">
        <v>66000</v>
      </c>
      <c r="M21">
        <v>1</v>
      </c>
      <c r="N21" s="25">
        <f t="shared" si="3"/>
        <v>66000</v>
      </c>
      <c r="O21" s="15">
        <f t="shared" si="1"/>
        <v>10190.920089887644</v>
      </c>
    </row>
    <row r="22" spans="1:15" ht="13.8" x14ac:dyDescent="0.3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21">
        <v>9527.5065168539295</v>
      </c>
      <c r="H22" s="15"/>
      <c r="I22" s="16">
        <f t="shared" si="0"/>
        <v>9.0795579128646609E-3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1361.0723595505613</v>
      </c>
    </row>
    <row r="23" spans="1:15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v>1049335.9487640448</v>
      </c>
      <c r="H23" s="29"/>
      <c r="I23" s="30">
        <f>SUM(I8:I22)</f>
        <v>1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149905.13553772069</v>
      </c>
    </row>
    <row r="24" spans="1:15" x14ac:dyDescent="0.25">
      <c r="K24" t="s">
        <v>49</v>
      </c>
      <c r="L24" s="25">
        <v>156000</v>
      </c>
      <c r="M24">
        <v>1</v>
      </c>
      <c r="N24" s="25">
        <f t="shared" si="3"/>
        <v>156000</v>
      </c>
    </row>
    <row r="25" spans="1:15" ht="13.8" x14ac:dyDescent="0.3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v>5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ht="13.8" x14ac:dyDescent="0.3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v>2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5">
      <c r="M28">
        <f>SUM(M16:M27)</f>
        <v>6</v>
      </c>
      <c r="N28" s="25">
        <f>SUM(N16:N27)*1.2</f>
        <v>673200</v>
      </c>
    </row>
    <row r="29" spans="1:15" ht="13.8" x14ac:dyDescent="0.3">
      <c r="B29" s="27" t="s">
        <v>55</v>
      </c>
      <c r="C29" s="15"/>
      <c r="E29" s="31">
        <f>+E27+E25</f>
        <v>89</v>
      </c>
      <c r="F29" s="32"/>
      <c r="G29" s="31">
        <v>7</v>
      </c>
      <c r="H29" s="32"/>
      <c r="I29" s="25"/>
      <c r="O29" s="31">
        <f>+O27+O25</f>
        <v>1</v>
      </c>
    </row>
    <row r="31" spans="1:15" x14ac:dyDescent="0.25">
      <c r="J31" s="33" t="s">
        <v>56</v>
      </c>
      <c r="K31" s="25"/>
      <c r="L31" s="25"/>
      <c r="M31" s="25"/>
    </row>
    <row r="32" spans="1:15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AU34"/>
  <sheetViews>
    <sheetView zoomScaleNormal="100" workbookViewId="0">
      <selection activeCell="G27" sqref="G27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47" width="0" hidden="1" customWidth="1"/>
  </cols>
  <sheetData>
    <row r="1" spans="1:47" ht="18" x14ac:dyDescent="0.35">
      <c r="B1" s="134" t="str">
        <f>'[16]Team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34" t="s">
        <v>191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v>120000</v>
      </c>
      <c r="H8" s="15"/>
      <c r="I8" s="16">
        <f t="shared" ref="I8:I22" si="0">+G8/$G$23</f>
        <v>0.37067954621506577</v>
      </c>
      <c r="K8" s="7" t="s">
        <v>10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60000</v>
      </c>
    </row>
    <row r="9" spans="1:47" ht="13.8" hidden="1" x14ac:dyDescent="0.3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v>97200</v>
      </c>
      <c r="H10" s="15"/>
      <c r="I10" s="16">
        <f t="shared" si="0"/>
        <v>0.30025043243420324</v>
      </c>
      <c r="K10" s="7"/>
      <c r="L10" s="8"/>
      <c r="M10" s="8"/>
      <c r="N10" s="9"/>
      <c r="O10" s="15">
        <f t="shared" si="1"/>
        <v>48600</v>
      </c>
    </row>
    <row r="11" spans="1:47" ht="13.8" x14ac:dyDescent="0.3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v>43440</v>
      </c>
      <c r="H11" s="15"/>
      <c r="I11" s="16">
        <f t="shared" si="0"/>
        <v>0.13418599572985379</v>
      </c>
      <c r="K11" s="7" t="s">
        <v>15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21720</v>
      </c>
    </row>
    <row r="12" spans="1:47" ht="13.8" x14ac:dyDescent="0.3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21">
        <v>14400</v>
      </c>
      <c r="H12" s="15"/>
      <c r="I12" s="16">
        <f t="shared" si="0"/>
        <v>4.4481545545807889E-2</v>
      </c>
      <c r="K12" s="7"/>
      <c r="L12" s="8"/>
      <c r="M12" s="8"/>
      <c r="N12" s="9"/>
      <c r="O12" s="15">
        <f t="shared" si="1"/>
        <v>7200</v>
      </c>
    </row>
    <row r="13" spans="1:47" ht="14.4" thickBot="1" x14ac:dyDescent="0.3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21">
        <v>27800</v>
      </c>
      <c r="H13" s="15"/>
      <c r="I13" s="16">
        <f t="shared" si="0"/>
        <v>8.5874094873156892E-2</v>
      </c>
      <c r="K13" s="22" t="s">
        <v>20</v>
      </c>
      <c r="L13" s="23"/>
      <c r="M13" s="23"/>
      <c r="N13" s="24">
        <f>N8+N11</f>
        <v>482441.56584269658</v>
      </c>
      <c r="O13" s="15">
        <f t="shared" si="1"/>
        <v>13900</v>
      </c>
    </row>
    <row r="14" spans="1:47" ht="13.8" x14ac:dyDescent="0.3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21">
        <v>8.6292134744397689E-3</v>
      </c>
      <c r="H14" s="15"/>
      <c r="I14" s="16">
        <f t="shared" si="0"/>
        <v>2.6655607790818869E-8</v>
      </c>
      <c r="O14" s="15">
        <f t="shared" si="1"/>
        <v>4.3146067372198844E-3</v>
      </c>
    </row>
    <row r="15" spans="1:47" ht="13.8" x14ac:dyDescent="0.3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21">
        <v>5760</v>
      </c>
      <c r="H15" s="15"/>
      <c r="I15" s="16">
        <f t="shared" si="0"/>
        <v>1.7792618218323154E-2</v>
      </c>
      <c r="O15" s="15">
        <f t="shared" si="1"/>
        <v>2880</v>
      </c>
    </row>
    <row r="16" spans="1:47" ht="13.8" x14ac:dyDescent="0.3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21"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21">
        <v>1800</v>
      </c>
      <c r="H18" s="15"/>
      <c r="I18" s="16">
        <f t="shared" si="0"/>
        <v>5.5601931932259862E-3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5" ht="13.8" x14ac:dyDescent="0.3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21">
        <v>5603.4290337078646</v>
      </c>
      <c r="H19" s="15"/>
      <c r="I19" s="16">
        <f t="shared" si="0"/>
        <v>1.7308971095526298E-2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2801.7145168539323</v>
      </c>
    </row>
    <row r="20" spans="1:15" ht="13.8" x14ac:dyDescent="0.3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21">
        <v>4.1761797752808993</v>
      </c>
      <c r="H20" s="15"/>
      <c r="I20" s="16">
        <f t="shared" si="0"/>
        <v>1.2900203533447158E-5</v>
      </c>
      <c r="K20" t="s">
        <v>39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2.0880898876404497</v>
      </c>
    </row>
    <row r="21" spans="1:15" ht="13.8" x14ac:dyDescent="0.3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21">
        <v>5000</v>
      </c>
      <c r="H21" s="15"/>
      <c r="I21" s="16">
        <f t="shared" si="0"/>
        <v>1.5444981092294406E-2</v>
      </c>
      <c r="K21" t="s">
        <v>42</v>
      </c>
      <c r="L21" s="25">
        <v>66000</v>
      </c>
      <c r="M21">
        <v>1</v>
      </c>
      <c r="N21" s="25">
        <f t="shared" si="3"/>
        <v>66000</v>
      </c>
      <c r="O21" s="15">
        <f t="shared" si="1"/>
        <v>2500</v>
      </c>
    </row>
    <row r="22" spans="1:15" ht="13.8" x14ac:dyDescent="0.3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21">
        <v>2722.1447191011225</v>
      </c>
      <c r="H22" s="15"/>
      <c r="I22" s="16">
        <f t="shared" si="0"/>
        <v>8.4086947434011804E-3</v>
      </c>
      <c r="K22" t="s">
        <v>45</v>
      </c>
      <c r="L22" s="25">
        <v>97200</v>
      </c>
      <c r="M22">
        <v>1</v>
      </c>
      <c r="N22" s="25">
        <f t="shared" si="3"/>
        <v>97200</v>
      </c>
      <c r="O22" s="15">
        <f t="shared" si="1"/>
        <v>1361.0723595505613</v>
      </c>
    </row>
    <row r="23" spans="1:15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v>323729.75856179779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161864.87928089889</v>
      </c>
    </row>
    <row r="24" spans="1:15" x14ac:dyDescent="0.25">
      <c r="K24" t="s">
        <v>49</v>
      </c>
      <c r="L24" s="25">
        <v>156000</v>
      </c>
      <c r="M24">
        <f>1-1</f>
        <v>0</v>
      </c>
      <c r="N24" s="25">
        <f t="shared" si="3"/>
        <v>0</v>
      </c>
    </row>
    <row r="25" spans="1:15" ht="13.8" x14ac:dyDescent="0.3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v>1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ht="13.8" x14ac:dyDescent="0.3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v>1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5">
      <c r="M28">
        <f>SUM(M16:M27)</f>
        <v>3</v>
      </c>
      <c r="N28" s="25">
        <f>SUM(N16:N27)*1.2</f>
        <v>339840</v>
      </c>
    </row>
    <row r="29" spans="1:15" ht="13.8" x14ac:dyDescent="0.3">
      <c r="B29" s="27" t="s">
        <v>55</v>
      </c>
      <c r="C29" s="15"/>
      <c r="E29" s="31">
        <f>+E27+E25</f>
        <v>89</v>
      </c>
      <c r="F29" s="32"/>
      <c r="G29" s="31">
        <v>2</v>
      </c>
      <c r="H29" s="32"/>
      <c r="I29" s="25"/>
      <c r="O29" s="31">
        <f>+O27+O25</f>
        <v>1</v>
      </c>
    </row>
    <row r="31" spans="1:15" x14ac:dyDescent="0.25">
      <c r="J31" s="33" t="s">
        <v>56</v>
      </c>
      <c r="K31" s="25"/>
      <c r="L31" s="25"/>
      <c r="M31" s="25"/>
    </row>
    <row r="32" spans="1:15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R3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43" width="0" hidden="1" customWidth="1"/>
  </cols>
  <sheetData>
    <row r="1" spans="1:44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189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10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15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20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30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33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36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39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42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45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48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5">
      <c r="I24" s="25" t="s">
        <v>49</v>
      </c>
      <c r="J24" s="25">
        <v>143000</v>
      </c>
      <c r="K24" s="25">
        <v>2</v>
      </c>
      <c r="L24" s="25">
        <f t="shared" si="3"/>
        <v>286000</v>
      </c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3</v>
      </c>
      <c r="L28" s="25">
        <f>SUM(L16:L27)*1.2</f>
        <v>475200</v>
      </c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570240</v>
      </c>
    </row>
    <row r="31" spans="1:17" hidden="1" x14ac:dyDescent="0.25">
      <c r="H31" s="33" t="s">
        <v>56</v>
      </c>
      <c r="L31"/>
    </row>
    <row r="32" spans="1:17" ht="13.8" hidden="1" x14ac:dyDescent="0.3">
      <c r="B32" s="14" t="s">
        <v>22</v>
      </c>
      <c r="C32" s="15">
        <v>254512</v>
      </c>
      <c r="L32"/>
    </row>
    <row r="33" spans="8:12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0" hidden="1" customWidth="1"/>
    <col min="13" max="13" width="14" hidden="1" customWidth="1"/>
    <col min="14" max="14" width="10.88671875" bestFit="1" customWidth="1"/>
  </cols>
  <sheetData>
    <row r="1" spans="1:45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34" t="s">
        <v>193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N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N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ht="13.8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f>'[17]Ercot Trading'!K16+'[17]Ercot Origination'!K16+'[17]Southeast Trading'!K16+'[17]Southeast Origination'!K16+'[17]Midwest Trading'!K16+'[17]Midwest Origination'!K16+'[17]Northeast Trading'!K16+'[17]Northeast Origination'!K16+'[17]Management Book'!K16+[17]Structuring_Fund!K16+[17]Services!K16+[17]Options!K16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30</v>
      </c>
      <c r="K17" s="25">
        <v>52800</v>
      </c>
      <c r="L17">
        <f>'[17]Ercot Trading'!K17+'[17]Ercot Origination'!K17+'[17]Southeast Trading'!K17+'[17]Southeast Origination'!K17+'[17]Midwest Trading'!K17+'[17]Midwest Origination'!K17+'[17]Northeast Trading'!K17+'[17]Northeast Origination'!K17+'[17]Management Book'!K17+[17]Structuring_Fund!K17+[17]Services!K17+[17]Options!K17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33</v>
      </c>
      <c r="K18" s="25">
        <v>54000</v>
      </c>
      <c r="L18">
        <f>'[17]Ercot Trading'!K18+'[17]Ercot Origination'!K18+'[17]Southeast Trading'!K18+'[17]Southeast Origination'!K18+'[17]Midwest Trading'!K18+'[17]Midwest Origination'!K18+'[17]Northeast Trading'!K18+'[17]Northeast Origination'!K18+'[17]Management Book'!K18+[17]Structuring_Fund!K18+[17]Services!K18+[17]Options!K18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36</v>
      </c>
      <c r="K19" s="25">
        <v>63000</v>
      </c>
      <c r="L19">
        <f>'[17]Ercot Trading'!K19+'[17]Ercot Origination'!K19+'[17]Southeast Trading'!K19+'[17]Southeast Origination'!K19+'[17]Midwest Trading'!K19+'[17]Midwest Origination'!K19+'[17]Northeast Trading'!K19+'[17]Northeast Origination'!K19+'[17]Management Book'!K19+[17]Structuring_Fund!K19+[17]Services!K19+[17]Options!K19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39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42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45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48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5">
      <c r="J24" t="s">
        <v>49</v>
      </c>
      <c r="K24" s="25">
        <v>156000</v>
      </c>
      <c r="L24">
        <v>1</v>
      </c>
      <c r="M24" s="25">
        <f t="shared" si="4"/>
        <v>156000</v>
      </c>
    </row>
    <row r="25" spans="1:14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4</v>
      </c>
      <c r="J25" t="s">
        <v>51</v>
      </c>
      <c r="K25" s="25">
        <v>180000</v>
      </c>
      <c r="L25">
        <f>'[17]Ercot Trading'!K25+'[17]Ercot Origination'!K25+'[17]Southeast Trading'!K25+'[17]Southeast Origination'!K25+'[17]Midwest Trading'!K25+'[17]Midwest Origination'!K25+'[17]Northeast Trading'!K25+'[17]Northeast Origination'!K25+'[17]Management Book'!K25+[17]Structuring_Fund!K25+[17]Services!K25+[17]Options!K25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52</v>
      </c>
      <c r="K26" s="25">
        <v>216000</v>
      </c>
      <c r="L26">
        <f>'[17]Ercot Trading'!K26+'[17]Ercot Origination'!K26+'[17]Southeast Trading'!K26+'[17]Southeast Origination'!K26+'[17]Midwest Trading'!K26+'[17]Midwest Origination'!K26+'[17]Northeast Trading'!K26+'[17]Northeast Origination'!K26+'[17]Management Book'!K26+[17]Structuring_Fund!K26+[17]Services!K26+[17]Options!K26</f>
        <v>0</v>
      </c>
      <c r="M26" s="25">
        <f t="shared" si="4"/>
        <v>0</v>
      </c>
      <c r="N26" s="15"/>
    </row>
    <row r="27" spans="1:14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2</v>
      </c>
      <c r="J27" t="s">
        <v>54</v>
      </c>
      <c r="K27" s="25">
        <v>240000</v>
      </c>
      <c r="L27">
        <f>'[17]Ercot Trading'!K27+'[17]Ercot Origination'!K27+'[17]Southeast Trading'!K27+'[17]Southeast Origination'!K27+'[17]Midwest Trading'!K27+'[17]Midwest Origination'!K27+'[17]Northeast Trading'!K27+'[17]Northeast Origination'!K27+'[17]Management Book'!K27+[17]Structuring_Fund!K27+[17]Services!K27+[17]Options!K27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6</v>
      </c>
      <c r="M28" s="25">
        <f>SUM(M16:M27)</f>
        <v>564000</v>
      </c>
    </row>
    <row r="29" spans="1:14" ht="13.8" x14ac:dyDescent="0.3">
      <c r="B29" s="27" t="s">
        <v>55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5">
      <c r="I31" s="33" t="s">
        <v>56</v>
      </c>
      <c r="J31" s="25"/>
      <c r="K31" s="25"/>
      <c r="L31" s="25"/>
    </row>
    <row r="32" spans="1:14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R39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441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6.88671875" hidden="1" customWidth="1"/>
    <col min="15" max="15" width="15.88671875" hidden="1" customWidth="1"/>
    <col min="16" max="16" width="14" hidden="1" customWidth="1"/>
    <col min="17" max="17" width="10.6640625" customWidth="1"/>
  </cols>
  <sheetData>
    <row r="1" spans="1:44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251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L28-H10+17820</f>
        <v>1037520</v>
      </c>
      <c r="I8" s="42" t="s">
        <v>10</v>
      </c>
      <c r="J8" s="17">
        <v>0</v>
      </c>
      <c r="K8" s="17"/>
      <c r="L8" s="43">
        <f>L30</f>
        <v>1223640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L30-L28+3564</f>
        <v>207504</v>
      </c>
      <c r="I11" s="42" t="s">
        <v>15</v>
      </c>
      <c r="J11" s="17">
        <f>(E12+E13+E14+E15+E16+E17+E18+E19+E20+E21+E22)/E29</f>
        <v>48270.181250000009</v>
      </c>
      <c r="K11" s="17">
        <f>K28</f>
        <v>6</v>
      </c>
      <c r="L11" s="43">
        <f>J11*K11</f>
        <v>289621.08750000002</v>
      </c>
      <c r="N11" s="124" t="s">
        <v>261</v>
      </c>
      <c r="O11" s="124" t="s">
        <v>260</v>
      </c>
      <c r="P11" s="124" t="s">
        <v>262</v>
      </c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36974.842499999984</v>
      </c>
      <c r="I12" s="42"/>
      <c r="J12" s="17"/>
      <c r="K12" s="17"/>
      <c r="L12" s="43"/>
      <c r="N12" s="124" t="s">
        <v>263</v>
      </c>
      <c r="O12" s="124" t="s">
        <v>256</v>
      </c>
      <c r="P12" s="124" t="s">
        <v>262</v>
      </c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32909.741500000004</v>
      </c>
      <c r="I13" s="46" t="s">
        <v>20</v>
      </c>
      <c r="J13" s="47"/>
      <c r="K13" s="47"/>
      <c r="L13" s="48">
        <f>L8+L11</f>
        <v>1513261.0874999999</v>
      </c>
      <c r="N13" s="124" t="s">
        <v>264</v>
      </c>
      <c r="O13" s="124" t="s">
        <v>256</v>
      </c>
      <c r="P13" s="124" t="s">
        <v>262</v>
      </c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1.2000000000989528E-2</v>
      </c>
      <c r="N14" s="124" t="s">
        <v>265</v>
      </c>
      <c r="O14" s="124" t="s">
        <v>257</v>
      </c>
      <c r="P14" s="124" t="s">
        <v>262</v>
      </c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5228.1499999999996</v>
      </c>
      <c r="N15" s="124" t="s">
        <v>266</v>
      </c>
      <c r="O15" s="124" t="s">
        <v>258</v>
      </c>
      <c r="P15" s="124" t="s">
        <v>262</v>
      </c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 t="s">
        <v>267</v>
      </c>
      <c r="O16" s="124" t="s">
        <v>258</v>
      </c>
      <c r="P16" s="124" t="s">
        <v>262</v>
      </c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295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 t="s">
        <v>268</v>
      </c>
      <c r="O17" s="125" t="s">
        <v>36</v>
      </c>
      <c r="P17" s="124" t="s">
        <v>262</v>
      </c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5357.746000000001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5460.5159999999996</v>
      </c>
      <c r="I19" s="25" t="s">
        <v>36</v>
      </c>
      <c r="J19" s="25">
        <v>57750</v>
      </c>
      <c r="K19" s="25">
        <v>1</v>
      </c>
      <c r="L19" s="25">
        <f t="shared" si="2"/>
        <v>57750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0.8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6789.4454999999944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1338040.2535000001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2"/>
        <v>396000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6</v>
      </c>
      <c r="L28" s="25">
        <f>SUM(L16:L27)*1.2</f>
        <v>1019700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6</v>
      </c>
      <c r="L29" s="52">
        <v>0.2</v>
      </c>
      <c r="P29" s="8"/>
      <c r="Q29" s="32"/>
    </row>
    <row r="30" spans="1:17" hidden="1" x14ac:dyDescent="0.25">
      <c r="L30" s="25">
        <f>L28*1.2</f>
        <v>1223640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6</v>
      </c>
      <c r="L34" s="37">
        <f>+J34*K34</f>
        <v>289621.08750000002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R39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4" customWidth="1"/>
    <col min="16" max="16" width="10.33203125" customWidth="1"/>
    <col min="17" max="17" width="10.6640625" customWidth="1"/>
  </cols>
  <sheetData>
    <row r="1" spans="1:44" ht="18" x14ac:dyDescent="0.3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34" t="s">
        <v>252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573145</v>
      </c>
      <c r="I8" s="42" t="s">
        <v>10</v>
      </c>
      <c r="J8" s="17">
        <v>0</v>
      </c>
      <c r="K8" s="17"/>
      <c r="L8" s="43">
        <f>L30</f>
        <v>839520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91502</v>
      </c>
      <c r="I11" s="42" t="s">
        <v>15</v>
      </c>
      <c r="J11" s="17">
        <f>(E12+E13+E14+E15+E16+E17+E18+E19+E20+E21+E22)/E29</f>
        <v>48270.181250000009</v>
      </c>
      <c r="K11" s="17">
        <f>K28</f>
        <v>4</v>
      </c>
      <c r="L11" s="43">
        <f>J11*K11</f>
        <v>193080.72500000003</v>
      </c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67829</v>
      </c>
      <c r="I12" s="42"/>
      <c r="J12" s="17"/>
      <c r="K12" s="17"/>
      <c r="L12" s="43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388571</v>
      </c>
      <c r="I13" s="46" t="s">
        <v>20</v>
      </c>
      <c r="J13" s="47"/>
      <c r="K13" s="47"/>
      <c r="L13" s="48">
        <f>L8+L11</f>
        <v>1032600.7250000001</v>
      </c>
      <c r="N13" s="25"/>
      <c r="P13" s="49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40000</v>
      </c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109829</v>
      </c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8571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45714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11429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1336590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1</v>
      </c>
      <c r="L24" s="25">
        <f t="shared" si="1"/>
        <v>143000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1</v>
      </c>
      <c r="L27" s="25">
        <f t="shared" si="1"/>
        <v>220000</v>
      </c>
      <c r="P27" s="8"/>
      <c r="Q27" s="32"/>
    </row>
    <row r="28" spans="1:17" x14ac:dyDescent="0.25">
      <c r="K28" s="25">
        <f>SUM(K16:K27)</f>
        <v>4</v>
      </c>
      <c r="L28" s="25">
        <f>SUM(L16:L27)*1.2</f>
        <v>699600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P29" s="8"/>
      <c r="Q29" s="32"/>
    </row>
    <row r="30" spans="1:17" hidden="1" x14ac:dyDescent="0.25">
      <c r="L30" s="25">
        <f>L28*1.2</f>
        <v>839520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4</v>
      </c>
      <c r="L34" s="37">
        <f>+J34*K34</f>
        <v>193080.72500000003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AO39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0.6640625" customWidth="1"/>
  </cols>
  <sheetData>
    <row r="1" spans="1:41" ht="18" x14ac:dyDescent="0.3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34" t="s">
        <v>272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.600000000000001" thickBot="1" x14ac:dyDescent="0.4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I4" s="39"/>
      <c r="J4" s="40"/>
      <c r="K4" s="40"/>
      <c r="L4" s="41"/>
    </row>
    <row r="5" spans="1:41" x14ac:dyDescent="0.25">
      <c r="I5" s="42"/>
      <c r="J5" s="17" t="s">
        <v>1</v>
      </c>
      <c r="K5" s="17" t="s">
        <v>2</v>
      </c>
      <c r="L5" s="43" t="s">
        <v>3</v>
      </c>
    </row>
    <row r="6" spans="1:41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/>
    </row>
    <row r="7" spans="1:41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/>
    </row>
    <row r="8" spans="1:41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567600</v>
      </c>
      <c r="I8" s="42" t="s">
        <v>10</v>
      </c>
      <c r="J8" s="17">
        <v>0</v>
      </c>
      <c r="K8" s="17"/>
      <c r="L8" s="43">
        <f>L30</f>
        <v>855360</v>
      </c>
      <c r="N8" s="15"/>
    </row>
    <row r="9" spans="1:41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</row>
    <row r="10" spans="1:41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/>
    </row>
    <row r="11" spans="1:41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116920</v>
      </c>
      <c r="I11" s="42" t="s">
        <v>15</v>
      </c>
      <c r="J11" s="17">
        <f>(E12+E13+E14+E15+E16+E17+E18+E19+E20+E21+E22)/E29</f>
        <v>48270.181250000009</v>
      </c>
      <c r="K11" s="17">
        <f>K28</f>
        <v>4</v>
      </c>
      <c r="L11" s="43">
        <f>J11*K11</f>
        <v>193080.72500000003</v>
      </c>
      <c r="N11" s="15"/>
    </row>
    <row r="12" spans="1:41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30000</v>
      </c>
      <c r="I12" s="42"/>
      <c r="J12" s="17"/>
      <c r="K12" s="17"/>
      <c r="L12" s="43"/>
      <c r="N12" s="15"/>
    </row>
    <row r="13" spans="1:41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225000</v>
      </c>
      <c r="I13" s="46" t="s">
        <v>20</v>
      </c>
      <c r="J13" s="47"/>
      <c r="K13" s="47"/>
      <c r="L13" s="48">
        <f>L8+L11</f>
        <v>1048440.7250000001</v>
      </c>
      <c r="N13" s="15"/>
    </row>
    <row r="14" spans="1:41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/>
    </row>
    <row r="15" spans="1:41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20000</v>
      </c>
      <c r="N15" s="15"/>
    </row>
    <row r="16" spans="1:41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/>
    </row>
    <row r="17" spans="1:14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5000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/>
    </row>
    <row r="18" spans="1:14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/>
    </row>
    <row r="19" spans="1:14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20000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/>
    </row>
    <row r="20" spans="1:14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/>
    </row>
    <row r="21" spans="1:14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5652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N21" s="32"/>
    </row>
    <row r="22" spans="1:14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N22" s="32"/>
    </row>
    <row r="23" spans="1:14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990172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N23" s="29"/>
    </row>
    <row r="24" spans="1:14" x14ac:dyDescent="0.25">
      <c r="I24" s="25" t="s">
        <v>49</v>
      </c>
      <c r="J24" s="25">
        <v>143000</v>
      </c>
      <c r="K24" s="25">
        <f>1+1</f>
        <v>2</v>
      </c>
      <c r="L24" s="25">
        <f t="shared" si="1"/>
        <v>286000</v>
      </c>
      <c r="N24" s="8"/>
    </row>
    <row r="25" spans="1:14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N25" s="32"/>
    </row>
    <row r="26" spans="1:14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N26" s="32"/>
    </row>
    <row r="27" spans="1:14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N27" s="32"/>
    </row>
    <row r="28" spans="1:14" x14ac:dyDescent="0.25">
      <c r="K28" s="25">
        <f>SUM(K16:K27)</f>
        <v>4</v>
      </c>
      <c r="L28" s="25">
        <f>SUM(L16:L27)*1.2</f>
        <v>712800</v>
      </c>
      <c r="N28" s="8"/>
    </row>
    <row r="29" spans="1:14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N29" s="32"/>
    </row>
    <row r="30" spans="1:14" hidden="1" x14ac:dyDescent="0.25">
      <c r="L30" s="25">
        <f>L28*1.2</f>
        <v>855360</v>
      </c>
      <c r="N30" s="8"/>
    </row>
    <row r="31" spans="1:14" hidden="1" x14ac:dyDescent="0.25">
      <c r="H31" s="33" t="s">
        <v>56</v>
      </c>
      <c r="L31"/>
      <c r="N31" s="8"/>
    </row>
    <row r="32" spans="1:14" ht="13.8" hidden="1" x14ac:dyDescent="0.3">
      <c r="B32" s="14" t="s">
        <v>22</v>
      </c>
      <c r="C32" s="15">
        <v>254512</v>
      </c>
      <c r="L32"/>
      <c r="N32" s="8"/>
    </row>
    <row r="33" spans="8:14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N33" s="8"/>
    </row>
    <row r="34" spans="8:14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4</v>
      </c>
      <c r="L34" s="37">
        <f>+J34*K34</f>
        <v>193080.72500000003</v>
      </c>
      <c r="N34" s="8"/>
    </row>
    <row r="35" spans="8:14" hidden="1" x14ac:dyDescent="0.25">
      <c r="N35" s="8"/>
    </row>
    <row r="36" spans="8:14" hidden="1" x14ac:dyDescent="0.25">
      <c r="N36" s="8"/>
    </row>
    <row r="37" spans="8:14" hidden="1" x14ac:dyDescent="0.25">
      <c r="N37" s="8"/>
    </row>
    <row r="38" spans="8:14" hidden="1" x14ac:dyDescent="0.25">
      <c r="N38" s="8"/>
    </row>
    <row r="39" spans="8:14" x14ac:dyDescent="0.25">
      <c r="N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67</vt:i4>
      </vt:variant>
    </vt:vector>
  </HeadingPairs>
  <TitlesOfParts>
    <vt:vector size="134" baseType="lpstr">
      <vt:lpstr>Summary 2002 Revised</vt:lpstr>
      <vt:lpstr>Summary 2002</vt:lpstr>
      <vt:lpstr>Texas-Trading w-o AA</vt:lpstr>
      <vt:lpstr>East-Trading w-o AA</vt:lpstr>
      <vt:lpstr>Central-Trading w-o AA</vt:lpstr>
      <vt:lpstr>West-Trading w-o AA</vt:lpstr>
      <vt:lpstr>Financial w-o AA</vt:lpstr>
      <vt:lpstr>Texas - Orig</vt:lpstr>
      <vt:lpstr>East - Orig</vt:lpstr>
      <vt:lpstr>Central Gas - Orig</vt:lpstr>
      <vt:lpstr>West - Orig</vt:lpstr>
      <vt:lpstr>Derivatives w-o  AA</vt:lpstr>
      <vt:lpstr>Mexico</vt:lpstr>
      <vt:lpstr>Crude</vt:lpstr>
      <vt:lpstr>East-Trading AA</vt:lpstr>
      <vt:lpstr>West-Trading AA</vt:lpstr>
      <vt:lpstr>Texas-Trading AA</vt:lpstr>
      <vt:lpstr>Financial - AA</vt:lpstr>
      <vt:lpstr>Derivatives AA</vt:lpstr>
      <vt:lpstr>Central - Trading AA</vt:lpstr>
      <vt:lpstr>Financial Gas</vt:lpstr>
      <vt:lpstr>East Power</vt:lpstr>
      <vt:lpstr>East Power Trading</vt:lpstr>
      <vt:lpstr>East Power Origination</vt:lpstr>
      <vt:lpstr>West Power Trading</vt:lpstr>
      <vt:lpstr>West Power Origination</vt:lpstr>
      <vt:lpstr>Canada Trading</vt:lpstr>
      <vt:lpstr>Canada Origination</vt:lpstr>
      <vt:lpstr>Office of the Chair</vt:lpstr>
      <vt:lpstr>East Power A&amp;A</vt:lpstr>
      <vt:lpstr>Gas A&amp;A</vt:lpstr>
      <vt:lpstr>West Power A&amp;A</vt:lpstr>
      <vt:lpstr>Canada A&amp;A</vt:lpstr>
      <vt:lpstr>Natural Gas Admin</vt:lpstr>
      <vt:lpstr>East Power Admins</vt:lpstr>
      <vt:lpstr>West Power Admins</vt:lpstr>
      <vt:lpstr>Canada</vt:lpstr>
      <vt:lpstr>Canada Admins</vt:lpstr>
      <vt:lpstr>Fin Ops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'Central - Trading AA'!Print_Area</vt:lpstr>
      <vt:lpstr>'Central Gas - Orig'!Print_Area</vt:lpstr>
      <vt:lpstr>'Central-Trading w-o AA'!Print_Area</vt:lpstr>
      <vt:lpstr>'Competitive Ana'!Print_Area</vt:lpstr>
      <vt:lpstr>Credit!Print_Area</vt:lpstr>
      <vt:lpstr>Crude!Print_Area</vt:lpstr>
      <vt:lpstr>'Derivatives AA'!Print_Area</vt:lpstr>
      <vt:lpstr>'Derivatives w-o  AA'!Print_Area</vt:lpstr>
      <vt:lpstr>'East - Fund'!Print_Area</vt:lpstr>
      <vt:lpstr>'East - Orig'!Print_Area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'East-Trading AA'!Print_Area</vt:lpstr>
      <vt:lpstr>'East-Trading w-o AA'!Print_Area</vt:lpstr>
      <vt:lpstr>'EOL Support'!Print_Area</vt:lpstr>
      <vt:lpstr>EOPs!Print_Area</vt:lpstr>
      <vt:lpstr>'Fin Ops'!Print_Area</vt:lpstr>
      <vt:lpstr>'Financial - AA'!Print_Area</vt:lpstr>
      <vt:lpstr>'Financial Gas'!Print_Area</vt:lpstr>
      <vt:lpstr>'Financial w-o AA'!Print_Area</vt:lpstr>
      <vt:lpstr>'Fundies-All'!Print_Area</vt:lpstr>
      <vt:lpstr>'Fundies-Hou'!Print_Area</vt:lpstr>
      <vt:lpstr>'Gas - Fund'!Print_Area</vt:lpstr>
      <vt:lpstr>'Gas - Struct'!Print_Area</vt:lpstr>
      <vt:lpstr>'Gas A&amp;A'!Print_Area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 Admin'!Print_Area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'Texas - Orig'!Print_Area</vt:lpstr>
      <vt:lpstr>'Texas-Trading AA'!Print_Area</vt:lpstr>
      <vt:lpstr>'Texas-Trading w-o AA'!Print_Area</vt:lpstr>
      <vt:lpstr>Weather!Print_Area</vt:lpstr>
      <vt:lpstr>'West - Fund'!Print_Area</vt:lpstr>
      <vt:lpstr>'West - Orig'!Print_Area</vt:lpstr>
      <vt:lpstr>'West - Struct'!Print_Area</vt:lpstr>
      <vt:lpstr>'West Power A&amp;A'!Print_Area</vt:lpstr>
      <vt:lpstr>'West Power Admins'!Print_Area</vt:lpstr>
      <vt:lpstr>'West Power Origination'!Print_Area</vt:lpstr>
      <vt:lpstr>'West Power Trading'!Print_Area</vt:lpstr>
      <vt:lpstr>'West-Trading AA'!Print_Area</vt:lpstr>
      <vt:lpstr>'West-Trading w-o AA'!Print_Area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2002-01-03T23:34:49Z</cp:lastPrinted>
  <dcterms:created xsi:type="dcterms:W3CDTF">2001-12-05T13:20:56Z</dcterms:created>
  <dcterms:modified xsi:type="dcterms:W3CDTF">2023-09-10T15:18:49Z</dcterms:modified>
</cp:coreProperties>
</file>