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57" firstSheet="3" activeTab="17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</calcChain>
</file>

<file path=xl/comments1.xml><?xml version="1.0" encoding="utf-8"?>
<comments xmlns="http://schemas.openxmlformats.org/spreadsheetml/2006/main">
  <authors>
    <author>pbloom</author>
    <author>twarwic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B20" authorId="1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of 11/27 not recorded  in PF stmt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<sst xmlns="http://schemas.openxmlformats.org/spreadsheetml/2006/main" count="923" uniqueCount="67">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</sst>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26000</v>
          </cell>
        </row>
      </sheetData>
      <sheetData sheetId="8">
        <row r="20">
          <cell r="J20">
            <v>-24772550</v>
          </cell>
        </row>
        <row r="22">
          <cell r="J22">
            <v>36249193.5</v>
          </cell>
        </row>
      </sheetData>
      <sheetData sheetId="9">
        <row r="12">
          <cell r="K12">
            <v>627000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1302620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8137006.5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177823844</v>
          </cell>
        </row>
      </sheetData>
      <sheetData sheetId="15"/>
      <sheetData sheetId="16"/>
      <sheetData sheetId="17"/>
      <sheetData sheetId="18">
        <row r="12">
          <cell r="I12">
            <v>693502</v>
          </cell>
        </row>
      </sheetData>
      <sheetData sheetId="19"/>
      <sheetData sheetId="20">
        <row r="12">
          <cell r="I12">
            <v>3835460.48</v>
          </cell>
        </row>
      </sheetData>
      <sheetData sheetId="21">
        <row r="16">
          <cell r="K16">
            <v>5189275.5</v>
          </cell>
        </row>
        <row r="17">
          <cell r="K17">
            <v>5189275.5</v>
          </cell>
        </row>
        <row r="47">
          <cell r="I47">
            <v>5189276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-8540.7200000000303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-8540.7200000000303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-8540.7200000000303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-41586.87000000001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-41586.87000000001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-41586.87000000001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-41586.87000000001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-3797178.5700000059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-3797178.5700000059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-3797178.5700000059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299893.9700000002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299893.9700000002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299893.9700000002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299893.9700000002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8119953.6266980544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8116677.4144917382</v>
          </cell>
        </row>
        <row r="1184">
          <cell r="FF1184" t="str">
            <v>Fut. Fees</v>
          </cell>
        </row>
        <row r="1185">
          <cell r="FF1185">
            <v>0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8014327.7191708442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74026285.315999791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74026285.315999791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74026285.315999791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74026285.315999791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184479026.03000003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184479026.03000003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184479026.03000003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-396747.27399997599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-396747.27399997599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-396747.27399997599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-396747.27399997599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117580.77000000328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117580.77000000328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117580.77000000328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117580.77000000328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-26181212.820000004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-26181212.820000004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-26181212.820000004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-26181212.820000004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2318749.318591</v>
          </cell>
          <cell r="CG1139">
            <v>173810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2318749.318591</v>
          </cell>
          <cell r="CG1181">
            <v>173810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2318749.318591</v>
          </cell>
          <cell r="CG1223">
            <v>173810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2318749.318591</v>
          </cell>
          <cell r="CG1265">
            <v>173810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1131580.0599999996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1131580.0599999996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1131580.0599999996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37223</v>
      </c>
      <c r="M2" s="3"/>
    </row>
    <row r="3" spans="1:17" ht="17.399999999999999" x14ac:dyDescent="0.3">
      <c r="A3" s="5">
        <v>37222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270619.72600002401</v>
      </c>
      <c r="C8" s="68"/>
      <c r="D8" s="68">
        <f t="shared" ref="D8:D26" si="0">B8-C8</f>
        <v>270619.72600002401</v>
      </c>
      <c r="E8" s="68">
        <v>0</v>
      </c>
      <c r="F8" s="68">
        <f>'[1]ABN-AMRO'!$K$12</f>
        <v>627000</v>
      </c>
      <c r="G8" s="69"/>
      <c r="H8" s="68">
        <f t="shared" ref="H8:H26" si="1">F8-G8</f>
        <v>627000</v>
      </c>
      <c r="I8" s="68"/>
      <c r="J8" s="68"/>
      <c r="K8" s="68"/>
      <c r="L8" s="68">
        <f t="shared" ref="L8:L13" si="2">B8+E8-F8+J8</f>
        <v>-356380.27399997599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SUMIF([15]Statements!$A$5:$A$1305,$A$3,[15]Statements!$FF$5:$FF$1305)+11241</f>
        <v>5571487.686439544</v>
      </c>
      <c r="C12" s="68"/>
      <c r="D12" s="68">
        <f t="shared" si="0"/>
        <v>5571487.686439544</v>
      </c>
      <c r="E12" s="68">
        <v>0</v>
      </c>
      <c r="F12" s="68">
        <f>'[1]CARR FUTURES'!$I$12</f>
        <v>3835460.48</v>
      </c>
      <c r="G12" s="68"/>
      <c r="H12" s="68">
        <f t="shared" si="1"/>
        <v>3835460.48</v>
      </c>
      <c r="I12" s="68"/>
      <c r="J12" s="68"/>
      <c r="K12" s="68"/>
      <c r="L12" s="68">
        <f t="shared" si="2"/>
        <v>1736027.206439544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340796.56000000238</v>
      </c>
      <c r="C13" s="68"/>
      <c r="D13" s="68">
        <f t="shared" si="0"/>
        <v>340796.56000000238</v>
      </c>
      <c r="E13" s="68">
        <v>0</v>
      </c>
      <c r="F13" s="68">
        <f>'[1]CREDIT SUISSE FIRST BOSTON'!$I$12</f>
        <v>693502</v>
      </c>
      <c r="G13" s="68"/>
      <c r="H13" s="68">
        <f t="shared" si="1"/>
        <v>693502</v>
      </c>
      <c r="I13" s="68"/>
      <c r="J13" s="68"/>
      <c r="K13" s="68"/>
      <c r="L13" s="68">
        <f t="shared" si="2"/>
        <v>-352705.43999999762</v>
      </c>
      <c r="M13" s="12"/>
      <c r="N13" s="46"/>
      <c r="O13" s="46"/>
    </row>
    <row r="14" spans="1:17" x14ac:dyDescent="0.25">
      <c r="A14" t="s">
        <v>66</v>
      </c>
      <c r="B14" s="68">
        <f>SUMIF([16]Statements!$A$5:$A$1305,$A$3,[16]Statements!$CT$5:$CT$1305)-SUMIF([16]Statements!$A$5:$A$1305,$A$3,[16]Statements!$CX$5:$CX$1305)-5</f>
        <v>34123248.645999774</v>
      </c>
      <c r="C14" s="68"/>
      <c r="D14" s="68">
        <f t="shared" si="0"/>
        <v>34123248.645999774</v>
      </c>
      <c r="E14" s="68">
        <f>+'[1]EDF MANN'!$J$20</f>
        <v>-24772550</v>
      </c>
      <c r="F14" s="68">
        <f>'[1]EDF MANN'!$J$22</f>
        <v>36249193.5</v>
      </c>
      <c r="G14" s="69"/>
      <c r="H14" s="68">
        <f t="shared" si="1"/>
        <v>36249193.5</v>
      </c>
      <c r="I14" s="69"/>
      <c r="J14" s="69"/>
      <c r="K14" s="69"/>
      <c r="L14" s="68">
        <f t="shared" ref="L14:L20" si="3">B14+E14-F14+J14</f>
        <v>-26898494.854000226</v>
      </c>
      <c r="M14" s="12"/>
      <c r="N14" s="46"/>
      <c r="O14" s="46"/>
    </row>
    <row r="15" spans="1:17" x14ac:dyDescent="0.25">
      <c r="A15" t="s">
        <v>65</v>
      </c>
      <c r="B15" s="70">
        <f>SUMIF([5]Statements!$A$5:$A$1305,$A$3,[5]Statements!$BB$5:$BB$1305)-3</f>
        <v>6570265.179999996</v>
      </c>
      <c r="C15" s="70"/>
      <c r="D15" s="68">
        <f t="shared" si="0"/>
        <v>6570265.179999996</v>
      </c>
      <c r="E15" s="70">
        <v>0</v>
      </c>
      <c r="F15" s="70">
        <f>[1]Fimat!$K$12+3128518</f>
        <v>11265524.5</v>
      </c>
      <c r="G15" s="54"/>
      <c r="H15" s="54">
        <f t="shared" si="1"/>
        <v>11265524.5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-4695259.320000004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</f>
        <v>129423.31859100003</v>
      </c>
      <c r="C16" s="68"/>
      <c r="D16" s="68">
        <f t="shared" si="0"/>
        <v>129423.31859100003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-240887.68140899995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189130</v>
      </c>
      <c r="O17" s="46">
        <f>SUMIF([6]Statements!$BX$5:$BX$1305,$A$3,[6]Statements!$CH$5:$CH$1305)</f>
        <v>342764</v>
      </c>
    </row>
    <row r="18" spans="1:15" x14ac:dyDescent="0.25">
      <c r="A18" t="s">
        <v>35</v>
      </c>
      <c r="B18" s="68">
        <f>SUMIF([7]Statements!$A$5:$A$1305,$A$3,[7]Statements!$BB$5:$BB$1305)-5</f>
        <v>886482.4299999997</v>
      </c>
      <c r="C18" s="68"/>
      <c r="D18" s="68">
        <f t="shared" si="0"/>
        <v>886482.4299999997</v>
      </c>
      <c r="E18" s="68">
        <v>0</v>
      </c>
      <c r="F18" s="68">
        <f>'[1]JP Morgan'!$I$13</f>
        <v>1302620</v>
      </c>
      <c r="G18" s="68"/>
      <c r="H18" s="68">
        <f t="shared" si="1"/>
        <v>1302620</v>
      </c>
      <c r="I18" s="68"/>
      <c r="J18" s="68"/>
      <c r="K18" s="68"/>
      <c r="L18" s="68">
        <f t="shared" si="3"/>
        <v>-416137.5700000003</v>
      </c>
      <c r="M18" s="12"/>
      <c r="N18" s="46"/>
      <c r="O18" s="46"/>
    </row>
    <row r="19" spans="1:15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5">
      <c r="A20" s="18" t="s">
        <v>13</v>
      </c>
      <c r="B20" s="68">
        <f>SUMIF([17]Statements!$A$5:$A$1305,$A$3,[17]Statements!$DB$5:$DB$1305)-67725+3293793</f>
        <v>162260609.03000009</v>
      </c>
      <c r="C20" s="69"/>
      <c r="D20" s="68">
        <f t="shared" si="0"/>
        <v>162260609.03000009</v>
      </c>
      <c r="E20" s="69">
        <v>0</v>
      </c>
      <c r="F20" s="69">
        <f>[1]PARIBAS!$J$19</f>
        <v>177823844</v>
      </c>
      <c r="G20" s="69"/>
      <c r="H20" s="68">
        <f t="shared" si="1"/>
        <v>177823844</v>
      </c>
      <c r="I20" s="69"/>
      <c r="J20" s="69"/>
      <c r="K20" s="69"/>
      <c r="L20" s="68">
        <f t="shared" si="3"/>
        <v>-15563234.969999909</v>
      </c>
      <c r="M20" s="12"/>
      <c r="N20" s="46"/>
      <c r="O20" s="46"/>
    </row>
    <row r="21" spans="1:15" x14ac:dyDescent="0.25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5">
      <c r="A23" t="s">
        <v>27</v>
      </c>
      <c r="B23" s="68">
        <f>SUMIF([10]Statements!$A$5:$A$1305,$A$3,[10]Statements!$BN$5:$BN$1305)-1099</f>
        <v>26000.27999999997</v>
      </c>
      <c r="C23" s="68"/>
      <c r="D23" s="68">
        <f t="shared" si="0"/>
        <v>26000.27999999997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0.27999999996973202</v>
      </c>
      <c r="M23" s="12"/>
      <c r="N23" s="46"/>
      <c r="O23" s="46"/>
    </row>
    <row r="24" spans="1:15" x14ac:dyDescent="0.25">
      <c r="A24" t="s">
        <v>12</v>
      </c>
      <c r="B24" s="68">
        <f>SUMIF([11]Statements!$A$5:$A$1305,$A$3,[11]Statements!$CK$5:$CK$1305)-2477</f>
        <v>58500.12999999999</v>
      </c>
      <c r="C24" s="68"/>
      <c r="D24" s="68">
        <f t="shared" si="0"/>
        <v>58500.12999999999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>
        <f t="shared" si="4"/>
        <v>0.1299999999901047</v>
      </c>
      <c r="M24" s="12"/>
      <c r="N24" s="46"/>
      <c r="O24" s="46"/>
    </row>
    <row r="25" spans="1:15" ht="12" customHeight="1" x14ac:dyDescent="0.25">
      <c r="A25" s="18" t="s">
        <v>62</v>
      </c>
      <c r="B25" s="68">
        <f>SUMIF([12]Statements!$A$5:$A$1305,$A$3,[12]Statements!$CP$5:$CP$1305)</f>
        <v>4373202.6299999934</v>
      </c>
      <c r="C25" s="68"/>
      <c r="D25" s="68">
        <f t="shared" si="0"/>
        <v>4373202.6299999934</v>
      </c>
      <c r="E25" s="69">
        <v>0</v>
      </c>
      <c r="F25" s="69">
        <f>'[1]Smith Barney'!ReqTotal</f>
        <v>5189275.5</v>
      </c>
      <c r="G25" s="69">
        <f>IF('[1]Smith Barney'!CurrentLoanValue&lt;50000000,IF('[1]Smith Barney'!CurrentLoanValue&gt;'[1]Smith Barney'!K16,'[1]Smith Barney'!K16,'[1]Smith Barney'!CurrentLoanValue),50000000)</f>
        <v>5189275.5</v>
      </c>
      <c r="H25" s="69">
        <f t="shared" si="1"/>
        <v>0</v>
      </c>
      <c r="I25" s="69"/>
      <c r="J25" s="69">
        <f>SUMIF('[1]WIRE WORKSHEET'!$B$4:$B$36,A2,'[1]WIRE WORKSHEET'!$BF$4:$BF$36)</f>
        <v>240872.5</v>
      </c>
      <c r="K25" s="69"/>
      <c r="L25" s="68">
        <f t="shared" si="4"/>
        <v>-575200.37000000663</v>
      </c>
      <c r="M25" s="12"/>
      <c r="N25" s="46"/>
      <c r="O25" s="46"/>
    </row>
    <row r="26" spans="1:15" ht="12" customHeight="1" x14ac:dyDescent="0.25">
      <c r="A26" s="18" t="s">
        <v>63</v>
      </c>
      <c r="B26" s="68">
        <f>SUMIF([13]Statements!$A$5:$A$1305,$A$3,[13]Statements!$CP$5:$CP$1305)</f>
        <v>309793.49000000022</v>
      </c>
      <c r="C26" s="68"/>
      <c r="D26" s="68">
        <f t="shared" si="0"/>
        <v>309793.49000000022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-37906.509999999776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SUM(B7:B26)</f>
        <v>214920429.39645165</v>
      </c>
      <c r="C28" s="72">
        <f>SUM(C7:C26)</f>
        <v>0</v>
      </c>
      <c r="D28" s="72">
        <f>SUM(D7:D26)</f>
        <v>214920429.39645165</v>
      </c>
      <c r="E28" s="72">
        <f t="shared" ref="E28:L28" si="5">SUM(E7:E26)</f>
        <v>-24772550</v>
      </c>
      <c r="F28" s="72">
        <f t="shared" si="5"/>
        <v>237788930.98000002</v>
      </c>
      <c r="G28" s="72">
        <f t="shared" si="5"/>
        <v>5189275.5</v>
      </c>
      <c r="H28" s="72">
        <f t="shared" si="5"/>
        <v>232599655.48000002</v>
      </c>
      <c r="I28" s="72"/>
      <c r="J28" s="72">
        <f t="shared" si="5"/>
        <v>240872.5</v>
      </c>
      <c r="K28" s="72"/>
      <c r="L28" s="72">
        <f t="shared" si="5"/>
        <v>-47400179.083548322</v>
      </c>
      <c r="M28" s="40"/>
      <c r="N28" s="39">
        <f>SUM(N7:N27)</f>
        <v>189130</v>
      </c>
      <c r="O28" s="39">
        <f>SUM(O7:O27)</f>
        <v>342764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f>+B28+SUM(B30:B31)</f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-47400179.083548367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f>G25</f>
        <v>5189275.5</v>
      </c>
      <c r="E36" s="83">
        <f>C36+D36</f>
        <v>5189275.5</v>
      </c>
      <c r="F36" s="84">
        <f>+B36-E36</f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-47400179.083548367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5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5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5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5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5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5" workbookViewId="0">
      <selection activeCell="A15" sqref="A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37223</v>
      </c>
      <c r="M2" s="3"/>
    </row>
    <row r="3" spans="1:17" ht="17.399999999999999" x14ac:dyDescent="0.3">
      <c r="A3" s="5">
        <v>37222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5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5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5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5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5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2001-11-28T19:58:00Z</cp:lastPrinted>
  <dcterms:created xsi:type="dcterms:W3CDTF">2000-04-03T19:03:47Z</dcterms:created>
  <dcterms:modified xsi:type="dcterms:W3CDTF">2023-09-10T15:18:55Z</dcterms:modified>
</cp:coreProperties>
</file>