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Financials QTR" sheetId="11" r:id="rId6"/>
    <sheet name="Cash-Int-Trans" sheetId="6" r:id="rId7"/>
    <sheet name="Jedi Shares" sheetId="10" r:id="rId8"/>
    <sheet name="Amort" sheetId="5" r:id="rId9"/>
    <sheet name="Shares" sheetId="9" r:id="rId10"/>
    <sheet name="MRP Raptor" sheetId="7" r:id="rId11"/>
  </sheets>
  <externalReferences>
    <externalReference r:id="rId12"/>
    <externalReference r:id="rId13"/>
  </externalReferences>
  <definedNames>
    <definedName name="_xlnm._FilterDatabase" localSheetId="2" hidden="1">'Stock Prices'!#REF!</definedName>
    <definedName name="Amort">Amort!$A$10:$G$20</definedName>
    <definedName name="ene">'Stock Prices'!$A$5:$B$376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  <definedName name="StkPrices">'[2]Stock Prices'!$A$5:$L$376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D43" i="5"/>
  <c r="F43" i="5"/>
  <c r="G43" i="5"/>
  <c r="H43" i="5"/>
  <c r="I43" i="5"/>
  <c r="A44" i="5"/>
  <c r="B44" i="5"/>
  <c r="C44" i="5"/>
  <c r="D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B64" i="5"/>
  <c r="E64" i="5"/>
  <c r="A65" i="5"/>
  <c r="D65" i="5"/>
  <c r="E65" i="5"/>
  <c r="E66" i="5"/>
  <c r="A68" i="5"/>
  <c r="E68" i="5"/>
  <c r="B69" i="5"/>
  <c r="D69" i="5"/>
  <c r="E69" i="5"/>
  <c r="E70" i="5"/>
  <c r="B4" i="6"/>
  <c r="B6" i="6"/>
  <c r="B8" i="6"/>
  <c r="D8" i="6"/>
  <c r="B9" i="6"/>
  <c r="D9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1" i="6"/>
  <c r="B32" i="6"/>
  <c r="B34" i="6"/>
  <c r="B35" i="6"/>
  <c r="B37" i="6"/>
  <c r="D37" i="6"/>
  <c r="E37" i="6"/>
  <c r="B40" i="6"/>
  <c r="E43" i="6"/>
  <c r="B44" i="6"/>
  <c r="B45" i="6"/>
  <c r="B47" i="6"/>
  <c r="B48" i="6"/>
  <c r="E48" i="6"/>
  <c r="B49" i="6"/>
  <c r="B50" i="6"/>
  <c r="B52" i="6"/>
  <c r="B53" i="6"/>
  <c r="E53" i="6"/>
  <c r="B54" i="6"/>
  <c r="B55" i="6"/>
  <c r="B57" i="6"/>
  <c r="B58" i="6"/>
  <c r="E58" i="6"/>
  <c r="B59" i="6"/>
  <c r="B60" i="6"/>
  <c r="B62" i="6"/>
  <c r="B63" i="6"/>
  <c r="E63" i="6"/>
  <c r="B64" i="6"/>
  <c r="B65" i="6"/>
  <c r="B67" i="6"/>
  <c r="B68" i="6"/>
  <c r="E68" i="6"/>
  <c r="B69" i="6"/>
  <c r="B70" i="6"/>
  <c r="B73" i="6"/>
  <c r="B75" i="6"/>
  <c r="B78" i="6"/>
  <c r="B79" i="6"/>
  <c r="B80" i="6"/>
  <c r="B81" i="6"/>
  <c r="B82" i="6"/>
  <c r="B84" i="6"/>
  <c r="E84" i="6"/>
  <c r="B85" i="6"/>
  <c r="E85" i="6"/>
  <c r="B86" i="6"/>
  <c r="E86" i="6"/>
  <c r="B91" i="6"/>
  <c r="D92" i="6"/>
  <c r="D93" i="6"/>
  <c r="B94" i="6"/>
  <c r="D94" i="6"/>
  <c r="D95" i="6"/>
  <c r="E7" i="3"/>
  <c r="I7" i="3"/>
  <c r="L7" i="3"/>
  <c r="M7" i="3"/>
  <c r="N7" i="3"/>
  <c r="O7" i="3"/>
  <c r="P7" i="3"/>
  <c r="S7" i="3"/>
  <c r="S9" i="3"/>
  <c r="S10" i="3"/>
  <c r="S11" i="3"/>
  <c r="B44" i="3"/>
  <c r="B49" i="3"/>
  <c r="B54" i="3"/>
  <c r="B59" i="3"/>
  <c r="B64" i="3"/>
  <c r="B69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M12" i="4"/>
  <c r="P12" i="4"/>
  <c r="I13" i="4"/>
  <c r="M13" i="4"/>
  <c r="I14" i="4"/>
  <c r="M14" i="4"/>
  <c r="P14" i="4"/>
  <c r="B15" i="4"/>
  <c r="I15" i="4"/>
  <c r="M15" i="4"/>
  <c r="P15" i="4"/>
  <c r="B16" i="4"/>
  <c r="I16" i="4"/>
  <c r="M16" i="4"/>
  <c r="P16" i="4"/>
  <c r="B17" i="4"/>
  <c r="D17" i="4"/>
  <c r="I17" i="4"/>
  <c r="P17" i="4"/>
  <c r="Q17" i="4"/>
  <c r="B18" i="4"/>
  <c r="I18" i="4"/>
  <c r="P19" i="4"/>
  <c r="I20" i="4"/>
  <c r="E21" i="4"/>
  <c r="I21" i="4"/>
  <c r="M21" i="4"/>
  <c r="O21" i="4"/>
  <c r="P21" i="4"/>
  <c r="I22" i="4"/>
  <c r="P22" i="4"/>
  <c r="I23" i="4"/>
  <c r="P23" i="4"/>
  <c r="D24" i="4"/>
  <c r="E24" i="4"/>
  <c r="I24" i="4"/>
  <c r="P24" i="4"/>
  <c r="E25" i="4"/>
  <c r="I25" i="4"/>
  <c r="P25" i="4"/>
  <c r="E26" i="4"/>
  <c r="I26" i="4"/>
  <c r="P26" i="4"/>
  <c r="E27" i="4"/>
  <c r="P27" i="4"/>
  <c r="I28" i="4"/>
  <c r="P28" i="4"/>
  <c r="E29" i="4"/>
  <c r="P29" i="4"/>
  <c r="E30" i="4"/>
  <c r="E31" i="4"/>
  <c r="I31" i="4"/>
  <c r="I32" i="4"/>
  <c r="A33" i="4"/>
  <c r="I33" i="4"/>
  <c r="M33" i="4"/>
  <c r="A34" i="4"/>
  <c r="M34" i="4"/>
  <c r="A35" i="4"/>
  <c r="I35" i="4"/>
  <c r="M35" i="4"/>
  <c r="I36" i="4"/>
  <c r="M36" i="4"/>
  <c r="A37" i="4"/>
  <c r="I37" i="4"/>
  <c r="M37" i="4"/>
  <c r="A38" i="4"/>
  <c r="I38" i="4"/>
  <c r="M38" i="4"/>
  <c r="I39" i="4"/>
  <c r="M39" i="4"/>
  <c r="I40" i="4"/>
  <c r="M40" i="4"/>
  <c r="I41" i="4"/>
  <c r="M41" i="4"/>
  <c r="N41" i="4"/>
  <c r="I42" i="4"/>
  <c r="M44" i="4"/>
  <c r="P44" i="4"/>
  <c r="P45" i="4"/>
  <c r="I46" i="4"/>
  <c r="P46" i="4"/>
  <c r="I47" i="4"/>
  <c r="P47" i="4"/>
  <c r="I48" i="4"/>
  <c r="P48" i="4"/>
  <c r="I49" i="4"/>
  <c r="P49" i="4"/>
  <c r="I50" i="4"/>
  <c r="I51" i="4"/>
  <c r="I52" i="4"/>
  <c r="P52" i="4"/>
  <c r="I53" i="4"/>
  <c r="I55" i="4"/>
  <c r="I56" i="4"/>
  <c r="I57" i="4"/>
  <c r="I58" i="4"/>
  <c r="I59" i="4"/>
  <c r="H2" i="11"/>
  <c r="E3" i="11"/>
  <c r="H3" i="11"/>
  <c r="E4" i="11"/>
  <c r="H4" i="11"/>
  <c r="E5" i="11"/>
  <c r="H5" i="11"/>
  <c r="E6" i="11"/>
  <c r="H6" i="11"/>
  <c r="E7" i="11"/>
  <c r="H7" i="11"/>
  <c r="E8" i="11"/>
  <c r="H8" i="11"/>
  <c r="E9" i="11"/>
  <c r="H9" i="11"/>
  <c r="E10" i="11"/>
  <c r="H10" i="11"/>
  <c r="E12" i="11"/>
  <c r="H12" i="11"/>
  <c r="E13" i="11"/>
  <c r="H13" i="11"/>
  <c r="E14" i="11"/>
  <c r="H14" i="11"/>
  <c r="E15" i="11"/>
  <c r="H15" i="11"/>
  <c r="E16" i="11"/>
  <c r="H16" i="11"/>
  <c r="E17" i="11"/>
  <c r="H17" i="11"/>
  <c r="E18" i="11"/>
  <c r="H18" i="11"/>
  <c r="E20" i="11"/>
  <c r="H20" i="11"/>
  <c r="H23" i="11"/>
  <c r="E24" i="11"/>
  <c r="H24" i="11"/>
  <c r="E26" i="11"/>
  <c r="H26" i="11"/>
  <c r="E27" i="11"/>
  <c r="H27" i="11"/>
  <c r="E28" i="11"/>
  <c r="H28" i="11"/>
  <c r="E29" i="11"/>
  <c r="H29" i="11"/>
  <c r="E30" i="11"/>
  <c r="H30" i="11"/>
  <c r="E31" i="11"/>
  <c r="H31" i="11"/>
  <c r="E32" i="11"/>
  <c r="H32" i="11"/>
  <c r="E33" i="11"/>
  <c r="H33" i="11"/>
  <c r="E34" i="11"/>
  <c r="H34" i="11"/>
  <c r="E37" i="11"/>
  <c r="H37" i="11"/>
  <c r="E38" i="11"/>
  <c r="H38" i="11"/>
  <c r="E39" i="11"/>
  <c r="H39" i="11"/>
  <c r="E40" i="11"/>
  <c r="H40" i="11"/>
  <c r="H41" i="11"/>
  <c r="E42" i="11"/>
  <c r="H42" i="11"/>
  <c r="E43" i="11"/>
  <c r="H43" i="11"/>
  <c r="E44" i="11"/>
  <c r="H44" i="11"/>
  <c r="B3" i="10"/>
  <c r="B6" i="10"/>
  <c r="B7" i="10"/>
  <c r="D7" i="10"/>
  <c r="B9" i="10"/>
  <c r="B17" i="10"/>
  <c r="B18" i="10"/>
  <c r="B19" i="10"/>
  <c r="B20" i="10"/>
  <c r="B24" i="10"/>
  <c r="B28" i="10"/>
  <c r="C28" i="10"/>
  <c r="B29" i="10"/>
  <c r="C29" i="10"/>
  <c r="B30" i="10"/>
  <c r="C30" i="10"/>
  <c r="B31" i="10"/>
  <c r="B32" i="10"/>
  <c r="B36" i="10"/>
  <c r="B38" i="10"/>
  <c r="B40" i="10"/>
  <c r="B41" i="10"/>
  <c r="C41" i="10"/>
  <c r="B43" i="10"/>
  <c r="B44" i="10"/>
  <c r="B49" i="10"/>
  <c r="B54" i="10"/>
  <c r="B59" i="10"/>
  <c r="B64" i="10"/>
  <c r="B69" i="10"/>
  <c r="B44" i="8"/>
  <c r="B49" i="8"/>
  <c r="B54" i="8"/>
  <c r="B59" i="8"/>
  <c r="B64" i="8"/>
  <c r="B69" i="8"/>
  <c r="D2" i="9"/>
  <c r="D3" i="9"/>
  <c r="E3" i="9"/>
  <c r="D4" i="9"/>
  <c r="E4" i="9"/>
  <c r="D5" i="9"/>
  <c r="E5" i="9"/>
  <c r="D7" i="9"/>
  <c r="D8" i="9"/>
  <c r="F8" i="9"/>
  <c r="D9" i="9"/>
  <c r="B10" i="9"/>
  <c r="D11" i="9"/>
  <c r="E11" i="9"/>
  <c r="F11" i="9"/>
  <c r="D12" i="9"/>
  <c r="B14" i="9"/>
  <c r="B17" i="9"/>
  <c r="C17" i="9"/>
  <c r="D17" i="9"/>
  <c r="D18" i="9"/>
  <c r="E18" i="9"/>
  <c r="D19" i="9"/>
  <c r="D20" i="9"/>
  <c r="E20" i="9"/>
  <c r="F20" i="9"/>
  <c r="D21" i="9"/>
  <c r="E21" i="9"/>
  <c r="B23" i="9"/>
  <c r="C23" i="9"/>
  <c r="D23" i="9"/>
  <c r="D24" i="9"/>
  <c r="E24" i="9"/>
  <c r="D25" i="9"/>
  <c r="D26" i="9"/>
  <c r="E26" i="9"/>
  <c r="F26" i="9"/>
  <c r="D27" i="9"/>
  <c r="E27" i="9"/>
  <c r="D28" i="9"/>
  <c r="B30" i="9"/>
  <c r="D30" i="9"/>
  <c r="B35" i="9"/>
  <c r="C35" i="9"/>
  <c r="B36" i="9"/>
  <c r="C36" i="9"/>
  <c r="B37" i="9"/>
  <c r="B39" i="9"/>
  <c r="C39" i="9"/>
  <c r="D39" i="9"/>
  <c r="E41" i="9"/>
  <c r="D42" i="9"/>
  <c r="B44" i="9"/>
  <c r="B49" i="9"/>
  <c r="B54" i="9"/>
  <c r="B59" i="9"/>
  <c r="B64" i="9"/>
  <c r="B69" i="9"/>
  <c r="B44" i="2"/>
  <c r="B49" i="2"/>
  <c r="B54" i="2"/>
  <c r="B55" i="2"/>
  <c r="B59" i="2"/>
  <c r="B64" i="2"/>
  <c r="B69" i="2"/>
  <c r="B117" i="2"/>
  <c r="B124" i="2"/>
  <c r="A377" i="2"/>
  <c r="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  <c r="B44" i="1"/>
  <c r="B49" i="1"/>
  <c r="B54" i="1"/>
  <c r="B59" i="1"/>
  <c r="B64" i="1"/>
  <c r="B69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7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<sst xmlns="http://schemas.openxmlformats.org/spreadsheetml/2006/main" count="521" uniqueCount="273">
  <si>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</si>
  <si>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</si>
  <si>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</si>
  <si>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</si>
  <si>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</si>
  <si>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</si>
  <si>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</si>
  <si>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</si>
  <si>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</si>
  <si>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</si>
  <si>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</si>
  <si>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</si>
  <si>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</si>
  <si>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</si>
  <si>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</si>
  <si>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</si>
  <si>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</si>
  <si>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</si>
  <si>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</si>
  <si>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</si>
  <si>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</si>
  <si>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</si>
  <si>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</si>
  <si>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</si>
  <si>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</si>
  <si>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</si>
  <si>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</si>
  <si>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</si>
  <si>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</si>
  <si>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</si>
  <si>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</si>
  <si>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</si>
  <si>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</si>
  <si>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</si>
  <si>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</si>
  <si>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</si>
  <si>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</si>
  <si>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</si>
  <si>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</si>
  <si>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</si>
  <si>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</si>
  <si>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</si>
  <si>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</si>
  <si>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</si>
  <si>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</si>
  <si>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</si>
  <si>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</si>
  <si>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</si>
  <si>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</si>
  <si>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</si>
  <si>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</si>
  <si>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</si>
  <si>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</si>
  <si>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</si>
  <si>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</si>
  <si>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</si>
  <si>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</si>
  <si>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</si>
  <si>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</si>
  <si>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</si>
  <si>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</si>
  <si>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</si>
  <si>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</si>
  <si>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</si>
  <si>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</si>
  <si>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</si>
  <si>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</si>
  <si>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</si>
  <si>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</si>
  <si>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</si>
  <si>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</si>
  <si>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</si>
  <si>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</si>
  <si>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</si>
  <si>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</si>
  <si>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</si>
  <si>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</si>
  <si>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</si>
  <si>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</si>
  <si>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</si>
  <si>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</si>
  <si>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</si>
  <si>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</si>
  <si>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</si>
  <si>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</si>
  <si>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</si>
  <si>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</si>
  <si>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</si>
  <si>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</si>
  <si>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</si>
  <si>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</si>
  <si>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</si>
  <si>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</si>
  <si>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</si>
  <si>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</si>
  <si>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</si>
  <si>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</si>
  <si>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</si>
  <si>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</si>
  <si>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</si>
  <si>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</si>
  <si>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</si>
  <si>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</si>
  <si>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</si>
  <si>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</si>
  <si>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</si>
  <si>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</si>
  <si>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</si>
  <si>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</si>
  <si>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</si>
  <si>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</si>
  <si>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</si>
  <si>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</si>
  <si>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</si>
  <si>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</si>
  <si>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</si>
  <si>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</si>
  <si>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</si>
  <si>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</si>
  <si>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</si>
  <si>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</si>
  <si>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</si>
  <si>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</si>
  <si>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</si>
  <si>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</si>
  <si>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</si>
  <si>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</si>
  <si>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</si>
  <si>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</si>
  <si>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</si>
  <si>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</si>
  <si>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</si>
  <si>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</si>
  <si>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</si>
  <si>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</si>
  <si>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</si>
  <si>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</si>
  <si>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</si>
  <si>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</si>
  <si>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</si>
  <si>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</si>
  <si>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</si>
  <si>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</si>
  <si>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</si>
  <si>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</si>
  <si>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</si>
  <si>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</si>
  <si>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</si>
  <si>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</si>
  <si>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</si>
  <si>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</si>
  <si>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</si>
  <si>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</si>
  <si>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</si>
  <si>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</si>
  <si>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</si>
  <si>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</si>
  <si>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</si>
  <si>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</si>
  <si>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</si>
  <si>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</si>
  <si>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</si>
  <si>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</si>
  <si>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</si>
  <si>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</si>
  <si>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</si>
  <si>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</si>
  <si>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</si>
  <si>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</si>
  <si>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</si>
  <si>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</si>
  <si>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</si>
  <si>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</si>
  <si>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</si>
  <si>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</si>
  <si>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</si>
  <si>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</si>
  <si>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</si>
  <si>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</si>
  <si>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</si>
  <si>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</si>
  <si>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</si>
  <si>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</si>
  <si>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</si>
  <si>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</si>
  <si>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</si>
  <si>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</si>
  <si>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</si>
  <si>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</si>
  <si>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</si>
  <si>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</si>
  <si>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</si>
  <si>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</si>
  <si>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</si>
  <si>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</si>
  <si>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</si>
  <si>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</si>
  <si>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</si>
  <si>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</si>
  <si>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</si>
  <si>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</si>
  <si>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</si>
  <si>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</si>
  <si>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</si>
  <si>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</si>
  <si>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</si>
  <si>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</si>
  <si>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</si>
  <si>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</si>
  <si>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</si>
  <si>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</si>
  <si>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</si>
  <si>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</si>
  <si>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</si>
  <si>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</si>
  <si>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</si>
  <si>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</si>
  <si>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</si>
  <si>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</si>
  <si>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</si>
  <si>
    <t>Bobcat Balance Sheet</t>
  </si>
  <si>
    <t>ENE Shares</t>
  </si>
  <si>
    <t>March ENE Shares</t>
  </si>
  <si>
    <t xml:space="preserve">          March ENE Shares</t>
  </si>
  <si>
    <t>New ENE Shares</t>
  </si>
  <si>
    <t>Total Shares</t>
  </si>
  <si>
    <t>Raptor 1</t>
  </si>
  <si>
    <t>Raptor 2</t>
  </si>
  <si>
    <t>Raptor 4</t>
  </si>
  <si>
    <t>R 4 Shares</t>
  </si>
  <si>
    <t>R4 Cost</t>
  </si>
  <si>
    <t xml:space="preserve">          ENE shares not included above</t>
  </si>
  <si>
    <t>Jedi Shares</t>
  </si>
  <si>
    <t>Number of Shares</t>
  </si>
  <si>
    <t>Share Price</t>
  </si>
  <si>
    <t>Sub Total</t>
  </si>
  <si>
    <t>Discount</t>
  </si>
  <si>
    <t>Maximum Amount</t>
  </si>
  <si>
    <t>Note Amount</t>
  </si>
  <si>
    <t>Net (Income)/Loss</t>
  </si>
  <si>
    <t>zero check</t>
  </si>
  <si>
    <t>Net Income/(Loss)</t>
  </si>
  <si>
    <t>Gain or (Loss)</t>
  </si>
  <si>
    <t>Debt</t>
  </si>
  <si>
    <t>Increase/(decrease)</t>
  </si>
  <si>
    <t>Amotization</t>
  </si>
  <si>
    <t>ending date</t>
  </si>
  <si>
    <t>total days</t>
  </si>
  <si>
    <t>current date</t>
  </si>
  <si>
    <t>number of days</t>
  </si>
  <si>
    <t>amortization</t>
  </si>
  <si>
    <t>Discount Amortization - Jedi Shares</t>
  </si>
  <si>
    <t>Days in Period</t>
  </si>
  <si>
    <t>Initial</t>
  </si>
  <si>
    <t>I/S</t>
  </si>
  <si>
    <t>Days O/S</t>
  </si>
  <si>
    <t>Collar Gains / (Losses) Jedi Shares</t>
  </si>
  <si>
    <t>Derivative Cost</t>
  </si>
  <si>
    <t>Talon Balance Sheet as of 9/11/00</t>
  </si>
  <si>
    <t>Delivery</t>
  </si>
  <si>
    <t>Interest Income--Harrier Note</t>
  </si>
  <si>
    <t>Unrealized Gains / (Losses) Share Derivative</t>
  </si>
  <si>
    <t>Enron Jedi Shares</t>
  </si>
  <si>
    <t>ENE Share Derivative</t>
  </si>
  <si>
    <t xml:space="preserve"> need to update quarterly</t>
  </si>
  <si>
    <t>Value for F/S</t>
  </si>
  <si>
    <t>End Date</t>
  </si>
  <si>
    <t>LIBOR</t>
  </si>
  <si>
    <t>increase to loan Enron Shares</t>
  </si>
  <si>
    <t>For the period ending 9/11/00 to</t>
  </si>
  <si>
    <t>to</t>
  </si>
  <si>
    <t>Unrealized Gains / (Losses) Derivative</t>
  </si>
  <si>
    <t xml:space="preserve">Changes 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</si>
</sst>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219" formatCode="0.00000%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179" fontId="3" fillId="0" borderId="0" xfId="2" applyNumberFormat="1" applyFont="1" applyFill="1"/>
    <xf numFmtId="44" fontId="2" fillId="0" borderId="3" xfId="2" applyFont="1" applyBorder="1"/>
    <xf numFmtId="165" fontId="2" fillId="0" borderId="0" xfId="1" applyNumberFormat="1" applyFont="1"/>
    <xf numFmtId="9" fontId="2" fillId="0" borderId="0" xfId="3" applyFont="1"/>
    <xf numFmtId="165" fontId="0" fillId="0" borderId="6" xfId="1" applyNumberFormat="1" applyFont="1" applyBorder="1"/>
    <xf numFmtId="172" fontId="2" fillId="0" borderId="0" xfId="1" applyNumberFormat="1" applyFont="1"/>
    <xf numFmtId="172" fontId="3" fillId="0" borderId="0" xfId="1" applyNumberFormat="1" applyFont="1"/>
    <xf numFmtId="37" fontId="0" fillId="0" borderId="13" xfId="0" applyNumberFormat="1" applyFill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3" xfId="0" applyNumberFormat="1" applyFill="1" applyBorder="1"/>
    <xf numFmtId="37" fontId="0" fillId="0" borderId="13" xfId="0" applyNumberFormat="1" applyFill="1" applyBorder="1"/>
    <xf numFmtId="179" fontId="3" fillId="0" borderId="0" xfId="2" applyNumberFormat="1" applyFont="1"/>
    <xf numFmtId="43" fontId="0" fillId="0" borderId="6" xfId="1" applyNumberFormat="1" applyFont="1" applyBorder="1"/>
    <xf numFmtId="14" fontId="0" fillId="0" borderId="0" xfId="1" applyNumberFormat="1" applyFont="1"/>
    <xf numFmtId="219" fontId="0" fillId="0" borderId="0" xfId="3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14" fontId="19" fillId="3" borderId="0" xfId="0" applyNumberFormat="1" applyFont="1" applyFill="1" applyAlignment="1">
      <alignment horizontal="center"/>
    </xf>
    <xf numFmtId="44" fontId="0" fillId="0" borderId="0" xfId="2" applyFont="1" applyBorder="1"/>
    <xf numFmtId="0" fontId="0" fillId="0" borderId="0" xfId="2" applyNumberFormat="1" applyFont="1" applyBorder="1" applyAlignment="1">
      <alignment horizontal="center"/>
    </xf>
    <xf numFmtId="37" fontId="2" fillId="0" borderId="0" xfId="0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>
        <row r="68">
          <cell r="I68">
            <v>3876755</v>
          </cell>
        </row>
        <row r="69">
          <cell r="I69">
            <v>7809790</v>
          </cell>
        </row>
      </sheetData>
      <sheetData sheetId="1">
        <row r="2">
          <cell r="I2">
            <v>36976</v>
          </cell>
        </row>
        <row r="3">
          <cell r="B3">
            <v>37134</v>
          </cell>
        </row>
        <row r="5">
          <cell r="B5">
            <v>34.99</v>
          </cell>
          <cell r="C5">
            <v>0</v>
          </cell>
          <cell r="H5">
            <v>118425530.68694091</v>
          </cell>
        </row>
        <row r="17">
          <cell r="C17">
            <v>1</v>
          </cell>
          <cell r="H17">
            <v>61.48</v>
          </cell>
          <cell r="I17">
            <v>91.02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A5">
            <v>36739</v>
          </cell>
          <cell r="B5">
            <v>76</v>
          </cell>
          <cell r="C5">
            <v>107.5</v>
          </cell>
          <cell r="D5">
            <v>51.766671915874781</v>
          </cell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  <cell r="K5">
            <v>7.125</v>
          </cell>
        </row>
        <row r="6">
          <cell r="A6">
            <v>36740</v>
          </cell>
          <cell r="B6">
            <v>77.625</v>
          </cell>
          <cell r="C6">
            <v>132</v>
          </cell>
          <cell r="D6">
            <v>51.766671915874781</v>
          </cell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  <cell r="K6">
            <v>7.3129999999999997</v>
          </cell>
        </row>
        <row r="7">
          <cell r="A7">
            <v>36741</v>
          </cell>
          <cell r="B7">
            <v>78.016000000000005</v>
          </cell>
          <cell r="C7">
            <v>163.5</v>
          </cell>
          <cell r="D7">
            <v>51.766671915874781</v>
          </cell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  <cell r="K7">
            <v>7.625</v>
          </cell>
        </row>
        <row r="8">
          <cell r="A8">
            <v>36742</v>
          </cell>
          <cell r="B8">
            <v>78</v>
          </cell>
          <cell r="C8">
            <v>156</v>
          </cell>
          <cell r="D8">
            <v>51.766671915874781</v>
          </cell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  <cell r="K8">
            <v>7.5</v>
          </cell>
        </row>
        <row r="9">
          <cell r="A9">
            <v>36745</v>
          </cell>
          <cell r="B9">
            <v>80.266000000000005</v>
          </cell>
          <cell r="C9">
            <v>140.625</v>
          </cell>
          <cell r="D9">
            <v>51.766671915874781</v>
          </cell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  <cell r="K9">
            <v>7.75</v>
          </cell>
        </row>
        <row r="10">
          <cell r="A10">
            <v>36746</v>
          </cell>
          <cell r="B10">
            <v>82.438000000000002</v>
          </cell>
          <cell r="C10">
            <v>125.672</v>
          </cell>
          <cell r="D10">
            <v>52.75</v>
          </cell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  <cell r="K10">
            <v>7.6879999999999997</v>
          </cell>
        </row>
        <row r="11">
          <cell r="A11">
            <v>36747</v>
          </cell>
          <cell r="B11">
            <v>82.296999999999997</v>
          </cell>
          <cell r="C11">
            <v>138.375</v>
          </cell>
          <cell r="D11">
            <v>52</v>
          </cell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  <cell r="K11">
            <v>7.75</v>
          </cell>
        </row>
        <row r="12">
          <cell r="A12">
            <v>36748</v>
          </cell>
          <cell r="B12">
            <v>80.766000000000005</v>
          </cell>
          <cell r="C12">
            <v>132.875</v>
          </cell>
          <cell r="D12">
            <v>42.625</v>
          </cell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  <cell r="K12">
            <v>7.75</v>
          </cell>
        </row>
        <row r="13">
          <cell r="A13">
            <v>36749</v>
          </cell>
          <cell r="B13">
            <v>80.25</v>
          </cell>
          <cell r="C13">
            <v>130.5</v>
          </cell>
          <cell r="D13">
            <v>44.813000000000002</v>
          </cell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  <cell r="K13">
            <v>7.875</v>
          </cell>
        </row>
        <row r="14">
          <cell r="A14">
            <v>36752</v>
          </cell>
          <cell r="B14">
            <v>84.25</v>
          </cell>
          <cell r="C14">
            <v>128.25</v>
          </cell>
          <cell r="D14">
            <v>47.75</v>
          </cell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  <cell r="K14">
            <v>8.1880000000000006</v>
          </cell>
        </row>
        <row r="15">
          <cell r="A15">
            <v>36753</v>
          </cell>
          <cell r="B15">
            <v>82.125</v>
          </cell>
          <cell r="C15">
            <v>128.46899999999999</v>
          </cell>
          <cell r="D15">
            <v>45.75</v>
          </cell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  <cell r="K15">
            <v>7.9379999999999997</v>
          </cell>
        </row>
        <row r="16">
          <cell r="A16">
            <v>36754</v>
          </cell>
          <cell r="B16">
            <v>84.016000000000005</v>
          </cell>
          <cell r="C16">
            <v>137.75</v>
          </cell>
          <cell r="D16">
            <v>46.813000000000002</v>
          </cell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  <cell r="K16">
            <v>7.75</v>
          </cell>
        </row>
        <row r="17">
          <cell r="A17">
            <v>36755</v>
          </cell>
          <cell r="B17">
            <v>90</v>
          </cell>
          <cell r="C17">
            <v>153.93799999999999</v>
          </cell>
          <cell r="D17">
            <v>50.719000000000001</v>
          </cell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  <cell r="K17">
            <v>7.75</v>
          </cell>
        </row>
        <row r="18">
          <cell r="A18">
            <v>36756</v>
          </cell>
          <cell r="B18">
            <v>86.938000000000002</v>
          </cell>
          <cell r="C18">
            <v>152</v>
          </cell>
          <cell r="D18">
            <v>49.125</v>
          </cell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  <cell r="K18">
            <v>7.75</v>
          </cell>
        </row>
        <row r="19">
          <cell r="A19">
            <v>36759</v>
          </cell>
          <cell r="B19">
            <v>87.875</v>
          </cell>
          <cell r="C19">
            <v>142</v>
          </cell>
          <cell r="D19">
            <v>48.25</v>
          </cell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  <cell r="K19">
            <v>8.1875</v>
          </cell>
        </row>
        <row r="20">
          <cell r="A20">
            <v>36760</v>
          </cell>
          <cell r="B20">
            <v>87.5</v>
          </cell>
          <cell r="C20">
            <v>131.25</v>
          </cell>
          <cell r="D20">
            <v>45.125</v>
          </cell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  <cell r="K20">
            <v>8.375</v>
          </cell>
        </row>
        <row r="21">
          <cell r="A21">
            <v>36761</v>
          </cell>
          <cell r="B21">
            <v>90</v>
          </cell>
          <cell r="C21">
            <v>137.875</v>
          </cell>
          <cell r="D21">
            <v>49.609000000000002</v>
          </cell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  <cell r="K21">
            <v>8.3130000000000006</v>
          </cell>
        </row>
        <row r="22">
          <cell r="A22">
            <v>36762</v>
          </cell>
          <cell r="B22">
            <v>86</v>
          </cell>
          <cell r="C22">
            <v>131</v>
          </cell>
          <cell r="D22">
            <v>49.625</v>
          </cell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  <cell r="K22">
            <v>8.3125</v>
          </cell>
        </row>
        <row r="23">
          <cell r="A23">
            <v>36763</v>
          </cell>
          <cell r="B23">
            <v>84.875</v>
          </cell>
          <cell r="C23">
            <v>133</v>
          </cell>
          <cell r="D23">
            <v>47.75</v>
          </cell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  <cell r="K23">
            <v>8.25</v>
          </cell>
        </row>
        <row r="24">
          <cell r="A24">
            <v>36766</v>
          </cell>
          <cell r="B24">
            <v>86.625</v>
          </cell>
          <cell r="C24">
            <v>133</v>
          </cell>
          <cell r="D24">
            <v>52.75</v>
          </cell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  <cell r="K24">
            <v>8.5</v>
          </cell>
        </row>
        <row r="25">
          <cell r="A25">
            <v>36767</v>
          </cell>
          <cell r="B25">
            <v>86.25</v>
          </cell>
          <cell r="C25">
            <v>131</v>
          </cell>
          <cell r="D25">
            <v>61.875</v>
          </cell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  <cell r="K25">
            <v>8.5</v>
          </cell>
        </row>
        <row r="26">
          <cell r="A26">
            <v>36768</v>
          </cell>
          <cell r="B26">
            <v>84.875</v>
          </cell>
          <cell r="C26">
            <v>134.5</v>
          </cell>
          <cell r="D26">
            <v>59.4375</v>
          </cell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  <cell r="K26">
            <v>8.375</v>
          </cell>
        </row>
        <row r="27">
          <cell r="A27">
            <v>36769</v>
          </cell>
          <cell r="B27">
            <v>84.875</v>
          </cell>
          <cell r="C27">
            <v>149.8125</v>
          </cell>
          <cell r="D27">
            <v>70.25</v>
          </cell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  <cell r="K27">
            <v>8.3125</v>
          </cell>
        </row>
        <row r="28">
          <cell r="A28">
            <v>36770</v>
          </cell>
          <cell r="B28">
            <v>85.328000000000003</v>
          </cell>
          <cell r="C28">
            <v>144</v>
          </cell>
          <cell r="D28">
            <v>64.9375</v>
          </cell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  <cell r="K28">
            <v>8.5625</v>
          </cell>
        </row>
        <row r="29">
          <cell r="A29">
            <v>36774</v>
          </cell>
          <cell r="B29">
            <v>85</v>
          </cell>
          <cell r="C29">
            <v>133</v>
          </cell>
          <cell r="D29">
            <v>66</v>
          </cell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  <cell r="K29">
            <v>8.5625</v>
          </cell>
        </row>
        <row r="30">
          <cell r="A30">
            <v>36775</v>
          </cell>
          <cell r="B30">
            <v>84.375</v>
          </cell>
          <cell r="C30">
            <v>130.375</v>
          </cell>
          <cell r="D30">
            <v>67</v>
          </cell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  <cell r="K30">
            <v>8.375</v>
          </cell>
        </row>
        <row r="31">
          <cell r="A31">
            <v>36776</v>
          </cell>
          <cell r="B31">
            <v>83.875</v>
          </cell>
          <cell r="C31">
            <v>136</v>
          </cell>
          <cell r="D31">
            <v>68</v>
          </cell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  <cell r="K31">
            <v>8.3125</v>
          </cell>
        </row>
        <row r="32">
          <cell r="A32">
            <v>36777</v>
          </cell>
          <cell r="B32">
            <v>84.218999999999994</v>
          </cell>
          <cell r="C32">
            <v>127.390625</v>
          </cell>
          <cell r="D32">
            <v>63.125</v>
          </cell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  <cell r="K32">
            <v>8.1875</v>
          </cell>
        </row>
        <row r="33">
          <cell r="A33">
            <v>36780</v>
          </cell>
          <cell r="B33">
            <v>86.016000000000005</v>
          </cell>
          <cell r="C33">
            <v>116.0625</v>
          </cell>
          <cell r="D33">
            <v>57.375</v>
          </cell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  <cell r="K33">
            <v>8.375</v>
          </cell>
        </row>
        <row r="34">
          <cell r="A34">
            <v>36781</v>
          </cell>
          <cell r="B34">
            <v>86.125</v>
          </cell>
          <cell r="C34">
            <v>102</v>
          </cell>
          <cell r="D34">
            <v>65.734375</v>
          </cell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  <cell r="K34">
            <v>8.375</v>
          </cell>
        </row>
        <row r="35">
          <cell r="A35">
            <v>36782</v>
          </cell>
          <cell r="B35">
            <v>86.688000000000002</v>
          </cell>
          <cell r="C35">
            <v>101.625</v>
          </cell>
          <cell r="D35">
            <v>72.75</v>
          </cell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  <cell r="K35">
            <v>8.25</v>
          </cell>
        </row>
        <row r="36">
          <cell r="A36">
            <v>36783</v>
          </cell>
          <cell r="B36">
            <v>86.703000000000003</v>
          </cell>
          <cell r="C36">
            <v>100.125</v>
          </cell>
          <cell r="D36">
            <v>68.5</v>
          </cell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  <cell r="K36">
            <v>8.375</v>
          </cell>
        </row>
        <row r="37">
          <cell r="A37">
            <v>36784</v>
          </cell>
          <cell r="B37">
            <v>89.438000000000002</v>
          </cell>
          <cell r="C37">
            <v>95.5</v>
          </cell>
          <cell r="D37">
            <v>73.5625</v>
          </cell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  <cell r="K37">
            <v>8.625</v>
          </cell>
        </row>
        <row r="38">
          <cell r="A38">
            <v>36787</v>
          </cell>
          <cell r="B38">
            <v>89.625</v>
          </cell>
          <cell r="C38">
            <v>88.375</v>
          </cell>
          <cell r="D38">
            <v>70.0625</v>
          </cell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  <cell r="K38">
            <v>8.25</v>
          </cell>
        </row>
        <row r="39">
          <cell r="A39">
            <v>36788</v>
          </cell>
          <cell r="B39">
            <v>84.875</v>
          </cell>
          <cell r="C39">
            <v>104.1875</v>
          </cell>
          <cell r="D39">
            <v>68.875</v>
          </cell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  <cell r="K39">
            <v>8.5</v>
          </cell>
        </row>
        <row r="40">
          <cell r="A40">
            <v>36789</v>
          </cell>
          <cell r="B40">
            <v>82.171999999999997</v>
          </cell>
          <cell r="C40">
            <v>112.0625</v>
          </cell>
          <cell r="D40">
            <v>67.3125</v>
          </cell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  <cell r="K40">
            <v>8.625</v>
          </cell>
        </row>
        <row r="41">
          <cell r="A41">
            <v>36790</v>
          </cell>
          <cell r="B41">
            <v>80.75</v>
          </cell>
          <cell r="C41">
            <v>110.625</v>
          </cell>
          <cell r="D41">
            <v>70</v>
          </cell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  <cell r="K41">
            <v>8.5</v>
          </cell>
        </row>
        <row r="42">
          <cell r="A42">
            <v>36791</v>
          </cell>
          <cell r="B42">
            <v>83</v>
          </cell>
          <cell r="C42">
            <v>115.5</v>
          </cell>
          <cell r="D42">
            <v>68.625</v>
          </cell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  <cell r="K42">
            <v>8.75</v>
          </cell>
        </row>
        <row r="43">
          <cell r="A43">
            <v>36794</v>
          </cell>
          <cell r="B43">
            <v>84.438000000000002</v>
          </cell>
          <cell r="C43">
            <v>115.984375</v>
          </cell>
          <cell r="D43">
            <v>66</v>
          </cell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  <cell r="K43">
            <v>8.75</v>
          </cell>
        </row>
        <row r="44">
          <cell r="A44">
            <v>36795</v>
          </cell>
          <cell r="B44">
            <v>85.5</v>
          </cell>
          <cell r="C44">
            <v>104.8125</v>
          </cell>
          <cell r="D44">
            <v>64.375</v>
          </cell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  <cell r="K44">
            <v>8.75</v>
          </cell>
        </row>
        <row r="45">
          <cell r="A45">
            <v>36796</v>
          </cell>
          <cell r="B45">
            <v>87.453000000000003</v>
          </cell>
          <cell r="C45">
            <v>101.5625</v>
          </cell>
          <cell r="D45">
            <v>65.125</v>
          </cell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  <cell r="K45">
            <v>8.8125</v>
          </cell>
        </row>
        <row r="46">
          <cell r="A46">
            <v>36797</v>
          </cell>
          <cell r="B46">
            <v>89.25</v>
          </cell>
          <cell r="C46">
            <v>102.875</v>
          </cell>
          <cell r="D46">
            <v>60</v>
          </cell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  <cell r="K46">
            <v>8.8125</v>
          </cell>
        </row>
        <row r="47">
          <cell r="A47">
            <v>36798</v>
          </cell>
          <cell r="B47">
            <v>87.641000000000005</v>
          </cell>
          <cell r="C47">
            <v>95.125</v>
          </cell>
          <cell r="D47">
            <v>62</v>
          </cell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  <cell r="K47">
            <v>9.75</v>
          </cell>
        </row>
        <row r="48">
          <cell r="A48">
            <v>36801</v>
          </cell>
          <cell r="B48">
            <v>86.438000000000002</v>
          </cell>
          <cell r="C48">
            <v>80.375</v>
          </cell>
          <cell r="D48">
            <v>60.875</v>
          </cell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  <cell r="K48">
            <v>9.25</v>
          </cell>
        </row>
        <row r="49">
          <cell r="A49">
            <v>36802</v>
          </cell>
          <cell r="B49">
            <v>85.563000000000002</v>
          </cell>
          <cell r="C49">
            <v>84.0625</v>
          </cell>
          <cell r="D49">
            <v>55.5</v>
          </cell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  <cell r="K49">
            <v>9.125</v>
          </cell>
        </row>
        <row r="50">
          <cell r="A50">
            <v>36803</v>
          </cell>
          <cell r="B50">
            <v>83.063000000000002</v>
          </cell>
          <cell r="C50">
            <v>80.515625</v>
          </cell>
          <cell r="D50">
            <v>52.125</v>
          </cell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  <cell r="K50">
            <v>9.5</v>
          </cell>
        </row>
        <row r="51">
          <cell r="A51">
            <v>36804</v>
          </cell>
          <cell r="B51">
            <v>83</v>
          </cell>
          <cell r="C51">
            <v>81.5</v>
          </cell>
          <cell r="D51">
            <v>45.0625</v>
          </cell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  <cell r="K51">
            <v>9.375</v>
          </cell>
        </row>
        <row r="52">
          <cell r="A52">
            <v>36805</v>
          </cell>
          <cell r="B52">
            <v>81.625</v>
          </cell>
          <cell r="C52">
            <v>77.6875</v>
          </cell>
          <cell r="D52">
            <v>40.875</v>
          </cell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  <cell r="K52">
            <v>8.875</v>
          </cell>
        </row>
        <row r="53">
          <cell r="A53">
            <v>36808</v>
          </cell>
          <cell r="B53">
            <v>83</v>
          </cell>
          <cell r="C53">
            <v>77</v>
          </cell>
          <cell r="D53">
            <v>38</v>
          </cell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  <cell r="K53">
            <v>8.9375</v>
          </cell>
        </row>
        <row r="54">
          <cell r="A54">
            <v>36809</v>
          </cell>
          <cell r="B54">
            <v>81.688000000000002</v>
          </cell>
          <cell r="C54">
            <v>69</v>
          </cell>
          <cell r="D54">
            <v>31.75</v>
          </cell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  <cell r="K54">
            <v>9</v>
          </cell>
        </row>
        <row r="55">
          <cell r="A55">
            <v>36810</v>
          </cell>
          <cell r="B55">
            <v>82.813000000000002</v>
          </cell>
          <cell r="C55">
            <v>78.8125</v>
          </cell>
          <cell r="D55">
            <v>31.875</v>
          </cell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  <cell r="K55">
            <v>9.125</v>
          </cell>
        </row>
        <row r="56">
          <cell r="A56">
            <v>36811</v>
          </cell>
          <cell r="B56">
            <v>79.875</v>
          </cell>
          <cell r="C56">
            <v>76.5</v>
          </cell>
          <cell r="D56">
            <v>38.0625</v>
          </cell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  <cell r="K56">
            <v>9.75</v>
          </cell>
        </row>
        <row r="57">
          <cell r="A57">
            <v>36812</v>
          </cell>
          <cell r="B57">
            <v>79.5</v>
          </cell>
          <cell r="C57">
            <v>81</v>
          </cell>
          <cell r="D57">
            <v>45.25</v>
          </cell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  <cell r="K57">
            <v>9.5</v>
          </cell>
        </row>
        <row r="58">
          <cell r="A58">
            <v>36815</v>
          </cell>
          <cell r="B58">
            <v>80</v>
          </cell>
          <cell r="C58">
            <v>85.6875</v>
          </cell>
          <cell r="D58">
            <v>46.5</v>
          </cell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  <cell r="K58">
            <v>9.5</v>
          </cell>
        </row>
        <row r="59">
          <cell r="A59">
            <v>36816</v>
          </cell>
          <cell r="B59">
            <v>79.188000000000002</v>
          </cell>
          <cell r="C59">
            <v>80.25</v>
          </cell>
          <cell r="D59">
            <v>39.875</v>
          </cell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  <cell r="K59">
            <v>9.4375</v>
          </cell>
        </row>
        <row r="60">
          <cell r="A60">
            <v>36817</v>
          </cell>
          <cell r="B60">
            <v>78.75</v>
          </cell>
          <cell r="C60">
            <v>72</v>
          </cell>
          <cell r="D60">
            <v>37.125</v>
          </cell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  <cell r="K60">
            <v>8.875</v>
          </cell>
        </row>
        <row r="61">
          <cell r="A61">
            <v>36818</v>
          </cell>
          <cell r="B61">
            <v>79</v>
          </cell>
          <cell r="C61">
            <v>65.25</v>
          </cell>
          <cell r="D61">
            <v>39.3125</v>
          </cell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  <cell r="K61">
            <v>9.5</v>
          </cell>
        </row>
        <row r="62">
          <cell r="A62">
            <v>36819</v>
          </cell>
          <cell r="B62">
            <v>80.5</v>
          </cell>
          <cell r="C62">
            <v>67.25</v>
          </cell>
          <cell r="D62">
            <v>40.5</v>
          </cell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  <cell r="K62">
            <v>9.4375</v>
          </cell>
        </row>
        <row r="63">
          <cell r="A63">
            <v>36822</v>
          </cell>
          <cell r="B63">
            <v>82</v>
          </cell>
          <cell r="C63">
            <v>68</v>
          </cell>
          <cell r="D63">
            <v>39.625</v>
          </cell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  <cell r="K63">
            <v>9.4375</v>
          </cell>
        </row>
        <row r="64">
          <cell r="A64">
            <v>36823</v>
          </cell>
          <cell r="B64">
            <v>80.1875</v>
          </cell>
          <cell r="C64">
            <v>62.875</v>
          </cell>
          <cell r="D64">
            <v>47.125</v>
          </cell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  <cell r="K64">
            <v>9.125</v>
          </cell>
        </row>
        <row r="65">
          <cell r="A65">
            <v>36824</v>
          </cell>
          <cell r="B65">
            <v>76.125</v>
          </cell>
          <cell r="C65">
            <v>51.75</v>
          </cell>
          <cell r="D65">
            <v>41.875</v>
          </cell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  <cell r="K65">
            <v>8.8125</v>
          </cell>
        </row>
        <row r="66">
          <cell r="A66">
            <v>36825</v>
          </cell>
          <cell r="B66">
            <v>77.5</v>
          </cell>
          <cell r="C66">
            <v>44.125</v>
          </cell>
          <cell r="D66">
            <v>41.9375</v>
          </cell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  <cell r="K66">
            <v>8.375</v>
          </cell>
        </row>
        <row r="67">
          <cell r="A67">
            <v>36826</v>
          </cell>
          <cell r="B67">
            <v>78.875</v>
          </cell>
          <cell r="C67">
            <v>45.375</v>
          </cell>
          <cell r="D67">
            <v>40.5</v>
          </cell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  <cell r="K67">
            <v>7.875</v>
          </cell>
        </row>
        <row r="68">
          <cell r="A68">
            <v>36829</v>
          </cell>
          <cell r="B68">
            <v>80.688000000000002</v>
          </cell>
          <cell r="C68">
            <v>40</v>
          </cell>
          <cell r="D68">
            <v>36</v>
          </cell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  <cell r="K68">
            <v>7.75</v>
          </cell>
        </row>
        <row r="69">
          <cell r="A69">
            <v>36830</v>
          </cell>
          <cell r="B69">
            <v>82.063000000000002</v>
          </cell>
          <cell r="C69">
            <v>43.375</v>
          </cell>
          <cell r="D69">
            <v>38.125</v>
          </cell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  <cell r="K69">
            <v>7.75</v>
          </cell>
        </row>
        <row r="70">
          <cell r="A70">
            <v>36831</v>
          </cell>
          <cell r="B70">
            <v>83.25</v>
          </cell>
          <cell r="C70">
            <v>39.9375</v>
          </cell>
          <cell r="D70">
            <v>36.875</v>
          </cell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  <cell r="K70">
            <v>8.3125</v>
          </cell>
        </row>
        <row r="71">
          <cell r="A71">
            <v>36832</v>
          </cell>
          <cell r="B71">
            <v>81.75</v>
          </cell>
          <cell r="C71">
            <v>45.875</v>
          </cell>
          <cell r="D71">
            <v>33.875</v>
          </cell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  <cell r="K71">
            <v>8.5625</v>
          </cell>
        </row>
        <row r="72">
          <cell r="A72">
            <v>36833</v>
          </cell>
          <cell r="B72">
            <v>77.375</v>
          </cell>
          <cell r="C72">
            <v>50.5</v>
          </cell>
          <cell r="D72">
            <v>31</v>
          </cell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  <cell r="K72">
            <v>9.5</v>
          </cell>
        </row>
        <row r="73">
          <cell r="A73">
            <v>36836</v>
          </cell>
          <cell r="B73">
            <v>81.563000000000002</v>
          </cell>
          <cell r="C73">
            <v>45.125</v>
          </cell>
          <cell r="D73">
            <v>28.5</v>
          </cell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  <cell r="K73">
            <v>9</v>
          </cell>
        </row>
        <row r="74">
          <cell r="A74">
            <v>36837</v>
          </cell>
          <cell r="B74">
            <v>81.813000000000002</v>
          </cell>
          <cell r="C74">
            <v>47.6875</v>
          </cell>
          <cell r="D74">
            <v>27.4375</v>
          </cell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  <cell r="K74">
            <v>9.125</v>
          </cell>
        </row>
        <row r="75">
          <cell r="A75">
            <v>36838</v>
          </cell>
          <cell r="B75">
            <v>82.125</v>
          </cell>
          <cell r="C75">
            <v>44.015625</v>
          </cell>
          <cell r="D75">
            <v>26</v>
          </cell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  <cell r="K75">
            <v>9.25</v>
          </cell>
        </row>
        <row r="76">
          <cell r="A76">
            <v>36839</v>
          </cell>
          <cell r="B76">
            <v>82.938000000000002</v>
          </cell>
          <cell r="C76">
            <v>44.875</v>
          </cell>
          <cell r="D76">
            <v>23.375</v>
          </cell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  <cell r="K76">
            <v>8.8125</v>
          </cell>
        </row>
        <row r="77">
          <cell r="A77">
            <v>36840</v>
          </cell>
          <cell r="B77">
            <v>82.9375</v>
          </cell>
          <cell r="C77">
            <v>41.25</v>
          </cell>
          <cell r="D77">
            <v>20.5625</v>
          </cell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  <cell r="K77">
            <v>9.125</v>
          </cell>
        </row>
        <row r="78">
          <cell r="A78">
            <v>36843</v>
          </cell>
          <cell r="B78">
            <v>79.438000000000002</v>
          </cell>
          <cell r="C78">
            <v>39.6875</v>
          </cell>
          <cell r="D78">
            <v>20</v>
          </cell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  <cell r="K78">
            <v>8.8125</v>
          </cell>
        </row>
        <row r="79">
          <cell r="A79">
            <v>36844</v>
          </cell>
          <cell r="B79">
            <v>79.563000000000002</v>
          </cell>
          <cell r="C79">
            <v>43</v>
          </cell>
          <cell r="D79">
            <v>22.875</v>
          </cell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  <cell r="K79">
            <v>8.875</v>
          </cell>
        </row>
        <row r="80">
          <cell r="A80">
            <v>36845</v>
          </cell>
          <cell r="B80">
            <v>80.375</v>
          </cell>
          <cell r="C80">
            <v>40.4375</v>
          </cell>
          <cell r="D80">
            <v>20.375</v>
          </cell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  <cell r="K80">
            <v>8.875</v>
          </cell>
        </row>
        <row r="81">
          <cell r="A81">
            <v>36846</v>
          </cell>
          <cell r="B81">
            <v>81.25</v>
          </cell>
          <cell r="C81">
            <v>35.25</v>
          </cell>
          <cell r="D81">
            <v>20.25</v>
          </cell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  <cell r="K81">
            <v>9</v>
          </cell>
        </row>
        <row r="82">
          <cell r="A82">
            <v>36847</v>
          </cell>
          <cell r="B82">
            <v>81.5</v>
          </cell>
          <cell r="C82">
            <v>28.875</v>
          </cell>
          <cell r="D82">
            <v>18.6875</v>
          </cell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  <cell r="K82">
            <v>9</v>
          </cell>
        </row>
        <row r="83">
          <cell r="A83">
            <v>36850</v>
          </cell>
          <cell r="B83">
            <v>80.25</v>
          </cell>
          <cell r="C83">
            <v>24.25</v>
          </cell>
          <cell r="D83">
            <v>18</v>
          </cell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  <cell r="K83">
            <v>8.625</v>
          </cell>
        </row>
        <row r="84">
          <cell r="A84">
            <v>36851</v>
          </cell>
          <cell r="B84">
            <v>80.375</v>
          </cell>
          <cell r="C84">
            <v>26.5</v>
          </cell>
          <cell r="D84">
            <v>18.625</v>
          </cell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  <cell r="K84">
            <v>8.75</v>
          </cell>
        </row>
        <row r="85">
          <cell r="A85">
            <v>36852</v>
          </cell>
          <cell r="B85">
            <v>75.563000000000002</v>
          </cell>
          <cell r="C85">
            <v>21.75</v>
          </cell>
          <cell r="D85">
            <v>16.6875</v>
          </cell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  <cell r="K85">
            <v>9</v>
          </cell>
        </row>
        <row r="86">
          <cell r="A86">
            <v>36854</v>
          </cell>
          <cell r="B86">
            <v>77.75</v>
          </cell>
          <cell r="C86">
            <v>23.125</v>
          </cell>
          <cell r="D86">
            <v>18.375</v>
          </cell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  <cell r="K86">
            <v>9</v>
          </cell>
        </row>
        <row r="87">
          <cell r="A87">
            <v>36857</v>
          </cell>
          <cell r="B87">
            <v>78.875</v>
          </cell>
          <cell r="C87">
            <v>19.8125</v>
          </cell>
          <cell r="D87">
            <v>17.5</v>
          </cell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  <cell r="K87">
            <v>8.5625</v>
          </cell>
        </row>
        <row r="88">
          <cell r="A88">
            <v>36858</v>
          </cell>
          <cell r="B88">
            <v>78.438000000000002</v>
          </cell>
          <cell r="C88">
            <v>17.0625</v>
          </cell>
          <cell r="D88">
            <v>15.1875</v>
          </cell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  <cell r="K88">
            <v>8.375</v>
          </cell>
        </row>
        <row r="89">
          <cell r="A89">
            <v>36859</v>
          </cell>
          <cell r="B89">
            <v>70.25</v>
          </cell>
          <cell r="C89">
            <v>19.75</v>
          </cell>
          <cell r="D89">
            <v>14.375</v>
          </cell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  <cell r="K89">
            <v>8.3125</v>
          </cell>
        </row>
        <row r="90">
          <cell r="A90">
            <v>36860</v>
          </cell>
          <cell r="B90">
            <v>64.75</v>
          </cell>
          <cell r="C90">
            <v>21.125</v>
          </cell>
          <cell r="D90">
            <v>13.6875</v>
          </cell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  <cell r="K90">
            <v>8.1875</v>
          </cell>
        </row>
        <row r="91">
          <cell r="A91">
            <v>36861</v>
          </cell>
          <cell r="B91">
            <v>65.5</v>
          </cell>
          <cell r="C91">
            <v>21.75</v>
          </cell>
          <cell r="D91">
            <v>16.8125</v>
          </cell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  <cell r="K91">
            <v>8</v>
          </cell>
        </row>
        <row r="92">
          <cell r="A92">
            <v>36864</v>
          </cell>
          <cell r="B92">
            <v>65.938000000000002</v>
          </cell>
          <cell r="C92">
            <v>18</v>
          </cell>
          <cell r="D92">
            <v>17</v>
          </cell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  <cell r="K92">
            <v>8.5</v>
          </cell>
        </row>
        <row r="93">
          <cell r="A93">
            <v>36865</v>
          </cell>
          <cell r="B93">
            <v>68.25</v>
          </cell>
          <cell r="C93">
            <v>31.75</v>
          </cell>
          <cell r="D93">
            <v>20</v>
          </cell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  <cell r="K93">
            <v>8.25</v>
          </cell>
        </row>
        <row r="94">
          <cell r="A94">
            <v>36866</v>
          </cell>
          <cell r="B94">
            <v>71.938000000000002</v>
          </cell>
          <cell r="C94">
            <v>32.375</v>
          </cell>
          <cell r="D94">
            <v>22.625</v>
          </cell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  <cell r="K94">
            <v>7.875</v>
          </cell>
        </row>
        <row r="95">
          <cell r="A95">
            <v>36867</v>
          </cell>
          <cell r="B95">
            <v>72.875</v>
          </cell>
          <cell r="C95">
            <v>34.5625</v>
          </cell>
          <cell r="D95">
            <v>19.0625</v>
          </cell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  <cell r="K95">
            <v>7.875</v>
          </cell>
        </row>
        <row r="96">
          <cell r="A96">
            <v>36868</v>
          </cell>
          <cell r="B96">
            <v>73.063000000000002</v>
          </cell>
          <cell r="C96">
            <v>38.9375</v>
          </cell>
          <cell r="D96">
            <v>23.4375</v>
          </cell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  <cell r="K96">
            <v>8</v>
          </cell>
        </row>
        <row r="97">
          <cell r="A97">
            <v>36871</v>
          </cell>
          <cell r="B97">
            <v>76.5</v>
          </cell>
          <cell r="C97">
            <v>42.375</v>
          </cell>
          <cell r="D97">
            <v>25.875</v>
          </cell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  <cell r="K97">
            <v>8.5</v>
          </cell>
        </row>
        <row r="98">
          <cell r="A98">
            <v>36872</v>
          </cell>
          <cell r="B98">
            <v>77.188000000000002</v>
          </cell>
          <cell r="C98">
            <v>40.25</v>
          </cell>
          <cell r="D98">
            <v>23.125</v>
          </cell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  <cell r="K98">
            <v>8.25</v>
          </cell>
        </row>
        <row r="99">
          <cell r="A99">
            <v>36873</v>
          </cell>
          <cell r="B99">
            <v>74.5</v>
          </cell>
          <cell r="C99">
            <v>37.6875</v>
          </cell>
          <cell r="D99">
            <v>22.625</v>
          </cell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  <cell r="K99">
            <v>8.125</v>
          </cell>
        </row>
        <row r="100">
          <cell r="A100">
            <v>36874</v>
          </cell>
          <cell r="B100">
            <v>76.5</v>
          </cell>
          <cell r="C100">
            <v>33.3125</v>
          </cell>
          <cell r="D100">
            <v>22.0625</v>
          </cell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  <cell r="K100">
            <v>8.1875</v>
          </cell>
          <cell r="L100">
            <v>13.125</v>
          </cell>
        </row>
        <row r="101">
          <cell r="A101">
            <v>36875</v>
          </cell>
          <cell r="B101">
            <v>77.563000000000002</v>
          </cell>
          <cell r="C101">
            <v>31.25</v>
          </cell>
          <cell r="D101">
            <v>19.875</v>
          </cell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  <cell r="K101">
            <v>8.25</v>
          </cell>
          <cell r="L101">
            <v>12.875</v>
          </cell>
        </row>
        <row r="102">
          <cell r="A102">
            <v>36878</v>
          </cell>
          <cell r="B102">
            <v>79.563000000000002</v>
          </cell>
          <cell r="C102">
            <v>27.9375</v>
          </cell>
          <cell r="D102">
            <v>18.5</v>
          </cell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  <cell r="K102">
            <v>8.3125</v>
          </cell>
          <cell r="L102">
            <v>13.75</v>
          </cell>
        </row>
        <row r="103">
          <cell r="A103">
            <v>36879</v>
          </cell>
          <cell r="B103">
            <v>79.75</v>
          </cell>
          <cell r="C103">
            <v>22.8125</v>
          </cell>
          <cell r="D103">
            <v>17.625</v>
          </cell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  <cell r="K103">
            <v>8</v>
          </cell>
          <cell r="L103">
            <v>13.688000000000001</v>
          </cell>
        </row>
        <row r="104">
          <cell r="A104">
            <v>36880</v>
          </cell>
          <cell r="B104">
            <v>79.75</v>
          </cell>
          <cell r="C104">
            <v>18.875</v>
          </cell>
          <cell r="D104">
            <v>15.25</v>
          </cell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  <cell r="K104">
            <v>8</v>
          </cell>
          <cell r="L104">
            <v>14.938000000000001</v>
          </cell>
        </row>
        <row r="105">
          <cell r="A105">
            <v>36881</v>
          </cell>
          <cell r="B105">
            <v>79.313000000000002</v>
          </cell>
          <cell r="C105">
            <v>19.8125</v>
          </cell>
          <cell r="D105">
            <v>16.9375</v>
          </cell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  <cell r="K105">
            <v>7.875</v>
          </cell>
          <cell r="L105">
            <v>16.5</v>
          </cell>
        </row>
        <row r="106">
          <cell r="A106">
            <v>36882</v>
          </cell>
          <cell r="B106">
            <v>81.188000000000002</v>
          </cell>
          <cell r="C106">
            <v>24.9375</v>
          </cell>
          <cell r="D106">
            <v>17.4375</v>
          </cell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  <cell r="K106">
            <v>8.25</v>
          </cell>
          <cell r="L106">
            <v>16.4375</v>
          </cell>
        </row>
        <row r="107">
          <cell r="A107">
            <v>36886</v>
          </cell>
          <cell r="B107">
            <v>83.5</v>
          </cell>
          <cell r="C107">
            <v>26.25</v>
          </cell>
          <cell r="D107">
            <v>20.375</v>
          </cell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  <cell r="K107">
            <v>8.375</v>
          </cell>
          <cell r="L107">
            <v>16.25</v>
          </cell>
        </row>
        <row r="108">
          <cell r="A108">
            <v>36887</v>
          </cell>
          <cell r="B108">
            <v>82.813000000000002</v>
          </cell>
          <cell r="C108">
            <v>25.25</v>
          </cell>
          <cell r="D108">
            <v>20.875</v>
          </cell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  <cell r="K108">
            <v>8.4375</v>
          </cell>
          <cell r="L108">
            <v>17.25</v>
          </cell>
        </row>
        <row r="109">
          <cell r="A109">
            <v>36888</v>
          </cell>
          <cell r="B109">
            <v>84.625</v>
          </cell>
          <cell r="C109">
            <v>27.5</v>
          </cell>
          <cell r="D109">
            <v>24.5</v>
          </cell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  <cell r="K109">
            <v>9.75</v>
          </cell>
          <cell r="L109">
            <v>18</v>
          </cell>
        </row>
        <row r="110">
          <cell r="A110">
            <v>36889</v>
          </cell>
          <cell r="B110">
            <v>83.125</v>
          </cell>
          <cell r="C110">
            <v>24.625</v>
          </cell>
          <cell r="D110">
            <v>21.9375</v>
          </cell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  <cell r="K110">
            <v>9.625</v>
          </cell>
          <cell r="L110">
            <v>17.25</v>
          </cell>
        </row>
        <row r="111">
          <cell r="A111">
            <v>36893</v>
          </cell>
          <cell r="B111">
            <v>79.875</v>
          </cell>
          <cell r="C111">
            <v>23.25</v>
          </cell>
          <cell r="D111">
            <v>20</v>
          </cell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  <cell r="K111">
            <v>10.375</v>
          </cell>
          <cell r="L111">
            <v>17.25</v>
          </cell>
        </row>
        <row r="112">
          <cell r="A112">
            <v>36894</v>
          </cell>
          <cell r="B112">
            <v>75.063000000000002</v>
          </cell>
          <cell r="C112">
            <v>26</v>
          </cell>
          <cell r="D112">
            <v>20.5625</v>
          </cell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  <cell r="K112">
            <v>9.625</v>
          </cell>
          <cell r="L112">
            <v>16.9375</v>
          </cell>
        </row>
        <row r="113">
          <cell r="A113">
            <v>36895</v>
          </cell>
          <cell r="B113">
            <v>72</v>
          </cell>
          <cell r="C113">
            <v>24.9375</v>
          </cell>
          <cell r="D113">
            <v>19.9375</v>
          </cell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  <cell r="K113">
            <v>9.625</v>
          </cell>
          <cell r="L113">
            <v>16.9375</v>
          </cell>
        </row>
        <row r="114">
          <cell r="A114">
            <v>36896</v>
          </cell>
          <cell r="B114">
            <v>71.375</v>
          </cell>
          <cell r="C114">
            <v>21.3125</v>
          </cell>
          <cell r="D114">
            <v>19.8125</v>
          </cell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  <cell r="K114">
            <v>9.875</v>
          </cell>
          <cell r="L114">
            <v>16.0625</v>
          </cell>
        </row>
        <row r="115">
          <cell r="A115">
            <v>36899</v>
          </cell>
          <cell r="B115">
            <v>71.25</v>
          </cell>
          <cell r="C115">
            <v>19.75</v>
          </cell>
          <cell r="D115">
            <v>20.25</v>
          </cell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  <cell r="K115">
            <v>10</v>
          </cell>
          <cell r="L115">
            <v>15.375</v>
          </cell>
        </row>
        <row r="116">
          <cell r="A116">
            <v>36900</v>
          </cell>
          <cell r="B116">
            <v>68.625</v>
          </cell>
          <cell r="C116">
            <v>26.1875</v>
          </cell>
          <cell r="D116">
            <v>20.5</v>
          </cell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  <cell r="L116">
            <v>15</v>
          </cell>
        </row>
        <row r="117">
          <cell r="A117">
            <v>36901</v>
          </cell>
          <cell r="B117">
            <v>68.938000000000002</v>
          </cell>
          <cell r="C117">
            <v>30.125</v>
          </cell>
          <cell r="D117">
            <v>20.125</v>
          </cell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  <cell r="L117">
            <v>14.75</v>
          </cell>
        </row>
        <row r="118">
          <cell r="A118">
            <v>36902</v>
          </cell>
          <cell r="B118">
            <v>69.438000000000002</v>
          </cell>
          <cell r="C118">
            <v>35.5625</v>
          </cell>
          <cell r="D118">
            <v>22.75</v>
          </cell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  <cell r="L118">
            <v>14.25</v>
          </cell>
        </row>
        <row r="119">
          <cell r="A119">
            <v>36903</v>
          </cell>
          <cell r="B119">
            <v>70.438000000000002</v>
          </cell>
          <cell r="C119">
            <v>37.125</v>
          </cell>
          <cell r="D119">
            <v>23.625</v>
          </cell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  <cell r="L119">
            <v>14.125</v>
          </cell>
        </row>
        <row r="120">
          <cell r="A120">
            <v>36907</v>
          </cell>
          <cell r="B120">
            <v>68.438000000000002</v>
          </cell>
          <cell r="C120">
            <v>33.9375</v>
          </cell>
          <cell r="D120">
            <v>27.625</v>
          </cell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  <cell r="L120">
            <v>13.9375</v>
          </cell>
        </row>
        <row r="121">
          <cell r="A121">
            <v>36908</v>
          </cell>
          <cell r="B121">
            <v>71.125</v>
          </cell>
          <cell r="C121">
            <v>34.9375</v>
          </cell>
          <cell r="D121">
            <v>24</v>
          </cell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  <cell r="L121">
            <v>14.375</v>
          </cell>
        </row>
        <row r="122">
          <cell r="A122">
            <v>36909</v>
          </cell>
          <cell r="B122">
            <v>72.063000000000002</v>
          </cell>
          <cell r="C122">
            <v>34.0625</v>
          </cell>
          <cell r="D122">
            <v>26.75</v>
          </cell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  <cell r="L122">
            <v>14.375</v>
          </cell>
        </row>
        <row r="123">
          <cell r="A123">
            <v>36910</v>
          </cell>
          <cell r="B123">
            <v>70.875</v>
          </cell>
          <cell r="C123">
            <v>31.1875</v>
          </cell>
          <cell r="D123">
            <v>29.0625</v>
          </cell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  <cell r="L123">
            <v>14.5</v>
          </cell>
        </row>
        <row r="124">
          <cell r="A124">
            <v>36913</v>
          </cell>
          <cell r="B124">
            <v>75.0625</v>
          </cell>
          <cell r="C124">
            <v>28.875</v>
          </cell>
          <cell r="D124">
            <v>27.3125</v>
          </cell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  <cell r="L124">
            <v>14.25</v>
          </cell>
        </row>
        <row r="125">
          <cell r="A125">
            <v>36914</v>
          </cell>
          <cell r="B125">
            <v>78.563000000000002</v>
          </cell>
          <cell r="C125">
            <v>37</v>
          </cell>
          <cell r="D125">
            <v>25.5</v>
          </cell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  <cell r="L125">
            <v>14.125</v>
          </cell>
        </row>
        <row r="126">
          <cell r="A126">
            <v>36915</v>
          </cell>
          <cell r="B126">
            <v>79.75</v>
          </cell>
          <cell r="C126">
            <v>33.4375</v>
          </cell>
          <cell r="D126">
            <v>24</v>
          </cell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  <cell r="L126">
            <v>14.3125</v>
          </cell>
        </row>
        <row r="127">
          <cell r="A127">
            <v>36916</v>
          </cell>
          <cell r="B127">
            <v>82</v>
          </cell>
          <cell r="C127">
            <v>31.625</v>
          </cell>
          <cell r="D127">
            <v>20</v>
          </cell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  <cell r="L127">
            <v>14.125</v>
          </cell>
        </row>
        <row r="128">
          <cell r="A128">
            <v>36917</v>
          </cell>
          <cell r="B128">
            <v>82</v>
          </cell>
          <cell r="C128">
            <v>31.25</v>
          </cell>
          <cell r="D128">
            <v>23</v>
          </cell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  <cell r="L128">
            <v>14.3125</v>
          </cell>
        </row>
        <row r="129">
          <cell r="A129">
            <v>36920</v>
          </cell>
          <cell r="B129">
            <v>80.77</v>
          </cell>
          <cell r="C129">
            <v>32</v>
          </cell>
          <cell r="D129">
            <v>22.875</v>
          </cell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  <cell r="L129">
            <v>14.75</v>
          </cell>
        </row>
        <row r="130">
          <cell r="A130">
            <v>36921</v>
          </cell>
          <cell r="B130">
            <v>78.5</v>
          </cell>
          <cell r="C130">
            <v>32.25</v>
          </cell>
          <cell r="D130">
            <v>25</v>
          </cell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  <cell r="L130">
            <v>16</v>
          </cell>
        </row>
        <row r="131">
          <cell r="A131">
            <v>36922</v>
          </cell>
          <cell r="B131">
            <v>80</v>
          </cell>
          <cell r="C131">
            <v>35.5</v>
          </cell>
          <cell r="D131">
            <v>23.75</v>
          </cell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  <cell r="L131">
            <v>16.625</v>
          </cell>
        </row>
        <row r="132">
          <cell r="A132">
            <v>36923</v>
          </cell>
          <cell r="B132">
            <v>78.790000000000006</v>
          </cell>
          <cell r="C132">
            <v>35.8125</v>
          </cell>
          <cell r="D132">
            <v>22</v>
          </cell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  <cell r="L132">
            <v>16.25</v>
          </cell>
        </row>
        <row r="133">
          <cell r="A133">
            <v>36924</v>
          </cell>
          <cell r="B133">
            <v>79.98</v>
          </cell>
          <cell r="C133">
            <v>34.5</v>
          </cell>
          <cell r="D133">
            <v>20.5625</v>
          </cell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  <cell r="L133">
            <v>16.625</v>
          </cell>
        </row>
        <row r="134">
          <cell r="A134">
            <v>36927</v>
          </cell>
          <cell r="B134">
            <v>81.81</v>
          </cell>
          <cell r="C134">
            <v>31.625</v>
          </cell>
          <cell r="D134">
            <v>20.5</v>
          </cell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  <cell r="L134">
            <v>16.5</v>
          </cell>
        </row>
        <row r="135">
          <cell r="A135">
            <v>36928</v>
          </cell>
          <cell r="B135">
            <v>80.150000000000006</v>
          </cell>
          <cell r="C135">
            <v>31.125</v>
          </cell>
          <cell r="D135">
            <v>23.75</v>
          </cell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  <cell r="L135">
            <v>16</v>
          </cell>
        </row>
        <row r="136">
          <cell r="A136">
            <v>36929</v>
          </cell>
          <cell r="B136">
            <v>80.349999999999994</v>
          </cell>
          <cell r="C136">
            <v>27.5625</v>
          </cell>
          <cell r="D136">
            <v>22.6875</v>
          </cell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  <cell r="L136">
            <v>15.875</v>
          </cell>
        </row>
        <row r="137">
          <cell r="A137">
            <v>36930</v>
          </cell>
          <cell r="B137">
            <v>80</v>
          </cell>
          <cell r="C137">
            <v>25.5</v>
          </cell>
          <cell r="D137">
            <v>21.3125</v>
          </cell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  <cell r="L137">
            <v>16.25</v>
          </cell>
        </row>
        <row r="138">
          <cell r="A138">
            <v>36931</v>
          </cell>
          <cell r="B138">
            <v>80.2</v>
          </cell>
          <cell r="C138">
            <v>25.0625</v>
          </cell>
          <cell r="D138">
            <v>20</v>
          </cell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  <cell r="L138">
            <v>15.6875</v>
          </cell>
        </row>
        <row r="139">
          <cell r="A139">
            <v>36934</v>
          </cell>
          <cell r="B139">
            <v>79.8</v>
          </cell>
          <cell r="C139">
            <v>23.875</v>
          </cell>
          <cell r="D139">
            <v>19.4375</v>
          </cell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  <cell r="L139">
            <v>14.875</v>
          </cell>
        </row>
        <row r="140">
          <cell r="A140">
            <v>36935</v>
          </cell>
          <cell r="B140">
            <v>81.150000000000006</v>
          </cell>
          <cell r="C140">
            <v>20.75</v>
          </cell>
          <cell r="D140">
            <v>21.0625</v>
          </cell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  <cell r="L140">
            <v>15</v>
          </cell>
        </row>
        <row r="141">
          <cell r="A141">
            <v>36936</v>
          </cell>
          <cell r="B141">
            <v>80</v>
          </cell>
          <cell r="C141">
            <v>19.875</v>
          </cell>
          <cell r="D141">
            <v>20.8125</v>
          </cell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  <cell r="L141">
            <v>16.125</v>
          </cell>
        </row>
        <row r="142">
          <cell r="A142">
            <v>36937</v>
          </cell>
          <cell r="B142">
            <v>77.900000000000006</v>
          </cell>
          <cell r="C142">
            <v>22.5625</v>
          </cell>
          <cell r="D142">
            <v>20.5</v>
          </cell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  <cell r="L142">
            <v>17</v>
          </cell>
        </row>
        <row r="143">
          <cell r="A143">
            <v>36938</v>
          </cell>
          <cell r="B143">
            <v>76.19</v>
          </cell>
          <cell r="C143">
            <v>20.625</v>
          </cell>
          <cell r="D143">
            <v>20.375</v>
          </cell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  <cell r="L143">
            <v>16.9375</v>
          </cell>
        </row>
        <row r="144">
          <cell r="A144">
            <v>36942</v>
          </cell>
          <cell r="B144">
            <v>75.09</v>
          </cell>
          <cell r="C144">
            <v>17.640625</v>
          </cell>
          <cell r="D144">
            <v>20.625</v>
          </cell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  <cell r="L144">
            <v>16.9375</v>
          </cell>
        </row>
        <row r="145">
          <cell r="A145">
            <v>36943</v>
          </cell>
          <cell r="B145">
            <v>73.09</v>
          </cell>
          <cell r="C145">
            <v>15.125</v>
          </cell>
          <cell r="D145">
            <v>20.375</v>
          </cell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  <cell r="L145">
            <v>16.9375</v>
          </cell>
        </row>
        <row r="146">
          <cell r="A146">
            <v>36944</v>
          </cell>
          <cell r="B146">
            <v>72.150000000000006</v>
          </cell>
          <cell r="C146">
            <v>13.0625</v>
          </cell>
          <cell r="D146">
            <v>19.5</v>
          </cell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  <cell r="L146">
            <v>16.9375</v>
          </cell>
        </row>
        <row r="147">
          <cell r="A147">
            <v>36945</v>
          </cell>
          <cell r="B147">
            <v>71</v>
          </cell>
          <cell r="C147">
            <v>16.109375</v>
          </cell>
          <cell r="D147">
            <v>20.625</v>
          </cell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  <cell r="L147">
            <v>16.9375</v>
          </cell>
        </row>
        <row r="148">
          <cell r="A148">
            <v>36948</v>
          </cell>
          <cell r="B148">
            <v>70.56</v>
          </cell>
          <cell r="C148">
            <v>16.5625</v>
          </cell>
          <cell r="D148">
            <v>21.375</v>
          </cell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  <cell r="L148">
            <v>16.625</v>
          </cell>
        </row>
        <row r="149">
          <cell r="A149">
            <v>36949</v>
          </cell>
          <cell r="B149">
            <v>70.040000000000006</v>
          </cell>
          <cell r="C149">
            <v>15.75</v>
          </cell>
          <cell r="D149">
            <v>21.5625</v>
          </cell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  <cell r="L149">
            <v>16.9375</v>
          </cell>
        </row>
        <row r="150">
          <cell r="A150">
            <v>36950</v>
          </cell>
          <cell r="B150">
            <v>68.5</v>
          </cell>
          <cell r="C150">
            <v>15.0625</v>
          </cell>
          <cell r="D150">
            <v>19.875</v>
          </cell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  <cell r="L150">
            <v>16.25</v>
          </cell>
        </row>
        <row r="151">
          <cell r="A151">
            <v>36951</v>
          </cell>
          <cell r="B151">
            <v>68.680000000000007</v>
          </cell>
          <cell r="C151">
            <v>16.25</v>
          </cell>
          <cell r="D151">
            <v>18.75</v>
          </cell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  <cell r="L151">
            <v>17</v>
          </cell>
        </row>
        <row r="152">
          <cell r="A152">
            <v>36952</v>
          </cell>
          <cell r="B152">
            <v>70.19</v>
          </cell>
          <cell r="C152">
            <v>14.6875</v>
          </cell>
          <cell r="D152">
            <v>18</v>
          </cell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  <cell r="L152">
            <v>16.8125</v>
          </cell>
        </row>
        <row r="153">
          <cell r="A153">
            <v>36955</v>
          </cell>
          <cell r="B153">
            <v>70.11</v>
          </cell>
          <cell r="C153">
            <v>14.375</v>
          </cell>
          <cell r="D153">
            <v>17.375</v>
          </cell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  <cell r="L153">
            <v>17</v>
          </cell>
        </row>
        <row r="154">
          <cell r="A154">
            <v>36956</v>
          </cell>
          <cell r="B154">
            <v>68.87</v>
          </cell>
          <cell r="C154">
            <v>14.0625</v>
          </cell>
          <cell r="D154">
            <v>18.25</v>
          </cell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  <cell r="L154">
            <v>17</v>
          </cell>
        </row>
        <row r="155">
          <cell r="A155">
            <v>36957</v>
          </cell>
          <cell r="B155">
            <v>70</v>
          </cell>
          <cell r="C155">
            <v>14.375</v>
          </cell>
          <cell r="D155">
            <v>20.5</v>
          </cell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  <cell r="L155">
            <v>16.75</v>
          </cell>
        </row>
        <row r="156">
          <cell r="A156">
            <v>36958</v>
          </cell>
          <cell r="B156">
            <v>70.59</v>
          </cell>
          <cell r="C156">
            <v>13.8125</v>
          </cell>
          <cell r="D156">
            <v>19.5</v>
          </cell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  <cell r="L156">
            <v>17.5</v>
          </cell>
        </row>
        <row r="157">
          <cell r="A157">
            <v>36959</v>
          </cell>
          <cell r="B157">
            <v>68.84</v>
          </cell>
          <cell r="C157">
            <v>13.9375</v>
          </cell>
          <cell r="D157">
            <v>18.75</v>
          </cell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  <cell r="L157">
            <v>17.875</v>
          </cell>
        </row>
        <row r="158">
          <cell r="A158">
            <v>36962</v>
          </cell>
          <cell r="B158">
            <v>61.27</v>
          </cell>
          <cell r="C158">
            <v>10.3125</v>
          </cell>
          <cell r="D158">
            <v>17.5625</v>
          </cell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  <cell r="L158">
            <v>17.6875</v>
          </cell>
        </row>
        <row r="159">
          <cell r="A159">
            <v>36963</v>
          </cell>
          <cell r="B159">
            <v>62.05</v>
          </cell>
          <cell r="C159">
            <v>13.9375</v>
          </cell>
          <cell r="D159">
            <v>17.75</v>
          </cell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  <cell r="L159">
            <v>17.5625</v>
          </cell>
        </row>
        <row r="160">
          <cell r="A160">
            <v>36964</v>
          </cell>
          <cell r="B160">
            <v>62.75</v>
          </cell>
          <cell r="C160">
            <v>13.5625</v>
          </cell>
          <cell r="D160">
            <v>17.125</v>
          </cell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  <cell r="L160">
            <v>17.125</v>
          </cell>
        </row>
        <row r="161">
          <cell r="A161">
            <v>36965</v>
          </cell>
          <cell r="B161">
            <v>66.53</v>
          </cell>
          <cell r="C161">
            <v>14.8125</v>
          </cell>
          <cell r="D161">
            <v>18.5</v>
          </cell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  <cell r="L161">
            <v>16.9375</v>
          </cell>
        </row>
        <row r="162">
          <cell r="A162">
            <v>36966</v>
          </cell>
          <cell r="B162">
            <v>62.24</v>
          </cell>
          <cell r="C162">
            <v>15.5</v>
          </cell>
          <cell r="D162">
            <v>17.75</v>
          </cell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  <cell r="L162">
            <v>16.875</v>
          </cell>
        </row>
        <row r="163">
          <cell r="A163">
            <v>36969</v>
          </cell>
          <cell r="B163">
            <v>61.8</v>
          </cell>
          <cell r="C163">
            <v>17.484375</v>
          </cell>
          <cell r="D163">
            <v>18</v>
          </cell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  <cell r="L163">
            <v>17</v>
          </cell>
        </row>
        <row r="164">
          <cell r="A164">
            <v>36970</v>
          </cell>
          <cell r="B164">
            <v>60.95</v>
          </cell>
          <cell r="C164">
            <v>15.375</v>
          </cell>
          <cell r="D164">
            <v>18.5</v>
          </cell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  <cell r="L164">
            <v>17.25</v>
          </cell>
        </row>
        <row r="165">
          <cell r="A165">
            <v>36971</v>
          </cell>
          <cell r="B165">
            <v>55.89</v>
          </cell>
          <cell r="C165">
            <v>14.875</v>
          </cell>
          <cell r="D165">
            <v>17.1875</v>
          </cell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  <cell r="L165">
            <v>17</v>
          </cell>
        </row>
        <row r="166">
          <cell r="A166">
            <v>36972</v>
          </cell>
          <cell r="B166">
            <v>55.02</v>
          </cell>
          <cell r="C166">
            <v>14.4375</v>
          </cell>
          <cell r="D166">
            <v>17.5</v>
          </cell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  <cell r="L166">
            <v>16.4375</v>
          </cell>
        </row>
        <row r="167">
          <cell r="A167">
            <v>36973</v>
          </cell>
          <cell r="B167">
            <v>59.4</v>
          </cell>
          <cell r="C167">
            <v>13.5</v>
          </cell>
          <cell r="D167">
            <v>18</v>
          </cell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  <cell r="L167">
            <v>17.4375</v>
          </cell>
        </row>
        <row r="168">
          <cell r="A168">
            <v>36976</v>
          </cell>
          <cell r="B168">
            <v>61.48</v>
          </cell>
          <cell r="C168">
            <v>13.421875</v>
          </cell>
          <cell r="D168">
            <v>18.375</v>
          </cell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  <cell r="L168">
            <v>17</v>
          </cell>
        </row>
        <row r="169">
          <cell r="A169">
            <v>36977</v>
          </cell>
          <cell r="B169">
            <v>60.46</v>
          </cell>
          <cell r="C169">
            <v>12.3125</v>
          </cell>
          <cell r="D169">
            <v>19.875</v>
          </cell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  <cell r="L169">
            <v>18</v>
          </cell>
        </row>
        <row r="170">
          <cell r="A170">
            <v>36978</v>
          </cell>
          <cell r="B170">
            <v>58.1</v>
          </cell>
          <cell r="C170">
            <v>10.375</v>
          </cell>
          <cell r="D170">
            <v>19.8125</v>
          </cell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  <cell r="L170">
            <v>17.625</v>
          </cell>
        </row>
        <row r="171">
          <cell r="A171">
            <v>36979</v>
          </cell>
          <cell r="B171">
            <v>55.31</v>
          </cell>
          <cell r="C171">
            <v>9.6875</v>
          </cell>
          <cell r="D171">
            <v>19.4375</v>
          </cell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  <cell r="L171">
            <v>19.1875</v>
          </cell>
        </row>
        <row r="172">
          <cell r="A172">
            <v>36980</v>
          </cell>
          <cell r="B172">
            <v>58.1</v>
          </cell>
          <cell r="C172">
            <v>8</v>
          </cell>
          <cell r="D172">
            <v>20.3125</v>
          </cell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  <cell r="L172">
            <v>20.9375</v>
          </cell>
        </row>
        <row r="173">
          <cell r="A173">
            <v>36981</v>
          </cell>
          <cell r="B173">
            <v>58.1</v>
          </cell>
          <cell r="C173">
            <v>8</v>
          </cell>
          <cell r="D173">
            <v>20.3125</v>
          </cell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  <cell r="L173">
            <v>20.9375</v>
          </cell>
        </row>
        <row r="174">
          <cell r="A174">
            <v>36983</v>
          </cell>
          <cell r="B174">
            <v>56.57</v>
          </cell>
          <cell r="C174">
            <v>8.8125</v>
          </cell>
          <cell r="D174">
            <v>18.9375</v>
          </cell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  <cell r="L174">
            <v>19.5625</v>
          </cell>
        </row>
        <row r="175">
          <cell r="A175">
            <v>36984</v>
          </cell>
          <cell r="B175">
            <v>54.06</v>
          </cell>
          <cell r="C175">
            <v>8.8125</v>
          </cell>
          <cell r="D175">
            <v>17.25</v>
          </cell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  <cell r="L175">
            <v>19.5625</v>
          </cell>
        </row>
        <row r="176">
          <cell r="A176">
            <v>36985</v>
          </cell>
          <cell r="B176">
            <v>53.72</v>
          </cell>
          <cell r="C176">
            <v>8.28125</v>
          </cell>
          <cell r="D176">
            <v>16.375</v>
          </cell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  <cell r="L176">
            <v>17.125</v>
          </cell>
        </row>
        <row r="177">
          <cell r="A177">
            <v>36986</v>
          </cell>
          <cell r="B177">
            <v>55.7</v>
          </cell>
          <cell r="C177">
            <v>9.5625</v>
          </cell>
          <cell r="D177">
            <v>17.75</v>
          </cell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  <cell r="L177">
            <v>16.6875</v>
          </cell>
        </row>
        <row r="178">
          <cell r="A178">
            <v>36987</v>
          </cell>
          <cell r="B178">
            <v>53.5</v>
          </cell>
          <cell r="C178">
            <v>8</v>
          </cell>
          <cell r="D178">
            <v>19.125</v>
          </cell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  <cell r="L178">
            <v>17.125</v>
          </cell>
        </row>
        <row r="179">
          <cell r="A179">
            <v>36990</v>
          </cell>
          <cell r="B179">
            <v>55.96</v>
          </cell>
          <cell r="C179">
            <v>8.5500000000000007</v>
          </cell>
          <cell r="D179">
            <v>18.62</v>
          </cell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  <cell r="L179">
            <v>16.850000000000001</v>
          </cell>
        </row>
        <row r="180">
          <cell r="A180">
            <v>36991</v>
          </cell>
          <cell r="B180">
            <v>58.82</v>
          </cell>
          <cell r="C180">
            <v>11.24</v>
          </cell>
          <cell r="D180">
            <v>19.57</v>
          </cell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  <cell r="L180">
            <v>17.12</v>
          </cell>
        </row>
        <row r="181">
          <cell r="A181">
            <v>36992</v>
          </cell>
          <cell r="B181">
            <v>58.51</v>
          </cell>
          <cell r="C181">
            <v>11.23</v>
          </cell>
          <cell r="D181">
            <v>20.170000000000002</v>
          </cell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  <cell r="L181">
            <v>15.88</v>
          </cell>
        </row>
        <row r="182">
          <cell r="A182">
            <v>36993</v>
          </cell>
          <cell r="B182">
            <v>57.3</v>
          </cell>
          <cell r="C182">
            <v>12.75</v>
          </cell>
          <cell r="D182">
            <v>20.41</v>
          </cell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  <cell r="L182">
            <v>16</v>
          </cell>
        </row>
        <row r="183">
          <cell r="A183">
            <v>36997</v>
          </cell>
          <cell r="B183">
            <v>59.44</v>
          </cell>
          <cell r="C183">
            <v>12.29</v>
          </cell>
          <cell r="D183">
            <v>19.829999999999998</v>
          </cell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  <cell r="L183">
            <v>16</v>
          </cell>
        </row>
        <row r="184">
          <cell r="A184">
            <v>36998</v>
          </cell>
          <cell r="B184">
            <v>60</v>
          </cell>
          <cell r="C184">
            <v>12.81</v>
          </cell>
          <cell r="D184">
            <v>21.5</v>
          </cell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  <cell r="L184">
            <v>16.059999999999999</v>
          </cell>
        </row>
        <row r="185">
          <cell r="A185">
            <v>36999</v>
          </cell>
          <cell r="B185">
            <v>61.62</v>
          </cell>
          <cell r="C185">
            <v>14.3</v>
          </cell>
          <cell r="D185">
            <v>23.05</v>
          </cell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  <cell r="L185">
            <v>16</v>
          </cell>
        </row>
        <row r="186">
          <cell r="A186">
            <v>37000</v>
          </cell>
          <cell r="B186">
            <v>61.16</v>
          </cell>
          <cell r="C186">
            <v>14.86</v>
          </cell>
          <cell r="D186">
            <v>20.260000000000002</v>
          </cell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  <cell r="L186">
            <v>15.6</v>
          </cell>
        </row>
        <row r="187">
          <cell r="A187">
            <v>37001</v>
          </cell>
          <cell r="B187">
            <v>59.99</v>
          </cell>
          <cell r="C187">
            <v>14.07</v>
          </cell>
          <cell r="D187">
            <v>21.5</v>
          </cell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  <cell r="L187">
            <v>14.5</v>
          </cell>
        </row>
        <row r="188">
          <cell r="A188">
            <v>37004</v>
          </cell>
          <cell r="B188">
            <v>61.65</v>
          </cell>
          <cell r="C188">
            <v>11.54</v>
          </cell>
          <cell r="D188">
            <v>21</v>
          </cell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  <cell r="L188">
            <v>14.8</v>
          </cell>
        </row>
        <row r="189">
          <cell r="A189">
            <v>37005</v>
          </cell>
          <cell r="B189">
            <v>61.87</v>
          </cell>
          <cell r="C189">
            <v>11.37</v>
          </cell>
          <cell r="D189">
            <v>20.420000000000002</v>
          </cell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  <cell r="L189">
            <v>14.75</v>
          </cell>
        </row>
        <row r="190">
          <cell r="A190">
            <v>37006</v>
          </cell>
          <cell r="B190">
            <v>62.88</v>
          </cell>
          <cell r="C190">
            <v>11.37</v>
          </cell>
          <cell r="D190">
            <v>21.31</v>
          </cell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  <cell r="L190">
            <v>15.25</v>
          </cell>
        </row>
        <row r="191">
          <cell r="A191">
            <v>37007</v>
          </cell>
          <cell r="B191">
            <v>63.66</v>
          </cell>
          <cell r="C191">
            <v>10.32</v>
          </cell>
          <cell r="D191">
            <v>22.45</v>
          </cell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  <cell r="L191">
            <v>14.9</v>
          </cell>
        </row>
        <row r="192">
          <cell r="A192">
            <v>37008</v>
          </cell>
          <cell r="B192">
            <v>63.5</v>
          </cell>
          <cell r="C192">
            <v>10.08</v>
          </cell>
          <cell r="D192">
            <v>22.78</v>
          </cell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  <cell r="L192">
            <v>15.52</v>
          </cell>
        </row>
        <row r="193">
          <cell r="A193">
            <v>37011</v>
          </cell>
          <cell r="B193">
            <v>62.72</v>
          </cell>
          <cell r="C193">
            <v>10.1</v>
          </cell>
          <cell r="D193">
            <v>22.35</v>
          </cell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  <cell r="L193">
            <v>16.5</v>
          </cell>
        </row>
        <row r="194">
          <cell r="A194">
            <v>37012</v>
          </cell>
          <cell r="B194">
            <v>62.41</v>
          </cell>
          <cell r="C194">
            <v>11.51</v>
          </cell>
          <cell r="D194">
            <v>25.36</v>
          </cell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  <cell r="L194">
            <v>16</v>
          </cell>
        </row>
        <row r="195">
          <cell r="A195">
            <v>37013</v>
          </cell>
          <cell r="B195">
            <v>60.5</v>
          </cell>
          <cell r="C195">
            <v>13.99</v>
          </cell>
          <cell r="D195">
            <v>24.59</v>
          </cell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  <cell r="L195">
            <v>17.22</v>
          </cell>
        </row>
        <row r="196">
          <cell r="A196">
            <v>37014</v>
          </cell>
          <cell r="B196">
            <v>58.35</v>
          </cell>
          <cell r="C196">
            <v>14.65</v>
          </cell>
          <cell r="D196">
            <v>24.16</v>
          </cell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  <cell r="L196">
            <v>17.05</v>
          </cell>
        </row>
        <row r="197">
          <cell r="A197">
            <v>37015</v>
          </cell>
          <cell r="B197">
            <v>59.48</v>
          </cell>
          <cell r="C197">
            <v>14.98</v>
          </cell>
          <cell r="D197">
            <v>24.6</v>
          </cell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  <cell r="L197">
            <v>17</v>
          </cell>
        </row>
        <row r="198">
          <cell r="A198">
            <v>37018</v>
          </cell>
          <cell r="B198">
            <v>58.04</v>
          </cell>
          <cell r="C198">
            <v>14.64</v>
          </cell>
          <cell r="D198">
            <v>24.65</v>
          </cell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  <cell r="L198">
            <v>16.149999999999999</v>
          </cell>
        </row>
        <row r="199">
          <cell r="A199">
            <v>37019</v>
          </cell>
          <cell r="B199">
            <v>56.11</v>
          </cell>
          <cell r="C199">
            <v>14.25</v>
          </cell>
          <cell r="D199">
            <v>24.2</v>
          </cell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  <cell r="L199">
            <v>16.399999999999999</v>
          </cell>
        </row>
        <row r="200">
          <cell r="A200">
            <v>37020</v>
          </cell>
          <cell r="B200">
            <v>59.2</v>
          </cell>
          <cell r="C200">
            <v>13.51</v>
          </cell>
          <cell r="D200">
            <v>25.65</v>
          </cell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  <cell r="L200">
            <v>18</v>
          </cell>
        </row>
        <row r="201">
          <cell r="A201">
            <v>37021</v>
          </cell>
          <cell r="B201">
            <v>57.6</v>
          </cell>
          <cell r="C201">
            <v>12.86</v>
          </cell>
          <cell r="D201">
            <v>25.8</v>
          </cell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  <cell r="L201">
            <v>17.95</v>
          </cell>
        </row>
        <row r="202">
          <cell r="A202">
            <v>37022</v>
          </cell>
          <cell r="B202">
            <v>58.2</v>
          </cell>
          <cell r="C202">
            <v>13.59</v>
          </cell>
          <cell r="D202">
            <v>26.66</v>
          </cell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  <cell r="L202">
            <v>17.399999999999999</v>
          </cell>
        </row>
        <row r="203">
          <cell r="A203">
            <v>37025</v>
          </cell>
          <cell r="B203">
            <v>58.75</v>
          </cell>
          <cell r="C203">
            <v>12.62</v>
          </cell>
          <cell r="D203">
            <v>26.1</v>
          </cell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  <cell r="L203">
            <v>17.850000000000001</v>
          </cell>
        </row>
        <row r="204">
          <cell r="A204">
            <v>37026</v>
          </cell>
          <cell r="B204">
            <v>56.99</v>
          </cell>
          <cell r="C204">
            <v>11.54</v>
          </cell>
          <cell r="D204">
            <v>26.17</v>
          </cell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  <cell r="L204">
            <v>17.899999999999999</v>
          </cell>
        </row>
        <row r="205">
          <cell r="A205">
            <v>37027</v>
          </cell>
          <cell r="B205">
            <v>55.01</v>
          </cell>
          <cell r="C205">
            <v>12.4</v>
          </cell>
          <cell r="D205">
            <v>27.12</v>
          </cell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  <cell r="L205">
            <v>18.2</v>
          </cell>
        </row>
        <row r="206">
          <cell r="A206">
            <v>37028</v>
          </cell>
          <cell r="B206">
            <v>52.2</v>
          </cell>
          <cell r="C206">
            <v>12.4</v>
          </cell>
          <cell r="D206">
            <v>28.75</v>
          </cell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  <cell r="L206">
            <v>19.350000000000001</v>
          </cell>
        </row>
        <row r="207">
          <cell r="A207">
            <v>37029</v>
          </cell>
          <cell r="B207">
            <v>54.9</v>
          </cell>
          <cell r="C207">
            <v>12.79</v>
          </cell>
          <cell r="D207">
            <v>29.95</v>
          </cell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  <cell r="L207">
            <v>20.46</v>
          </cell>
        </row>
        <row r="208">
          <cell r="A208">
            <v>37032</v>
          </cell>
          <cell r="B208">
            <v>54.99</v>
          </cell>
          <cell r="C208">
            <v>13.7</v>
          </cell>
          <cell r="D208">
            <v>29.13</v>
          </cell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  <cell r="L208">
            <v>21.8</v>
          </cell>
        </row>
        <row r="209">
          <cell r="A209">
            <v>37033</v>
          </cell>
          <cell r="B209">
            <v>54.95</v>
          </cell>
          <cell r="C209">
            <v>14.57</v>
          </cell>
          <cell r="D209">
            <v>28.05</v>
          </cell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  <cell r="L209">
            <v>20.79</v>
          </cell>
        </row>
        <row r="210">
          <cell r="A210">
            <v>37034</v>
          </cell>
          <cell r="B210">
            <v>55.35</v>
          </cell>
          <cell r="C210">
            <v>13.62</v>
          </cell>
          <cell r="D210">
            <v>24.94</v>
          </cell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  <cell r="L210">
            <v>19.809999999999999</v>
          </cell>
        </row>
        <row r="211">
          <cell r="A211">
            <v>37035</v>
          </cell>
          <cell r="B211">
            <v>54.16</v>
          </cell>
          <cell r="C211">
            <v>13.94</v>
          </cell>
          <cell r="D211">
            <v>26.4</v>
          </cell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  <cell r="L211">
            <v>19.75</v>
          </cell>
        </row>
        <row r="212">
          <cell r="A212">
            <v>37036</v>
          </cell>
          <cell r="B212">
            <v>53</v>
          </cell>
          <cell r="C212">
            <v>13.27</v>
          </cell>
          <cell r="D212">
            <v>27.3</v>
          </cell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  <cell r="L212">
            <v>20.98</v>
          </cell>
        </row>
        <row r="213">
          <cell r="A213">
            <v>37040</v>
          </cell>
          <cell r="B213">
            <v>53.05</v>
          </cell>
          <cell r="C213">
            <v>11.42</v>
          </cell>
          <cell r="D213">
            <v>27.36</v>
          </cell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  <cell r="L213">
            <v>20.75</v>
          </cell>
        </row>
        <row r="214">
          <cell r="A214">
            <v>37041</v>
          </cell>
          <cell r="B214">
            <v>53.23</v>
          </cell>
          <cell r="C214">
            <v>10.11</v>
          </cell>
          <cell r="D214">
            <v>24.03</v>
          </cell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  <cell r="L214">
            <v>19.47</v>
          </cell>
        </row>
        <row r="215">
          <cell r="A215">
            <v>37042</v>
          </cell>
          <cell r="B215">
            <v>52.91</v>
          </cell>
          <cell r="C215">
            <v>10.130000000000001</v>
          </cell>
          <cell r="D215">
            <v>24.45</v>
          </cell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  <cell r="L215">
            <v>19.25</v>
          </cell>
        </row>
        <row r="216">
          <cell r="A216">
            <v>37043</v>
          </cell>
          <cell r="B216">
            <v>53.04</v>
          </cell>
          <cell r="C216">
            <v>10.18</v>
          </cell>
          <cell r="D216">
            <v>24.9</v>
          </cell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  <cell r="L216">
            <v>19.2</v>
          </cell>
        </row>
        <row r="217">
          <cell r="A217">
            <v>37046</v>
          </cell>
          <cell r="B217">
            <v>54.54</v>
          </cell>
          <cell r="C217">
            <v>10.35</v>
          </cell>
          <cell r="D217">
            <v>22.68</v>
          </cell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  <cell r="L217">
            <v>19.95</v>
          </cell>
        </row>
        <row r="218">
          <cell r="A218">
            <v>37047</v>
          </cell>
          <cell r="B218">
            <v>53.75</v>
          </cell>
          <cell r="C218">
            <v>10.99</v>
          </cell>
          <cell r="D218">
            <v>24.87</v>
          </cell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  <cell r="L218">
            <v>20.37</v>
          </cell>
        </row>
        <row r="219">
          <cell r="A219">
            <v>37048</v>
          </cell>
          <cell r="B219">
            <v>52.33</v>
          </cell>
          <cell r="C219">
            <v>10.210000000000001</v>
          </cell>
          <cell r="D219">
            <v>25.9</v>
          </cell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  <cell r="L219">
            <v>20.350000000000001</v>
          </cell>
        </row>
        <row r="220">
          <cell r="A220">
            <v>37049</v>
          </cell>
          <cell r="B220">
            <v>50.52</v>
          </cell>
          <cell r="C220">
            <v>10.32</v>
          </cell>
          <cell r="D220">
            <v>24.83</v>
          </cell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  <cell r="L220">
            <v>20.9</v>
          </cell>
        </row>
        <row r="221">
          <cell r="A221">
            <v>37050</v>
          </cell>
          <cell r="B221">
            <v>51.13</v>
          </cell>
          <cell r="C221">
            <v>9.24</v>
          </cell>
          <cell r="D221">
            <v>22.97</v>
          </cell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  <cell r="L221">
            <v>21.1</v>
          </cell>
        </row>
        <row r="222">
          <cell r="A222">
            <v>37053</v>
          </cell>
          <cell r="B222">
            <v>51</v>
          </cell>
          <cell r="C222">
            <v>8.8000000000000007</v>
          </cell>
          <cell r="D222">
            <v>22</v>
          </cell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  <cell r="L222">
            <v>20.61</v>
          </cell>
        </row>
        <row r="223">
          <cell r="A223">
            <v>37054</v>
          </cell>
          <cell r="B223">
            <v>50.37</v>
          </cell>
          <cell r="C223">
            <v>8.52</v>
          </cell>
          <cell r="D223">
            <v>20.95</v>
          </cell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  <cell r="L223">
            <v>19.649999999999999</v>
          </cell>
        </row>
        <row r="224">
          <cell r="A224">
            <v>37055</v>
          </cell>
          <cell r="B224">
            <v>49.92</v>
          </cell>
          <cell r="C224">
            <v>8</v>
          </cell>
          <cell r="D224">
            <v>19.75</v>
          </cell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  <cell r="L224">
            <v>19</v>
          </cell>
        </row>
        <row r="225">
          <cell r="A225">
            <v>37056</v>
          </cell>
          <cell r="B225">
            <v>47.91</v>
          </cell>
          <cell r="C225">
            <v>7.44</v>
          </cell>
          <cell r="D225">
            <v>19.079999999999998</v>
          </cell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  <cell r="L225">
            <v>17.899999999999999</v>
          </cell>
        </row>
        <row r="226">
          <cell r="A226">
            <v>37057</v>
          </cell>
          <cell r="B226">
            <v>47.26</v>
          </cell>
          <cell r="C226">
            <v>6.84</v>
          </cell>
          <cell r="D226">
            <v>20.95</v>
          </cell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  <cell r="L226">
            <v>17.239999999999998</v>
          </cell>
        </row>
        <row r="227">
          <cell r="A227">
            <v>37060</v>
          </cell>
          <cell r="B227">
            <v>44.7</v>
          </cell>
          <cell r="C227">
            <v>6.05</v>
          </cell>
          <cell r="D227">
            <v>19.02</v>
          </cell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  <cell r="L227">
            <v>17.010000000000002</v>
          </cell>
        </row>
        <row r="228">
          <cell r="A228">
            <v>37061</v>
          </cell>
          <cell r="B228">
            <v>46.18</v>
          </cell>
          <cell r="C228">
            <v>5.17</v>
          </cell>
          <cell r="D228">
            <v>18.25</v>
          </cell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  <cell r="L228">
            <v>16.600000000000001</v>
          </cell>
        </row>
        <row r="229">
          <cell r="A229">
            <v>37062</v>
          </cell>
          <cell r="B229">
            <v>45.8</v>
          </cell>
          <cell r="C229">
            <v>5.33</v>
          </cell>
          <cell r="D229">
            <v>15.5</v>
          </cell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  <cell r="L229">
            <v>17.07</v>
          </cell>
        </row>
        <row r="230">
          <cell r="A230">
            <v>37063</v>
          </cell>
          <cell r="B230">
            <v>44.05</v>
          </cell>
          <cell r="C230">
            <v>6.97</v>
          </cell>
          <cell r="D230">
            <v>17.579999999999998</v>
          </cell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  <cell r="L230">
            <v>17.07</v>
          </cell>
        </row>
        <row r="231">
          <cell r="A231">
            <v>37064</v>
          </cell>
          <cell r="B231">
            <v>44.88</v>
          </cell>
          <cell r="C231">
            <v>6.9</v>
          </cell>
          <cell r="D231">
            <v>18.47</v>
          </cell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  <cell r="L231">
            <v>16.649999999999999</v>
          </cell>
        </row>
        <row r="232">
          <cell r="A232">
            <v>37067</v>
          </cell>
          <cell r="B232">
            <v>44.07</v>
          </cell>
          <cell r="C232">
            <v>7.45</v>
          </cell>
          <cell r="D232">
            <v>19.73</v>
          </cell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  <cell r="L232">
            <v>16</v>
          </cell>
        </row>
        <row r="233">
          <cell r="A233">
            <v>37068</v>
          </cell>
          <cell r="B233">
            <v>44.19</v>
          </cell>
          <cell r="C233">
            <v>7.7</v>
          </cell>
          <cell r="D233">
            <v>17.05</v>
          </cell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  <cell r="L233">
            <v>17.25</v>
          </cell>
        </row>
        <row r="234">
          <cell r="A234">
            <v>37069</v>
          </cell>
          <cell r="B234">
            <v>46.72</v>
          </cell>
          <cell r="C234">
            <v>7.5</v>
          </cell>
          <cell r="D234">
            <v>15.76</v>
          </cell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  <cell r="L234">
            <v>17.12</v>
          </cell>
        </row>
        <row r="235">
          <cell r="A235">
            <v>37070</v>
          </cell>
          <cell r="B235">
            <v>48.34</v>
          </cell>
          <cell r="C235">
            <v>7.98</v>
          </cell>
          <cell r="D235">
            <v>15.98</v>
          </cell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  <cell r="L235">
            <v>17.25</v>
          </cell>
        </row>
        <row r="236">
          <cell r="A236">
            <v>37071</v>
          </cell>
          <cell r="B236">
            <v>49.1</v>
          </cell>
          <cell r="C236">
            <v>8.57</v>
          </cell>
          <cell r="D236">
            <v>16.68</v>
          </cell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  <cell r="L236">
            <v>21.7</v>
          </cell>
        </row>
        <row r="237">
          <cell r="A237">
            <v>37083</v>
          </cell>
          <cell r="B237">
            <v>49.1</v>
          </cell>
          <cell r="C237">
            <v>6.78</v>
          </cell>
          <cell r="D237">
            <v>14.86</v>
          </cell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  <cell r="L237">
            <v>18.28</v>
          </cell>
        </row>
        <row r="238">
          <cell r="A238">
            <v>37084</v>
          </cell>
          <cell r="B238">
            <v>49.55</v>
          </cell>
          <cell r="C238">
            <v>7.12</v>
          </cell>
          <cell r="D238">
            <v>14.9</v>
          </cell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  <cell r="L238">
            <v>18.760000000000002</v>
          </cell>
        </row>
        <row r="239">
          <cell r="A239">
            <v>37085</v>
          </cell>
          <cell r="B239">
            <v>48.78</v>
          </cell>
          <cell r="C239">
            <v>6.86</v>
          </cell>
          <cell r="D239">
            <v>13.61</v>
          </cell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  <cell r="L239">
            <v>19.45</v>
          </cell>
        </row>
        <row r="240">
          <cell r="A240">
            <v>37088</v>
          </cell>
          <cell r="B240">
            <v>49.12</v>
          </cell>
          <cell r="C240">
            <v>6.51</v>
          </cell>
          <cell r="D240">
            <v>14.1</v>
          </cell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  <cell r="L240">
            <v>18.66</v>
          </cell>
        </row>
        <row r="241">
          <cell r="A241">
            <v>37089</v>
          </cell>
          <cell r="B241">
            <v>49.85</v>
          </cell>
          <cell r="C241">
            <v>6.15</v>
          </cell>
          <cell r="D241">
            <v>14.15</v>
          </cell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  <cell r="L241">
            <v>18.89</v>
          </cell>
        </row>
        <row r="242">
          <cell r="A242">
            <v>37090</v>
          </cell>
          <cell r="B242">
            <v>48.97</v>
          </cell>
          <cell r="C242">
            <v>5.76</v>
          </cell>
          <cell r="D242">
            <v>12.38</v>
          </cell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  <cell r="L242">
            <v>18.45</v>
          </cell>
        </row>
        <row r="243">
          <cell r="A243">
            <v>37091</v>
          </cell>
          <cell r="B243">
            <v>49.08</v>
          </cell>
          <cell r="C243">
            <v>5.79</v>
          </cell>
          <cell r="D243">
            <v>9.1999999999999993</v>
          </cell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  <cell r="L243">
            <v>17.95</v>
          </cell>
        </row>
        <row r="244">
          <cell r="A244">
            <v>37092</v>
          </cell>
          <cell r="B244">
            <v>48.16</v>
          </cell>
          <cell r="C244">
            <v>5.25</v>
          </cell>
          <cell r="D244">
            <v>7.95</v>
          </cell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  <cell r="L244">
            <v>18.5</v>
          </cell>
        </row>
        <row r="245">
          <cell r="A245">
            <v>37095</v>
          </cell>
          <cell r="B245">
            <v>46.66</v>
          </cell>
          <cell r="C245">
            <v>5.0199999999999996</v>
          </cell>
          <cell r="D245">
            <v>8.4</v>
          </cell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  <cell r="L245">
            <v>17.649999999999999</v>
          </cell>
        </row>
        <row r="246">
          <cell r="A246">
            <v>37096</v>
          </cell>
          <cell r="B246">
            <v>43.24</v>
          </cell>
          <cell r="C246">
            <v>4.2699999999999996</v>
          </cell>
          <cell r="D246">
            <v>8.0500000000000007</v>
          </cell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  <cell r="L246">
            <v>16.649999999999999</v>
          </cell>
        </row>
        <row r="247">
          <cell r="A247">
            <v>37097</v>
          </cell>
          <cell r="B247">
            <v>44.96</v>
          </cell>
          <cell r="C247">
            <v>4.53</v>
          </cell>
          <cell r="D247">
            <v>7.95</v>
          </cell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  <cell r="L247">
            <v>16.5</v>
          </cell>
        </row>
        <row r="248">
          <cell r="A248">
            <v>37098</v>
          </cell>
          <cell r="B248">
            <v>46.84</v>
          </cell>
          <cell r="C248">
            <v>4.68</v>
          </cell>
          <cell r="D248">
            <v>9.0500000000000007</v>
          </cell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  <cell r="L248">
            <v>16.45</v>
          </cell>
        </row>
        <row r="249">
          <cell r="A249">
            <v>37099</v>
          </cell>
          <cell r="B249">
            <v>46.1</v>
          </cell>
          <cell r="C249">
            <v>4.8600000000000003</v>
          </cell>
          <cell r="D249">
            <v>9.4</v>
          </cell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  <cell r="L249">
            <v>16.149999999999999</v>
          </cell>
        </row>
        <row r="250">
          <cell r="A250">
            <v>37102</v>
          </cell>
          <cell r="B250">
            <v>45.73</v>
          </cell>
          <cell r="C250">
            <v>4.7</v>
          </cell>
          <cell r="D250">
            <v>9.4600000000000009</v>
          </cell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  <cell r="L250">
            <v>15.9</v>
          </cell>
        </row>
        <row r="251">
          <cell r="A251">
            <v>37103</v>
          </cell>
          <cell r="B251">
            <v>45.35</v>
          </cell>
          <cell r="C251">
            <v>4.45</v>
          </cell>
          <cell r="D251">
            <v>8.9</v>
          </cell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  <cell r="L251">
            <v>16.2</v>
          </cell>
        </row>
        <row r="252">
          <cell r="A252">
            <v>37104</v>
          </cell>
          <cell r="B252">
            <v>45.61</v>
          </cell>
          <cell r="C252">
            <v>4.41</v>
          </cell>
          <cell r="D252">
            <v>8.8000000000000007</v>
          </cell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  <cell r="L252">
            <v>16.670000000000002</v>
          </cell>
        </row>
        <row r="253">
          <cell r="A253">
            <v>37105</v>
          </cell>
          <cell r="B253">
            <v>45.58</v>
          </cell>
          <cell r="C253">
            <v>4.53</v>
          </cell>
          <cell r="D253">
            <v>8.51</v>
          </cell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  <cell r="L253">
            <v>16.02</v>
          </cell>
        </row>
        <row r="254">
          <cell r="A254">
            <v>37106</v>
          </cell>
          <cell r="B254">
            <v>45.36</v>
          </cell>
          <cell r="C254">
            <v>4.6500000000000004</v>
          </cell>
          <cell r="D254">
            <v>8.5500000000000007</v>
          </cell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  <cell r="L254">
            <v>15.75</v>
          </cell>
        </row>
        <row r="255">
          <cell r="A255">
            <v>37109</v>
          </cell>
          <cell r="B255">
            <v>44.5</v>
          </cell>
          <cell r="C255">
            <v>4.71</v>
          </cell>
          <cell r="D255">
            <v>7.83</v>
          </cell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  <cell r="L255">
            <v>13.89</v>
          </cell>
        </row>
        <row r="256">
          <cell r="A256">
            <v>37110</v>
          </cell>
          <cell r="B256">
            <v>43.6</v>
          </cell>
          <cell r="C256">
            <v>5.04</v>
          </cell>
          <cell r="D256">
            <v>7.75</v>
          </cell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  <cell r="L256">
            <v>12.18</v>
          </cell>
        </row>
        <row r="257">
          <cell r="A257">
            <v>37111</v>
          </cell>
          <cell r="B257">
            <v>42.85</v>
          </cell>
          <cell r="C257">
            <v>4.79</v>
          </cell>
          <cell r="D257">
            <v>7.83</v>
          </cell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  <cell r="L257">
            <v>10.51</v>
          </cell>
        </row>
        <row r="258">
          <cell r="A258">
            <v>37112</v>
          </cell>
          <cell r="B258">
            <v>42.78</v>
          </cell>
          <cell r="C258">
            <v>4.42</v>
          </cell>
          <cell r="D258">
            <v>7.54</v>
          </cell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  <cell r="L258">
            <v>10.45</v>
          </cell>
        </row>
        <row r="259">
          <cell r="A259">
            <v>37113</v>
          </cell>
          <cell r="B259">
            <v>42.81</v>
          </cell>
          <cell r="C259">
            <v>4.28</v>
          </cell>
          <cell r="D259">
            <v>7</v>
          </cell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  <cell r="L259">
            <v>10.63</v>
          </cell>
        </row>
        <row r="260">
          <cell r="A260">
            <v>37116</v>
          </cell>
          <cell r="B260">
            <v>42.15</v>
          </cell>
          <cell r="C260">
            <v>4.32</v>
          </cell>
          <cell r="D260">
            <v>6.35</v>
          </cell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  <cell r="L260">
            <v>10.66</v>
          </cell>
        </row>
        <row r="261">
          <cell r="A261">
            <v>37117</v>
          </cell>
          <cell r="B261">
            <v>42.93</v>
          </cell>
          <cell r="C261">
            <v>4.2</v>
          </cell>
          <cell r="D261">
            <v>5.63</v>
          </cell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  <cell r="L261">
            <v>10.451000000000001</v>
          </cell>
        </row>
        <row r="262">
          <cell r="A262">
            <v>37118</v>
          </cell>
          <cell r="B262">
            <v>40.25</v>
          </cell>
          <cell r="C262">
            <v>4.0999999999999996</v>
          </cell>
          <cell r="D262">
            <v>6</v>
          </cell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  <cell r="L262">
            <v>10</v>
          </cell>
        </row>
        <row r="263">
          <cell r="A263">
            <v>37119</v>
          </cell>
          <cell r="B263">
            <v>36.85</v>
          </cell>
          <cell r="C263">
            <v>3.91</v>
          </cell>
          <cell r="D263">
            <v>6.06</v>
          </cell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  <cell r="L263">
            <v>9.4600000000000009</v>
          </cell>
        </row>
        <row r="264">
          <cell r="A264">
            <v>37120</v>
          </cell>
          <cell r="B264">
            <v>36.67</v>
          </cell>
          <cell r="C264">
            <v>3.81</v>
          </cell>
          <cell r="D264">
            <v>5.95</v>
          </cell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  <cell r="L264">
            <v>9.0500000000000007</v>
          </cell>
        </row>
        <row r="265">
          <cell r="A265">
            <v>37123</v>
          </cell>
          <cell r="B265">
            <v>36.25</v>
          </cell>
          <cell r="C265">
            <v>3.65</v>
          </cell>
          <cell r="D265">
            <v>6.36</v>
          </cell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  <cell r="L265">
            <v>9.0589999999999993</v>
          </cell>
        </row>
        <row r="266">
          <cell r="A266">
            <v>37124</v>
          </cell>
          <cell r="B266">
            <v>36.880000000000003</v>
          </cell>
          <cell r="C266">
            <v>3.65</v>
          </cell>
          <cell r="D266">
            <v>6.89</v>
          </cell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  <cell r="L266">
            <v>9.02</v>
          </cell>
        </row>
        <row r="267">
          <cell r="A267">
            <v>37125</v>
          </cell>
          <cell r="B267">
            <v>37.26</v>
          </cell>
          <cell r="C267">
            <v>3.78</v>
          </cell>
          <cell r="D267">
            <v>6.93</v>
          </cell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  <cell r="L267">
            <v>8.4</v>
          </cell>
        </row>
        <row r="268">
          <cell r="A268">
            <v>37126</v>
          </cell>
          <cell r="B268">
            <v>36.96</v>
          </cell>
          <cell r="C268">
            <v>4.04</v>
          </cell>
          <cell r="D268">
            <v>6.9</v>
          </cell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  <cell r="L268">
            <v>8.73</v>
          </cell>
        </row>
        <row r="269">
          <cell r="A269">
            <v>37127</v>
          </cell>
          <cell r="B269">
            <v>36.35</v>
          </cell>
          <cell r="C269">
            <v>4.21</v>
          </cell>
          <cell r="D269">
            <v>6.9</v>
          </cell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  <cell r="L269">
            <v>9</v>
          </cell>
        </row>
        <row r="270">
          <cell r="A270">
            <v>37130</v>
          </cell>
          <cell r="B270">
            <v>37.76</v>
          </cell>
          <cell r="C270">
            <v>3.8</v>
          </cell>
          <cell r="D270">
            <v>6.75</v>
          </cell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  <cell r="L270">
            <v>8.75</v>
          </cell>
        </row>
        <row r="271">
          <cell r="A271">
            <v>37131</v>
          </cell>
          <cell r="B271">
            <v>38.159999999999997</v>
          </cell>
          <cell r="C271">
            <v>3.69</v>
          </cell>
          <cell r="D271">
            <v>6.34</v>
          </cell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  <cell r="L271">
            <v>8.35</v>
          </cell>
        </row>
        <row r="272">
          <cell r="A272">
            <v>37132</v>
          </cell>
          <cell r="B272">
            <v>37.299999999999997</v>
          </cell>
          <cell r="C272">
            <v>3.5</v>
          </cell>
          <cell r="D272">
            <v>6.05</v>
          </cell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  <cell r="L272">
            <v>8</v>
          </cell>
        </row>
        <row r="273">
          <cell r="A273">
            <v>37133</v>
          </cell>
          <cell r="B273">
            <v>35.5</v>
          </cell>
          <cell r="C273">
            <v>3.45</v>
          </cell>
          <cell r="D273">
            <v>5.9</v>
          </cell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  <cell r="L273">
            <v>8</v>
          </cell>
        </row>
        <row r="274">
          <cell r="A274">
            <v>37134</v>
          </cell>
          <cell r="B274">
            <v>34.99</v>
          </cell>
          <cell r="C274">
            <v>3.3</v>
          </cell>
          <cell r="D274">
            <v>5.56</v>
          </cell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  <cell r="L274">
            <v>7.95</v>
          </cell>
        </row>
        <row r="376">
          <cell r="A376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69"/>
  <sheetViews>
    <sheetView tabSelected="1" workbookViewId="0"/>
  </sheetViews>
  <sheetFormatPr defaultRowHeight="15.6" x14ac:dyDescent="0.3"/>
  <cols>
    <col min="2" max="2" width="14" customWidth="1"/>
    <col min="3" max="5" width="15.59765625" customWidth="1"/>
  </cols>
  <sheetData>
    <row r="1" spans="1:6" x14ac:dyDescent="0.3">
      <c r="A1" s="51"/>
      <c r="B1" s="52"/>
      <c r="C1" s="52"/>
      <c r="D1" s="52"/>
      <c r="E1" s="52"/>
      <c r="F1" s="53"/>
    </row>
    <row r="2" spans="1:6" ht="17.399999999999999" x14ac:dyDescent="0.3">
      <c r="A2" s="54"/>
      <c r="B2" s="177" t="s">
        <v>187</v>
      </c>
      <c r="C2" s="177"/>
      <c r="D2" s="177"/>
      <c r="E2" s="177"/>
      <c r="F2" s="55"/>
    </row>
    <row r="3" spans="1:6" x14ac:dyDescent="0.3">
      <c r="A3" s="54"/>
      <c r="B3" s="56"/>
      <c r="C3" s="56"/>
      <c r="D3" s="56"/>
      <c r="E3" s="56"/>
      <c r="F3" s="55"/>
    </row>
    <row r="4" spans="1:6" x14ac:dyDescent="0.3">
      <c r="A4" s="54"/>
      <c r="B4" s="67" t="s">
        <v>0</v>
      </c>
      <c r="C4" s="58"/>
      <c r="D4" s="56"/>
      <c r="E4" s="56"/>
      <c r="F4" s="55"/>
    </row>
    <row r="5" spans="1:6" x14ac:dyDescent="0.3">
      <c r="A5" s="54"/>
      <c r="B5" s="56" t="s">
        <v>13</v>
      </c>
      <c r="C5" s="58">
        <f>+[1]Table!$B$3</f>
        <v>37134</v>
      </c>
      <c r="D5" s="59" t="s">
        <v>16</v>
      </c>
      <c r="E5" s="60">
        <f>+C5-1</f>
        <v>37133</v>
      </c>
      <c r="F5" s="55"/>
    </row>
    <row r="6" spans="1:6" x14ac:dyDescent="0.3">
      <c r="A6" s="54"/>
      <c r="B6" s="56"/>
      <c r="C6" s="56"/>
      <c r="D6" s="56"/>
      <c r="E6" s="56"/>
      <c r="F6" s="55"/>
    </row>
    <row r="7" spans="1:6" x14ac:dyDescent="0.3">
      <c r="A7" s="54"/>
      <c r="B7" s="56"/>
      <c r="C7" s="56"/>
      <c r="D7" s="56"/>
      <c r="E7" s="56"/>
      <c r="F7" s="55"/>
    </row>
    <row r="8" spans="1:6" x14ac:dyDescent="0.3">
      <c r="A8" s="54"/>
      <c r="B8" s="67" t="s">
        <v>110</v>
      </c>
      <c r="C8" s="56"/>
      <c r="D8" s="56"/>
      <c r="E8" s="56"/>
      <c r="F8" s="55"/>
    </row>
    <row r="9" spans="1:6" x14ac:dyDescent="0.3">
      <c r="A9" s="54"/>
      <c r="B9" s="57"/>
      <c r="C9" s="56"/>
      <c r="D9" s="56"/>
      <c r="E9" s="56"/>
      <c r="F9" s="55"/>
    </row>
    <row r="10" spans="1:6" x14ac:dyDescent="0.3">
      <c r="A10" s="54"/>
      <c r="B10" s="56" t="s">
        <v>8</v>
      </c>
      <c r="C10" s="50" t="s">
        <v>7</v>
      </c>
      <c r="D10" s="50" t="s">
        <v>5</v>
      </c>
      <c r="E10" s="50" t="s">
        <v>6</v>
      </c>
      <c r="F10" s="55"/>
    </row>
    <row r="11" spans="1:6" x14ac:dyDescent="0.3">
      <c r="A11" s="54"/>
      <c r="B11" s="56"/>
      <c r="C11" s="61"/>
      <c r="D11" s="61"/>
      <c r="E11" s="61"/>
      <c r="F11" s="55"/>
    </row>
    <row r="12" spans="1:6" x14ac:dyDescent="0.3">
      <c r="A12" s="54"/>
      <c r="B12" s="56" t="s">
        <v>9</v>
      </c>
      <c r="C12" s="62">
        <f>+'Daily Position'!P7</f>
        <v>0</v>
      </c>
      <c r="D12" s="62">
        <f>+'Daily Position'!O7</f>
        <v>0</v>
      </c>
      <c r="E12" s="62">
        <f>+C12-D12</f>
        <v>0</v>
      </c>
      <c r="F12" s="55"/>
    </row>
    <row r="13" spans="1:6" x14ac:dyDescent="0.3">
      <c r="A13" s="54"/>
      <c r="B13" s="56" t="s">
        <v>10</v>
      </c>
      <c r="C13" s="48">
        <f>+C15-C12</f>
        <v>0</v>
      </c>
      <c r="D13" s="48">
        <f>+D15-D12</f>
        <v>0</v>
      </c>
      <c r="E13" s="48">
        <f>+E15-E12</f>
        <v>0</v>
      </c>
      <c r="F13" s="55"/>
    </row>
    <row r="14" spans="1:6" x14ac:dyDescent="0.3">
      <c r="A14" s="54"/>
      <c r="B14" s="56"/>
      <c r="C14" s="62"/>
      <c r="D14" s="62"/>
      <c r="E14" s="62"/>
      <c r="F14" s="55"/>
    </row>
    <row r="15" spans="1:6" ht="16.2" thickBot="1" x14ac:dyDescent="0.35">
      <c r="A15" s="54"/>
      <c r="B15" s="56" t="s">
        <v>11</v>
      </c>
      <c r="C15" s="49">
        <f>+'Daily Position'!N7</f>
        <v>0</v>
      </c>
      <c r="D15" s="49">
        <f>+'Daily Position'!M7</f>
        <v>0</v>
      </c>
      <c r="E15" s="49">
        <f>+C15-D15</f>
        <v>0</v>
      </c>
      <c r="F15" s="55"/>
    </row>
    <row r="16" spans="1:6" ht="16.2" thickTop="1" x14ac:dyDescent="0.3">
      <c r="A16" s="54"/>
      <c r="B16" s="56"/>
      <c r="C16" s="62"/>
      <c r="D16" s="62"/>
      <c r="E16" s="62"/>
      <c r="F16" s="55"/>
    </row>
    <row r="17" spans="1:6" x14ac:dyDescent="0.3">
      <c r="A17" s="54"/>
      <c r="B17" s="56"/>
      <c r="C17" s="56"/>
      <c r="D17" s="56"/>
      <c r="E17" s="56"/>
      <c r="F17" s="55"/>
    </row>
    <row r="18" spans="1:6" x14ac:dyDescent="0.3">
      <c r="A18" s="54"/>
      <c r="B18" s="56" t="s">
        <v>3</v>
      </c>
      <c r="C18" s="62">
        <f>IF(+Financials!P52&lt;0,"No Capacity Available",+Financials!P52)</f>
        <v>188053356.06370854</v>
      </c>
      <c r="D18" s="56"/>
      <c r="E18" s="56"/>
      <c r="F18" s="55"/>
    </row>
    <row r="19" spans="1:6" x14ac:dyDescent="0.3">
      <c r="A19" s="54"/>
      <c r="B19" s="56"/>
      <c r="C19" s="62"/>
      <c r="D19" s="56"/>
      <c r="E19" s="56"/>
      <c r="F19" s="55"/>
    </row>
    <row r="20" spans="1:6" x14ac:dyDescent="0.3">
      <c r="A20" s="54"/>
      <c r="B20" s="56"/>
      <c r="C20" s="62"/>
      <c r="D20" s="56"/>
      <c r="E20" s="56"/>
      <c r="F20" s="55"/>
    </row>
    <row r="21" spans="1:6" x14ac:dyDescent="0.3">
      <c r="A21" s="54"/>
      <c r="B21" s="56" t="s">
        <v>2</v>
      </c>
      <c r="C21" s="62">
        <f>+Financials!I42</f>
        <v>271181464.93913966</v>
      </c>
      <c r="D21" s="56"/>
      <c r="E21" s="56"/>
      <c r="F21" s="55"/>
    </row>
    <row r="22" spans="1:6" x14ac:dyDescent="0.3">
      <c r="A22" s="54"/>
      <c r="B22" s="56"/>
      <c r="C22" s="62"/>
      <c r="D22" s="122"/>
      <c r="E22" s="56"/>
      <c r="F22" s="55"/>
    </row>
    <row r="23" spans="1:6" x14ac:dyDescent="0.3">
      <c r="A23" s="54"/>
      <c r="B23" s="56"/>
      <c r="C23" s="62"/>
      <c r="D23" s="56"/>
      <c r="E23" s="56"/>
      <c r="F23" s="55"/>
    </row>
    <row r="24" spans="1:6" x14ac:dyDescent="0.3">
      <c r="A24" s="54"/>
      <c r="B24" s="63" t="s">
        <v>114</v>
      </c>
      <c r="C24" s="62">
        <f>1500000000-'Daily Position'!I7</f>
        <v>1500000000</v>
      </c>
      <c r="D24" s="56"/>
      <c r="E24" s="56"/>
      <c r="F24" s="55"/>
    </row>
    <row r="25" spans="1:6" ht="16.2" thickBot="1" x14ac:dyDescent="0.35">
      <c r="A25" s="64"/>
      <c r="B25" s="65"/>
      <c r="C25" s="65"/>
      <c r="D25" s="65"/>
      <c r="E25" s="65"/>
      <c r="F25" s="66"/>
    </row>
    <row r="44" spans="2:2" x14ac:dyDescent="0.3">
      <c r="B44">
        <f>IF(Summary!$C$5&lt;B42,+B42,IF(Summary!$C$5&gt;E42,+E42,Summary!$C$5))</f>
        <v>0</v>
      </c>
    </row>
    <row r="49" spans="2:2" x14ac:dyDescent="0.3">
      <c r="B49">
        <f>IF(Summary!$C$5&lt;B47,+B47,IF(Summary!$C$5&gt;E47,+E47,Summary!$C$5))</f>
        <v>0</v>
      </c>
    </row>
    <row r="54" spans="2:2" x14ac:dyDescent="0.3">
      <c r="B54">
        <f>IF(Summary!$C$5&lt;B52,+B52,IF(Summary!$C$5&gt;E52,+E52,Summary!$C$5))</f>
        <v>0</v>
      </c>
    </row>
    <row r="59" spans="2:2" x14ac:dyDescent="0.3">
      <c r="B59">
        <f>IF(Summary!$C$5&lt;B57,+B57,IF(Summary!$C$5&gt;E57,+E57,Summary!$C$5))</f>
        <v>0</v>
      </c>
    </row>
    <row r="64" spans="2:2" x14ac:dyDescent="0.3">
      <c r="B64">
        <f>IF(Summary!$C$5&lt;B62,+B62,IF(Summary!$C$5&gt;E62,+E62,Summary!$C$5))</f>
        <v>0</v>
      </c>
    </row>
    <row r="69" spans="2:2" x14ac:dyDescent="0.3">
      <c r="B69">
        <f>IF(Summary!$C$5&lt;B67,+B67,IF(Summary!$C$5&gt;E67,+E67,Summary!$C$5))</f>
        <v>0</v>
      </c>
    </row>
  </sheetData>
  <mergeCells count="1">
    <mergeCell ref="B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9"/>
  <sheetViews>
    <sheetView topLeftCell="A19" workbookViewId="0">
      <selection activeCell="D32" sqref="D32"/>
    </sheetView>
  </sheetViews>
  <sheetFormatPr defaultRowHeight="15.6" x14ac:dyDescent="0.3"/>
  <cols>
    <col min="1" max="1" width="25" customWidth="1"/>
    <col min="2" max="2" width="14" style="3" customWidth="1"/>
    <col min="3" max="3" width="12.59765625" bestFit="1" customWidth="1"/>
    <col min="4" max="4" width="15.69921875" bestFit="1" customWidth="1"/>
    <col min="5" max="5" width="15.3984375" bestFit="1" customWidth="1"/>
    <col min="6" max="6" width="14.5" customWidth="1"/>
  </cols>
  <sheetData>
    <row r="1" spans="1:6" x14ac:dyDescent="0.3">
      <c r="D1" s="151" t="s">
        <v>188</v>
      </c>
      <c r="E1" s="50" t="s">
        <v>189</v>
      </c>
    </row>
    <row r="2" spans="1:6" x14ac:dyDescent="0.3">
      <c r="A2" s="56" t="s">
        <v>197</v>
      </c>
      <c r="C2" s="126"/>
      <c r="D2" s="2">
        <f>+Financials!I5</f>
        <v>34.99</v>
      </c>
    </row>
    <row r="3" spans="1:6" x14ac:dyDescent="0.3">
      <c r="A3" t="s">
        <v>190</v>
      </c>
      <c r="B3" s="3">
        <v>50000000</v>
      </c>
      <c r="D3" s="5">
        <f>B3*D2</f>
        <v>1749500000</v>
      </c>
      <c r="E3" s="3">
        <f>ROUND(D3/D2+0.49,0)</f>
        <v>50000000</v>
      </c>
    </row>
    <row r="4" spans="1:6" x14ac:dyDescent="0.3">
      <c r="A4" t="s">
        <v>191</v>
      </c>
      <c r="D4" s="48">
        <f>1400000000+1027000000+500000</f>
        <v>2427500000</v>
      </c>
      <c r="E4" s="149">
        <f>ROUND(D4/D2+0.49,0)</f>
        <v>69376965</v>
      </c>
    </row>
    <row r="5" spans="1:6" x14ac:dyDescent="0.3">
      <c r="A5" t="s">
        <v>192</v>
      </c>
      <c r="D5" s="4">
        <f>D3-D4</f>
        <v>-678000000</v>
      </c>
      <c r="E5" s="46">
        <f>E3-E4</f>
        <v>-19376965</v>
      </c>
    </row>
    <row r="6" spans="1:6" x14ac:dyDescent="0.3">
      <c r="A6" t="s">
        <v>193</v>
      </c>
      <c r="D6" s="2"/>
    </row>
    <row r="7" spans="1:6" x14ac:dyDescent="0.3">
      <c r="A7" t="s">
        <v>194</v>
      </c>
      <c r="B7" s="3">
        <v>3876755</v>
      </c>
      <c r="D7" s="4">
        <f>+B7*D2</f>
        <v>135647657.45000002</v>
      </c>
      <c r="E7" s="3">
        <v>3876755</v>
      </c>
    </row>
    <row r="8" spans="1:6" x14ac:dyDescent="0.3">
      <c r="A8" t="s">
        <v>195</v>
      </c>
      <c r="B8" s="3">
        <v>7809790</v>
      </c>
      <c r="D8" s="4">
        <f>+B8*D2</f>
        <v>273264552.10000002</v>
      </c>
      <c r="E8" s="3">
        <v>7809790</v>
      </c>
      <c r="F8" s="46">
        <f>+E8+F11</f>
        <v>-23253720</v>
      </c>
    </row>
    <row r="9" spans="1:6" x14ac:dyDescent="0.3">
      <c r="A9" t="s">
        <v>196</v>
      </c>
      <c r="B9" s="3">
        <v>6326045</v>
      </c>
      <c r="D9" s="48">
        <f>+B9*D2</f>
        <v>221348314.55000001</v>
      </c>
      <c r="E9" s="149">
        <v>6326045</v>
      </c>
    </row>
    <row r="10" spans="1:6" x14ac:dyDescent="0.3">
      <c r="B10" s="3">
        <f>+B7+B8+B9</f>
        <v>18012590</v>
      </c>
      <c r="D10" s="2"/>
    </row>
    <row r="11" spans="1:6" ht="16.2" thickBot="1" x14ac:dyDescent="0.35">
      <c r="A11" t="s">
        <v>25</v>
      </c>
      <c r="D11" s="49">
        <f>D5-SUM(D7:D9)</f>
        <v>-1308260524.1000001</v>
      </c>
      <c r="E11" s="150">
        <f>E5-SUM(E7:E9)</f>
        <v>-37389555</v>
      </c>
      <c r="F11" s="46">
        <f>+E11+E9</f>
        <v>-31063510</v>
      </c>
    </row>
    <row r="12" spans="1:6" ht="16.2" thickTop="1" x14ac:dyDescent="0.3">
      <c r="A12" s="3" t="s">
        <v>219</v>
      </c>
      <c r="D12" s="127">
        <f>+D11/(B3-SUM(B7:B9))</f>
        <v>-40.899232669978602</v>
      </c>
      <c r="E12" s="46"/>
      <c r="F12" s="3"/>
    </row>
    <row r="13" spans="1:6" x14ac:dyDescent="0.3">
      <c r="D13" s="5"/>
      <c r="E13" s="126"/>
      <c r="F13" s="3"/>
    </row>
    <row r="14" spans="1:6" x14ac:dyDescent="0.3">
      <c r="A14" t="s">
        <v>198</v>
      </c>
      <c r="B14" s="3">
        <f>IF(E11&gt;0,B9,IF(B9+E11&gt;0,+B9+E11,0))</f>
        <v>0</v>
      </c>
      <c r="D14" s="5"/>
      <c r="F14" s="3"/>
    </row>
    <row r="17" spans="1:6" x14ac:dyDescent="0.3">
      <c r="A17" t="s">
        <v>199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3">
      <c r="A18" t="s">
        <v>200</v>
      </c>
      <c r="D18" s="4">
        <f>+Financials!B17</f>
        <v>-186923069.375</v>
      </c>
      <c r="E18" s="152">
        <f>-D18/D17</f>
        <v>0.3481375266527213</v>
      </c>
    </row>
    <row r="19" spans="1:6" x14ac:dyDescent="0.3">
      <c r="D19" s="4">
        <f>+D17+D18</f>
        <v>350000000</v>
      </c>
    </row>
    <row r="20" spans="1:6" x14ac:dyDescent="0.3">
      <c r="A20" t="s">
        <v>201</v>
      </c>
      <c r="D20" s="4">
        <f>+Financials!I15</f>
        <v>73441472.318257496</v>
      </c>
      <c r="E20" s="152">
        <f>+Financials!A35/Financials!A38</f>
        <v>0.39289678135405104</v>
      </c>
      <c r="F20">
        <f>+D18*E20+D20</f>
        <v>0</v>
      </c>
    </row>
    <row r="21" spans="1:6" x14ac:dyDescent="0.3">
      <c r="A21" t="s">
        <v>203</v>
      </c>
      <c r="D21" s="4">
        <f>+D19+D20</f>
        <v>423441472.31825751</v>
      </c>
      <c r="E21" s="152">
        <f>+D21/D17</f>
        <v>0.78864458703769313</v>
      </c>
    </row>
    <row r="22" spans="1:6" x14ac:dyDescent="0.3">
      <c r="D22" s="4"/>
    </row>
    <row r="23" spans="1:6" x14ac:dyDescent="0.3">
      <c r="A23" t="s">
        <v>204</v>
      </c>
      <c r="B23" s="3">
        <f>+B14</f>
        <v>0</v>
      </c>
      <c r="C23" s="2">
        <f>+C17</f>
        <v>84.875</v>
      </c>
      <c r="D23" s="4">
        <f>+B23*C23</f>
        <v>0</v>
      </c>
    </row>
    <row r="24" spans="1:6" x14ac:dyDescent="0.3">
      <c r="A24" t="s">
        <v>200</v>
      </c>
      <c r="D24" s="4">
        <f>D18/D17*D23</f>
        <v>0</v>
      </c>
      <c r="E24" s="152" t="e">
        <f>-D24/D23</f>
        <v>#DIV/0!</v>
      </c>
    </row>
    <row r="25" spans="1:6" x14ac:dyDescent="0.3">
      <c r="D25" s="4">
        <f>+D23+D24</f>
        <v>0</v>
      </c>
    </row>
    <row r="26" spans="1:6" x14ac:dyDescent="0.3">
      <c r="A26" t="s">
        <v>201</v>
      </c>
      <c r="D26" s="4">
        <f>-D24*E20</f>
        <v>0</v>
      </c>
      <c r="E26" s="152">
        <f>+E20</f>
        <v>0.39289678135405104</v>
      </c>
      <c r="F26">
        <f>+D24*E26+D26</f>
        <v>0</v>
      </c>
    </row>
    <row r="27" spans="1:6" x14ac:dyDescent="0.3">
      <c r="A27" t="s">
        <v>202</v>
      </c>
      <c r="D27" s="4">
        <f>+D25+D26</f>
        <v>0</v>
      </c>
      <c r="E27" s="152" t="e">
        <f>+D27/D23</f>
        <v>#DIV/0!</v>
      </c>
    </row>
    <row r="28" spans="1:6" x14ac:dyDescent="0.3">
      <c r="A28" t="s">
        <v>152</v>
      </c>
      <c r="D28" s="4">
        <f>+Financials!M11-D27</f>
        <v>0</v>
      </c>
      <c r="E28" s="152"/>
    </row>
    <row r="29" spans="1:6" x14ac:dyDescent="0.3">
      <c r="D29" s="4"/>
    </row>
    <row r="30" spans="1:6" x14ac:dyDescent="0.3">
      <c r="A30" t="s">
        <v>205</v>
      </c>
      <c r="B30" s="3">
        <f>+B17-B23</f>
        <v>6326045</v>
      </c>
      <c r="D30" s="4">
        <f>+D21-D27</f>
        <v>423441472.31825751</v>
      </c>
    </row>
    <row r="33" spans="1:5" x14ac:dyDescent="0.3">
      <c r="A33" t="s">
        <v>224</v>
      </c>
      <c r="B33" s="169">
        <v>36976</v>
      </c>
    </row>
    <row r="34" spans="1:5" x14ac:dyDescent="0.3">
      <c r="B34" s="3" t="s">
        <v>225</v>
      </c>
      <c r="C34" t="s">
        <v>229</v>
      </c>
      <c r="D34" t="s">
        <v>230</v>
      </c>
    </row>
    <row r="35" spans="1:5" x14ac:dyDescent="0.3">
      <c r="A35" t="s">
        <v>226</v>
      </c>
      <c r="B35" s="3">
        <f>+B7</f>
        <v>3876755</v>
      </c>
      <c r="C35" s="3">
        <f>+[1]Summary!$I$68</f>
        <v>3876755</v>
      </c>
      <c r="D35" s="4">
        <v>38338200</v>
      </c>
    </row>
    <row r="36" spans="1:5" x14ac:dyDescent="0.3">
      <c r="A36" t="s">
        <v>227</v>
      </c>
      <c r="B36" s="3">
        <f>+B8</f>
        <v>7809790</v>
      </c>
      <c r="C36" s="3">
        <f>+[1]Summary!$I$69</f>
        <v>7809790</v>
      </c>
      <c r="D36" s="4">
        <v>102808992</v>
      </c>
    </row>
    <row r="37" spans="1:5" x14ac:dyDescent="0.3">
      <c r="A37" t="s">
        <v>228</v>
      </c>
      <c r="B37" s="3">
        <f>+B9</f>
        <v>6326045</v>
      </c>
      <c r="C37" s="3"/>
      <c r="D37" s="4"/>
    </row>
    <row r="38" spans="1:5" x14ac:dyDescent="0.3">
      <c r="D38" s="4"/>
    </row>
    <row r="39" spans="1:5" x14ac:dyDescent="0.3">
      <c r="A39" t="s">
        <v>7</v>
      </c>
      <c r="B39" s="3">
        <f>IF(Summary!$C$5&lt;Shares!$B$33,0,SUM(B35:B38))</f>
        <v>18012590</v>
      </c>
      <c r="C39" s="3">
        <f>IF(Summary!$C$5&lt;Shares!$B$33,0,SUM(C35:C38))</f>
        <v>11686545</v>
      </c>
      <c r="D39" s="3">
        <f>IF(Summary!$C$5&lt;Shares!$B$33,0,SUM(D35:D38))</f>
        <v>141147192</v>
      </c>
      <c r="E39" t="s">
        <v>264</v>
      </c>
    </row>
    <row r="41" spans="1:5" x14ac:dyDescent="0.3">
      <c r="D41" t="s">
        <v>265</v>
      </c>
      <c r="E41" s="46">
        <f>IF(D39=0,0,+D42)</f>
        <v>141147192</v>
      </c>
    </row>
    <row r="42" spans="1:5" x14ac:dyDescent="0.3">
      <c r="C42" s="1">
        <v>36976</v>
      </c>
      <c r="D42" s="46">
        <f>+D39</f>
        <v>141147192</v>
      </c>
    </row>
    <row r="43" spans="1:5" x14ac:dyDescent="0.3">
      <c r="C43" s="1">
        <v>37072</v>
      </c>
    </row>
    <row r="44" spans="1:5" x14ac:dyDescent="0.3">
      <c r="B44" s="3">
        <f>IF(Summary!$C$5&lt;B42,+B42,IF(Summary!$C$5&gt;E42,+E42,Summary!$C$5))</f>
        <v>0</v>
      </c>
    </row>
    <row r="49" spans="2:2" x14ac:dyDescent="0.3">
      <c r="B49" s="3">
        <f>IF(Summary!$C$5&lt;B47,+B47,IF(Summary!$C$5&gt;E47,+E47,Summary!$C$5))</f>
        <v>0</v>
      </c>
    </row>
    <row r="54" spans="2:2" x14ac:dyDescent="0.3">
      <c r="B54" s="3">
        <f>IF(Summary!$C$5&lt;B52,+B52,IF(Summary!$C$5&gt;E52,+E52,Summary!$C$5))</f>
        <v>0</v>
      </c>
    </row>
    <row r="59" spans="2:2" x14ac:dyDescent="0.3">
      <c r="B59" s="3">
        <f>IF(Summary!$C$5&lt;B57,+B57,IF(Summary!$C$5&gt;E57,+E57,Summary!$C$5))</f>
        <v>0</v>
      </c>
    </row>
    <row r="64" spans="2:2" x14ac:dyDescent="0.3">
      <c r="B64" s="3">
        <f>IF(Summary!$C$5&lt;B62,+B62,IF(Summary!$C$5&gt;E62,+E62,Summary!$C$5))</f>
        <v>0</v>
      </c>
    </row>
    <row r="69" spans="2:2" x14ac:dyDescent="0.3">
      <c r="B69" s="3">
        <f>IF(Summary!$C$5&lt;B67,+B67,IF(Summary!$C$5&gt;E67,+E67,Summary!$C$5))</f>
        <v>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4" outlineLevel="3" x14ac:dyDescent="0.3"/>
    <row r="5" ht="20.100000000000001" customHeight="1" outlineLevel="2" x14ac:dyDescent="0.3"/>
    <row r="6" outlineLevel="3" x14ac:dyDescent="0.3"/>
    <row r="7" outlineLevel="3" x14ac:dyDescent="0.3"/>
    <row r="8" ht="20.100000000000001" customHeight="1" outlineLevel="2" x14ac:dyDescent="0.3"/>
    <row r="9" ht="30" customHeight="1" outlineLevel="1" x14ac:dyDescent="0.3"/>
    <row r="10" outlineLevel="3" x14ac:dyDescent="0.3"/>
    <row r="11" ht="20.100000000000001" customHeight="1" outlineLevel="2" x14ac:dyDescent="0.3"/>
    <row r="12" ht="30" customHeight="1" outlineLevel="1" x14ac:dyDescent="0.3"/>
    <row r="13" outlineLevel="3" x14ac:dyDescent="0.3"/>
    <row r="14" outlineLevel="3" x14ac:dyDescent="0.3"/>
    <row r="15" outlineLevel="3" x14ac:dyDescent="0.3"/>
    <row r="16" outlineLevel="3" x14ac:dyDescent="0.3"/>
    <row r="17" outlineLevel="3" x14ac:dyDescent="0.3"/>
    <row r="18" outlineLevel="3" x14ac:dyDescent="0.3"/>
    <row r="19" outlineLevel="3" x14ac:dyDescent="0.3"/>
    <row r="20" ht="20.100000000000001" customHeight="1" outlineLevel="2" x14ac:dyDescent="0.3"/>
    <row r="21" ht="30" customHeight="1" outlineLevel="1" x14ac:dyDescent="0.3"/>
    <row r="22" outlineLevel="3" x14ac:dyDescent="0.3"/>
    <row r="23" ht="20.100000000000001" customHeight="1" outlineLevel="2" x14ac:dyDescent="0.3"/>
    <row r="24" ht="30" customHeight="1" outlineLevel="1" x14ac:dyDescent="0.3"/>
    <row r="25" outlineLevel="3" x14ac:dyDescent="0.3"/>
    <row r="26" outlineLevel="3" x14ac:dyDescent="0.3"/>
    <row r="27" ht="20.100000000000001" customHeight="1" outlineLevel="2" x14ac:dyDescent="0.3"/>
    <row r="28" ht="30" customHeight="1" outlineLevel="1" x14ac:dyDescent="0.3"/>
    <row r="29" outlineLevel="3" x14ac:dyDescent="0.3"/>
    <row r="30" outlineLevel="3" x14ac:dyDescent="0.3"/>
    <row r="31" ht="20.100000000000001" customHeight="1" outlineLevel="2" x14ac:dyDescent="0.3"/>
    <row r="32" ht="30" customHeight="1" outlineLevel="1" x14ac:dyDescent="0.3"/>
    <row r="33" outlineLevel="3" x14ac:dyDescent="0.3"/>
    <row r="34" ht="20.100000000000001" customHeight="1" outlineLevel="2" x14ac:dyDescent="0.3"/>
    <row r="35" ht="30" customHeight="1" outlineLevel="1" x14ac:dyDescent="0.3"/>
    <row r="36" outlineLevel="3" x14ac:dyDescent="0.3"/>
    <row r="37" outlineLevel="3" x14ac:dyDescent="0.3"/>
    <row r="38" ht="20.100000000000001" customHeight="1" outlineLevel="2" x14ac:dyDescent="0.3"/>
    <row r="39" outlineLevel="3" x14ac:dyDescent="0.3"/>
    <row r="40" ht="20.100000000000001" customHeight="1" outlineLevel="2" x14ac:dyDescent="0.3"/>
    <row r="41" outlineLevel="3" x14ac:dyDescent="0.3"/>
    <row r="42" outlineLevel="3" x14ac:dyDescent="0.3"/>
    <row r="43" ht="20.100000000000001" customHeight="1" outlineLevel="2" x14ac:dyDescent="0.3"/>
    <row r="44" outlineLevel="3" x14ac:dyDescent="0.3"/>
    <row r="45" ht="20.100000000000001" customHeight="1" outlineLevel="2" x14ac:dyDescent="0.3"/>
    <row r="46" ht="30" customHeight="1" outlineLevel="1" x14ac:dyDescent="0.3"/>
    <row r="47" outlineLevel="3" x14ac:dyDescent="0.3"/>
    <row r="48" ht="20.100000000000001" customHeight="1" outlineLevel="2" x14ac:dyDescent="0.3"/>
    <row r="49" outlineLevel="3" x14ac:dyDescent="0.3"/>
    <row r="50" outlineLevel="3" x14ac:dyDescent="0.3"/>
    <row r="51" ht="20.100000000000001" customHeight="1" outlineLevel="2" x14ac:dyDescent="0.3"/>
    <row r="52" outlineLevel="3" x14ac:dyDescent="0.3"/>
    <row r="53" outlineLevel="3" x14ac:dyDescent="0.3"/>
    <row r="54" outlineLevel="3" x14ac:dyDescent="0.3"/>
    <row r="55" ht="20.100000000000001" customHeight="1" outlineLevel="2" x14ac:dyDescent="0.3"/>
    <row r="56" outlineLevel="3" x14ac:dyDescent="0.3"/>
    <row r="57" outlineLevel="3" x14ac:dyDescent="0.3"/>
    <row r="58" outlineLevel="3" x14ac:dyDescent="0.3"/>
    <row r="59" outlineLevel="3" x14ac:dyDescent="0.3"/>
    <row r="60" outlineLevel="3" x14ac:dyDescent="0.3"/>
    <row r="61" ht="20.100000000000001" customHeight="1" outlineLevel="2" x14ac:dyDescent="0.3"/>
    <row r="62" outlineLevel="3" x14ac:dyDescent="0.3"/>
    <row r="63" ht="20.100000000000001" customHeight="1" outlineLevel="2" x14ac:dyDescent="0.3"/>
    <row r="64" outlineLevel="3" x14ac:dyDescent="0.3"/>
    <row r="65" outlineLevel="3" x14ac:dyDescent="0.3"/>
    <row r="66" outlineLevel="3" x14ac:dyDescent="0.3"/>
    <row r="67" ht="20.100000000000001" customHeight="1" outlineLevel="2" x14ac:dyDescent="0.3"/>
    <row r="68" ht="30" customHeight="1" outlineLevel="1" x14ac:dyDescent="0.3"/>
    <row r="69" outlineLevel="3" x14ac:dyDescent="0.3"/>
    <row r="70" ht="20.100000000000001" customHeight="1" outlineLevel="2" x14ac:dyDescent="0.3"/>
    <row r="71" outlineLevel="3" x14ac:dyDescent="0.3"/>
    <row r="72" outlineLevel="3" x14ac:dyDescent="0.3"/>
    <row r="73" outlineLevel="3" x14ac:dyDescent="0.3"/>
    <row r="74" outlineLevel="3" x14ac:dyDescent="0.3"/>
    <row r="75" outlineLevel="3" x14ac:dyDescent="0.3"/>
    <row r="76" ht="20.100000000000001" customHeight="1" outlineLevel="2" x14ac:dyDescent="0.3"/>
    <row r="77" outlineLevel="3" x14ac:dyDescent="0.3"/>
    <row r="78" outlineLevel="3" x14ac:dyDescent="0.3"/>
    <row r="79" ht="20.100000000000001" customHeight="1" outlineLevel="2" x14ac:dyDescent="0.3"/>
    <row r="80" outlineLevel="3" x14ac:dyDescent="0.3"/>
    <row r="81" outlineLevel="3" x14ac:dyDescent="0.3"/>
    <row r="82" outlineLevel="3" x14ac:dyDescent="0.3"/>
    <row r="83" outlineLevel="3" x14ac:dyDescent="0.3"/>
    <row r="84" ht="20.100000000000001" customHeight="1" outlineLevel="2" x14ac:dyDescent="0.3"/>
    <row r="85" outlineLevel="3" x14ac:dyDescent="0.3"/>
    <row r="86" ht="20.100000000000001" customHeight="1" outlineLevel="2" x14ac:dyDescent="0.3"/>
    <row r="87" outlineLevel="3" x14ac:dyDescent="0.3"/>
    <row r="88" outlineLevel="3" x14ac:dyDescent="0.3"/>
    <row r="89" ht="20.100000000000001" customHeight="1" outlineLevel="2" x14ac:dyDescent="0.3"/>
    <row r="90" ht="30" customHeight="1" outlineLevel="1" x14ac:dyDescent="0.3"/>
    <row r="91" ht="20.100000000000001" hidden="1" customHeight="1" x14ac:dyDescent="0.3"/>
    <row r="92" ht="30" customHeight="1" x14ac:dyDescent="0.3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69"/>
  <sheetViews>
    <sheetView showGridLines="0" workbookViewId="0">
      <pane xSplit="1" ySplit="2" topLeftCell="B3" activePane="bottomRight" state="frozen"/>
      <selection activeCell="E21" sqref="E21"/>
      <selection pane="topRight" activeCell="E21" sqref="E21"/>
      <selection pane="bottomLeft" activeCell="E21" sqref="E21"/>
      <selection pane="bottomRight" activeCell="E21" sqref="E21"/>
    </sheetView>
  </sheetViews>
  <sheetFormatPr defaultRowHeight="15.6" x14ac:dyDescent="0.3"/>
  <cols>
    <col min="1" max="1" width="23.09765625" customWidth="1"/>
    <col min="2" max="2" width="14" style="144" customWidth="1"/>
    <col min="3" max="3" width="10.8984375" style="144" customWidth="1"/>
    <col min="4" max="4" width="6.5" style="68" customWidth="1"/>
    <col min="5" max="5" width="12.09765625" style="4" bestFit="1" customWidth="1"/>
    <col min="6" max="6" width="5.8984375" style="68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39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0" customFormat="1" x14ac:dyDescent="0.3">
      <c r="A1" s="70" t="s">
        <v>116</v>
      </c>
      <c r="B1" s="142" t="s">
        <v>117</v>
      </c>
      <c r="C1" s="142" t="s">
        <v>118</v>
      </c>
      <c r="D1" s="70" t="s">
        <v>120</v>
      </c>
      <c r="E1" s="72"/>
      <c r="F1" s="70" t="s">
        <v>122</v>
      </c>
      <c r="G1" s="73" t="s">
        <v>123</v>
      </c>
      <c r="H1" s="180" t="s">
        <v>124</v>
      </c>
      <c r="I1" s="181"/>
      <c r="J1" s="70" t="s">
        <v>125</v>
      </c>
      <c r="K1" s="142"/>
      <c r="L1" s="77" t="s">
        <v>127</v>
      </c>
      <c r="M1" s="81" t="s">
        <v>128</v>
      </c>
      <c r="N1" s="78" t="s">
        <v>129</v>
      </c>
      <c r="O1" s="178" t="s">
        <v>130</v>
      </c>
      <c r="P1" s="179"/>
      <c r="Q1" s="77" t="s">
        <v>130</v>
      </c>
      <c r="R1" s="81"/>
      <c r="S1" s="78"/>
    </row>
    <row r="2" spans="1:20" s="71" customFormat="1" ht="15" customHeight="1" thickBot="1" x14ac:dyDescent="0.35">
      <c r="A2" s="74" t="s">
        <v>131</v>
      </c>
      <c r="B2" s="143" t="s">
        <v>1</v>
      </c>
      <c r="C2" s="143" t="s">
        <v>1</v>
      </c>
      <c r="D2" s="74" t="s">
        <v>119</v>
      </c>
      <c r="E2" s="75" t="s">
        <v>17</v>
      </c>
      <c r="F2" s="74" t="s">
        <v>121</v>
      </c>
      <c r="G2" s="76" t="s">
        <v>43</v>
      </c>
      <c r="H2" s="82" t="s">
        <v>150</v>
      </c>
      <c r="I2" s="134" t="s">
        <v>126</v>
      </c>
      <c r="J2" s="74" t="s">
        <v>163</v>
      </c>
      <c r="K2" s="143" t="s">
        <v>115</v>
      </c>
      <c r="L2" s="79" t="s">
        <v>132</v>
      </c>
      <c r="M2" s="74" t="s">
        <v>132</v>
      </c>
      <c r="N2" s="80" t="s">
        <v>132</v>
      </c>
      <c r="O2" s="79" t="s">
        <v>5</v>
      </c>
      <c r="P2" s="80" t="s">
        <v>7</v>
      </c>
      <c r="Q2" s="74" t="s">
        <v>163</v>
      </c>
      <c r="R2" s="74" t="s">
        <v>174</v>
      </c>
      <c r="S2" s="80" t="s">
        <v>152</v>
      </c>
    </row>
    <row r="3" spans="1:20" x14ac:dyDescent="0.3">
      <c r="A3" s="120"/>
      <c r="J3" s="4"/>
      <c r="L3" s="4"/>
      <c r="M3" s="4"/>
      <c r="N3" s="5"/>
      <c r="P3" s="4"/>
      <c r="Q3" s="4"/>
      <c r="R3" s="129"/>
      <c r="S3" s="121"/>
    </row>
    <row r="4" spans="1:20" x14ac:dyDescent="0.3">
      <c r="A4" s="120"/>
      <c r="J4" s="4"/>
      <c r="L4" s="4"/>
      <c r="M4" s="4"/>
      <c r="N4" s="5"/>
      <c r="P4" s="4"/>
      <c r="Q4" s="4"/>
      <c r="R4" s="129"/>
      <c r="S4" s="121"/>
    </row>
    <row r="5" spans="1:20" x14ac:dyDescent="0.3">
      <c r="A5" s="120"/>
      <c r="J5" s="4"/>
      <c r="L5" s="4"/>
      <c r="M5" s="4"/>
      <c r="N5" s="5"/>
      <c r="P5" s="4"/>
      <c r="Q5" s="4"/>
      <c r="R5" s="129"/>
      <c r="S5" s="121"/>
    </row>
    <row r="7" spans="1:20" ht="16.2" thickBot="1" x14ac:dyDescent="0.35">
      <c r="B7" s="145" t="s">
        <v>15</v>
      </c>
      <c r="E7" s="69">
        <f>SUM(E3:E6)</f>
        <v>0</v>
      </c>
      <c r="I7" s="135">
        <f>SUM(I3:I6)</f>
        <v>0</v>
      </c>
      <c r="L7" s="69">
        <f>SUM(L3:L6)</f>
        <v>0</v>
      </c>
      <c r="M7" s="69">
        <f>SUM(M3:M6)</f>
        <v>0</v>
      </c>
      <c r="N7" s="69">
        <f>SUM(N3:N6)</f>
        <v>0</v>
      </c>
      <c r="O7" s="69">
        <f>SUM(O3:O6)</f>
        <v>0</v>
      </c>
      <c r="P7" s="69">
        <f>SUM(P3:P6)</f>
        <v>0</v>
      </c>
      <c r="Q7" s="122"/>
      <c r="R7" s="122"/>
      <c r="S7" s="69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126" t="e">
        <f>+S9-'MRP Raptor'!U92+SUM(#REF!)+(+#REF!+#REF!)/0.6*0.3612</f>
        <v>#REF!</v>
      </c>
    </row>
    <row r="11" spans="1:20" x14ac:dyDescent="0.3">
      <c r="S11" s="127" t="e">
        <f>+S10-S7</f>
        <v>#REF!</v>
      </c>
      <c r="T11" t="s">
        <v>173</v>
      </c>
    </row>
    <row r="44" spans="2:2" x14ac:dyDescent="0.3">
      <c r="B44" s="144">
        <f>IF(Summary!$C$5&lt;B42,+B42,IF(Summary!$C$5&gt;E42,+E42,Summary!$C$5))</f>
        <v>0</v>
      </c>
    </row>
    <row r="49" spans="2:2" x14ac:dyDescent="0.3">
      <c r="B49" s="144">
        <f>IF(Summary!$C$5&lt;B47,+B47,IF(Summary!$C$5&gt;E47,+E47,Summary!$C$5))</f>
        <v>0</v>
      </c>
    </row>
    <row r="54" spans="2:2" x14ac:dyDescent="0.3">
      <c r="B54" s="144">
        <f>IF(Summary!$C$5&lt;B52,+B52,IF(Summary!$C$5&gt;E52,+E52,Summary!$C$5))</f>
        <v>0</v>
      </c>
    </row>
    <row r="59" spans="2:2" x14ac:dyDescent="0.3">
      <c r="B59" s="144">
        <f>IF(Summary!$C$5&lt;B57,+B57,IF(Summary!$C$5&gt;E57,+E57,Summary!$C$5))</f>
        <v>0</v>
      </c>
    </row>
    <row r="64" spans="2:2" x14ac:dyDescent="0.3">
      <c r="B64" s="144">
        <f>IF(Summary!$C$5&lt;B62,+B62,IF(Summary!$C$5&gt;E62,+E62,Summary!$C$5))</f>
        <v>0</v>
      </c>
    </row>
    <row r="69" spans="2:2" x14ac:dyDescent="0.3">
      <c r="B69" s="144">
        <f>IF(Summary!$C$5&lt;B67,+B67,IF(Summary!$C$5&gt;E67,+E67,Summary!$C$5))</f>
        <v>0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9"/>
  <sheetViews>
    <sheetView workbookViewId="0">
      <pane ySplit="4" topLeftCell="A248" activePane="bottomLeft" state="frozen"/>
      <selection activeCell="E21" sqref="E21"/>
      <selection pane="bottomLeft" activeCell="A252" sqref="A252"/>
    </sheetView>
  </sheetViews>
  <sheetFormatPr defaultRowHeight="15.6" x14ac:dyDescent="0.3"/>
  <cols>
    <col min="1" max="1" width="11.69921875" style="1" customWidth="1"/>
    <col min="2" max="2" width="14" style="118" customWidth="1"/>
  </cols>
  <sheetData>
    <row r="1" spans="1:2" x14ac:dyDescent="0.3">
      <c r="A1" s="140" t="s">
        <v>145</v>
      </c>
      <c r="B1" s="116"/>
    </row>
    <row r="2" spans="1:2" x14ac:dyDescent="0.3">
      <c r="B2" s="175">
        <v>2</v>
      </c>
    </row>
    <row r="3" spans="1:2" x14ac:dyDescent="0.3">
      <c r="A3" s="182" t="s">
        <v>4</v>
      </c>
      <c r="B3" s="183"/>
    </row>
    <row r="4" spans="1:2" x14ac:dyDescent="0.3">
      <c r="A4" s="141" t="s">
        <v>1</v>
      </c>
      <c r="B4" s="117" t="s">
        <v>12</v>
      </c>
    </row>
    <row r="5" spans="1:2" x14ac:dyDescent="0.3">
      <c r="A5" s="1">
        <v>36769</v>
      </c>
      <c r="B5" s="118">
        <v>84.875</v>
      </c>
    </row>
    <row r="6" spans="1:2" x14ac:dyDescent="0.3">
      <c r="A6" s="1">
        <v>36770</v>
      </c>
      <c r="B6" s="118">
        <v>85.328000000000003</v>
      </c>
    </row>
    <row r="7" spans="1:2" x14ac:dyDescent="0.3">
      <c r="A7" s="1">
        <v>36774</v>
      </c>
      <c r="B7" s="118">
        <v>85</v>
      </c>
    </row>
    <row r="8" spans="1:2" x14ac:dyDescent="0.3">
      <c r="A8" s="1">
        <v>36775</v>
      </c>
      <c r="B8" s="118">
        <v>84.375</v>
      </c>
    </row>
    <row r="9" spans="1:2" x14ac:dyDescent="0.3">
      <c r="A9" s="1">
        <v>36776</v>
      </c>
      <c r="B9" s="118">
        <v>83.875</v>
      </c>
    </row>
    <row r="10" spans="1:2" x14ac:dyDescent="0.3">
      <c r="A10" s="1">
        <v>36777</v>
      </c>
      <c r="B10" s="118">
        <v>84.218999999999994</v>
      </c>
    </row>
    <row r="11" spans="1:2" x14ac:dyDescent="0.3">
      <c r="A11" s="1">
        <v>36780</v>
      </c>
      <c r="B11" s="118">
        <v>86.016000000000005</v>
      </c>
    </row>
    <row r="12" spans="1:2" x14ac:dyDescent="0.3">
      <c r="A12" s="1">
        <v>36781</v>
      </c>
      <c r="B12" s="118">
        <v>86.125</v>
      </c>
    </row>
    <row r="13" spans="1:2" x14ac:dyDescent="0.3">
      <c r="A13" s="1">
        <v>36782</v>
      </c>
      <c r="B13" s="118">
        <v>86.688000000000002</v>
      </c>
    </row>
    <row r="14" spans="1:2" x14ac:dyDescent="0.3">
      <c r="A14" s="1">
        <v>36783</v>
      </c>
      <c r="B14" s="118">
        <v>86.703000000000003</v>
      </c>
    </row>
    <row r="15" spans="1:2" x14ac:dyDescent="0.3">
      <c r="A15" s="1">
        <v>36784</v>
      </c>
      <c r="B15" s="118">
        <v>89.438000000000002</v>
      </c>
    </row>
    <row r="16" spans="1:2" x14ac:dyDescent="0.3">
      <c r="A16" s="1">
        <v>36787</v>
      </c>
      <c r="B16" s="118">
        <v>89.625</v>
      </c>
    </row>
    <row r="17" spans="1:2" x14ac:dyDescent="0.3">
      <c r="A17" s="1">
        <v>36788</v>
      </c>
      <c r="B17" s="118">
        <v>84.875</v>
      </c>
    </row>
    <row r="18" spans="1:2" x14ac:dyDescent="0.3">
      <c r="A18" s="1">
        <v>36789</v>
      </c>
      <c r="B18" s="118">
        <v>82.171999999999997</v>
      </c>
    </row>
    <row r="19" spans="1:2" x14ac:dyDescent="0.3">
      <c r="A19" s="1">
        <v>36790</v>
      </c>
      <c r="B19" s="118">
        <v>80.75</v>
      </c>
    </row>
    <row r="20" spans="1:2" x14ac:dyDescent="0.3">
      <c r="A20" s="1">
        <v>36791</v>
      </c>
      <c r="B20" s="118">
        <v>83</v>
      </c>
    </row>
    <row r="21" spans="1:2" x14ac:dyDescent="0.3">
      <c r="A21" s="1">
        <v>36794</v>
      </c>
      <c r="B21" s="118">
        <v>84.438000000000002</v>
      </c>
    </row>
    <row r="22" spans="1:2" x14ac:dyDescent="0.3">
      <c r="A22" s="1">
        <v>36795</v>
      </c>
      <c r="B22" s="118">
        <v>85.5</v>
      </c>
    </row>
    <row r="23" spans="1:2" x14ac:dyDescent="0.3">
      <c r="A23" s="1">
        <v>36796</v>
      </c>
      <c r="B23" s="118">
        <v>87.453000000000003</v>
      </c>
    </row>
    <row r="24" spans="1:2" x14ac:dyDescent="0.3">
      <c r="A24" s="1">
        <v>36797</v>
      </c>
      <c r="B24" s="118">
        <v>89.25</v>
      </c>
    </row>
    <row r="25" spans="1:2" x14ac:dyDescent="0.3">
      <c r="A25" s="1">
        <v>36798</v>
      </c>
      <c r="B25" s="118">
        <v>87.641000000000005</v>
      </c>
    </row>
    <row r="26" spans="1:2" x14ac:dyDescent="0.3">
      <c r="A26" s="1">
        <v>36801</v>
      </c>
      <c r="B26" s="118">
        <v>86.438000000000002</v>
      </c>
    </row>
    <row r="27" spans="1:2" x14ac:dyDescent="0.3">
      <c r="A27" s="1">
        <v>36802</v>
      </c>
      <c r="B27" s="118">
        <v>85.563000000000002</v>
      </c>
    </row>
    <row r="28" spans="1:2" x14ac:dyDescent="0.3">
      <c r="A28" s="1">
        <v>36803</v>
      </c>
      <c r="B28" s="118">
        <v>83.063000000000002</v>
      </c>
    </row>
    <row r="29" spans="1:2" x14ac:dyDescent="0.3">
      <c r="A29" s="1">
        <v>36804</v>
      </c>
      <c r="B29" s="118">
        <v>83</v>
      </c>
    </row>
    <row r="30" spans="1:2" x14ac:dyDescent="0.3">
      <c r="A30" s="1">
        <v>36805</v>
      </c>
      <c r="B30" s="118">
        <v>81.625</v>
      </c>
    </row>
    <row r="31" spans="1:2" x14ac:dyDescent="0.3">
      <c r="A31" s="1">
        <v>36808</v>
      </c>
      <c r="B31" s="118">
        <v>83</v>
      </c>
    </row>
    <row r="32" spans="1:2" x14ac:dyDescent="0.3">
      <c r="A32" s="1">
        <v>36809</v>
      </c>
      <c r="B32" s="118">
        <v>81.688000000000002</v>
      </c>
    </row>
    <row r="33" spans="1:2" x14ac:dyDescent="0.3">
      <c r="A33" s="1">
        <v>36810</v>
      </c>
      <c r="B33" s="118">
        <v>82.813000000000002</v>
      </c>
    </row>
    <row r="34" spans="1:2" x14ac:dyDescent="0.3">
      <c r="A34" s="1">
        <v>36811</v>
      </c>
      <c r="B34" s="118">
        <v>79.875</v>
      </c>
    </row>
    <row r="35" spans="1:2" x14ac:dyDescent="0.3">
      <c r="A35" s="1">
        <v>36812</v>
      </c>
      <c r="B35" s="118">
        <v>79.5</v>
      </c>
    </row>
    <row r="36" spans="1:2" x14ac:dyDescent="0.3">
      <c r="A36" s="139">
        <v>36815</v>
      </c>
      <c r="B36" s="118">
        <v>80</v>
      </c>
    </row>
    <row r="37" spans="1:2" x14ac:dyDescent="0.3">
      <c r="A37" s="139">
        <v>36816</v>
      </c>
      <c r="B37" s="118">
        <v>79.188000000000002</v>
      </c>
    </row>
    <row r="38" spans="1:2" x14ac:dyDescent="0.3">
      <c r="A38" s="139">
        <v>36817</v>
      </c>
      <c r="B38" s="118">
        <v>78.75</v>
      </c>
    </row>
    <row r="39" spans="1:2" x14ac:dyDescent="0.3">
      <c r="A39" s="139">
        <v>36818</v>
      </c>
      <c r="B39" s="118">
        <v>79</v>
      </c>
    </row>
    <row r="40" spans="1:2" x14ac:dyDescent="0.3">
      <c r="A40" s="139">
        <v>36819</v>
      </c>
      <c r="B40" s="118">
        <v>80.5</v>
      </c>
    </row>
    <row r="41" spans="1:2" x14ac:dyDescent="0.3">
      <c r="A41" s="139">
        <v>36822</v>
      </c>
      <c r="B41" s="118">
        <v>82</v>
      </c>
    </row>
    <row r="42" spans="1:2" x14ac:dyDescent="0.3">
      <c r="A42" s="139">
        <v>36823</v>
      </c>
      <c r="B42" s="118">
        <v>80.1875</v>
      </c>
    </row>
    <row r="43" spans="1:2" x14ac:dyDescent="0.3">
      <c r="A43" s="139">
        <v>36824</v>
      </c>
      <c r="B43" s="118">
        <v>76.125</v>
      </c>
    </row>
    <row r="44" spans="1:2" x14ac:dyDescent="0.3">
      <c r="A44" s="139">
        <v>36825</v>
      </c>
      <c r="B44" s="118">
        <f>IF(Summary!$C$5&lt;B42,+B42,IF(Summary!$C$5&gt;E42,+E42,Summary!$C$5))</f>
        <v>0</v>
      </c>
    </row>
    <row r="45" spans="1:2" x14ac:dyDescent="0.3">
      <c r="A45" s="139">
        <v>36826</v>
      </c>
      <c r="B45" s="118">
        <v>78.875</v>
      </c>
    </row>
    <row r="46" spans="1:2" x14ac:dyDescent="0.3">
      <c r="A46" s="139">
        <v>36829</v>
      </c>
      <c r="B46" s="118">
        <v>80.688000000000002</v>
      </c>
    </row>
    <row r="47" spans="1:2" x14ac:dyDescent="0.3">
      <c r="A47" s="139">
        <v>36830</v>
      </c>
      <c r="B47" s="118">
        <v>82.063000000000002</v>
      </c>
    </row>
    <row r="48" spans="1:2" x14ac:dyDescent="0.3">
      <c r="A48" s="139">
        <v>36831</v>
      </c>
      <c r="B48" s="118">
        <v>83.25</v>
      </c>
    </row>
    <row r="49" spans="1:2" x14ac:dyDescent="0.3">
      <c r="A49" s="139">
        <v>36832</v>
      </c>
      <c r="B49" s="118">
        <f>IF(Summary!$C$5&lt;B47,+B47,IF(Summary!$C$5&gt;E47,+E47,Summary!$C$5))</f>
        <v>0</v>
      </c>
    </row>
    <row r="50" spans="1:2" x14ac:dyDescent="0.3">
      <c r="A50" s="139">
        <v>36833</v>
      </c>
      <c r="B50" s="118">
        <v>77.375</v>
      </c>
    </row>
    <row r="51" spans="1:2" x14ac:dyDescent="0.3">
      <c r="A51" s="139">
        <v>36836</v>
      </c>
      <c r="B51" s="118">
        <v>81.563000000000002</v>
      </c>
    </row>
    <row r="52" spans="1:2" x14ac:dyDescent="0.3">
      <c r="A52" s="139">
        <v>36837</v>
      </c>
      <c r="B52" s="118">
        <v>81.813000000000002</v>
      </c>
    </row>
    <row r="53" spans="1:2" x14ac:dyDescent="0.3">
      <c r="A53" s="139">
        <v>36838</v>
      </c>
      <c r="B53" s="118">
        <v>82.125</v>
      </c>
    </row>
    <row r="54" spans="1:2" x14ac:dyDescent="0.3">
      <c r="A54" s="139">
        <v>36839</v>
      </c>
      <c r="B54" s="118">
        <f>IF(Summary!$C$5&lt;B52,+B52,IF(Summary!$C$5&gt;E52,+E52,Summary!$C$5))</f>
        <v>0</v>
      </c>
    </row>
    <row r="55" spans="1:2" x14ac:dyDescent="0.3">
      <c r="A55" s="139">
        <v>36840</v>
      </c>
      <c r="B55" s="118">
        <f>82+0.9375</f>
        <v>82.9375</v>
      </c>
    </row>
    <row r="56" spans="1:2" x14ac:dyDescent="0.3">
      <c r="A56" s="139">
        <v>36843</v>
      </c>
      <c r="B56" s="118">
        <v>79.438000000000002</v>
      </c>
    </row>
    <row r="57" spans="1:2" x14ac:dyDescent="0.3">
      <c r="A57" s="139">
        <v>36844</v>
      </c>
      <c r="B57" s="118">
        <v>79.563000000000002</v>
      </c>
    </row>
    <row r="58" spans="1:2" x14ac:dyDescent="0.3">
      <c r="A58" s="139">
        <v>36845</v>
      </c>
      <c r="B58" s="118">
        <v>80.375</v>
      </c>
    </row>
    <row r="59" spans="1:2" x14ac:dyDescent="0.3">
      <c r="A59" s="139">
        <v>36846</v>
      </c>
      <c r="B59" s="118">
        <f>IF(Summary!$C$5&lt;B57,+B57,IF(Summary!$C$5&gt;E57,+E57,Summary!$C$5))</f>
        <v>0</v>
      </c>
    </row>
    <row r="60" spans="1:2" x14ac:dyDescent="0.3">
      <c r="A60" s="139">
        <v>36847</v>
      </c>
      <c r="B60" s="118">
        <v>81.5</v>
      </c>
    </row>
    <row r="61" spans="1:2" x14ac:dyDescent="0.3">
      <c r="A61" s="139">
        <v>36850</v>
      </c>
      <c r="B61" s="118">
        <v>80.25</v>
      </c>
    </row>
    <row r="62" spans="1:2" x14ac:dyDescent="0.3">
      <c r="A62" s="139">
        <v>36851</v>
      </c>
      <c r="B62" s="118">
        <v>80.375</v>
      </c>
    </row>
    <row r="63" spans="1:2" x14ac:dyDescent="0.3">
      <c r="A63" s="139">
        <v>36852</v>
      </c>
      <c r="B63" s="118">
        <v>75.563000000000002</v>
      </c>
    </row>
    <row r="64" spans="1:2" x14ac:dyDescent="0.3">
      <c r="A64" s="139">
        <v>36854</v>
      </c>
      <c r="B64" s="118">
        <f>IF(Summary!$C$5&lt;B62,+B62,IF(Summary!$C$5&gt;E62,+E62,Summary!$C$5))</f>
        <v>0</v>
      </c>
    </row>
    <row r="65" spans="1:2" x14ac:dyDescent="0.3">
      <c r="A65" s="139">
        <v>36857</v>
      </c>
      <c r="B65" s="118">
        <v>78.875</v>
      </c>
    </row>
    <row r="66" spans="1:2" x14ac:dyDescent="0.3">
      <c r="A66" s="139">
        <v>36858</v>
      </c>
      <c r="B66" s="118">
        <v>78.438000000000002</v>
      </c>
    </row>
    <row r="67" spans="1:2" x14ac:dyDescent="0.3">
      <c r="A67" s="139">
        <v>36859</v>
      </c>
      <c r="B67" s="118">
        <v>70.25</v>
      </c>
    </row>
    <row r="68" spans="1:2" x14ac:dyDescent="0.3">
      <c r="A68" s="139">
        <v>36860</v>
      </c>
      <c r="B68" s="118">
        <v>64.75</v>
      </c>
    </row>
    <row r="69" spans="1:2" x14ac:dyDescent="0.3">
      <c r="A69" s="139">
        <v>36861</v>
      </c>
      <c r="B69" s="118">
        <f>IF(Summary!$C$5&lt;B67,+B67,IF(Summary!$C$5&gt;E67,+E67,Summary!$C$5))</f>
        <v>0</v>
      </c>
    </row>
    <row r="70" spans="1:2" x14ac:dyDescent="0.3">
      <c r="A70" s="139">
        <v>36864</v>
      </c>
      <c r="B70" s="118">
        <v>65.938000000000002</v>
      </c>
    </row>
    <row r="71" spans="1:2" x14ac:dyDescent="0.3">
      <c r="A71" s="139">
        <v>36865</v>
      </c>
      <c r="B71" s="118">
        <v>68.25</v>
      </c>
    </row>
    <row r="72" spans="1:2" x14ac:dyDescent="0.3">
      <c r="A72" s="139">
        <v>36866</v>
      </c>
      <c r="B72" s="118">
        <v>71.938000000000002</v>
      </c>
    </row>
    <row r="73" spans="1:2" x14ac:dyDescent="0.3">
      <c r="A73" s="139">
        <v>36867</v>
      </c>
      <c r="B73" s="118">
        <v>72.875</v>
      </c>
    </row>
    <row r="74" spans="1:2" x14ac:dyDescent="0.3">
      <c r="A74" s="139">
        <v>36868</v>
      </c>
      <c r="B74" s="118">
        <v>73.063000000000002</v>
      </c>
    </row>
    <row r="75" spans="1:2" x14ac:dyDescent="0.3">
      <c r="A75" s="139">
        <v>36871</v>
      </c>
      <c r="B75" s="118">
        <v>76.5</v>
      </c>
    </row>
    <row r="76" spans="1:2" x14ac:dyDescent="0.3">
      <c r="A76" s="139">
        <v>36872</v>
      </c>
      <c r="B76" s="118">
        <v>77.188000000000002</v>
      </c>
    </row>
    <row r="77" spans="1:2" x14ac:dyDescent="0.3">
      <c r="A77" s="139">
        <v>36873</v>
      </c>
      <c r="B77" s="118">
        <v>74.5</v>
      </c>
    </row>
    <row r="78" spans="1:2" x14ac:dyDescent="0.3">
      <c r="A78" s="139">
        <v>36874</v>
      </c>
      <c r="B78" s="118">
        <v>76.5</v>
      </c>
    </row>
    <row r="79" spans="1:2" x14ac:dyDescent="0.3">
      <c r="A79" s="139">
        <v>36875</v>
      </c>
      <c r="B79" s="118">
        <v>77.563000000000002</v>
      </c>
    </row>
    <row r="80" spans="1:2" x14ac:dyDescent="0.3">
      <c r="A80" s="139">
        <v>36878</v>
      </c>
      <c r="B80" s="118">
        <v>79.563000000000002</v>
      </c>
    </row>
    <row r="81" spans="1:2" x14ac:dyDescent="0.3">
      <c r="A81" s="139">
        <v>36879</v>
      </c>
      <c r="B81" s="118">
        <v>79.75</v>
      </c>
    </row>
    <row r="82" spans="1:2" x14ac:dyDescent="0.3">
      <c r="A82" s="139">
        <v>36880</v>
      </c>
      <c r="B82" s="118">
        <v>79.75</v>
      </c>
    </row>
    <row r="83" spans="1:2" x14ac:dyDescent="0.3">
      <c r="A83" s="139">
        <v>36881</v>
      </c>
      <c r="B83" s="118">
        <v>79.313000000000002</v>
      </c>
    </row>
    <row r="84" spans="1:2" x14ac:dyDescent="0.3">
      <c r="A84" s="139">
        <v>36882</v>
      </c>
      <c r="B84" s="118">
        <v>81.188000000000002</v>
      </c>
    </row>
    <row r="85" spans="1:2" x14ac:dyDescent="0.3">
      <c r="A85" s="139">
        <v>36886</v>
      </c>
      <c r="B85" s="118">
        <v>83.5</v>
      </c>
    </row>
    <row r="86" spans="1:2" x14ac:dyDescent="0.3">
      <c r="A86" s="139">
        <v>36887</v>
      </c>
      <c r="B86" s="118">
        <v>82.813000000000002</v>
      </c>
    </row>
    <row r="87" spans="1:2" x14ac:dyDescent="0.3">
      <c r="A87" s="139">
        <v>36888</v>
      </c>
      <c r="B87" s="118">
        <v>84.625</v>
      </c>
    </row>
    <row r="88" spans="1:2" x14ac:dyDescent="0.3">
      <c r="A88" s="139">
        <v>36889</v>
      </c>
      <c r="B88" s="118">
        <v>83.125</v>
      </c>
    </row>
    <row r="89" spans="1:2" x14ac:dyDescent="0.3">
      <c r="A89" s="139">
        <v>36893</v>
      </c>
      <c r="B89" s="118">
        <v>79.875</v>
      </c>
    </row>
    <row r="90" spans="1:2" x14ac:dyDescent="0.3">
      <c r="A90" s="139">
        <v>36894</v>
      </c>
      <c r="B90" s="118">
        <v>75.063000000000002</v>
      </c>
    </row>
    <row r="91" spans="1:2" x14ac:dyDescent="0.3">
      <c r="A91" s="139">
        <v>36895</v>
      </c>
      <c r="B91" s="118">
        <v>72</v>
      </c>
    </row>
    <row r="92" spans="1:2" x14ac:dyDescent="0.3">
      <c r="A92" s="139">
        <v>36896</v>
      </c>
      <c r="B92" s="118">
        <v>71.375</v>
      </c>
    </row>
    <row r="93" spans="1:2" x14ac:dyDescent="0.3">
      <c r="A93" s="139">
        <v>36899</v>
      </c>
      <c r="B93" s="118">
        <v>71.25</v>
      </c>
    </row>
    <row r="94" spans="1:2" x14ac:dyDescent="0.3">
      <c r="A94" s="139">
        <v>36900</v>
      </c>
      <c r="B94" s="118">
        <v>68.625</v>
      </c>
    </row>
    <row r="95" spans="1:2" x14ac:dyDescent="0.3">
      <c r="A95" s="139">
        <v>36901</v>
      </c>
      <c r="B95" s="118">
        <v>68.938000000000002</v>
      </c>
    </row>
    <row r="96" spans="1:2" x14ac:dyDescent="0.3">
      <c r="A96" s="139">
        <v>36902</v>
      </c>
      <c r="B96" s="118">
        <v>69.438000000000002</v>
      </c>
    </row>
    <row r="97" spans="1:2" x14ac:dyDescent="0.3">
      <c r="A97" s="139">
        <v>36903</v>
      </c>
      <c r="B97" s="118">
        <v>70.438000000000002</v>
      </c>
    </row>
    <row r="98" spans="1:2" x14ac:dyDescent="0.3">
      <c r="A98" s="139">
        <v>36907</v>
      </c>
      <c r="B98" s="118">
        <v>68.438000000000002</v>
      </c>
    </row>
    <row r="99" spans="1:2" x14ac:dyDescent="0.3">
      <c r="A99" s="139">
        <v>36908</v>
      </c>
      <c r="B99" s="118">
        <v>71.125</v>
      </c>
    </row>
    <row r="100" spans="1:2" x14ac:dyDescent="0.3">
      <c r="A100" s="139">
        <v>36909</v>
      </c>
      <c r="B100" s="118">
        <v>72.063000000000002</v>
      </c>
    </row>
    <row r="101" spans="1:2" x14ac:dyDescent="0.3">
      <c r="A101" s="139">
        <v>36910</v>
      </c>
      <c r="B101" s="118">
        <v>70.875</v>
      </c>
    </row>
    <row r="102" spans="1:2" x14ac:dyDescent="0.3">
      <c r="A102" s="139">
        <v>36913</v>
      </c>
      <c r="B102" s="118">
        <v>75.0625</v>
      </c>
    </row>
    <row r="103" spans="1:2" x14ac:dyDescent="0.3">
      <c r="A103" s="139">
        <v>36914</v>
      </c>
      <c r="B103" s="118">
        <v>78.563000000000002</v>
      </c>
    </row>
    <row r="104" spans="1:2" x14ac:dyDescent="0.3">
      <c r="A104" s="139">
        <v>36915</v>
      </c>
      <c r="B104" s="118">
        <v>79.75</v>
      </c>
    </row>
    <row r="105" spans="1:2" x14ac:dyDescent="0.3">
      <c r="A105" s="139">
        <v>36916</v>
      </c>
      <c r="B105" s="118">
        <v>82</v>
      </c>
    </row>
    <row r="106" spans="1:2" x14ac:dyDescent="0.3">
      <c r="A106" s="139">
        <v>36917</v>
      </c>
      <c r="B106" s="118">
        <v>82</v>
      </c>
    </row>
    <row r="107" spans="1:2" x14ac:dyDescent="0.3">
      <c r="A107" s="139">
        <v>36920</v>
      </c>
      <c r="B107" s="118">
        <v>80.77</v>
      </c>
    </row>
    <row r="108" spans="1:2" x14ac:dyDescent="0.3">
      <c r="A108" s="139">
        <v>36921</v>
      </c>
      <c r="B108" s="118">
        <v>78.5</v>
      </c>
    </row>
    <row r="109" spans="1:2" x14ac:dyDescent="0.3">
      <c r="A109" s="139">
        <v>36922</v>
      </c>
      <c r="B109" s="118">
        <v>80</v>
      </c>
    </row>
    <row r="110" spans="1:2" x14ac:dyDescent="0.3">
      <c r="A110" s="139">
        <v>36923</v>
      </c>
      <c r="B110" s="118">
        <v>78.790000000000006</v>
      </c>
    </row>
    <row r="111" spans="1:2" x14ac:dyDescent="0.3">
      <c r="A111" s="139">
        <v>36924</v>
      </c>
      <c r="B111" s="118">
        <v>79.98</v>
      </c>
    </row>
    <row r="112" spans="1:2" x14ac:dyDescent="0.3">
      <c r="A112" s="139">
        <v>36927</v>
      </c>
      <c r="B112" s="118">
        <v>81.81</v>
      </c>
    </row>
    <row r="113" spans="1:2" x14ac:dyDescent="0.3">
      <c r="A113" s="139">
        <v>36928</v>
      </c>
      <c r="B113" s="118">
        <v>80.150000000000006</v>
      </c>
    </row>
    <row r="114" spans="1:2" x14ac:dyDescent="0.3">
      <c r="A114" s="139">
        <v>36929</v>
      </c>
      <c r="B114" s="118">
        <v>80.349999999999994</v>
      </c>
    </row>
    <row r="115" spans="1:2" x14ac:dyDescent="0.3">
      <c r="A115" s="139">
        <v>36930</v>
      </c>
      <c r="B115" s="118">
        <v>80</v>
      </c>
    </row>
    <row r="116" spans="1:2" x14ac:dyDescent="0.3">
      <c r="A116" s="139">
        <v>36931</v>
      </c>
      <c r="B116" s="118">
        <v>80.2</v>
      </c>
    </row>
    <row r="117" spans="1:2" x14ac:dyDescent="0.3">
      <c r="A117" s="139">
        <v>36934</v>
      </c>
      <c r="B117" s="118">
        <f>79.8</f>
        <v>79.8</v>
      </c>
    </row>
    <row r="118" spans="1:2" x14ac:dyDescent="0.3">
      <c r="A118" s="139">
        <v>36935</v>
      </c>
      <c r="B118" s="118">
        <v>81.150000000000006</v>
      </c>
    </row>
    <row r="119" spans="1:2" x14ac:dyDescent="0.3">
      <c r="A119" s="139">
        <v>36936</v>
      </c>
      <c r="B119" s="118">
        <v>80</v>
      </c>
    </row>
    <row r="120" spans="1:2" x14ac:dyDescent="0.3">
      <c r="A120" s="139">
        <v>36937</v>
      </c>
      <c r="B120" s="118">
        <v>77.900000000000006</v>
      </c>
    </row>
    <row r="121" spans="1:2" x14ac:dyDescent="0.3">
      <c r="A121" s="139">
        <v>36938</v>
      </c>
      <c r="B121" s="118">
        <v>76.19</v>
      </c>
    </row>
    <row r="122" spans="1:2" x14ac:dyDescent="0.3">
      <c r="A122" s="139">
        <v>36942</v>
      </c>
      <c r="B122" s="118">
        <v>75.09</v>
      </c>
    </row>
    <row r="123" spans="1:2" x14ac:dyDescent="0.3">
      <c r="A123" s="139">
        <v>36943</v>
      </c>
      <c r="B123" s="118">
        <v>73.09</v>
      </c>
    </row>
    <row r="124" spans="1:2" x14ac:dyDescent="0.3">
      <c r="A124" s="139">
        <v>36944</v>
      </c>
      <c r="B124" s="118">
        <f>72.15</f>
        <v>72.150000000000006</v>
      </c>
    </row>
    <row r="125" spans="1:2" x14ac:dyDescent="0.3">
      <c r="A125" s="139">
        <v>36945</v>
      </c>
      <c r="B125" s="118">
        <v>71</v>
      </c>
    </row>
    <row r="126" spans="1:2" x14ac:dyDescent="0.3">
      <c r="A126" s="139">
        <v>36948</v>
      </c>
      <c r="B126" s="118">
        <v>70.56</v>
      </c>
    </row>
    <row r="127" spans="1:2" x14ac:dyDescent="0.3">
      <c r="A127" s="139">
        <v>36949</v>
      </c>
      <c r="B127" s="118">
        <v>70.040000000000006</v>
      </c>
    </row>
    <row r="128" spans="1:2" x14ac:dyDescent="0.3">
      <c r="A128" s="139">
        <v>36950</v>
      </c>
      <c r="B128" s="118">
        <v>68.5</v>
      </c>
    </row>
    <row r="129" spans="1:2" x14ac:dyDescent="0.3">
      <c r="A129" s="139">
        <v>36951</v>
      </c>
      <c r="B129" s="118">
        <v>68.680000000000007</v>
      </c>
    </row>
    <row r="130" spans="1:2" x14ac:dyDescent="0.3">
      <c r="A130" s="139">
        <v>36952</v>
      </c>
      <c r="B130" s="118">
        <v>70.19</v>
      </c>
    </row>
    <row r="131" spans="1:2" x14ac:dyDescent="0.3">
      <c r="A131" s="139">
        <v>36955</v>
      </c>
      <c r="B131" s="118">
        <v>70.11</v>
      </c>
    </row>
    <row r="132" spans="1:2" x14ac:dyDescent="0.3">
      <c r="A132" s="139">
        <v>36956</v>
      </c>
      <c r="B132" s="118">
        <v>68.87</v>
      </c>
    </row>
    <row r="133" spans="1:2" x14ac:dyDescent="0.3">
      <c r="A133" s="139">
        <v>36957</v>
      </c>
      <c r="B133" s="118">
        <v>70</v>
      </c>
    </row>
    <row r="134" spans="1:2" x14ac:dyDescent="0.3">
      <c r="A134" s="139">
        <v>36958</v>
      </c>
      <c r="B134" s="118">
        <v>70.59</v>
      </c>
    </row>
    <row r="135" spans="1:2" x14ac:dyDescent="0.3">
      <c r="A135" s="139">
        <v>36959</v>
      </c>
      <c r="B135" s="118">
        <v>68.84</v>
      </c>
    </row>
    <row r="136" spans="1:2" x14ac:dyDescent="0.3">
      <c r="A136" s="139">
        <v>36962</v>
      </c>
      <c r="B136" s="118">
        <v>61.27</v>
      </c>
    </row>
    <row r="137" spans="1:2" x14ac:dyDescent="0.3">
      <c r="A137" s="139">
        <v>36963</v>
      </c>
      <c r="B137" s="155">
        <v>62.05</v>
      </c>
    </row>
    <row r="138" spans="1:2" x14ac:dyDescent="0.3">
      <c r="A138" s="139">
        <v>36964</v>
      </c>
      <c r="B138" s="155">
        <v>62.75</v>
      </c>
    </row>
    <row r="139" spans="1:2" x14ac:dyDescent="0.3">
      <c r="A139" s="139">
        <v>36965</v>
      </c>
      <c r="B139" s="155">
        <v>66.53</v>
      </c>
    </row>
    <row r="140" spans="1:2" x14ac:dyDescent="0.3">
      <c r="A140" s="139">
        <v>36966</v>
      </c>
      <c r="B140" s="155">
        <v>62.24</v>
      </c>
    </row>
    <row r="141" spans="1:2" x14ac:dyDescent="0.3">
      <c r="A141" s="139">
        <v>36969</v>
      </c>
      <c r="B141" s="155">
        <v>61.8</v>
      </c>
    </row>
    <row r="142" spans="1:2" x14ac:dyDescent="0.3">
      <c r="A142" s="139">
        <v>36970</v>
      </c>
      <c r="B142" s="118">
        <v>60.95</v>
      </c>
    </row>
    <row r="143" spans="1:2" x14ac:dyDescent="0.3">
      <c r="A143" s="139">
        <v>36971</v>
      </c>
      <c r="B143" s="118">
        <v>55.89</v>
      </c>
    </row>
    <row r="144" spans="1:2" x14ac:dyDescent="0.3">
      <c r="A144" s="139">
        <v>36972</v>
      </c>
      <c r="B144" s="118">
        <v>55.02</v>
      </c>
    </row>
    <row r="145" spans="1:2" x14ac:dyDescent="0.3">
      <c r="A145" s="139">
        <v>36973</v>
      </c>
      <c r="B145" s="118">
        <v>59.4</v>
      </c>
    </row>
    <row r="146" spans="1:2" x14ac:dyDescent="0.3">
      <c r="A146" s="139">
        <v>36976</v>
      </c>
      <c r="B146" s="118">
        <v>61.48</v>
      </c>
    </row>
    <row r="147" spans="1:2" x14ac:dyDescent="0.3">
      <c r="A147" s="139">
        <v>36977</v>
      </c>
      <c r="B147" s="118">
        <v>60.46</v>
      </c>
    </row>
    <row r="148" spans="1:2" x14ac:dyDescent="0.3">
      <c r="A148" s="139">
        <v>36978</v>
      </c>
      <c r="B148" s="118">
        <v>58.1</v>
      </c>
    </row>
    <row r="149" spans="1:2" x14ac:dyDescent="0.3">
      <c r="A149" s="139">
        <v>36979</v>
      </c>
      <c r="B149" s="155">
        <v>55.31</v>
      </c>
    </row>
    <row r="150" spans="1:2" x14ac:dyDescent="0.3">
      <c r="A150" s="139">
        <v>36980</v>
      </c>
      <c r="B150" s="155">
        <v>58.1</v>
      </c>
    </row>
    <row r="151" spans="1:2" x14ac:dyDescent="0.3">
      <c r="A151" s="139">
        <v>36981</v>
      </c>
      <c r="B151" s="155">
        <v>58.1</v>
      </c>
    </row>
    <row r="152" spans="1:2" x14ac:dyDescent="0.3">
      <c r="A152" s="139">
        <v>36983</v>
      </c>
      <c r="B152" s="118">
        <v>56.57</v>
      </c>
    </row>
    <row r="153" spans="1:2" x14ac:dyDescent="0.3">
      <c r="A153" s="139">
        <v>36984</v>
      </c>
      <c r="B153" s="118">
        <v>54.06</v>
      </c>
    </row>
    <row r="154" spans="1:2" x14ac:dyDescent="0.3">
      <c r="A154" s="139">
        <v>36985</v>
      </c>
      <c r="B154" s="118">
        <v>53.72</v>
      </c>
    </row>
    <row r="155" spans="1:2" x14ac:dyDescent="0.3">
      <c r="A155" s="139">
        <v>36986</v>
      </c>
      <c r="B155" s="155">
        <v>55.7</v>
      </c>
    </row>
    <row r="156" spans="1:2" x14ac:dyDescent="0.3">
      <c r="A156" s="139">
        <v>36987</v>
      </c>
      <c r="B156" s="167">
        <v>53.5</v>
      </c>
    </row>
    <row r="157" spans="1:2" x14ac:dyDescent="0.3">
      <c r="A157" s="139">
        <v>36990</v>
      </c>
      <c r="B157" s="167">
        <v>55.96</v>
      </c>
    </row>
    <row r="158" spans="1:2" x14ac:dyDescent="0.3">
      <c r="A158" s="139">
        <v>36991</v>
      </c>
      <c r="B158" s="167">
        <v>58.82</v>
      </c>
    </row>
    <row r="159" spans="1:2" x14ac:dyDescent="0.3">
      <c r="A159" s="139">
        <v>36992</v>
      </c>
      <c r="B159" s="167">
        <v>58.51</v>
      </c>
    </row>
    <row r="160" spans="1:2" x14ac:dyDescent="0.3">
      <c r="A160" s="139">
        <v>36993</v>
      </c>
      <c r="B160" s="167">
        <v>57.3</v>
      </c>
    </row>
    <row r="161" spans="1:2" x14ac:dyDescent="0.3">
      <c r="A161" s="139">
        <v>36997</v>
      </c>
      <c r="B161" s="167">
        <v>59.44</v>
      </c>
    </row>
    <row r="162" spans="1:2" x14ac:dyDescent="0.3">
      <c r="A162" s="139">
        <v>36998</v>
      </c>
      <c r="B162" s="167">
        <v>60</v>
      </c>
    </row>
    <row r="163" spans="1:2" x14ac:dyDescent="0.3">
      <c r="A163" s="139">
        <v>36999</v>
      </c>
      <c r="B163" s="167">
        <v>61.62</v>
      </c>
    </row>
    <row r="164" spans="1:2" x14ac:dyDescent="0.3">
      <c r="A164" s="139">
        <v>37000</v>
      </c>
      <c r="B164" s="167">
        <v>61.16</v>
      </c>
    </row>
    <row r="165" spans="1:2" x14ac:dyDescent="0.3">
      <c r="A165" s="139">
        <v>37001</v>
      </c>
      <c r="B165" s="167">
        <v>59.99</v>
      </c>
    </row>
    <row r="166" spans="1:2" x14ac:dyDescent="0.3">
      <c r="A166" s="139">
        <v>37004</v>
      </c>
      <c r="B166" s="167">
        <v>61.65</v>
      </c>
    </row>
    <row r="167" spans="1:2" x14ac:dyDescent="0.3">
      <c r="A167" s="139">
        <v>37005</v>
      </c>
      <c r="B167" s="167">
        <v>61.87</v>
      </c>
    </row>
    <row r="168" spans="1:2" x14ac:dyDescent="0.3">
      <c r="A168" s="139">
        <v>37006</v>
      </c>
      <c r="B168" s="167">
        <v>62.88</v>
      </c>
    </row>
    <row r="169" spans="1:2" x14ac:dyDescent="0.3">
      <c r="A169" s="139">
        <v>37007</v>
      </c>
      <c r="B169" s="167">
        <v>63.66</v>
      </c>
    </row>
    <row r="170" spans="1:2" x14ac:dyDescent="0.3">
      <c r="A170" s="139">
        <v>37008</v>
      </c>
      <c r="B170" s="167">
        <v>63.5</v>
      </c>
    </row>
    <row r="171" spans="1:2" x14ac:dyDescent="0.3">
      <c r="A171" s="139">
        <v>37011</v>
      </c>
      <c r="B171" s="167">
        <v>62.72</v>
      </c>
    </row>
    <row r="172" spans="1:2" x14ac:dyDescent="0.3">
      <c r="A172" s="1">
        <v>37012</v>
      </c>
      <c r="B172" s="118">
        <v>62.41</v>
      </c>
    </row>
    <row r="173" spans="1:2" x14ac:dyDescent="0.3">
      <c r="A173" s="1">
        <v>37013</v>
      </c>
      <c r="B173" s="118">
        <v>60.5</v>
      </c>
    </row>
    <row r="174" spans="1:2" x14ac:dyDescent="0.3">
      <c r="A174" s="1">
        <v>37014</v>
      </c>
      <c r="B174" s="118">
        <v>58.35</v>
      </c>
    </row>
    <row r="175" spans="1:2" x14ac:dyDescent="0.3">
      <c r="A175" s="139">
        <v>37015</v>
      </c>
      <c r="B175" s="167">
        <v>59.48</v>
      </c>
    </row>
    <row r="176" spans="1:2" x14ac:dyDescent="0.3">
      <c r="A176" s="139">
        <v>37018</v>
      </c>
      <c r="B176" s="167">
        <v>58.04</v>
      </c>
    </row>
    <row r="177" spans="1:2" x14ac:dyDescent="0.3">
      <c r="A177" s="139">
        <v>37019</v>
      </c>
      <c r="B177" s="167">
        <v>56.11</v>
      </c>
    </row>
    <row r="178" spans="1:2" x14ac:dyDescent="0.3">
      <c r="A178" s="139">
        <v>37020</v>
      </c>
      <c r="B178" s="167">
        <v>59.2</v>
      </c>
    </row>
    <row r="179" spans="1:2" x14ac:dyDescent="0.3">
      <c r="A179" s="139">
        <v>37021</v>
      </c>
      <c r="B179" s="167">
        <v>57.6</v>
      </c>
    </row>
    <row r="180" spans="1:2" x14ac:dyDescent="0.3">
      <c r="A180" s="139">
        <v>37022</v>
      </c>
      <c r="B180" s="167">
        <v>58.2</v>
      </c>
    </row>
    <row r="181" spans="1:2" x14ac:dyDescent="0.3">
      <c r="A181" s="139">
        <v>37025</v>
      </c>
      <c r="B181" s="167">
        <v>58.75</v>
      </c>
    </row>
    <row r="182" spans="1:2" x14ac:dyDescent="0.3">
      <c r="A182" s="139">
        <v>37026</v>
      </c>
      <c r="B182" s="167">
        <v>56.99</v>
      </c>
    </row>
    <row r="183" spans="1:2" x14ac:dyDescent="0.3">
      <c r="A183" s="139">
        <v>37027</v>
      </c>
      <c r="B183" s="167">
        <v>55.01</v>
      </c>
    </row>
    <row r="184" spans="1:2" x14ac:dyDescent="0.3">
      <c r="A184" s="139">
        <v>37028</v>
      </c>
      <c r="B184" s="167">
        <v>52.2</v>
      </c>
    </row>
    <row r="185" spans="1:2" x14ac:dyDescent="0.3">
      <c r="A185" s="139">
        <v>37029</v>
      </c>
      <c r="B185" s="167">
        <v>54.9</v>
      </c>
    </row>
    <row r="186" spans="1:2" x14ac:dyDescent="0.3">
      <c r="A186" s="139">
        <v>37032</v>
      </c>
      <c r="B186" s="167">
        <v>54.99</v>
      </c>
    </row>
    <row r="187" spans="1:2" x14ac:dyDescent="0.3">
      <c r="A187" s="139">
        <v>37033</v>
      </c>
      <c r="B187" s="167">
        <v>54.95</v>
      </c>
    </row>
    <row r="188" spans="1:2" x14ac:dyDescent="0.3">
      <c r="A188" s="139">
        <v>37034</v>
      </c>
      <c r="B188" s="167">
        <v>55.35</v>
      </c>
    </row>
    <row r="189" spans="1:2" x14ac:dyDescent="0.3">
      <c r="A189" s="139">
        <v>37035</v>
      </c>
      <c r="B189" s="167">
        <v>54.16</v>
      </c>
    </row>
    <row r="190" spans="1:2" x14ac:dyDescent="0.3">
      <c r="A190" s="139">
        <v>37036</v>
      </c>
      <c r="B190" s="167">
        <v>53</v>
      </c>
    </row>
    <row r="191" spans="1:2" x14ac:dyDescent="0.3">
      <c r="A191" s="139">
        <v>37040</v>
      </c>
      <c r="B191" s="167">
        <v>53.05</v>
      </c>
    </row>
    <row r="192" spans="1:2" x14ac:dyDescent="0.3">
      <c r="A192" s="139">
        <v>37041</v>
      </c>
      <c r="B192" s="167">
        <v>53.23</v>
      </c>
    </row>
    <row r="193" spans="1:2" x14ac:dyDescent="0.3">
      <c r="A193" s="139">
        <v>37042</v>
      </c>
      <c r="B193" s="167">
        <v>52.91</v>
      </c>
    </row>
    <row r="194" spans="1:2" x14ac:dyDescent="0.3">
      <c r="A194" s="139">
        <v>37043</v>
      </c>
      <c r="B194" s="167">
        <v>53.04</v>
      </c>
    </row>
    <row r="195" spans="1:2" x14ac:dyDescent="0.3">
      <c r="A195" s="139">
        <v>37046</v>
      </c>
      <c r="B195" s="167">
        <v>54.54</v>
      </c>
    </row>
    <row r="196" spans="1:2" x14ac:dyDescent="0.3">
      <c r="A196" s="139">
        <v>37047</v>
      </c>
      <c r="B196" s="167">
        <v>53.75</v>
      </c>
    </row>
    <row r="197" spans="1:2" x14ac:dyDescent="0.3">
      <c r="A197" s="139">
        <v>37048</v>
      </c>
      <c r="B197" s="167">
        <v>52.33</v>
      </c>
    </row>
    <row r="198" spans="1:2" x14ac:dyDescent="0.3">
      <c r="A198" s="139">
        <v>37049</v>
      </c>
      <c r="B198" s="167">
        <v>50.52</v>
      </c>
    </row>
    <row r="199" spans="1:2" x14ac:dyDescent="0.3">
      <c r="A199" s="139">
        <v>37050</v>
      </c>
      <c r="B199" s="167">
        <v>51.13</v>
      </c>
    </row>
    <row r="200" spans="1:2" x14ac:dyDescent="0.3">
      <c r="A200" s="139">
        <v>37053</v>
      </c>
      <c r="B200" s="167">
        <v>51</v>
      </c>
    </row>
    <row r="201" spans="1:2" x14ac:dyDescent="0.3">
      <c r="A201" s="139">
        <v>37054</v>
      </c>
      <c r="B201" s="167">
        <v>50.37</v>
      </c>
    </row>
    <row r="202" spans="1:2" x14ac:dyDescent="0.3">
      <c r="A202" s="139">
        <v>37055</v>
      </c>
      <c r="B202" s="167">
        <v>49.92</v>
      </c>
    </row>
    <row r="203" spans="1:2" x14ac:dyDescent="0.3">
      <c r="A203" s="139">
        <v>37056</v>
      </c>
      <c r="B203" s="167">
        <v>47.91</v>
      </c>
    </row>
    <row r="204" spans="1:2" x14ac:dyDescent="0.3">
      <c r="A204" s="139">
        <v>37057</v>
      </c>
      <c r="B204" s="167">
        <v>47.26</v>
      </c>
    </row>
    <row r="205" spans="1:2" x14ac:dyDescent="0.3">
      <c r="A205" s="139">
        <v>37060</v>
      </c>
      <c r="B205" s="167">
        <v>44.7</v>
      </c>
    </row>
    <row r="206" spans="1:2" x14ac:dyDescent="0.3">
      <c r="A206" s="139">
        <v>37061</v>
      </c>
      <c r="B206" s="167">
        <v>46.18</v>
      </c>
    </row>
    <row r="207" spans="1:2" x14ac:dyDescent="0.3">
      <c r="A207" s="139">
        <v>37062</v>
      </c>
      <c r="B207" s="167">
        <v>45.8</v>
      </c>
    </row>
    <row r="208" spans="1:2" x14ac:dyDescent="0.3">
      <c r="A208" s="139">
        <v>37063</v>
      </c>
      <c r="B208" s="167">
        <v>44.05</v>
      </c>
    </row>
    <row r="209" spans="1:2" x14ac:dyDescent="0.3">
      <c r="A209" s="139">
        <v>37064</v>
      </c>
      <c r="B209" s="167">
        <v>44.88</v>
      </c>
    </row>
    <row r="210" spans="1:2" x14ac:dyDescent="0.3">
      <c r="A210" s="139">
        <v>37067</v>
      </c>
      <c r="B210" s="167">
        <v>44.07</v>
      </c>
    </row>
    <row r="211" spans="1:2" x14ac:dyDescent="0.3">
      <c r="A211" s="139">
        <v>37068</v>
      </c>
      <c r="B211" s="167">
        <v>44.19</v>
      </c>
    </row>
    <row r="212" spans="1:2" x14ac:dyDescent="0.3">
      <c r="A212" s="139">
        <v>37069</v>
      </c>
      <c r="B212" s="167">
        <v>46.72</v>
      </c>
    </row>
    <row r="213" spans="1:2" x14ac:dyDescent="0.3">
      <c r="A213" s="139">
        <v>37070</v>
      </c>
      <c r="B213" s="167">
        <v>48.34</v>
      </c>
    </row>
    <row r="214" spans="1:2" x14ac:dyDescent="0.3">
      <c r="A214" s="139">
        <v>37071</v>
      </c>
      <c r="B214" s="167">
        <v>49.1</v>
      </c>
    </row>
    <row r="215" spans="1:2" x14ac:dyDescent="0.3">
      <c r="A215" s="139">
        <v>37083</v>
      </c>
      <c r="B215" s="167">
        <v>49.1</v>
      </c>
    </row>
    <row r="216" spans="1:2" x14ac:dyDescent="0.3">
      <c r="A216" s="139">
        <v>37084</v>
      </c>
      <c r="B216" s="167">
        <v>49.55</v>
      </c>
    </row>
    <row r="217" spans="1:2" x14ac:dyDescent="0.3">
      <c r="A217" s="139">
        <v>37085</v>
      </c>
      <c r="B217" s="167">
        <v>48.78</v>
      </c>
    </row>
    <row r="218" spans="1:2" x14ac:dyDescent="0.3">
      <c r="A218" s="139">
        <v>37088</v>
      </c>
      <c r="B218" s="167">
        <v>49.12</v>
      </c>
    </row>
    <row r="219" spans="1:2" x14ac:dyDescent="0.3">
      <c r="A219" s="139">
        <v>37089</v>
      </c>
      <c r="B219" s="167">
        <v>49.85</v>
      </c>
    </row>
    <row r="220" spans="1:2" x14ac:dyDescent="0.3">
      <c r="A220" s="139">
        <v>37090</v>
      </c>
      <c r="B220" s="167">
        <v>48.97</v>
      </c>
    </row>
    <row r="221" spans="1:2" x14ac:dyDescent="0.3">
      <c r="A221" s="139">
        <v>37091</v>
      </c>
      <c r="B221" s="167">
        <v>49.08</v>
      </c>
    </row>
    <row r="222" spans="1:2" x14ac:dyDescent="0.3">
      <c r="A222" s="139">
        <v>37092</v>
      </c>
      <c r="B222" s="167">
        <v>48.16</v>
      </c>
    </row>
    <row r="223" spans="1:2" x14ac:dyDescent="0.3">
      <c r="A223" s="139">
        <v>37095</v>
      </c>
      <c r="B223" s="167">
        <v>46.66</v>
      </c>
    </row>
    <row r="224" spans="1:2" x14ac:dyDescent="0.3">
      <c r="A224" s="139">
        <v>37096</v>
      </c>
      <c r="B224" s="167">
        <v>43.24</v>
      </c>
    </row>
    <row r="225" spans="1:2" x14ac:dyDescent="0.3">
      <c r="A225" s="139">
        <v>37097</v>
      </c>
      <c r="B225" s="167">
        <v>44.96</v>
      </c>
    </row>
    <row r="226" spans="1:2" x14ac:dyDescent="0.3">
      <c r="A226" s="139">
        <v>37098</v>
      </c>
      <c r="B226" s="167">
        <v>46.84</v>
      </c>
    </row>
    <row r="227" spans="1:2" x14ac:dyDescent="0.3">
      <c r="A227" s="139">
        <v>37099</v>
      </c>
      <c r="B227" s="167">
        <v>46.1</v>
      </c>
    </row>
    <row r="228" spans="1:2" x14ac:dyDescent="0.3">
      <c r="A228" s="139">
        <v>37105</v>
      </c>
      <c r="B228" s="167">
        <v>45.58</v>
      </c>
    </row>
    <row r="229" spans="1:2" x14ac:dyDescent="0.3">
      <c r="A229" s="139">
        <v>37106</v>
      </c>
      <c r="B229" s="167">
        <v>45.36</v>
      </c>
    </row>
    <row r="230" spans="1:2" x14ac:dyDescent="0.3">
      <c r="A230" s="139">
        <v>37109</v>
      </c>
      <c r="B230" s="167">
        <v>44.5</v>
      </c>
    </row>
    <row r="231" spans="1:2" x14ac:dyDescent="0.3">
      <c r="A231" s="139">
        <v>37110</v>
      </c>
      <c r="B231" s="167">
        <v>43.6</v>
      </c>
    </row>
    <row r="232" spans="1:2" x14ac:dyDescent="0.3">
      <c r="A232" s="139">
        <v>37111</v>
      </c>
      <c r="B232" s="167">
        <v>42.85</v>
      </c>
    </row>
    <row r="233" spans="1:2" x14ac:dyDescent="0.3">
      <c r="A233" s="139">
        <v>37112</v>
      </c>
      <c r="B233" s="167">
        <v>42.78</v>
      </c>
    </row>
    <row r="234" spans="1:2" x14ac:dyDescent="0.3">
      <c r="A234" s="139">
        <v>37113</v>
      </c>
      <c r="B234" s="167">
        <v>42.81</v>
      </c>
    </row>
    <row r="235" spans="1:2" x14ac:dyDescent="0.3">
      <c r="A235" s="139">
        <v>37116</v>
      </c>
      <c r="B235" s="167">
        <v>42.15</v>
      </c>
    </row>
    <row r="236" spans="1:2" x14ac:dyDescent="0.3">
      <c r="A236" s="139">
        <v>37117</v>
      </c>
      <c r="B236" s="167">
        <v>42.93</v>
      </c>
    </row>
    <row r="237" spans="1:2" x14ac:dyDescent="0.3">
      <c r="A237" s="139">
        <v>37118</v>
      </c>
      <c r="B237" s="167">
        <v>40.25</v>
      </c>
    </row>
    <row r="238" spans="1:2" x14ac:dyDescent="0.3">
      <c r="A238" s="139">
        <v>37119</v>
      </c>
      <c r="B238" s="167">
        <v>36.85</v>
      </c>
    </row>
    <row r="239" spans="1:2" x14ac:dyDescent="0.3">
      <c r="A239" s="139">
        <v>37120</v>
      </c>
      <c r="B239" s="167">
        <v>36.67</v>
      </c>
    </row>
    <row r="240" spans="1:2" x14ac:dyDescent="0.3">
      <c r="A240" s="139">
        <v>37123</v>
      </c>
      <c r="B240" s="167">
        <v>36.25</v>
      </c>
    </row>
    <row r="241" spans="1:2" x14ac:dyDescent="0.3">
      <c r="A241" s="139">
        <v>37124</v>
      </c>
      <c r="B241" s="167">
        <v>36.880000000000003</v>
      </c>
    </row>
    <row r="242" spans="1:2" x14ac:dyDescent="0.3">
      <c r="A242" s="139">
        <v>37125</v>
      </c>
      <c r="B242" s="167">
        <v>37.26</v>
      </c>
    </row>
    <row r="243" spans="1:2" x14ac:dyDescent="0.3">
      <c r="A243" s="139">
        <v>37126</v>
      </c>
      <c r="B243" s="167">
        <v>36.96</v>
      </c>
    </row>
    <row r="244" spans="1:2" x14ac:dyDescent="0.3">
      <c r="A244" s="139">
        <v>37127</v>
      </c>
      <c r="B244" s="167">
        <v>36.35</v>
      </c>
    </row>
    <row r="245" spans="1:2" x14ac:dyDescent="0.3">
      <c r="A245" s="139">
        <v>37130</v>
      </c>
      <c r="B245" s="167">
        <v>37.76</v>
      </c>
    </row>
    <row r="246" spans="1:2" x14ac:dyDescent="0.3">
      <c r="A246" s="139">
        <v>37131</v>
      </c>
      <c r="B246" s="167">
        <v>38.159999999999997</v>
      </c>
    </row>
    <row r="247" spans="1:2" x14ac:dyDescent="0.3">
      <c r="A247" s="139">
        <v>37132</v>
      </c>
      <c r="B247" s="167">
        <v>37.299999999999997</v>
      </c>
    </row>
    <row r="248" spans="1:2" x14ac:dyDescent="0.3">
      <c r="A248" s="139">
        <v>37133</v>
      </c>
      <c r="B248" s="167">
        <v>35.5</v>
      </c>
    </row>
    <row r="249" spans="1:2" x14ac:dyDescent="0.3">
      <c r="A249" s="139">
        <v>37134</v>
      </c>
      <c r="B249" s="167">
        <v>34.99</v>
      </c>
    </row>
    <row r="250" spans="1:2" x14ac:dyDescent="0.3">
      <c r="A250" s="139"/>
      <c r="B250" s="167"/>
    </row>
    <row r="259" ht="14.25" customHeight="1" x14ac:dyDescent="0.3"/>
    <row r="376" spans="1:2" x14ac:dyDescent="0.3">
      <c r="A376" s="1" t="s">
        <v>151</v>
      </c>
    </row>
    <row r="377" spans="1:2" x14ac:dyDescent="0.3">
      <c r="A377" s="139">
        <f>+[1]Table!$B$3</f>
        <v>37134</v>
      </c>
      <c r="B377" s="167">
        <f>+[1]Table!$B$5</f>
        <v>34.99</v>
      </c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4"/>
  <sheetViews>
    <sheetView workbookViewId="0">
      <selection activeCell="E21" sqref="E21"/>
    </sheetView>
  </sheetViews>
  <sheetFormatPr defaultRowHeight="15.6" x14ac:dyDescent="0.3"/>
  <cols>
    <col min="1" max="1" width="8.69921875" style="139" customWidth="1"/>
    <col min="2" max="2" width="14" customWidth="1"/>
  </cols>
  <sheetData>
    <row r="1" spans="1:1" x14ac:dyDescent="0.3">
      <c r="A1" s="136" t="s">
        <v>145</v>
      </c>
    </row>
    <row r="2" spans="1:1" s="94" customFormat="1" x14ac:dyDescent="0.3">
      <c r="A2" s="137"/>
    </row>
    <row r="3" spans="1:1" s="128" customFormat="1" x14ac:dyDescent="0.3">
      <c r="A3" s="138" t="s">
        <v>1</v>
      </c>
    </row>
    <row r="44" spans="2:2" x14ac:dyDescent="0.3">
      <c r="B44">
        <f>IF(Summary!$C$5&lt;B42,+B42,IF(Summary!$C$5&gt;E42,+E42,Summary!$C$5))</f>
        <v>0</v>
      </c>
    </row>
    <row r="49" spans="2:2" x14ac:dyDescent="0.3">
      <c r="B49">
        <f>IF(Summary!$C$5&lt;B47,+B47,IF(Summary!$C$5&gt;E47,+E47,Summary!$C$5))</f>
        <v>0</v>
      </c>
    </row>
    <row r="54" spans="2:2" x14ac:dyDescent="0.3">
      <c r="B54">
        <f>IF(Summary!$C$5&lt;B52,+B52,IF(Summary!$C$5&gt;E52,+E52,Summary!$C$5))</f>
        <v>0</v>
      </c>
    </row>
    <row r="59" spans="2:2" x14ac:dyDescent="0.3">
      <c r="B59">
        <f>IF(Summary!$C$5&lt;B57,+B57,IF(Summary!$C$5&gt;E57,+E57,Summary!$C$5))</f>
        <v>0</v>
      </c>
    </row>
    <row r="64" spans="2:2" x14ac:dyDescent="0.3">
      <c r="B64">
        <f>IF(Summary!$C$5&lt;B62,+B62,IF(Summary!$C$5&gt;E62,+E62,Summary!$C$5))</f>
        <v>0</v>
      </c>
    </row>
    <row r="69" spans="2:2" x14ac:dyDescent="0.3">
      <c r="B69">
        <f>IF(Summary!$C$5&lt;B67,+B67,IF(Summary!$C$5&gt;E67,+E67,Summary!$C$5))</f>
        <v>0</v>
      </c>
    </row>
    <row r="257" ht="14.25" customHeight="1" x14ac:dyDescent="0.3"/>
    <row r="374" spans="1:1" x14ac:dyDescent="0.3">
      <c r="A374" s="139" t="s">
        <v>151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81"/>
  <sheetViews>
    <sheetView showGridLines="0" topLeftCell="B7" zoomScaleNormal="100" workbookViewId="0">
      <selection activeCell="H18" sqref="H18"/>
    </sheetView>
  </sheetViews>
  <sheetFormatPr defaultColWidth="9" defaultRowHeight="15.6" x14ac:dyDescent="0.3"/>
  <cols>
    <col min="1" max="1" width="23.5" style="7" customWidth="1"/>
    <col min="2" max="2" width="14" style="7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6992187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2.3984375" style="7" bestFit="1" customWidth="1"/>
    <col min="14" max="14" width="3.5" style="7" customWidth="1"/>
    <col min="15" max="15" width="15.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76</v>
      </c>
    </row>
    <row r="2" spans="1:18" x14ac:dyDescent="0.3">
      <c r="A2" s="7" t="s">
        <v>183</v>
      </c>
      <c r="H2" s="191">
        <f>+Summary!C5</f>
        <v>37134</v>
      </c>
      <c r="I2" s="191"/>
      <c r="J2" s="88"/>
      <c r="L2" s="191">
        <f>H2</f>
        <v>37134</v>
      </c>
      <c r="M2" s="191"/>
      <c r="N2" s="191"/>
      <c r="O2" s="191"/>
      <c r="P2" s="191"/>
    </row>
    <row r="3" spans="1:18" ht="16.2" thickBot="1" x14ac:dyDescent="0.35">
      <c r="A3" s="1">
        <v>36780</v>
      </c>
      <c r="H3" s="192" t="s">
        <v>89</v>
      </c>
      <c r="I3" s="192"/>
      <c r="J3" s="89"/>
      <c r="L3" s="192" t="s">
        <v>89</v>
      </c>
      <c r="M3" s="192"/>
      <c r="N3" s="192"/>
      <c r="O3" s="192"/>
      <c r="P3" s="192"/>
    </row>
    <row r="4" spans="1:18" x14ac:dyDescent="0.3">
      <c r="A4" s="184" t="s">
        <v>258</v>
      </c>
      <c r="B4" s="184"/>
      <c r="C4" s="184"/>
      <c r="D4" s="184"/>
      <c r="E4" s="184"/>
      <c r="F4" s="184"/>
      <c r="H4" s="110" t="s">
        <v>90</v>
      </c>
      <c r="I4" s="111"/>
      <c r="J4" s="13"/>
    </row>
    <row r="5" spans="1:18" ht="16.2" thickBot="1" x14ac:dyDescent="0.35">
      <c r="A5" s="185" t="s">
        <v>28</v>
      </c>
      <c r="B5" s="185"/>
      <c r="D5" s="185" t="s">
        <v>29</v>
      </c>
      <c r="E5" s="185"/>
      <c r="H5" s="112" t="s">
        <v>91</v>
      </c>
      <c r="I5" s="174">
        <f>+[1]Table!$B$5</f>
        <v>34.99</v>
      </c>
      <c r="J5" s="13"/>
      <c r="L5" s="184" t="s">
        <v>220</v>
      </c>
      <c r="M5" s="184"/>
      <c r="N5" s="184"/>
      <c r="O5" s="184"/>
      <c r="P5" s="184"/>
      <c r="Q5" s="89"/>
    </row>
    <row r="6" spans="1:18" x14ac:dyDescent="0.3">
      <c r="A6" s="7" t="s">
        <v>30</v>
      </c>
      <c r="B6" s="7">
        <f>E6+E9+E10</f>
        <v>71001000</v>
      </c>
      <c r="D6" s="7" t="s">
        <v>31</v>
      </c>
      <c r="E6" s="7">
        <v>41000000</v>
      </c>
      <c r="F6" s="15" t="s">
        <v>32</v>
      </c>
      <c r="H6" s="112" t="s">
        <v>92</v>
      </c>
      <c r="I6" s="113">
        <f>+'Cash-Int-Trans'!E69</f>
        <v>3.8899999999999997E-2</v>
      </c>
      <c r="J6" s="13"/>
      <c r="L6" s="85" t="s">
        <v>133</v>
      </c>
      <c r="M6" s="90">
        <f>H2</f>
        <v>37134</v>
      </c>
      <c r="N6" s="91"/>
      <c r="O6" s="91"/>
      <c r="P6" s="91"/>
      <c r="Q6" s="92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89" t="s">
        <v>146</v>
      </c>
      <c r="I7" s="190"/>
      <c r="J7" s="13"/>
      <c r="L7" s="185" t="s">
        <v>28</v>
      </c>
      <c r="M7" s="185"/>
      <c r="O7" s="185" t="s">
        <v>29</v>
      </c>
      <c r="P7" s="185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4" t="s">
        <v>147</v>
      </c>
      <c r="I8" s="115"/>
      <c r="J8" s="13"/>
      <c r="L8" s="7" t="s">
        <v>35</v>
      </c>
      <c r="M8" s="7">
        <f>+'Cash-Int-Trans'!B37</f>
        <v>35366320.279188469</v>
      </c>
      <c r="O8" s="7" t="s">
        <v>99</v>
      </c>
      <c r="P8" s="7">
        <f>+E6-'Cash-Int-Trans'!B4+'Cash-Int-Trans'!B8</f>
        <v>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31</v>
      </c>
      <c r="P9" s="7">
        <v>0</v>
      </c>
    </row>
    <row r="10" spans="1:18" x14ac:dyDescent="0.3">
      <c r="D10" s="7" t="s">
        <v>4</v>
      </c>
      <c r="E10" s="7">
        <v>1000</v>
      </c>
      <c r="H10" s="188" t="s">
        <v>93</v>
      </c>
      <c r="I10" s="188"/>
      <c r="J10" s="13"/>
      <c r="L10" s="7" t="s">
        <v>40</v>
      </c>
      <c r="M10" s="7">
        <f>+Amort!B28</f>
        <v>1672222.2222222222</v>
      </c>
      <c r="N10" s="18"/>
      <c r="O10" s="7" t="s">
        <v>109</v>
      </c>
      <c r="P10" s="7">
        <f>IF(I24&gt;0,0,-I24)</f>
        <v>0</v>
      </c>
    </row>
    <row r="11" spans="1:18" ht="16.2" thickBot="1" x14ac:dyDescent="0.35">
      <c r="A11" s="83" t="s">
        <v>7</v>
      </c>
      <c r="B11" s="12">
        <f>SUM(B6:B10)</f>
        <v>471001000</v>
      </c>
      <c r="C11" s="20" t="s">
        <v>41</v>
      </c>
      <c r="D11" s="83" t="s">
        <v>7</v>
      </c>
      <c r="E11" s="12">
        <f>SUM(E6:E10)</f>
        <v>471001000</v>
      </c>
      <c r="F11" s="17"/>
      <c r="H11" s="86" t="s">
        <v>134</v>
      </c>
      <c r="I11" s="87">
        <f>H2</f>
        <v>37134</v>
      </c>
      <c r="J11" s="13"/>
      <c r="L11" s="7" t="s">
        <v>36</v>
      </c>
      <c r="M11" s="7">
        <f>B8+I15+I22</f>
        <v>0</v>
      </c>
      <c r="O11" s="7" t="s">
        <v>215</v>
      </c>
      <c r="P11" s="7">
        <f>IF(I20&lt;0,-I20,0)+IF(I21&lt;0,-I21,0)</f>
        <v>0</v>
      </c>
      <c r="R11" s="3"/>
    </row>
    <row r="12" spans="1:18" ht="16.2" thickTop="1" x14ac:dyDescent="0.3">
      <c r="H12" s="13" t="s">
        <v>105</v>
      </c>
      <c r="I12" s="16">
        <f>+'Cash-Int-Trans'!B6</f>
        <v>34518969</v>
      </c>
      <c r="J12" s="29" t="s">
        <v>79</v>
      </c>
      <c r="L12" s="7" t="s">
        <v>262</v>
      </c>
      <c r="M12" s="7">
        <f>+'Jedi Shares'!B9+Financials!I16</f>
        <v>199524518.7440947</v>
      </c>
      <c r="O12" s="7" t="s">
        <v>34</v>
      </c>
      <c r="P12" s="7">
        <f>E7-I17+'Cash-Int-Trans'!B9-I40</f>
        <v>779357425.92227101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106</v>
      </c>
      <c r="I13" s="16">
        <f>+'Cash-Int-Trans'!B40</f>
        <v>3065559.634743935</v>
      </c>
      <c r="J13" s="29"/>
      <c r="L13" s="7" t="s">
        <v>263</v>
      </c>
      <c r="M13" s="7">
        <f>+Shares!D39+I23</f>
        <v>141147192</v>
      </c>
    </row>
    <row r="14" spans="1:18" x14ac:dyDescent="0.3">
      <c r="C14" s="24"/>
      <c r="D14" s="25"/>
      <c r="E14" s="26"/>
      <c r="H14" s="13" t="s">
        <v>260</v>
      </c>
      <c r="I14" s="16">
        <f>+Amort!B29</f>
        <v>3441666.666666667</v>
      </c>
      <c r="J14" s="13"/>
      <c r="L14" s="7" t="s">
        <v>218</v>
      </c>
      <c r="M14" s="7">
        <f>IF(I20&gt;0,I20,0)+IF(I21&gt;0,I21,0)</f>
        <v>411808699.88</v>
      </c>
      <c r="O14" s="7" t="s">
        <v>38</v>
      </c>
      <c r="P14" s="7">
        <f>IF(+I28+I41+'Cash-Int-Trans'!D95-'Cash-Int-Trans'!D94&gt;'Cash-Int-Trans'!D95,'Cash-Int-Trans'!D95,IF(+I28+I41+'Cash-Int-Trans'!D95&lt;0,0,+I28+I41+'Cash-Int-Trans'!D95-'Cash-Int-Trans'!D94))</f>
        <v>30000000</v>
      </c>
      <c r="Q14" s="100" t="s">
        <v>140</v>
      </c>
    </row>
    <row r="15" spans="1:18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176</v>
      </c>
      <c r="I15" s="16">
        <f>-B17*A35/A38</f>
        <v>73441472.318257496</v>
      </c>
      <c r="J15" s="32" t="s">
        <v>53</v>
      </c>
      <c r="L15" s="7" t="s">
        <v>113</v>
      </c>
      <c r="M15" s="7">
        <f>IF(I24&gt;0,I24,0)</f>
        <v>0</v>
      </c>
      <c r="O15" s="7" t="s">
        <v>4</v>
      </c>
      <c r="P15" s="7">
        <f>M16-SUM(P8:P14)</f>
        <v>30161527.203234434</v>
      </c>
    </row>
    <row r="16" spans="1:18" ht="16.2" thickBot="1" x14ac:dyDescent="0.35">
      <c r="A16" s="7" t="s">
        <v>47</v>
      </c>
      <c r="B16" s="7">
        <f>SUM(B14:B15)</f>
        <v>536923069.375</v>
      </c>
      <c r="H16" s="13" t="s">
        <v>251</v>
      </c>
      <c r="I16" s="16">
        <f>+'Jedi Shares'!B43</f>
        <v>6348583.3640947072</v>
      </c>
      <c r="J16" s="32" t="s">
        <v>53</v>
      </c>
      <c r="L16" s="83" t="s">
        <v>7</v>
      </c>
      <c r="M16" s="12">
        <f>SUM(M8:M15)</f>
        <v>839518953.12550545</v>
      </c>
      <c r="N16" s="20"/>
      <c r="O16" s="83" t="s">
        <v>7</v>
      </c>
      <c r="P16" s="12">
        <f>SUM(P8:P15)</f>
        <v>839518953.12550545</v>
      </c>
      <c r="Q16" s="99" t="s">
        <v>139</v>
      </c>
    </row>
    <row r="17" spans="1:20" ht="16.2" thickTop="1" x14ac:dyDescent="0.3">
      <c r="A17" s="7" t="s">
        <v>49</v>
      </c>
      <c r="B17" s="7">
        <f>350000000-B16</f>
        <v>-186923069.375</v>
      </c>
      <c r="C17" s="31" t="s">
        <v>50</v>
      </c>
      <c r="D17" s="148">
        <f>1-350000000/B16</f>
        <v>0.34813752665272135</v>
      </c>
      <c r="H17" s="13" t="s">
        <v>156</v>
      </c>
      <c r="I17" s="39">
        <f>-'Cash-Int-Trans'!B73</f>
        <v>-38553267.542270944</v>
      </c>
      <c r="J17" s="13"/>
      <c r="P17" s="7">
        <f>M16-P16</f>
        <v>0</v>
      </c>
      <c r="Q17" s="17" t="str">
        <f>IF(ROUND(P17,0)=0,"","8/31/00 Balance Sheet does not Balance!")</f>
        <v/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H18" s="176"/>
      <c r="I18" s="7">
        <f>SUM(I12:I17)</f>
        <v>82262983.441491857</v>
      </c>
      <c r="L18" s="131" t="s">
        <v>44</v>
      </c>
      <c r="M18" s="130"/>
      <c r="N18" s="130"/>
      <c r="O18" s="130"/>
      <c r="P18" s="130"/>
      <c r="Q18" s="16"/>
    </row>
    <row r="19" spans="1:20" ht="16.2" thickTop="1" x14ac:dyDescent="0.3">
      <c r="H19" s="176"/>
      <c r="I19" s="7"/>
      <c r="L19" s="132" t="s">
        <v>46</v>
      </c>
      <c r="M19" s="132"/>
      <c r="P19" s="7">
        <f>M16</f>
        <v>839518953.12550545</v>
      </c>
      <c r="Q19" s="99" t="s">
        <v>139</v>
      </c>
      <c r="T19" s="133"/>
    </row>
    <row r="20" spans="1:20" ht="16.2" thickBot="1" x14ac:dyDescent="0.35">
      <c r="A20" s="186" t="s">
        <v>56</v>
      </c>
      <c r="B20" s="186"/>
      <c r="C20" s="186"/>
      <c r="D20" s="186"/>
      <c r="E20" s="186"/>
      <c r="H20" s="7" t="s">
        <v>214</v>
      </c>
      <c r="I20" s="7">
        <f>IF(I5&lt;83,IF(I5&lt;20,19927042*I5,(83-I5)*(D14+D15)),IF(I5&gt;112.418,(112.418-I5)*(+D14+D15),0))</f>
        <v>303713420.44999999</v>
      </c>
      <c r="L20" s="7" t="s">
        <v>186</v>
      </c>
      <c r="P20" s="7">
        <v>1000000</v>
      </c>
    </row>
    <row r="21" spans="1:20" x14ac:dyDescent="0.3">
      <c r="A21" s="187" t="s">
        <v>46</v>
      </c>
      <c r="B21" s="187"/>
      <c r="E21" s="7">
        <f>B11</f>
        <v>471001000</v>
      </c>
      <c r="F21" s="33" t="s">
        <v>41</v>
      </c>
      <c r="H21" s="7" t="s">
        <v>256</v>
      </c>
      <c r="I21" s="14">
        <f>IF([1]Table!$C$17=1,IF(I5&lt;20,([1]Table!$H$17-20)*'Jedi Shares'!B3/20*I5,IF(I5&lt;[1]Table!$H$17,([1]Table!$H$17-I5)*'Jedi Shares'!B3,IF(I5&gt;[1]Table!$I$17,([1]Table!$I$17-I5)*'Jedi Shares'!B3,0))),0)</f>
        <v>108095279.42999998</v>
      </c>
      <c r="K21" s="7"/>
      <c r="L21" s="7" t="s">
        <v>175</v>
      </c>
      <c r="M21" s="84">
        <f>IF(P8=0,0,+D23*D24)</f>
        <v>0</v>
      </c>
      <c r="N21" s="84"/>
      <c r="O21" s="84">
        <f>-P8</f>
        <v>0</v>
      </c>
      <c r="P21" s="7">
        <f>+M21+O21</f>
        <v>0</v>
      </c>
    </row>
    <row r="22" spans="1:20" x14ac:dyDescent="0.3">
      <c r="A22" s="7" t="s">
        <v>184</v>
      </c>
      <c r="E22" s="7">
        <v>1000000</v>
      </c>
      <c r="H22" s="7" t="s">
        <v>205</v>
      </c>
      <c r="I22" s="14">
        <f>-Shares!D30</f>
        <v>-423441472.31825751</v>
      </c>
      <c r="J22" s="13"/>
      <c r="K22" s="7"/>
      <c r="L22" s="7" t="s">
        <v>138</v>
      </c>
      <c r="M22" s="84"/>
      <c r="N22" s="84"/>
      <c r="O22" s="84"/>
      <c r="P22" s="27">
        <f>+M22+O22</f>
        <v>0</v>
      </c>
    </row>
    <row r="23" spans="1:20" x14ac:dyDescent="0.3">
      <c r="A23" s="7" t="s">
        <v>58</v>
      </c>
      <c r="B23" s="7" t="s">
        <v>14</v>
      </c>
      <c r="D23" s="7">
        <v>7120901</v>
      </c>
      <c r="H23" s="7" t="s">
        <v>261</v>
      </c>
      <c r="I23" s="14">
        <f>+Shares!E41-Shares!D39</f>
        <v>0</v>
      </c>
      <c r="L23" s="7" t="s">
        <v>137</v>
      </c>
      <c r="P23" s="7">
        <f>SUM(P19:P22)</f>
        <v>840518953.12550545</v>
      </c>
    </row>
    <row r="24" spans="1:20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7" t="s">
        <v>107</v>
      </c>
      <c r="I24" s="7">
        <f>+'Daily Position'!L7</f>
        <v>0</v>
      </c>
      <c r="L24" s="7" t="s">
        <v>48</v>
      </c>
      <c r="P24" s="30">
        <f>E28</f>
        <v>3.0200000000000001E-2</v>
      </c>
    </row>
    <row r="25" spans="1:20" x14ac:dyDescent="0.3">
      <c r="A25" s="7" t="s">
        <v>64</v>
      </c>
      <c r="E25" s="3">
        <f>SUM(E21:E24)</f>
        <v>1032382529.4765625</v>
      </c>
      <c r="H25" s="7" t="s">
        <v>108</v>
      </c>
      <c r="I25" s="27">
        <f>+'Daily Position'!M7</f>
        <v>0</v>
      </c>
      <c r="J25" s="13"/>
      <c r="L25" s="7" t="s">
        <v>51</v>
      </c>
      <c r="P25" s="7">
        <f>P23*P24</f>
        <v>25383672.384390265</v>
      </c>
    </row>
    <row r="26" spans="1:20" x14ac:dyDescent="0.3">
      <c r="A26" s="7" t="s">
        <v>65</v>
      </c>
      <c r="E26" s="27">
        <f>E6</f>
        <v>41000000</v>
      </c>
      <c r="F26" s="15" t="s">
        <v>32</v>
      </c>
      <c r="H26"/>
      <c r="I26" s="35">
        <f>SUM(I20:I25)</f>
        <v>-11632772.438257515</v>
      </c>
      <c r="J26" s="13"/>
      <c r="K26" s="7"/>
      <c r="L26" s="7" t="s">
        <v>54</v>
      </c>
      <c r="P26" s="7">
        <f>P14</f>
        <v>30000000</v>
      </c>
      <c r="Q26" s="100" t="s">
        <v>140</v>
      </c>
    </row>
    <row r="27" spans="1:20" x14ac:dyDescent="0.3">
      <c r="E27" s="7">
        <f>E25-E26</f>
        <v>991382529.4765625</v>
      </c>
      <c r="H27" s="96"/>
      <c r="I27" s="97"/>
      <c r="J27" s="38" t="s">
        <v>60</v>
      </c>
      <c r="L27" s="34" t="s">
        <v>55</v>
      </c>
      <c r="M27" s="35"/>
      <c r="N27" s="35"/>
      <c r="O27" s="35"/>
      <c r="P27" s="101" t="str">
        <f>IF(P26&gt;=P25,"Test Passed","Test Failed")</f>
        <v>Test Passed</v>
      </c>
      <c r="Q27" s="100"/>
    </row>
    <row r="28" spans="1:20" ht="16.2" thickBot="1" x14ac:dyDescent="0.35">
      <c r="A28" s="7" t="s">
        <v>48</v>
      </c>
      <c r="E28" s="30">
        <v>3.0200000000000001E-2</v>
      </c>
      <c r="H28" s="36" t="s">
        <v>59</v>
      </c>
      <c r="I28" s="93">
        <f>I26+I18</f>
        <v>70630211.003234342</v>
      </c>
      <c r="J28" s="13"/>
      <c r="L28" s="13" t="s">
        <v>57</v>
      </c>
      <c r="M28" s="13"/>
      <c r="N28" s="13"/>
      <c r="O28" s="13"/>
      <c r="P28" s="13">
        <f>P26-P25</f>
        <v>4616327.6156097353</v>
      </c>
    </row>
    <row r="29" spans="1:20" ht="16.2" thickTop="1" x14ac:dyDescent="0.3">
      <c r="A29" s="7" t="s">
        <v>51</v>
      </c>
      <c r="E29" s="7">
        <f>E27*E28</f>
        <v>29939752.390192188</v>
      </c>
      <c r="H29" s="130" t="s">
        <v>94</v>
      </c>
      <c r="I29" s="130"/>
      <c r="J29" s="13"/>
      <c r="L29" s="36" t="s">
        <v>104</v>
      </c>
      <c r="M29" s="36"/>
      <c r="N29" s="36"/>
      <c r="O29" s="36"/>
      <c r="P29" s="36">
        <f>IF(P28&lt;0,0,P28/P24)</f>
        <v>152858530.31820315</v>
      </c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 t="s">
        <v>66</v>
      </c>
      <c r="I30" s="16"/>
      <c r="J30" s="19" t="s">
        <v>39</v>
      </c>
    </row>
    <row r="31" spans="1:20" x14ac:dyDescent="0.3">
      <c r="A31" s="34" t="s">
        <v>55</v>
      </c>
      <c r="B31" s="35"/>
      <c r="C31" s="35"/>
      <c r="D31" s="35"/>
      <c r="E31" s="101" t="str">
        <f>IF(E30&gt;=E29,"Test Passed","Test Failed")</f>
        <v>Test Passed</v>
      </c>
      <c r="H31" s="13" t="s">
        <v>68</v>
      </c>
      <c r="I31" s="16">
        <f>E9</f>
        <v>30000000</v>
      </c>
      <c r="J31" s="40" t="s">
        <v>50</v>
      </c>
      <c r="L31" s="47" t="s">
        <v>63</v>
      </c>
      <c r="M31" s="47"/>
    </row>
    <row r="32" spans="1:20" ht="16.2" thickBot="1" x14ac:dyDescent="0.35">
      <c r="A32" s="162" t="s">
        <v>252</v>
      </c>
      <c r="B32" s="163"/>
      <c r="H32" s="13" t="s">
        <v>70</v>
      </c>
      <c r="I32" s="39">
        <f>-B17</f>
        <v>186923069.375</v>
      </c>
      <c r="J32" s="13"/>
      <c r="L32" s="7" t="s">
        <v>149</v>
      </c>
    </row>
    <row r="33" spans="1:16" x14ac:dyDescent="0.3">
      <c r="A33" s="164">
        <f>+A3</f>
        <v>36780</v>
      </c>
      <c r="B33" s="13" t="s">
        <v>253</v>
      </c>
      <c r="C33"/>
      <c r="D33" s="164">
        <v>37681</v>
      </c>
      <c r="E33" t="s">
        <v>259</v>
      </c>
      <c r="H33" s="13" t="s">
        <v>71</v>
      </c>
      <c r="I33" s="16">
        <f>SUM(I31:I32)</f>
        <v>216923069.375</v>
      </c>
      <c r="J33" s="13"/>
      <c r="L33" s="7" t="s">
        <v>67</v>
      </c>
      <c r="M33" s="7">
        <f>E9+'Cash-Int-Trans'!B13</f>
        <v>30000000</v>
      </c>
    </row>
    <row r="34" spans="1:16" x14ac:dyDescent="0.3">
      <c r="A34" s="165">
        <f>+Summary!C5</f>
        <v>37134</v>
      </c>
      <c r="B34" s="13" t="s">
        <v>254</v>
      </c>
      <c r="C34"/>
      <c r="D34"/>
      <c r="E34"/>
      <c r="H34" s="13"/>
      <c r="I34" s="16"/>
      <c r="J34" s="38" t="s">
        <v>60</v>
      </c>
      <c r="L34" s="7" t="s">
        <v>69</v>
      </c>
      <c r="M34" s="27">
        <f>E10</f>
        <v>1000</v>
      </c>
    </row>
    <row r="35" spans="1:16" ht="16.2" thickBot="1" x14ac:dyDescent="0.35">
      <c r="A35" s="166">
        <f>MIN(A37:A38)</f>
        <v>354</v>
      </c>
      <c r="B35" s="13" t="s">
        <v>255</v>
      </c>
      <c r="C35"/>
      <c r="D35"/>
      <c r="E35"/>
      <c r="H35" s="13" t="s">
        <v>216</v>
      </c>
      <c r="I35" s="16">
        <f>I28</f>
        <v>70630211.003234342</v>
      </c>
      <c r="J35" s="38"/>
      <c r="M35" s="7">
        <f>SUM(M33:M34)</f>
        <v>30001000</v>
      </c>
    </row>
    <row r="36" spans="1:16" x14ac:dyDescent="0.3">
      <c r="A36"/>
      <c r="B36"/>
      <c r="C36"/>
      <c r="D36"/>
      <c r="E36"/>
      <c r="H36" s="13" t="s">
        <v>185</v>
      </c>
      <c r="I36" s="16">
        <f>(+D15-Shares!B30)*(I5-E15)</f>
        <v>0</v>
      </c>
      <c r="L36" s="7" t="s">
        <v>72</v>
      </c>
      <c r="M36" s="7">
        <f>I28</f>
        <v>70630211.003234342</v>
      </c>
    </row>
    <row r="37" spans="1:16" ht="16.5" customHeight="1" x14ac:dyDescent="0.3">
      <c r="A37" s="3">
        <f>+A34-A33</f>
        <v>354</v>
      </c>
      <c r="B37"/>
      <c r="C37"/>
      <c r="D37"/>
      <c r="E37"/>
      <c r="H37" s="13" t="s">
        <v>231</v>
      </c>
      <c r="I37" s="14">
        <f>+Shares!C39*Financials!I5+'Jedi Shares'!B3*Financials!I5</f>
        <v>551692648.48000002</v>
      </c>
      <c r="K37" s="7"/>
      <c r="L37" s="7" t="s">
        <v>73</v>
      </c>
      <c r="M37" s="27">
        <f>I41</f>
        <v>-40469683.799999997</v>
      </c>
    </row>
    <row r="38" spans="1:16" ht="15.75" customHeight="1" x14ac:dyDescent="0.3">
      <c r="A38" s="3">
        <f>+D33-A33</f>
        <v>901</v>
      </c>
      <c r="B38"/>
      <c r="C38"/>
      <c r="D38"/>
      <c r="E38"/>
      <c r="H38" s="7" t="s">
        <v>148</v>
      </c>
      <c r="I38" s="14">
        <f>+'Cash-Int-Trans'!B13</f>
        <v>0</v>
      </c>
      <c r="J38" s="32" t="s">
        <v>53</v>
      </c>
      <c r="K38" s="7"/>
      <c r="L38" s="7" t="s">
        <v>74</v>
      </c>
      <c r="M38" s="7">
        <f>SUM(M35:M37)</f>
        <v>60161527.203234345</v>
      </c>
    </row>
    <row r="39" spans="1:16" ht="15.75" customHeight="1" x14ac:dyDescent="0.3">
      <c r="A39"/>
      <c r="B39"/>
      <c r="C39"/>
      <c r="D39"/>
      <c r="E39"/>
      <c r="H39" s="13" t="s">
        <v>135</v>
      </c>
      <c r="I39" s="16">
        <f>-I32-Shares!D24-Shares!D26-I16</f>
        <v>-193271652.7390947</v>
      </c>
      <c r="J39" s="41"/>
      <c r="K39" s="7"/>
      <c r="L39" s="7" t="s">
        <v>141</v>
      </c>
      <c r="M39" s="7">
        <f>P14</f>
        <v>30000000</v>
      </c>
    </row>
    <row r="40" spans="1:16" ht="16.5" customHeight="1" x14ac:dyDescent="0.3">
      <c r="A40"/>
      <c r="B40"/>
      <c r="C40"/>
      <c r="D40"/>
      <c r="E40"/>
      <c r="H40" s="13" t="s">
        <v>223</v>
      </c>
      <c r="I40" s="14">
        <f>-'Cash-Int-Trans'!B85</f>
        <v>-334323127.38</v>
      </c>
      <c r="J40" s="13"/>
      <c r="L40" s="7" t="s">
        <v>142</v>
      </c>
      <c r="M40" s="27">
        <f>P15</f>
        <v>30161527.203234434</v>
      </c>
    </row>
    <row r="41" spans="1:16" x14ac:dyDescent="0.3">
      <c r="A41"/>
      <c r="B41"/>
      <c r="C41"/>
      <c r="D41"/>
      <c r="E41"/>
      <c r="H41" s="13" t="s">
        <v>136</v>
      </c>
      <c r="I41" s="16">
        <f>+'Cash-Int-Trans'!B12</f>
        <v>-40469683.799999997</v>
      </c>
      <c r="M41" s="7">
        <f>M38-M39-M40</f>
        <v>-8.9406967163085938E-8</v>
      </c>
      <c r="N41" s="42" t="str">
        <f>IF(ROUND(M41,0)=0,"OK","Not OK")</f>
        <v>OK</v>
      </c>
    </row>
    <row r="42" spans="1:16" ht="16.2" thickBot="1" x14ac:dyDescent="0.35">
      <c r="A42"/>
      <c r="B42"/>
      <c r="C42"/>
      <c r="D42"/>
      <c r="E42"/>
      <c r="H42" s="36" t="s">
        <v>95</v>
      </c>
      <c r="I42" s="37">
        <f>SUM(I33:I41)</f>
        <v>271181464.93913966</v>
      </c>
    </row>
    <row r="43" spans="1:16" ht="16.2" thickTop="1" x14ac:dyDescent="0.3">
      <c r="A43"/>
      <c r="B43"/>
      <c r="C43"/>
      <c r="D43"/>
      <c r="E43"/>
      <c r="H43" s="7" t="s">
        <v>217</v>
      </c>
      <c r="I43" s="3"/>
      <c r="L43" s="131" t="s">
        <v>44</v>
      </c>
      <c r="M43" s="130"/>
      <c r="N43" s="130"/>
      <c r="O43" s="130"/>
      <c r="P43" s="130"/>
    </row>
    <row r="44" spans="1:16" x14ac:dyDescent="0.3">
      <c r="A44"/>
      <c r="B44"/>
      <c r="C44"/>
      <c r="D44"/>
      <c r="E44"/>
      <c r="F44" s="7"/>
      <c r="I44" s="7"/>
      <c r="L44" s="132" t="s">
        <v>206</v>
      </c>
      <c r="M44" s="7">
        <f>+E9+I38</f>
        <v>30000000</v>
      </c>
      <c r="N44" s="7" t="s">
        <v>207</v>
      </c>
      <c r="P44" s="7">
        <f>+M44/0.0302</f>
        <v>993377483.44370854</v>
      </c>
    </row>
    <row r="45" spans="1:16" x14ac:dyDescent="0.3">
      <c r="A45"/>
      <c r="B45"/>
      <c r="C45"/>
      <c r="D45"/>
      <c r="E45"/>
      <c r="F45" s="7"/>
      <c r="I45" s="7"/>
      <c r="M45" s="84"/>
      <c r="N45" s="95" t="s">
        <v>208</v>
      </c>
      <c r="O45" s="84"/>
      <c r="P45" s="27">
        <f>-B11-I38</f>
        <v>-471001000</v>
      </c>
    </row>
    <row r="46" spans="1:16" x14ac:dyDescent="0.3">
      <c r="A46"/>
      <c r="B46"/>
      <c r="C46"/>
      <c r="D46"/>
      <c r="E46"/>
      <c r="F46" s="7"/>
      <c r="H46" s="7" t="s">
        <v>35</v>
      </c>
      <c r="I46" s="14">
        <f>+M8</f>
        <v>35366320.279188469</v>
      </c>
      <c r="M46" s="84"/>
      <c r="N46" s="95" t="s">
        <v>209</v>
      </c>
      <c r="O46" s="84"/>
      <c r="P46" s="13">
        <f>+P44+P45</f>
        <v>522376483.44370854</v>
      </c>
    </row>
    <row r="47" spans="1:16" x14ac:dyDescent="0.3">
      <c r="A47"/>
      <c r="B47"/>
      <c r="C47"/>
      <c r="D47"/>
      <c r="E47"/>
      <c r="F47" s="7"/>
      <c r="H47" s="7" t="s">
        <v>33</v>
      </c>
      <c r="I47" s="7">
        <f>+M9</f>
        <v>50000000</v>
      </c>
      <c r="N47" s="7" t="s">
        <v>232</v>
      </c>
      <c r="P47" s="7">
        <f>-'Jedi Shares'!B9</f>
        <v>-193175935.38</v>
      </c>
    </row>
    <row r="48" spans="1:16" x14ac:dyDescent="0.3">
      <c r="A48"/>
      <c r="B48"/>
      <c r="C48"/>
      <c r="D48"/>
      <c r="E48"/>
      <c r="F48" s="7"/>
      <c r="H48" s="7" t="s">
        <v>36</v>
      </c>
      <c r="I48" s="7">
        <f>+Shares!B14*Financials!I5</f>
        <v>0</v>
      </c>
      <c r="N48" s="7" t="s">
        <v>257</v>
      </c>
      <c r="P48" s="7">
        <f>-Shares!D39</f>
        <v>-141147192</v>
      </c>
    </row>
    <row r="49" spans="1:16" x14ac:dyDescent="0.3">
      <c r="A49"/>
      <c r="B49"/>
      <c r="C49"/>
      <c r="D49"/>
      <c r="E49"/>
      <c r="F49" s="7"/>
      <c r="H49" s="7" t="s">
        <v>40</v>
      </c>
      <c r="I49" s="7">
        <f>+M10</f>
        <v>1672222.2222222222</v>
      </c>
      <c r="N49" s="7" t="s">
        <v>210</v>
      </c>
      <c r="P49" s="7">
        <f>+'Daily Position'!I7</f>
        <v>0</v>
      </c>
    </row>
    <row r="50" spans="1:16" x14ac:dyDescent="0.3">
      <c r="A50"/>
      <c r="B50"/>
      <c r="C50"/>
      <c r="D50"/>
      <c r="E50"/>
      <c r="F50" s="7"/>
      <c r="H50" s="7" t="s">
        <v>222</v>
      </c>
      <c r="I50" s="7">
        <f>(+'Jedi Shares'!B3+Shares!C39)*Financials!I5</f>
        <v>551692648.48000002</v>
      </c>
      <c r="N50" s="7" t="s">
        <v>211</v>
      </c>
      <c r="P50" s="153">
        <v>0</v>
      </c>
    </row>
    <row r="51" spans="1:16" x14ac:dyDescent="0.3">
      <c r="A51"/>
      <c r="B51"/>
      <c r="C51"/>
      <c r="D51"/>
      <c r="E51"/>
      <c r="F51" s="7"/>
      <c r="H51" s="7" t="s">
        <v>218</v>
      </c>
      <c r="I51" s="7">
        <f>+M14</f>
        <v>411808699.88</v>
      </c>
      <c r="P51" s="13"/>
    </row>
    <row r="52" spans="1:16" x14ac:dyDescent="0.3">
      <c r="A52"/>
      <c r="B52"/>
      <c r="C52"/>
      <c r="D52"/>
      <c r="E52"/>
      <c r="F52" s="7"/>
      <c r="H52" s="7" t="s">
        <v>113</v>
      </c>
      <c r="I52" s="7">
        <f>+M15</f>
        <v>0</v>
      </c>
      <c r="N52" s="7" t="s">
        <v>212</v>
      </c>
      <c r="P52" s="7">
        <f>SUM(P46:P50)</f>
        <v>188053356.06370854</v>
      </c>
    </row>
    <row r="53" spans="1:16" x14ac:dyDescent="0.3">
      <c r="A53"/>
      <c r="B53"/>
      <c r="C53"/>
      <c r="D53"/>
      <c r="E53"/>
      <c r="F53" s="7"/>
      <c r="H53" s="7" t="s">
        <v>99</v>
      </c>
      <c r="I53" s="7">
        <f>-P8</f>
        <v>0</v>
      </c>
    </row>
    <row r="54" spans="1:16" x14ac:dyDescent="0.3">
      <c r="A54"/>
      <c r="B54"/>
      <c r="C54"/>
      <c r="D54"/>
      <c r="E54"/>
      <c r="F54" s="7"/>
      <c r="H54" s="7" t="s">
        <v>31</v>
      </c>
      <c r="I54" s="7">
        <v>0</v>
      </c>
    </row>
    <row r="55" spans="1:16" x14ac:dyDescent="0.3">
      <c r="A55"/>
      <c r="B55"/>
      <c r="C55"/>
      <c r="D55"/>
      <c r="E55"/>
      <c r="H55" s="7" t="s">
        <v>109</v>
      </c>
      <c r="I55" s="7">
        <f>-P10</f>
        <v>0</v>
      </c>
    </row>
    <row r="56" spans="1:16" x14ac:dyDescent="0.3">
      <c r="A56"/>
      <c r="B56"/>
      <c r="C56"/>
      <c r="D56"/>
      <c r="E56"/>
      <c r="H56" s="7" t="s">
        <v>215</v>
      </c>
      <c r="I56" s="7">
        <f>-P11</f>
        <v>0</v>
      </c>
    </row>
    <row r="57" spans="1:16" x14ac:dyDescent="0.3">
      <c r="A57"/>
      <c r="B57"/>
      <c r="C57"/>
      <c r="D57"/>
      <c r="E57"/>
      <c r="H57" s="7" t="s">
        <v>34</v>
      </c>
      <c r="I57" s="7">
        <f>-P12</f>
        <v>-779357425.92227101</v>
      </c>
    </row>
    <row r="58" spans="1:16" x14ac:dyDescent="0.3">
      <c r="A58"/>
      <c r="B58"/>
      <c r="C58"/>
      <c r="D58"/>
      <c r="E58"/>
      <c r="I58" s="14">
        <f>SUM(I46:I57)</f>
        <v>271182464.93913972</v>
      </c>
    </row>
    <row r="59" spans="1:16" x14ac:dyDescent="0.3">
      <c r="A59"/>
      <c r="B59"/>
      <c r="C59"/>
      <c r="D59"/>
      <c r="E59"/>
      <c r="I59" s="14">
        <f>+I42-I58</f>
        <v>-1000.0000000596046</v>
      </c>
    </row>
    <row r="60" spans="1:16" x14ac:dyDescent="0.3">
      <c r="A60"/>
      <c r="B60"/>
      <c r="C60"/>
      <c r="D60"/>
      <c r="E60"/>
    </row>
    <row r="61" spans="1:16" x14ac:dyDescent="0.3">
      <c r="A61"/>
      <c r="B61"/>
      <c r="C61"/>
      <c r="D61"/>
    </row>
    <row r="62" spans="1:16" x14ac:dyDescent="0.3">
      <c r="B62"/>
      <c r="C62"/>
      <c r="D62"/>
    </row>
    <row r="63" spans="1:16" x14ac:dyDescent="0.3">
      <c r="B63"/>
      <c r="C63"/>
      <c r="D63"/>
    </row>
    <row r="64" spans="1:16" x14ac:dyDescent="0.3">
      <c r="B64"/>
      <c r="C64"/>
      <c r="D64"/>
    </row>
    <row r="65" spans="2:4" x14ac:dyDescent="0.3">
      <c r="B65"/>
      <c r="C65"/>
      <c r="D65"/>
    </row>
    <row r="66" spans="2:4" x14ac:dyDescent="0.3">
      <c r="B66"/>
      <c r="C66"/>
      <c r="D66"/>
    </row>
    <row r="67" spans="2:4" x14ac:dyDescent="0.3">
      <c r="B67"/>
      <c r="C67"/>
      <c r="D67"/>
    </row>
    <row r="68" spans="2:4" x14ac:dyDescent="0.3">
      <c r="B68"/>
      <c r="C68"/>
      <c r="D68"/>
    </row>
    <row r="69" spans="2:4" x14ac:dyDescent="0.3">
      <c r="B69"/>
      <c r="C69"/>
      <c r="D69"/>
    </row>
    <row r="70" spans="2:4" x14ac:dyDescent="0.3">
      <c r="B70"/>
      <c r="C70"/>
      <c r="D70"/>
    </row>
    <row r="71" spans="2:4" x14ac:dyDescent="0.3">
      <c r="B71"/>
      <c r="C71"/>
      <c r="D71"/>
    </row>
    <row r="72" spans="2:4" x14ac:dyDescent="0.3">
      <c r="B72"/>
      <c r="C72"/>
      <c r="D72"/>
    </row>
    <row r="73" spans="2:4" x14ac:dyDescent="0.3">
      <c r="B73"/>
      <c r="C73"/>
      <c r="D73"/>
    </row>
    <row r="74" spans="2:4" x14ac:dyDescent="0.3">
      <c r="B74"/>
      <c r="C74"/>
      <c r="D74"/>
    </row>
    <row r="75" spans="2:4" x14ac:dyDescent="0.3">
      <c r="B75"/>
      <c r="C75"/>
      <c r="D75"/>
    </row>
    <row r="76" spans="2:4" x14ac:dyDescent="0.3">
      <c r="B76"/>
      <c r="C76"/>
      <c r="D76"/>
    </row>
    <row r="77" spans="2:4" x14ac:dyDescent="0.3">
      <c r="B77"/>
      <c r="C77"/>
      <c r="D77"/>
    </row>
    <row r="78" spans="2:4" x14ac:dyDescent="0.3">
      <c r="B78"/>
      <c r="C78"/>
      <c r="D78"/>
    </row>
    <row r="79" spans="2:4" x14ac:dyDescent="0.3">
      <c r="B79"/>
      <c r="C79"/>
      <c r="D79"/>
    </row>
    <row r="80" spans="2:4" x14ac:dyDescent="0.3">
      <c r="B80"/>
      <c r="C80"/>
      <c r="D80"/>
    </row>
    <row r="81" spans="2:4" x14ac:dyDescent="0.3">
      <c r="B81"/>
      <c r="C81"/>
      <c r="D81"/>
    </row>
  </sheetData>
  <mergeCells count="14">
    <mergeCell ref="O7:P7"/>
    <mergeCell ref="H10:I10"/>
    <mergeCell ref="H7:I7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scale="86"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opLeftCell="C19" workbookViewId="0">
      <selection activeCell="B22" sqref="B22"/>
    </sheetView>
  </sheetViews>
  <sheetFormatPr defaultRowHeight="15.6" x14ac:dyDescent="0.3"/>
  <cols>
    <col min="1" max="1" width="30.59765625" style="7" customWidth="1"/>
    <col min="2" max="2" width="16.69921875" style="14" bestFit="1" customWidth="1"/>
    <col min="4" max="4" width="30.59765625" style="7" customWidth="1"/>
    <col min="5" max="5" width="16.69921875" style="14" bestFit="1" customWidth="1"/>
    <col min="7" max="7" width="30.59765625" style="7" customWidth="1"/>
    <col min="8" max="8" width="16.69921875" style="14" bestFit="1" customWidth="1"/>
  </cols>
  <sheetData>
    <row r="1" spans="1:256" x14ac:dyDescent="0.3">
      <c r="A1" s="13"/>
      <c r="B1" s="16"/>
      <c r="D1" s="13"/>
      <c r="E1" s="16"/>
      <c r="G1" s="13"/>
      <c r="H1" s="16"/>
    </row>
    <row r="2" spans="1:256" x14ac:dyDescent="0.3">
      <c r="A2" s="188" t="s">
        <v>93</v>
      </c>
      <c r="B2" s="188"/>
      <c r="D2" s="188" t="s">
        <v>93</v>
      </c>
      <c r="E2" s="188"/>
      <c r="G2" s="130" t="s">
        <v>93</v>
      </c>
      <c r="H2" s="173">
        <f>+B3</f>
        <v>37072</v>
      </c>
    </row>
    <row r="3" spans="1:256" x14ac:dyDescent="0.3">
      <c r="A3" s="85" t="s">
        <v>269</v>
      </c>
      <c r="B3" s="173">
        <v>37072</v>
      </c>
      <c r="D3" s="85" t="s">
        <v>269</v>
      </c>
      <c r="E3" s="173">
        <f>+Financials!I11</f>
        <v>37134</v>
      </c>
      <c r="G3" s="85" t="s">
        <v>270</v>
      </c>
      <c r="H3" s="173">
        <f>+E3</f>
        <v>37134</v>
      </c>
    </row>
    <row r="4" spans="1:256" x14ac:dyDescent="0.3">
      <c r="A4" s="13" t="s">
        <v>105</v>
      </c>
      <c r="B4" s="16">
        <v>34518969</v>
      </c>
      <c r="D4" s="13" t="s">
        <v>105</v>
      </c>
      <c r="E4" s="16">
        <f>+Financials!I12</f>
        <v>34518969</v>
      </c>
      <c r="G4" s="13" t="s">
        <v>105</v>
      </c>
      <c r="H4" s="16">
        <f t="shared" ref="H4:H9" si="0">+E4-B4</f>
        <v>0</v>
      </c>
    </row>
    <row r="5" spans="1:256" x14ac:dyDescent="0.3">
      <c r="A5" s="13" t="s">
        <v>106</v>
      </c>
      <c r="B5" s="16">
        <v>2803647.312497389</v>
      </c>
      <c r="D5" s="13" t="s">
        <v>106</v>
      </c>
      <c r="E5" s="16">
        <f>+Financials!I13</f>
        <v>3065559.634743935</v>
      </c>
      <c r="G5" s="13" t="s">
        <v>106</v>
      </c>
      <c r="H5" s="16">
        <f t="shared" si="0"/>
        <v>261912.32224654593</v>
      </c>
    </row>
    <row r="6" spans="1:256" x14ac:dyDescent="0.3">
      <c r="A6" s="13" t="s">
        <v>260</v>
      </c>
      <c r="B6" s="16">
        <v>2838888.888888889</v>
      </c>
      <c r="D6" s="13" t="s">
        <v>260</v>
      </c>
      <c r="E6" s="16">
        <f>+Financials!I14</f>
        <v>3441666.666666667</v>
      </c>
      <c r="G6" s="13" t="s">
        <v>260</v>
      </c>
      <c r="H6" s="16">
        <f t="shared" si="0"/>
        <v>602777.77777777798</v>
      </c>
    </row>
    <row r="7" spans="1:256" x14ac:dyDescent="0.3">
      <c r="A7" s="13" t="s">
        <v>176</v>
      </c>
      <c r="B7" s="16">
        <v>60578841.57325194</v>
      </c>
      <c r="D7" s="13" t="s">
        <v>176</v>
      </c>
      <c r="E7" s="16">
        <f>+Financials!I15</f>
        <v>73441472.318257496</v>
      </c>
      <c r="G7" s="13" t="s">
        <v>176</v>
      </c>
      <c r="H7" s="16">
        <f t="shared" si="0"/>
        <v>12862630.745005555</v>
      </c>
    </row>
    <row r="8" spans="1:256" x14ac:dyDescent="0.3">
      <c r="A8" s="13" t="s">
        <v>251</v>
      </c>
      <c r="B8" s="16">
        <v>3857367.1072980501</v>
      </c>
      <c r="D8" s="13" t="s">
        <v>251</v>
      </c>
      <c r="E8" s="16">
        <f>+Financials!I16</f>
        <v>6348583.3640947072</v>
      </c>
      <c r="G8" s="13" t="s">
        <v>251</v>
      </c>
      <c r="H8" s="16">
        <f t="shared" si="0"/>
        <v>2491216.2567966571</v>
      </c>
    </row>
    <row r="9" spans="1:256" x14ac:dyDescent="0.3">
      <c r="A9" s="13" t="s">
        <v>156</v>
      </c>
      <c r="B9" s="39">
        <v>-29451125.109958339</v>
      </c>
      <c r="D9" s="13" t="s">
        <v>156</v>
      </c>
      <c r="E9" s="39">
        <f>+Financials!I17</f>
        <v>-38553267.542270944</v>
      </c>
      <c r="G9" s="13" t="s">
        <v>156</v>
      </c>
      <c r="H9" s="39">
        <f t="shared" si="0"/>
        <v>-9102142.432312604</v>
      </c>
    </row>
    <row r="10" spans="1:256" x14ac:dyDescent="0.3">
      <c r="B10" s="7">
        <v>75146588.771977931</v>
      </c>
      <c r="E10" s="7">
        <f>SUM(E4:E9)</f>
        <v>82262983.441491857</v>
      </c>
      <c r="H10" s="7">
        <f>SUM(H4:H9)</f>
        <v>7116394.6695139334</v>
      </c>
    </row>
    <row r="11" spans="1:256" x14ac:dyDescent="0.3">
      <c r="B11" s="7"/>
      <c r="E11" s="7"/>
      <c r="H11" s="7"/>
    </row>
    <row r="12" spans="1:256" x14ac:dyDescent="0.3">
      <c r="A12" s="7" t="s">
        <v>214</v>
      </c>
      <c r="B12" s="7">
        <v>214452925.5</v>
      </c>
      <c r="D12" s="7" t="s">
        <v>214</v>
      </c>
      <c r="E12" s="16">
        <f>+Financials!I20</f>
        <v>303713420.44999999</v>
      </c>
      <c r="G12" s="7" t="s">
        <v>214</v>
      </c>
      <c r="H12" s="16">
        <f t="shared" ref="H12:H17" si="1">+E12-B12</f>
        <v>89260494.949999988</v>
      </c>
    </row>
    <row r="13" spans="1:256" x14ac:dyDescent="0.3">
      <c r="A13" s="7" t="s">
        <v>256</v>
      </c>
      <c r="B13" s="14">
        <v>50517914.659999982</v>
      </c>
      <c r="D13" s="7" t="s">
        <v>256</v>
      </c>
      <c r="E13" s="16">
        <f>+Financials!I21</f>
        <v>108095279.42999998</v>
      </c>
      <c r="G13" s="7" t="s">
        <v>256</v>
      </c>
      <c r="H13" s="16">
        <f t="shared" si="1"/>
        <v>57577364.769999996</v>
      </c>
    </row>
    <row r="14" spans="1:256" x14ac:dyDescent="0.3">
      <c r="A14" s="7" t="s">
        <v>205</v>
      </c>
      <c r="B14" s="14">
        <v>-410578841.57325196</v>
      </c>
      <c r="D14" s="7" t="s">
        <v>205</v>
      </c>
      <c r="E14" s="16">
        <f>+Financials!I22</f>
        <v>-423441472.31825751</v>
      </c>
      <c r="G14" s="7" t="s">
        <v>205</v>
      </c>
      <c r="H14" s="16">
        <f t="shared" si="1"/>
        <v>-12862630.745005548</v>
      </c>
    </row>
    <row r="15" spans="1:256" x14ac:dyDescent="0.3">
      <c r="A15" s="7" t="s">
        <v>271</v>
      </c>
      <c r="B15" s="7">
        <v>0</v>
      </c>
      <c r="C15" s="7"/>
      <c r="D15" s="7" t="s">
        <v>271</v>
      </c>
      <c r="E15" s="16">
        <f>+Financials!I23</f>
        <v>0</v>
      </c>
      <c r="F15" s="7"/>
      <c r="G15" s="7" t="s">
        <v>271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3">
      <c r="A16" s="7" t="s">
        <v>107</v>
      </c>
      <c r="B16" s="7">
        <v>0</v>
      </c>
      <c r="D16" s="7" t="s">
        <v>107</v>
      </c>
      <c r="E16" s="16">
        <f>+Financials!I24</f>
        <v>0</v>
      </c>
      <c r="G16" s="7" t="s">
        <v>107</v>
      </c>
      <c r="H16" s="16">
        <f t="shared" si="1"/>
        <v>0</v>
      </c>
    </row>
    <row r="17" spans="1:8" x14ac:dyDescent="0.3">
      <c r="A17" s="7" t="s">
        <v>108</v>
      </c>
      <c r="B17" s="27">
        <v>0</v>
      </c>
      <c r="D17" s="7" t="s">
        <v>108</v>
      </c>
      <c r="E17" s="39">
        <f>+Financials!I25</f>
        <v>0</v>
      </c>
      <c r="G17" s="7" t="s">
        <v>108</v>
      </c>
      <c r="H17" s="39">
        <f t="shared" si="1"/>
        <v>0</v>
      </c>
    </row>
    <row r="18" spans="1:8" x14ac:dyDescent="0.3">
      <c r="A18"/>
      <c r="B18" s="35">
        <v>-145608001.413252</v>
      </c>
      <c r="D18"/>
      <c r="E18" s="35">
        <f>SUM(E12:E17)</f>
        <v>-11632772.438257515</v>
      </c>
      <c r="G18"/>
      <c r="H18" s="35">
        <f>SUM(H12:H17)</f>
        <v>133975228.97499442</v>
      </c>
    </row>
    <row r="19" spans="1:8" x14ac:dyDescent="0.3">
      <c r="A19" s="96"/>
      <c r="B19" s="97"/>
      <c r="D19" s="96"/>
      <c r="E19" s="97"/>
      <c r="G19" s="96"/>
      <c r="H19" s="97"/>
    </row>
    <row r="20" spans="1:8" ht="16.2" thickBot="1" x14ac:dyDescent="0.35">
      <c r="A20" s="36" t="s">
        <v>59</v>
      </c>
      <c r="B20" s="93">
        <v>-70461412.641274065</v>
      </c>
      <c r="D20" s="36" t="s">
        <v>59</v>
      </c>
      <c r="E20" s="93">
        <f>E18+E10</f>
        <v>70630211.003234342</v>
      </c>
      <c r="G20" s="36" t="s">
        <v>59</v>
      </c>
      <c r="H20" s="93">
        <f>H18+H10</f>
        <v>141091623.64450836</v>
      </c>
    </row>
    <row r="21" spans="1:8" ht="16.2" thickTop="1" x14ac:dyDescent="0.3"/>
    <row r="23" spans="1:8" x14ac:dyDescent="0.3">
      <c r="A23" s="171" t="s">
        <v>220</v>
      </c>
      <c r="B23" s="171"/>
      <c r="D23" s="171" t="s">
        <v>220</v>
      </c>
      <c r="E23" s="171"/>
      <c r="G23" s="171" t="s">
        <v>220</v>
      </c>
      <c r="H23" s="90">
        <f>+B24</f>
        <v>37072</v>
      </c>
    </row>
    <row r="24" spans="1:8" x14ac:dyDescent="0.3">
      <c r="A24" s="85" t="s">
        <v>133</v>
      </c>
      <c r="B24" s="90">
        <v>37072</v>
      </c>
      <c r="D24" s="85" t="s">
        <v>133</v>
      </c>
      <c r="E24" s="90">
        <f>+Financials!M6</f>
        <v>37134</v>
      </c>
      <c r="G24" s="85" t="s">
        <v>272</v>
      </c>
      <c r="H24" s="90">
        <f>+E24</f>
        <v>37134</v>
      </c>
    </row>
    <row r="25" spans="1:8" ht="16.2" thickBot="1" x14ac:dyDescent="0.35">
      <c r="A25" s="172" t="s">
        <v>28</v>
      </c>
      <c r="B25" s="172"/>
      <c r="C25" s="7"/>
      <c r="D25" s="172" t="s">
        <v>28</v>
      </c>
      <c r="E25" s="172"/>
      <c r="G25" s="172" t="s">
        <v>28</v>
      </c>
      <c r="H25" s="172"/>
    </row>
    <row r="26" spans="1:8" x14ac:dyDescent="0.3">
      <c r="A26" s="7" t="s">
        <v>35</v>
      </c>
      <c r="B26" s="7">
        <v>35104407.956941798</v>
      </c>
      <c r="C26" s="7"/>
      <c r="D26" s="7" t="s">
        <v>35</v>
      </c>
      <c r="E26" s="7">
        <f>+Financials!M8</f>
        <v>35366320.279188469</v>
      </c>
      <c r="G26" s="7" t="s">
        <v>35</v>
      </c>
      <c r="H26" s="7">
        <f t="shared" ref="H26:H33" si="2">+E26-B26</f>
        <v>261912.32224667072</v>
      </c>
    </row>
    <row r="27" spans="1:8" x14ac:dyDescent="0.3">
      <c r="A27" s="7" t="s">
        <v>33</v>
      </c>
      <c r="B27" s="7">
        <v>50000000</v>
      </c>
      <c r="C27" s="7"/>
      <c r="D27" s="7" t="s">
        <v>33</v>
      </c>
      <c r="E27" s="7">
        <f>+Financials!M9</f>
        <v>50000000</v>
      </c>
      <c r="G27" s="7" t="s">
        <v>33</v>
      </c>
      <c r="H27" s="7">
        <f t="shared" si="2"/>
        <v>0</v>
      </c>
    </row>
    <row r="28" spans="1:8" x14ac:dyDescent="0.3">
      <c r="A28" s="7" t="s">
        <v>40</v>
      </c>
      <c r="B28" s="7">
        <v>1069444.4444444445</v>
      </c>
      <c r="C28" s="7"/>
      <c r="D28" s="7" t="s">
        <v>40</v>
      </c>
      <c r="E28" s="7">
        <f>+Financials!M10</f>
        <v>1672222.2222222222</v>
      </c>
      <c r="G28" s="7" t="s">
        <v>40</v>
      </c>
      <c r="H28" s="7">
        <f t="shared" si="2"/>
        <v>602777.77777777775</v>
      </c>
    </row>
    <row r="29" spans="1:8" x14ac:dyDescent="0.3">
      <c r="A29" s="7" t="s">
        <v>36</v>
      </c>
      <c r="B29" s="7">
        <v>0</v>
      </c>
      <c r="C29" s="18"/>
      <c r="D29" s="7" t="s">
        <v>36</v>
      </c>
      <c r="E29" s="7">
        <f>+Financials!M11</f>
        <v>0</v>
      </c>
      <c r="G29" s="7" t="s">
        <v>36</v>
      </c>
      <c r="H29" s="7">
        <f t="shared" si="2"/>
        <v>0</v>
      </c>
    </row>
    <row r="30" spans="1:8" x14ac:dyDescent="0.3">
      <c r="A30" s="7" t="s">
        <v>262</v>
      </c>
      <c r="B30" s="14">
        <v>197033302.48729804</v>
      </c>
      <c r="D30" s="7" t="s">
        <v>262</v>
      </c>
      <c r="E30" s="7">
        <f>+Financials!M12</f>
        <v>199524518.7440947</v>
      </c>
      <c r="G30" s="7" t="s">
        <v>262</v>
      </c>
      <c r="H30" s="7">
        <f t="shared" si="2"/>
        <v>2491216.256796658</v>
      </c>
    </row>
    <row r="31" spans="1:8" x14ac:dyDescent="0.3">
      <c r="A31" s="7" t="s">
        <v>263</v>
      </c>
      <c r="B31" s="7">
        <v>141147192</v>
      </c>
      <c r="C31" s="7"/>
      <c r="D31" s="7" t="s">
        <v>263</v>
      </c>
      <c r="E31" s="7">
        <f>+Financials!M13</f>
        <v>141147192</v>
      </c>
      <c r="G31" s="7" t="s">
        <v>222</v>
      </c>
      <c r="H31" s="7">
        <f t="shared" si="2"/>
        <v>0</v>
      </c>
    </row>
    <row r="32" spans="1:8" x14ac:dyDescent="0.3">
      <c r="A32" s="7" t="s">
        <v>218</v>
      </c>
      <c r="B32" s="7">
        <v>264970840.15999997</v>
      </c>
      <c r="C32" s="7"/>
      <c r="D32" s="7" t="s">
        <v>218</v>
      </c>
      <c r="E32" s="7">
        <f>+Financials!M14</f>
        <v>411808699.88</v>
      </c>
      <c r="G32" s="7" t="s">
        <v>218</v>
      </c>
      <c r="H32" s="7">
        <f t="shared" si="2"/>
        <v>146837859.72000003</v>
      </c>
    </row>
    <row r="33" spans="1:8" x14ac:dyDescent="0.3">
      <c r="A33" s="7" t="s">
        <v>113</v>
      </c>
      <c r="B33" s="7">
        <v>0</v>
      </c>
      <c r="C33" s="7"/>
      <c r="D33" s="7" t="s">
        <v>113</v>
      </c>
      <c r="E33" s="7">
        <f>+Financials!M15</f>
        <v>0</v>
      </c>
      <c r="G33" s="7" t="s">
        <v>113</v>
      </c>
      <c r="H33" s="7">
        <f t="shared" si="2"/>
        <v>0</v>
      </c>
    </row>
    <row r="34" spans="1:8" ht="16.2" thickBot="1" x14ac:dyDescent="0.35">
      <c r="A34" s="83" t="s">
        <v>7</v>
      </c>
      <c r="B34" s="12">
        <v>689325187.04868424</v>
      </c>
      <c r="C34" s="20"/>
      <c r="D34" s="83" t="s">
        <v>7</v>
      </c>
      <c r="E34" s="12">
        <f>SUM(E26:E33)</f>
        <v>839518953.12550545</v>
      </c>
      <c r="G34" s="83" t="s">
        <v>7</v>
      </c>
      <c r="H34" s="12">
        <f>SUM(H26:H33)</f>
        <v>150193766.07682115</v>
      </c>
    </row>
    <row r="35" spans="1:8" ht="16.2" thickTop="1" x14ac:dyDescent="0.3"/>
    <row r="36" spans="1:8" ht="16.2" thickBot="1" x14ac:dyDescent="0.35">
      <c r="A36" s="172" t="s">
        <v>29</v>
      </c>
      <c r="B36" s="172"/>
      <c r="D36" s="172" t="s">
        <v>29</v>
      </c>
      <c r="E36" s="172"/>
      <c r="G36" s="172" t="s">
        <v>29</v>
      </c>
      <c r="H36" s="172"/>
    </row>
    <row r="37" spans="1:8" x14ac:dyDescent="0.3">
      <c r="A37" s="7" t="s">
        <v>99</v>
      </c>
      <c r="B37" s="7">
        <v>0</v>
      </c>
      <c r="D37" s="7" t="s">
        <v>99</v>
      </c>
      <c r="E37" s="7">
        <f>+Financials!P8</f>
        <v>0</v>
      </c>
      <c r="G37" s="7" t="s">
        <v>99</v>
      </c>
      <c r="H37" s="7">
        <f t="shared" ref="H37:H42" si="3">+E37-B37</f>
        <v>0</v>
      </c>
    </row>
    <row r="38" spans="1:8" x14ac:dyDescent="0.3">
      <c r="A38" s="7" t="s">
        <v>109</v>
      </c>
      <c r="B38" s="7">
        <v>0</v>
      </c>
      <c r="D38" s="7" t="s">
        <v>109</v>
      </c>
      <c r="E38" s="7">
        <f>+Financials!P10</f>
        <v>0</v>
      </c>
      <c r="G38" s="7" t="s">
        <v>109</v>
      </c>
      <c r="H38" s="7">
        <f t="shared" si="3"/>
        <v>0</v>
      </c>
    </row>
    <row r="39" spans="1:8" x14ac:dyDescent="0.3">
      <c r="A39" s="7" t="s">
        <v>215</v>
      </c>
      <c r="B39" s="7">
        <v>0</v>
      </c>
      <c r="D39" s="7" t="s">
        <v>215</v>
      </c>
      <c r="E39" s="7">
        <f>+Financials!P11</f>
        <v>0</v>
      </c>
      <c r="G39" s="7" t="s">
        <v>215</v>
      </c>
      <c r="H39" s="7">
        <f t="shared" si="3"/>
        <v>0</v>
      </c>
    </row>
    <row r="40" spans="1:8" x14ac:dyDescent="0.3">
      <c r="A40" s="7" t="s">
        <v>34</v>
      </c>
      <c r="B40" s="7">
        <v>770255283.48995829</v>
      </c>
      <c r="D40" s="7" t="s">
        <v>34</v>
      </c>
      <c r="E40" s="7">
        <f>+Financials!P12</f>
        <v>779357425.92227101</v>
      </c>
      <c r="G40" s="7" t="s">
        <v>34</v>
      </c>
      <c r="H40" s="7">
        <f t="shared" si="3"/>
        <v>9102142.432312727</v>
      </c>
    </row>
    <row r="41" spans="1:8" x14ac:dyDescent="0.3">
      <c r="B41" s="7"/>
      <c r="E41" s="7"/>
      <c r="H41" s="7">
        <f t="shared" si="3"/>
        <v>0</v>
      </c>
    </row>
    <row r="42" spans="1:8" x14ac:dyDescent="0.3">
      <c r="A42" s="7" t="s">
        <v>38</v>
      </c>
      <c r="B42" s="7">
        <v>0</v>
      </c>
      <c r="D42" s="7" t="s">
        <v>38</v>
      </c>
      <c r="E42" s="7">
        <f>+Financials!P14</f>
        <v>30000000</v>
      </c>
      <c r="G42" s="7" t="s">
        <v>38</v>
      </c>
      <c r="H42" s="7">
        <f t="shared" si="3"/>
        <v>30000000</v>
      </c>
    </row>
    <row r="43" spans="1:8" x14ac:dyDescent="0.3">
      <c r="A43" s="7" t="s">
        <v>4</v>
      </c>
      <c r="B43" s="7">
        <v>-80930096.441274047</v>
      </c>
      <c r="D43" s="7" t="s">
        <v>4</v>
      </c>
      <c r="E43" s="7">
        <f>+Financials!P15</f>
        <v>30161527.203234434</v>
      </c>
      <c r="G43" s="7" t="s">
        <v>4</v>
      </c>
      <c r="H43" s="7">
        <f>+E43-B43</f>
        <v>111091623.64450848</v>
      </c>
    </row>
    <row r="44" spans="1:8" ht="16.2" thickBot="1" x14ac:dyDescent="0.35">
      <c r="A44" s="83" t="s">
        <v>7</v>
      </c>
      <c r="B44" s="12">
        <v>689325187.04868424</v>
      </c>
      <c r="D44" s="83" t="s">
        <v>7</v>
      </c>
      <c r="E44" s="12">
        <f>SUM(E37:E43)</f>
        <v>839518953.12550545</v>
      </c>
      <c r="G44" s="83" t="s">
        <v>7</v>
      </c>
      <c r="H44" s="12">
        <f>SUM(H37:H43)</f>
        <v>150193766.07682121</v>
      </c>
    </row>
    <row r="45" spans="1:8" ht="16.2" thickTop="1" x14ac:dyDescent="0.3"/>
  </sheetData>
  <mergeCells count="2">
    <mergeCell ref="A2:B2"/>
    <mergeCell ref="D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5"/>
  <sheetViews>
    <sheetView showGridLines="0" topLeftCell="A61" zoomScaleNormal="100" workbookViewId="0">
      <selection activeCell="B73" sqref="B73"/>
    </sheetView>
  </sheetViews>
  <sheetFormatPr defaultRowHeight="15.6" x14ac:dyDescent="0.3"/>
  <cols>
    <col min="1" max="1" width="32.69921875" customWidth="1"/>
    <col min="2" max="2" width="14" customWidth="1"/>
    <col min="3" max="3" width="1.69921875" bestFit="1" customWidth="1"/>
    <col min="4" max="4" width="14.59765625" bestFit="1" customWidth="1"/>
    <col min="5" max="5" width="11.5" customWidth="1"/>
    <col min="6" max="6" width="12.5" customWidth="1"/>
    <col min="7" max="7" width="9.59765625" customWidth="1"/>
    <col min="8" max="8" width="9.8984375" bestFit="1" customWidth="1"/>
  </cols>
  <sheetData>
    <row r="1" spans="1:8" ht="16.2" thickBot="1" x14ac:dyDescent="0.35">
      <c r="A1" s="193" t="s">
        <v>101</v>
      </c>
      <c r="B1" s="193"/>
    </row>
    <row r="3" spans="1:8" x14ac:dyDescent="0.3">
      <c r="A3" s="13" t="s">
        <v>112</v>
      </c>
      <c r="B3" s="14"/>
      <c r="C3" s="7"/>
      <c r="E3" s="147"/>
      <c r="F3" s="147"/>
      <c r="G3" s="147"/>
    </row>
    <row r="4" spans="1:8" x14ac:dyDescent="0.3">
      <c r="A4" s="8" t="s">
        <v>77</v>
      </c>
      <c r="B4" s="16">
        <f>41000000-6481031</f>
        <v>34518969</v>
      </c>
      <c r="C4" s="7"/>
      <c r="D4" s="1">
        <v>36917</v>
      </c>
      <c r="H4" s="1"/>
    </row>
    <row r="5" spans="1:8" x14ac:dyDescent="0.3">
      <c r="A5" s="7"/>
      <c r="B5" s="14"/>
      <c r="C5" s="7"/>
      <c r="H5" s="1"/>
    </row>
    <row r="6" spans="1:8" ht="16.2" thickBot="1" x14ac:dyDescent="0.35">
      <c r="A6" s="7" t="s">
        <v>78</v>
      </c>
      <c r="B6" s="146">
        <f>SUM(B3:B5)</f>
        <v>34518969</v>
      </c>
      <c r="C6" s="29" t="s">
        <v>79</v>
      </c>
      <c r="F6" s="7"/>
    </row>
    <row r="7" spans="1:8" ht="16.2" thickTop="1" x14ac:dyDescent="0.3">
      <c r="A7" s="7"/>
      <c r="B7" s="14"/>
      <c r="C7" s="7"/>
      <c r="F7" s="3"/>
    </row>
    <row r="8" spans="1:8" x14ac:dyDescent="0.3">
      <c r="A8" s="7" t="s">
        <v>87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3">
      <c r="A9" s="7" t="s">
        <v>177</v>
      </c>
      <c r="B9" s="14">
        <f>-B8</f>
        <v>6481031</v>
      </c>
      <c r="C9" s="7"/>
      <c r="D9" s="1">
        <f>+D8</f>
        <v>36917</v>
      </c>
    </row>
    <row r="10" spans="1:8" x14ac:dyDescent="0.3">
      <c r="A10" s="7"/>
      <c r="B10" s="7"/>
      <c r="C10" s="7"/>
    </row>
    <row r="11" spans="1:8" x14ac:dyDescent="0.3">
      <c r="A11" s="7" t="s">
        <v>88</v>
      </c>
      <c r="B11" s="14"/>
      <c r="C11" s="7"/>
    </row>
    <row r="12" spans="1:8" x14ac:dyDescent="0.3">
      <c r="A12" s="7" t="s">
        <v>178</v>
      </c>
      <c r="B12" s="14">
        <v>-40469683.799999997</v>
      </c>
      <c r="C12" s="7"/>
      <c r="D12" s="1">
        <f>+D8</f>
        <v>36917</v>
      </c>
    </row>
    <row r="13" spans="1:8" x14ac:dyDescent="0.3">
      <c r="A13" s="7" t="s">
        <v>179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182</v>
      </c>
      <c r="B15" s="14">
        <f>IF(Summary!$C$5&lt;'Cash-Int-Trans'!D15,0,-Amort!D11)</f>
        <v>-1769444.4444444445</v>
      </c>
      <c r="C15" s="7"/>
      <c r="D15" s="1">
        <v>36961</v>
      </c>
    </row>
    <row r="16" spans="1:8" x14ac:dyDescent="0.3">
      <c r="A16" s="7" t="s">
        <v>181</v>
      </c>
      <c r="B16" s="14">
        <f>-B15</f>
        <v>1769444.4444444445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193" t="s">
        <v>96</v>
      </c>
      <c r="B18" s="193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97</v>
      </c>
      <c r="B22" s="7">
        <f>+Financials!I28</f>
        <v>70630211.003234342</v>
      </c>
    </row>
    <row r="23" spans="1:5" x14ac:dyDescent="0.3">
      <c r="A23" t="s">
        <v>98</v>
      </c>
      <c r="B23" s="7">
        <f>-Financials!I15-Financials!I16</f>
        <v>-79790055.6823522</v>
      </c>
    </row>
    <row r="24" spans="1:5" x14ac:dyDescent="0.3">
      <c r="A24" s="7" t="str">
        <f>+Financials!H24</f>
        <v>Unrealized Gains / (Losses)</v>
      </c>
      <c r="B24" s="7">
        <f>-Financials!I24-Financials!I23-Financials!I22-Financials!I20-Financials!I21</f>
        <v>11632772.438257545</v>
      </c>
    </row>
    <row r="26" spans="1:5" x14ac:dyDescent="0.3">
      <c r="A26" t="s">
        <v>100</v>
      </c>
    </row>
    <row r="27" spans="1:5" x14ac:dyDescent="0.3">
      <c r="A27" t="s">
        <v>102</v>
      </c>
      <c r="B27" s="7">
        <f>+Financials!B7-Financials!M9</f>
        <v>0</v>
      </c>
    </row>
    <row r="28" spans="1:5" x14ac:dyDescent="0.3">
      <c r="A28" t="s">
        <v>40</v>
      </c>
      <c r="B28" s="7">
        <f>0-Financials!M10</f>
        <v>-1672222.2222222222</v>
      </c>
    </row>
    <row r="29" spans="1:5" x14ac:dyDescent="0.3">
      <c r="A29" t="s">
        <v>262</v>
      </c>
      <c r="B29" s="7">
        <f>0-Financials!M12+Financials!I16</f>
        <v>-193175935.38</v>
      </c>
    </row>
    <row r="30" spans="1:5" x14ac:dyDescent="0.3">
      <c r="A30" s="7" t="s">
        <v>263</v>
      </c>
      <c r="B30" s="7">
        <f>0-Financials!M13+Financials!I23</f>
        <v>-141147192</v>
      </c>
    </row>
    <row r="31" spans="1:5" x14ac:dyDescent="0.3">
      <c r="A31" t="s">
        <v>103</v>
      </c>
      <c r="B31" s="7">
        <f>-Financials!E7+Financials!P12</f>
        <v>379357425.92227101</v>
      </c>
    </row>
    <row r="32" spans="1:5" x14ac:dyDescent="0.3">
      <c r="A32" t="s">
        <v>180</v>
      </c>
      <c r="B32" s="7">
        <f>-Financials!E6+Financials!P8</f>
        <v>-41000000</v>
      </c>
      <c r="E32" s="7"/>
    </row>
    <row r="34" spans="1:6" x14ac:dyDescent="0.3">
      <c r="A34" t="s">
        <v>88</v>
      </c>
      <c r="B34" s="7">
        <f>+B12</f>
        <v>-40469683.799999997</v>
      </c>
    </row>
    <row r="35" spans="1:6" x14ac:dyDescent="0.3">
      <c r="A35" t="s">
        <v>111</v>
      </c>
      <c r="B35" s="7">
        <f>+B13</f>
        <v>0</v>
      </c>
    </row>
    <row r="37" spans="1:6" ht="16.2" thickBot="1" x14ac:dyDescent="0.35">
      <c r="A37" t="s">
        <v>25</v>
      </c>
      <c r="B37" s="12">
        <f>SUM(B20:B36)</f>
        <v>35366320.279188469</v>
      </c>
      <c r="D37" s="7">
        <f>+B20+B12+B13+B40+B16</f>
        <v>35366320.279188387</v>
      </c>
      <c r="E37" s="7">
        <f>+B37-D37</f>
        <v>8.1956386566162109E-8</v>
      </c>
    </row>
    <row r="38" spans="1:6" ht="16.2" thickTop="1" x14ac:dyDescent="0.3"/>
    <row r="39" spans="1:6" ht="16.2" thickBot="1" x14ac:dyDescent="0.35">
      <c r="A39" s="193" t="s">
        <v>143</v>
      </c>
      <c r="B39" s="193"/>
      <c r="C39" s="193"/>
      <c r="D39" s="193"/>
      <c r="E39" s="193"/>
      <c r="F39" s="193"/>
    </row>
    <row r="40" spans="1:6" x14ac:dyDescent="0.3">
      <c r="A40" s="102" t="s">
        <v>106</v>
      </c>
      <c r="B40" s="103">
        <f>+B45+B50+B55+B60+B65+B70</f>
        <v>3065559.634743935</v>
      </c>
    </row>
    <row r="41" spans="1:6" x14ac:dyDescent="0.3">
      <c r="A41" s="45"/>
      <c r="E41" s="123"/>
      <c r="F41" s="124"/>
    </row>
    <row r="42" spans="1:6" x14ac:dyDescent="0.3">
      <c r="A42" t="s">
        <v>1</v>
      </c>
      <c r="B42" s="1">
        <v>36780</v>
      </c>
      <c r="D42" t="s">
        <v>266</v>
      </c>
      <c r="E42" s="1">
        <v>36875</v>
      </c>
      <c r="F42" s="124"/>
    </row>
    <row r="43" spans="1:6" x14ac:dyDescent="0.3">
      <c r="A43" t="s">
        <v>23</v>
      </c>
      <c r="B43" s="7">
        <v>71001000</v>
      </c>
      <c r="D43" t="s">
        <v>75</v>
      </c>
      <c r="E43" s="3">
        <f>+B44-B42</f>
        <v>95</v>
      </c>
      <c r="F43" s="124"/>
    </row>
    <row r="44" spans="1:6" x14ac:dyDescent="0.3">
      <c r="A44" t="s">
        <v>1</v>
      </c>
      <c r="B44" s="1">
        <f>IF(Summary!$C$5&lt;B42,+B42,IF(Summary!$C$5&gt;E42,+E42,Summary!$C$5))</f>
        <v>36875</v>
      </c>
      <c r="D44" t="s">
        <v>267</v>
      </c>
      <c r="E44" s="170">
        <v>6.6600000000000006E-2</v>
      </c>
      <c r="F44" s="124"/>
    </row>
    <row r="45" spans="1:6" x14ac:dyDescent="0.3">
      <c r="A45" t="s">
        <v>24</v>
      </c>
      <c r="B45" s="46">
        <f>+B43*(E44+0.0045)/360*E43</f>
        <v>1332156.2625000002</v>
      </c>
      <c r="F45" s="124"/>
    </row>
    <row r="46" spans="1:6" x14ac:dyDescent="0.3">
      <c r="F46" s="124"/>
    </row>
    <row r="47" spans="1:6" x14ac:dyDescent="0.3">
      <c r="A47" t="s">
        <v>1</v>
      </c>
      <c r="B47" s="1">
        <f>+E42</f>
        <v>36875</v>
      </c>
      <c r="D47" t="s">
        <v>266</v>
      </c>
      <c r="E47" s="1">
        <v>36917</v>
      </c>
      <c r="F47" s="124"/>
    </row>
    <row r="48" spans="1:6" x14ac:dyDescent="0.3">
      <c r="A48" t="s">
        <v>23</v>
      </c>
      <c r="B48" s="7">
        <f>+B43+B45</f>
        <v>72333156.262500003</v>
      </c>
      <c r="D48" t="s">
        <v>75</v>
      </c>
      <c r="E48" s="3">
        <f>+B49-B47</f>
        <v>42</v>
      </c>
      <c r="F48" s="124"/>
    </row>
    <row r="49" spans="1:6" x14ac:dyDescent="0.3">
      <c r="A49" t="s">
        <v>1</v>
      </c>
      <c r="B49" s="1">
        <f>IF(Summary!$C$5&lt;B47,+B47,IF(Summary!$C$5&gt;E47,+E47,Summary!$C$5))</f>
        <v>36917</v>
      </c>
      <c r="D49" t="s">
        <v>267</v>
      </c>
      <c r="E49" s="170">
        <v>6.5799999999999997E-2</v>
      </c>
      <c r="F49" s="124"/>
    </row>
    <row r="50" spans="1:6" x14ac:dyDescent="0.3">
      <c r="A50" t="s">
        <v>24</v>
      </c>
      <c r="B50" s="46">
        <f>+B48*(E49+0.0045)/360*E48</f>
        <v>593252.4366129376</v>
      </c>
      <c r="F50" s="124"/>
    </row>
    <row r="51" spans="1:6" x14ac:dyDescent="0.3">
      <c r="F51" s="124"/>
    </row>
    <row r="52" spans="1:6" x14ac:dyDescent="0.3">
      <c r="A52" t="s">
        <v>1</v>
      </c>
      <c r="B52" s="1">
        <f>+E47</f>
        <v>36917</v>
      </c>
      <c r="D52" t="s">
        <v>266</v>
      </c>
      <c r="E52" s="1">
        <v>36962</v>
      </c>
      <c r="F52" s="124"/>
    </row>
    <row r="53" spans="1:6" x14ac:dyDescent="0.3">
      <c r="A53" t="s">
        <v>23</v>
      </c>
      <c r="B53" s="7">
        <f>+B48+B12</f>
        <v>31863472.462500006</v>
      </c>
      <c r="D53" t="s">
        <v>75</v>
      </c>
      <c r="E53" s="3">
        <f>+B54-B52</f>
        <v>45</v>
      </c>
      <c r="F53" s="124"/>
    </row>
    <row r="54" spans="1:6" x14ac:dyDescent="0.3">
      <c r="A54" t="s">
        <v>1</v>
      </c>
      <c r="B54" s="1">
        <f>IF(Summary!$C$5&lt;B52,+B52,IF(Summary!$C$5&gt;E52,+E52,Summary!$C$5))</f>
        <v>36962</v>
      </c>
      <c r="D54" t="s">
        <v>267</v>
      </c>
      <c r="E54" s="170">
        <v>6.5799999999999997E-2</v>
      </c>
      <c r="F54" s="124"/>
    </row>
    <row r="55" spans="1:6" x14ac:dyDescent="0.3">
      <c r="A55" t="s">
        <v>24</v>
      </c>
      <c r="B55" s="46">
        <f>+B53*(E54+0.0045)/360*E53</f>
        <v>280000.2642642188</v>
      </c>
      <c r="F55" s="124"/>
    </row>
    <row r="56" spans="1:6" x14ac:dyDescent="0.3">
      <c r="F56" s="124"/>
    </row>
    <row r="57" spans="1:6" x14ac:dyDescent="0.3">
      <c r="A57" t="s">
        <v>1</v>
      </c>
      <c r="B57" s="1">
        <f>+E52</f>
        <v>36962</v>
      </c>
      <c r="D57" t="s">
        <v>266</v>
      </c>
      <c r="E57" s="1">
        <v>36965</v>
      </c>
      <c r="F57" s="124"/>
    </row>
    <row r="58" spans="1:6" x14ac:dyDescent="0.3">
      <c r="A58" t="s">
        <v>23</v>
      </c>
      <c r="B58" s="7">
        <f>+B53+B16</f>
        <v>33632916.906944454</v>
      </c>
      <c r="D58" t="s">
        <v>75</v>
      </c>
      <c r="E58" s="3">
        <f>+B59-B57</f>
        <v>3</v>
      </c>
      <c r="F58" s="124"/>
    </row>
    <row r="59" spans="1:6" x14ac:dyDescent="0.3">
      <c r="A59" t="s">
        <v>1</v>
      </c>
      <c r="B59" s="1">
        <f>IF(Summary!$C$5&lt;B57,+B57,IF(Summary!$C$5&gt;E57,+E57,Summary!$C$5))</f>
        <v>36965</v>
      </c>
      <c r="D59" t="s">
        <v>267</v>
      </c>
      <c r="E59" s="170">
        <v>6.5799999999999997E-2</v>
      </c>
      <c r="F59" s="124"/>
    </row>
    <row r="60" spans="1:6" x14ac:dyDescent="0.3">
      <c r="A60" t="s">
        <v>24</v>
      </c>
      <c r="B60" s="46">
        <f>+B58*(E59+0.0045)/360*E58</f>
        <v>19703.283821318295</v>
      </c>
      <c r="F60" s="124"/>
    </row>
    <row r="61" spans="1:6" x14ac:dyDescent="0.3">
      <c r="A61" s="45"/>
      <c r="E61" s="123"/>
      <c r="F61" s="124"/>
    </row>
    <row r="62" spans="1:6" x14ac:dyDescent="0.3">
      <c r="A62" t="s">
        <v>1</v>
      </c>
      <c r="B62" s="1">
        <f>+E57</f>
        <v>36965</v>
      </c>
      <c r="D62" t="s">
        <v>266</v>
      </c>
      <c r="E62" s="1">
        <v>37057</v>
      </c>
      <c r="F62" s="124"/>
    </row>
    <row r="63" spans="1:6" x14ac:dyDescent="0.3">
      <c r="A63" t="s">
        <v>23</v>
      </c>
      <c r="B63" s="7">
        <f>+B58+B50+B55+B60</f>
        <v>34525872.891642921</v>
      </c>
      <c r="D63" t="s">
        <v>75</v>
      </c>
      <c r="E63" s="3">
        <f>+B64-B62</f>
        <v>92</v>
      </c>
      <c r="F63" s="124"/>
    </row>
    <row r="64" spans="1:6" x14ac:dyDescent="0.3">
      <c r="A64" t="s">
        <v>1</v>
      </c>
      <c r="B64" s="1">
        <f>IF(Summary!$C$5&lt;B62,+B62,IF(Summary!$C$5&gt;E62,+E62,Summary!$C$5))</f>
        <v>37057</v>
      </c>
      <c r="D64" t="s">
        <v>267</v>
      </c>
      <c r="E64" s="170">
        <v>5.3887499999999998E-2</v>
      </c>
      <c r="F64" s="124"/>
    </row>
    <row r="65" spans="1:6" x14ac:dyDescent="0.3">
      <c r="A65" t="s">
        <v>24</v>
      </c>
      <c r="B65" s="46">
        <f>+B63*(E64+0.0045)/360*E63</f>
        <v>515169.18088442693</v>
      </c>
      <c r="F65" s="124"/>
    </row>
    <row r="66" spans="1:6" x14ac:dyDescent="0.3">
      <c r="B66" s="46"/>
      <c r="F66" s="124"/>
    </row>
    <row r="67" spans="1:6" x14ac:dyDescent="0.3">
      <c r="A67" t="s">
        <v>1</v>
      </c>
      <c r="B67" s="1">
        <f>+E62</f>
        <v>37057</v>
      </c>
      <c r="D67" t="s">
        <v>266</v>
      </c>
      <c r="E67" s="1">
        <v>38460</v>
      </c>
      <c r="F67" s="124"/>
    </row>
    <row r="68" spans="1:6" x14ac:dyDescent="0.3">
      <c r="A68" t="s">
        <v>23</v>
      </c>
      <c r="B68" s="7">
        <f>+B63+B65</f>
        <v>35041042.072527349</v>
      </c>
      <c r="D68" t="s">
        <v>75</v>
      </c>
      <c r="E68" s="3">
        <f>+B69-B67</f>
        <v>77</v>
      </c>
      <c r="F68" s="124"/>
    </row>
    <row r="69" spans="1:6" x14ac:dyDescent="0.3">
      <c r="A69" t="s">
        <v>1</v>
      </c>
      <c r="B69" s="1">
        <f>IF(Summary!$C$5&lt;B67,+B67,IF(Summary!$C$5&gt;E67,+E67,Summary!$C$5))</f>
        <v>37134</v>
      </c>
      <c r="D69" t="s">
        <v>267</v>
      </c>
      <c r="E69" s="170">
        <v>3.8899999999999997E-2</v>
      </c>
      <c r="F69" s="124"/>
    </row>
    <row r="70" spans="1:6" x14ac:dyDescent="0.3">
      <c r="A70" t="s">
        <v>24</v>
      </c>
      <c r="B70" s="46">
        <f>+B68*(E69+0.0045)/360*E68</f>
        <v>325278.20666103298</v>
      </c>
      <c r="F70" s="124"/>
    </row>
    <row r="71" spans="1:6" x14ac:dyDescent="0.3">
      <c r="B71" s="46"/>
      <c r="F71" s="124"/>
    </row>
    <row r="72" spans="1:6" ht="16.2" thickBot="1" x14ac:dyDescent="0.35">
      <c r="A72" s="193" t="s">
        <v>159</v>
      </c>
      <c r="B72" s="193"/>
      <c r="C72" s="193"/>
      <c r="D72" s="193"/>
      <c r="E72" s="193"/>
      <c r="F72" s="193"/>
    </row>
    <row r="73" spans="1:6" x14ac:dyDescent="0.3">
      <c r="A73" s="102" t="s">
        <v>156</v>
      </c>
      <c r="B73" s="103">
        <f>+B75+B82+E86</f>
        <v>38553267.542270944</v>
      </c>
    </row>
    <row r="74" spans="1:6" x14ac:dyDescent="0.3">
      <c r="A74" s="45"/>
    </row>
    <row r="75" spans="1:6" x14ac:dyDescent="0.3">
      <c r="A75" t="s">
        <v>160</v>
      </c>
      <c r="B75" s="3">
        <f>+Amort!B61</f>
        <v>28225409.107624277</v>
      </c>
      <c r="E75" s="194"/>
      <c r="F75" s="195"/>
    </row>
    <row r="76" spans="1:6" x14ac:dyDescent="0.3">
      <c r="B76" s="3"/>
      <c r="E76" s="123"/>
      <c r="F76" s="124"/>
    </row>
    <row r="77" spans="1:6" x14ac:dyDescent="0.3">
      <c r="A77" t="s">
        <v>166</v>
      </c>
      <c r="B77" s="7"/>
      <c r="E77" s="43"/>
      <c r="F77" s="44"/>
    </row>
    <row r="78" spans="1:6" x14ac:dyDescent="0.3">
      <c r="A78" t="s">
        <v>161</v>
      </c>
      <c r="B78" s="1">
        <f>+D9</f>
        <v>36917</v>
      </c>
      <c r="E78" s="43"/>
      <c r="F78" s="44"/>
    </row>
    <row r="79" spans="1:6" x14ac:dyDescent="0.3">
      <c r="A79" t="s">
        <v>162</v>
      </c>
      <c r="B79" s="3">
        <f>+B9</f>
        <v>6481031</v>
      </c>
      <c r="E79" s="43"/>
      <c r="F79" s="44"/>
    </row>
    <row r="80" spans="1:6" x14ac:dyDescent="0.3">
      <c r="A80" t="s">
        <v>1</v>
      </c>
      <c r="B80" s="1">
        <f>IF(Summary!C5&gt;Amort!A43,Amort!A43,Summary!C5)</f>
        <v>36962</v>
      </c>
    </row>
    <row r="81" spans="1:6" x14ac:dyDescent="0.3">
      <c r="A81" t="s">
        <v>75</v>
      </c>
      <c r="B81" s="3">
        <f>+B80-B78</f>
        <v>45</v>
      </c>
    </row>
    <row r="82" spans="1:6" x14ac:dyDescent="0.3">
      <c r="A82" t="s">
        <v>165</v>
      </c>
      <c r="B82" s="46">
        <f>+B79*0.07/360*B81</f>
        <v>56709.021250000005</v>
      </c>
    </row>
    <row r="84" spans="1:6" x14ac:dyDescent="0.3">
      <c r="A84" t="s">
        <v>161</v>
      </c>
      <c r="B84" s="1">
        <f>+[1]Table!$I$2</f>
        <v>36976</v>
      </c>
      <c r="D84" t="s">
        <v>1</v>
      </c>
      <c r="E84" s="1">
        <f>IF(Summary!$C$5&gt;Amort!$A$44,Amort!$A$44,Summary!$C$5)</f>
        <v>37134</v>
      </c>
    </row>
    <row r="85" spans="1:6" x14ac:dyDescent="0.3">
      <c r="A85" t="s">
        <v>162</v>
      </c>
      <c r="B85" s="3">
        <f>IF([1]Table!$C$5=1,[1]Table!$H$5,0)+Shares!D39+'Jedi Shares'!B9</f>
        <v>334323127.38</v>
      </c>
      <c r="D85" t="s">
        <v>75</v>
      </c>
      <c r="E85" s="3">
        <f>IF(E84&gt;B84,+E84-B84,0)</f>
        <v>158</v>
      </c>
    </row>
    <row r="86" spans="1:6" x14ac:dyDescent="0.3">
      <c r="A86" t="s">
        <v>221</v>
      </c>
      <c r="B86" s="1">
        <f>+B84</f>
        <v>36976</v>
      </c>
      <c r="D86" t="s">
        <v>165</v>
      </c>
      <c r="E86" s="46">
        <f>+B85*0.07/360*E85</f>
        <v>10271149.413396668</v>
      </c>
    </row>
    <row r="89" spans="1:6" ht="16.2" thickBot="1" x14ac:dyDescent="0.35">
      <c r="A89" s="193" t="s">
        <v>168</v>
      </c>
      <c r="B89" s="193"/>
      <c r="C89" s="193"/>
      <c r="D89" s="193"/>
      <c r="E89" s="193"/>
      <c r="F89" s="193"/>
    </row>
    <row r="91" spans="1:6" x14ac:dyDescent="0.3">
      <c r="A91" t="s">
        <v>115</v>
      </c>
      <c r="B91" s="1">
        <f>+Summary!C5</f>
        <v>37134</v>
      </c>
    </row>
    <row r="92" spans="1:6" x14ac:dyDescent="0.3">
      <c r="A92" t="s">
        <v>169</v>
      </c>
      <c r="B92" s="1">
        <v>36769</v>
      </c>
      <c r="D92" s="4">
        <f>IF(B91&gt;(B92-1),30000000,0)</f>
        <v>30000000</v>
      </c>
    </row>
    <row r="93" spans="1:6" x14ac:dyDescent="0.3">
      <c r="A93" t="s">
        <v>170</v>
      </c>
      <c r="B93" s="1"/>
      <c r="D93" s="4">
        <f>IF(B91&gt;(B93-1),0,0)</f>
        <v>0</v>
      </c>
    </row>
    <row r="94" spans="1:6" ht="17.399999999999999" x14ac:dyDescent="0.45">
      <c r="A94" t="s">
        <v>171</v>
      </c>
      <c r="B94" s="1">
        <f>+Summary!C5</f>
        <v>37134</v>
      </c>
      <c r="D94" s="125">
        <f>IF(B94&gt;B93,+(+B94-B93)/365*0.12*D93,0)</f>
        <v>0</v>
      </c>
    </row>
    <row r="95" spans="1:6" x14ac:dyDescent="0.3">
      <c r="A95" t="s">
        <v>172</v>
      </c>
      <c r="D95" s="5">
        <f>SUM(D92:D94)</f>
        <v>30000000</v>
      </c>
    </row>
  </sheetData>
  <mergeCells count="6">
    <mergeCell ref="A89:F89"/>
    <mergeCell ref="A1:B1"/>
    <mergeCell ref="A39:F39"/>
    <mergeCell ref="A72:F72"/>
    <mergeCell ref="E75:F75"/>
    <mergeCell ref="A18:B18"/>
  </mergeCells>
  <phoneticPr fontId="0" type="noConversion"/>
  <printOptions horizontalCentered="1"/>
  <pageMargins left="0.75" right="0.75" top="1" bottom="1" header="0.5" footer="0.5"/>
  <pageSetup scale="80" orientation="portrait" r:id="rId1"/>
  <headerFooter alignWithMargins="0"/>
  <rowBreaks count="2" manualBreakCount="2">
    <brk id="17" max="16383" man="1"/>
    <brk id="3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3" sqref="B3"/>
    </sheetView>
  </sheetViews>
  <sheetFormatPr defaultColWidth="9" defaultRowHeight="15.6" x14ac:dyDescent="0.3"/>
  <cols>
    <col min="1" max="1" width="16.5" style="3" customWidth="1"/>
    <col min="2" max="2" width="16" style="3" customWidth="1"/>
    <col min="3" max="16384" width="9" style="3"/>
  </cols>
  <sheetData>
    <row r="1" spans="1:4" x14ac:dyDescent="0.3">
      <c r="A1" s="3" t="s">
        <v>232</v>
      </c>
      <c r="B1" s="169">
        <v>36976</v>
      </c>
    </row>
    <row r="3" spans="1:4" x14ac:dyDescent="0.3">
      <c r="A3" s="3" t="s">
        <v>233</v>
      </c>
      <c r="B3" s="157">
        <f>IF(Summary!C5&lt;'Jedi Shares'!B1,0,4080607)</f>
        <v>4080607</v>
      </c>
    </row>
    <row r="4" spans="1:4" x14ac:dyDescent="0.3">
      <c r="A4" s="3" t="s">
        <v>234</v>
      </c>
      <c r="B4" s="156">
        <v>61.48</v>
      </c>
    </row>
    <row r="6" spans="1:4" x14ac:dyDescent="0.3">
      <c r="A6" s="3" t="s">
        <v>235</v>
      </c>
      <c r="B6" s="3">
        <f>+B3*B4</f>
        <v>250875718.35999998</v>
      </c>
    </row>
    <row r="7" spans="1:4" x14ac:dyDescent="0.3">
      <c r="A7" s="3" t="s">
        <v>236</v>
      </c>
      <c r="B7" s="149">
        <f>ROUND(B3*D7-B6,2)</f>
        <v>-57699782.979999997</v>
      </c>
      <c r="C7" s="158">
        <v>0.23</v>
      </c>
      <c r="D7" s="118">
        <f>ROUND(B4*(1-C7),2)</f>
        <v>47.34</v>
      </c>
    </row>
    <row r="9" spans="1:4" ht="16.2" thickBot="1" x14ac:dyDescent="0.35">
      <c r="A9" s="3" t="s">
        <v>7</v>
      </c>
      <c r="B9" s="168">
        <f>+B6+B7</f>
        <v>193175935.38</v>
      </c>
    </row>
    <row r="10" spans="1:4" ht="16.2" thickTop="1" x14ac:dyDescent="0.3"/>
    <row r="11" spans="1:4" ht="16.2" thickBot="1" x14ac:dyDescent="0.35">
      <c r="A11" s="3" t="s">
        <v>237</v>
      </c>
      <c r="B11" s="159">
        <v>522376483.44370902</v>
      </c>
    </row>
    <row r="12" spans="1:4" ht="16.2" thickTop="1" x14ac:dyDescent="0.3"/>
    <row r="14" spans="1:4" x14ac:dyDescent="0.3">
      <c r="A14" s="3" t="s">
        <v>1</v>
      </c>
      <c r="B14" s="160">
        <v>36976</v>
      </c>
    </row>
    <row r="15" spans="1:4" x14ac:dyDescent="0.3">
      <c r="A15" s="3" t="s">
        <v>202</v>
      </c>
    </row>
    <row r="17" spans="1:3" x14ac:dyDescent="0.3">
      <c r="A17" s="3" t="s">
        <v>36</v>
      </c>
      <c r="B17" s="3">
        <f>+B9+B43</f>
        <v>199524518.7440947</v>
      </c>
    </row>
    <row r="18" spans="1:3" x14ac:dyDescent="0.3">
      <c r="A18" s="3" t="s">
        <v>238</v>
      </c>
      <c r="B18" s="3">
        <f>-B9</f>
        <v>-193175935.38</v>
      </c>
    </row>
    <row r="19" spans="1:3" x14ac:dyDescent="0.3">
      <c r="A19" s="3" t="s">
        <v>239</v>
      </c>
      <c r="B19" s="149">
        <f>-B43</f>
        <v>-6348583.3640947072</v>
      </c>
    </row>
    <row r="20" spans="1:3" x14ac:dyDescent="0.3">
      <c r="B20" s="3">
        <f>SUM(B17:B19)</f>
        <v>0</v>
      </c>
      <c r="C20" s="3" t="s">
        <v>240</v>
      </c>
    </row>
    <row r="23" spans="1:3" x14ac:dyDescent="0.3">
      <c r="A23" s="3" t="s">
        <v>241</v>
      </c>
    </row>
    <row r="24" spans="1:3" x14ac:dyDescent="0.3">
      <c r="A24" s="3" t="s">
        <v>201</v>
      </c>
      <c r="B24" s="3">
        <f>+B43</f>
        <v>6348583.3640947072</v>
      </c>
    </row>
    <row r="27" spans="1:3" x14ac:dyDescent="0.3">
      <c r="A27" s="3" t="s">
        <v>2</v>
      </c>
    </row>
    <row r="28" spans="1:3" x14ac:dyDescent="0.3">
      <c r="A28" s="3" t="s">
        <v>36</v>
      </c>
      <c r="B28" s="3">
        <f>+B6</f>
        <v>250875718.35999998</v>
      </c>
      <c r="C28" s="2">
        <f>+B4</f>
        <v>61.48</v>
      </c>
    </row>
    <row r="29" spans="1:3" x14ac:dyDescent="0.3">
      <c r="A29" s="3" t="s">
        <v>242</v>
      </c>
      <c r="B29" s="149">
        <f>(+C29-C28)*B3</f>
        <v>-108095279.42999998</v>
      </c>
      <c r="C29" s="2">
        <f>+Financials!I5</f>
        <v>34.99</v>
      </c>
    </row>
    <row r="30" spans="1:3" x14ac:dyDescent="0.3">
      <c r="A30" s="3" t="s">
        <v>7</v>
      </c>
      <c r="B30" s="3">
        <f>+B28+B29</f>
        <v>142780438.93000001</v>
      </c>
      <c r="C30" s="2">
        <f>+B30/B3</f>
        <v>34.99</v>
      </c>
    </row>
    <row r="31" spans="1:3" x14ac:dyDescent="0.3">
      <c r="A31" s="3" t="s">
        <v>243</v>
      </c>
      <c r="B31" s="149">
        <f>+B18</f>
        <v>-193175935.38</v>
      </c>
      <c r="C31" s="2"/>
    </row>
    <row r="32" spans="1:3" x14ac:dyDescent="0.3">
      <c r="A32" s="3" t="s">
        <v>244</v>
      </c>
      <c r="B32" s="3">
        <f>+B30+B31</f>
        <v>-50395496.449999988</v>
      </c>
      <c r="C32" s="2"/>
    </row>
    <row r="33" spans="1:3" x14ac:dyDescent="0.3">
      <c r="C33" s="2"/>
    </row>
    <row r="36" spans="1:3" x14ac:dyDescent="0.3">
      <c r="A36" s="3" t="s">
        <v>245</v>
      </c>
      <c r="B36" s="3">
        <f>-B7</f>
        <v>57699782.979999997</v>
      </c>
    </row>
    <row r="37" spans="1:3" x14ac:dyDescent="0.3">
      <c r="A37" s="3" t="s">
        <v>246</v>
      </c>
      <c r="B37" s="160">
        <v>38412</v>
      </c>
    </row>
    <row r="38" spans="1:3" x14ac:dyDescent="0.3">
      <c r="A38" s="3" t="s">
        <v>247</v>
      </c>
      <c r="B38" s="3">
        <f>+B37-B14</f>
        <v>1436</v>
      </c>
    </row>
    <row r="40" spans="1:3" x14ac:dyDescent="0.3">
      <c r="A40" s="3" t="s">
        <v>248</v>
      </c>
      <c r="B40" s="161">
        <f>+Summary!C5</f>
        <v>37134</v>
      </c>
    </row>
    <row r="41" spans="1:3" x14ac:dyDescent="0.3">
      <c r="A41" s="3" t="s">
        <v>249</v>
      </c>
      <c r="B41" s="3">
        <f>IF(C41&gt;B38,B38,C41)</f>
        <v>158</v>
      </c>
      <c r="C41" s="3">
        <f>+B40-B14</f>
        <v>158</v>
      </c>
    </row>
    <row r="43" spans="1:3" x14ac:dyDescent="0.3">
      <c r="A43" s="3" t="s">
        <v>250</v>
      </c>
      <c r="B43" s="3">
        <f>+B36/B38*B41</f>
        <v>6348583.3640947072</v>
      </c>
    </row>
    <row r="44" spans="1:3" x14ac:dyDescent="0.3">
      <c r="B44" s="3">
        <f>IF(Summary!$C$5&lt;B42,+B42,IF(Summary!$C$5&gt;E42,+E42,Summary!$C$5))</f>
        <v>0</v>
      </c>
    </row>
    <row r="49" spans="2:2" x14ac:dyDescent="0.3">
      <c r="B49" s="3">
        <f>IF(Summary!$C$5&lt;B47,+B47,IF(Summary!$C$5&gt;E47,+E47,Summary!$C$5))</f>
        <v>0</v>
      </c>
    </row>
    <row r="54" spans="2:2" x14ac:dyDescent="0.3">
      <c r="B54" s="3">
        <f>IF(Summary!$C$5&lt;B52,+B52,IF(Summary!$C$5&gt;E52,+E52,Summary!$C$5))</f>
        <v>0</v>
      </c>
    </row>
    <row r="59" spans="2:2" x14ac:dyDescent="0.3">
      <c r="B59" s="3">
        <f>IF(Summary!$C$5&lt;B57,+B57,IF(Summary!$C$5&gt;E57,+E57,Summary!$C$5))</f>
        <v>0</v>
      </c>
    </row>
    <row r="64" spans="2:2" x14ac:dyDescent="0.3">
      <c r="B64" s="3">
        <f>IF(Summary!$C$5&lt;B62,+B62,IF(Summary!$C$5&gt;E62,+E62,Summary!$C$5))</f>
        <v>0</v>
      </c>
    </row>
    <row r="69" spans="2:2" x14ac:dyDescent="0.3">
      <c r="B69" s="3">
        <f>IF(Summary!$C$5&lt;B67,+B67,IF(Summary!$C$5&gt;E67,+E67,Summary!$C$5))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41" workbookViewId="0">
      <selection activeCell="B63" sqref="B63"/>
    </sheetView>
  </sheetViews>
  <sheetFormatPr defaultColWidth="9" defaultRowHeight="15.6" x14ac:dyDescent="0.3"/>
  <cols>
    <col min="1" max="1" width="17.09765625" style="7" customWidth="1"/>
    <col min="2" max="2" width="14" style="7" customWidth="1"/>
    <col min="3" max="3" width="11.5" style="7" bestFit="1" customWidth="1"/>
    <col min="4" max="4" width="12.5" style="7" customWidth="1"/>
    <col min="5" max="5" width="12.09765625" style="7" bestFit="1" customWidth="1"/>
    <col min="6" max="6" width="11.5" style="7" bestFit="1" customWidth="1"/>
    <col min="7" max="7" width="13.3984375" style="7" customWidth="1"/>
    <col min="8" max="8" width="11.5" style="7" bestFit="1" customWidth="1"/>
    <col min="9" max="16384" width="9" style="7"/>
  </cols>
  <sheetData>
    <row r="1" spans="1:9" x14ac:dyDescent="0.3">
      <c r="A1" s="6" t="s">
        <v>153</v>
      </c>
      <c r="B1" s="6"/>
      <c r="G1" s="8"/>
      <c r="H1" s="8"/>
    </row>
    <row r="2" spans="1:9" x14ac:dyDescent="0.3">
      <c r="B2" s="104" t="s">
        <v>144</v>
      </c>
    </row>
    <row r="3" spans="1:9" x14ac:dyDescent="0.3">
      <c r="A3" s="7" t="s">
        <v>18</v>
      </c>
      <c r="B3" s="105">
        <v>50000000</v>
      </c>
    </row>
    <row r="4" spans="1:9" x14ac:dyDescent="0.3">
      <c r="A4" s="7" t="s">
        <v>19</v>
      </c>
      <c r="B4" s="106">
        <v>7.0000000000000007E-2</v>
      </c>
    </row>
    <row r="5" spans="1:9" x14ac:dyDescent="0.3">
      <c r="A5" s="7" t="s">
        <v>20</v>
      </c>
      <c r="B5" s="107">
        <f>5*12</f>
        <v>60</v>
      </c>
    </row>
    <row r="6" spans="1:9" x14ac:dyDescent="0.3">
      <c r="A6" s="7" t="s">
        <v>21</v>
      </c>
      <c r="B6" s="108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83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157</v>
      </c>
    </row>
    <row r="10" spans="1:9" x14ac:dyDescent="0.3">
      <c r="A10" s="1">
        <f>+A42</f>
        <v>36780</v>
      </c>
      <c r="B10" s="98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36780</v>
      </c>
    </row>
    <row r="11" spans="1:9" x14ac:dyDescent="0.3">
      <c r="A11" s="1">
        <f t="shared" ref="A11:A20" si="3">+A43</f>
        <v>36962</v>
      </c>
      <c r="B11" s="98">
        <f t="shared" ref="B11:B20" si="4">+B10+1</f>
        <v>1</v>
      </c>
      <c r="C11" s="7">
        <f t="shared" ref="C11:C20" si="5">G10</f>
        <v>50000000</v>
      </c>
      <c r="D11" s="7">
        <f>+F11</f>
        <v>1769444.4444444445</v>
      </c>
      <c r="E11" s="7">
        <f t="shared" si="0"/>
        <v>0</v>
      </c>
      <c r="F11" s="7">
        <f>C11*$B$4/360*(A11-A10)</f>
        <v>1769444.4444444445</v>
      </c>
      <c r="G11" s="7">
        <f t="shared" si="1"/>
        <v>50000000</v>
      </c>
      <c r="H11" s="7">
        <f t="shared" ref="H11:H20" si="6">+H10+F11</f>
        <v>1769444.4444444445</v>
      </c>
      <c r="I11" s="1">
        <f t="shared" si="2"/>
        <v>36962</v>
      </c>
    </row>
    <row r="12" spans="1:9" x14ac:dyDescent="0.3">
      <c r="A12" s="1">
        <f t="shared" si="3"/>
        <v>37146</v>
      </c>
      <c r="B12" s="98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3558333.3333333335</v>
      </c>
      <c r="I12" s="1">
        <f t="shared" si="2"/>
        <v>37146</v>
      </c>
    </row>
    <row r="13" spans="1:9" x14ac:dyDescent="0.3">
      <c r="A13" s="1">
        <f t="shared" si="3"/>
        <v>37326</v>
      </c>
      <c r="B13" s="98">
        <f t="shared" si="4"/>
        <v>3</v>
      </c>
      <c r="C13" s="7">
        <f t="shared" si="5"/>
        <v>50000000</v>
      </c>
      <c r="D13" s="7">
        <f t="shared" si="7"/>
        <v>1750000</v>
      </c>
      <c r="E13" s="7">
        <f t="shared" si="0"/>
        <v>0</v>
      </c>
      <c r="F13" s="7">
        <f t="shared" si="8"/>
        <v>1750000</v>
      </c>
      <c r="G13" s="7">
        <f t="shared" si="1"/>
        <v>50000000</v>
      </c>
      <c r="H13" s="7">
        <f t="shared" si="6"/>
        <v>5308333.333333334</v>
      </c>
      <c r="I13" s="1">
        <f t="shared" si="2"/>
        <v>37326</v>
      </c>
    </row>
    <row r="14" spans="1:9" x14ac:dyDescent="0.3">
      <c r="A14" s="1">
        <f t="shared" si="3"/>
        <v>37510</v>
      </c>
      <c r="B14" s="98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7097222.2222222229</v>
      </c>
      <c r="I14" s="1">
        <f t="shared" si="2"/>
        <v>37510</v>
      </c>
    </row>
    <row r="15" spans="1:9" x14ac:dyDescent="0.3">
      <c r="A15" s="1">
        <f t="shared" si="3"/>
        <v>37691</v>
      </c>
      <c r="B15" s="98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8856944.4444444459</v>
      </c>
      <c r="I15" s="1">
        <f t="shared" si="2"/>
        <v>37691</v>
      </c>
    </row>
    <row r="16" spans="1:9" x14ac:dyDescent="0.3">
      <c r="A16" s="1">
        <f t="shared" si="3"/>
        <v>37875</v>
      </c>
      <c r="B16" s="98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10645833.333333336</v>
      </c>
      <c r="I16" s="1">
        <f t="shared" si="2"/>
        <v>37875</v>
      </c>
    </row>
    <row r="17" spans="1:9" x14ac:dyDescent="0.3">
      <c r="A17" s="1">
        <f t="shared" si="3"/>
        <v>38057</v>
      </c>
      <c r="B17" s="98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12415277.77777778</v>
      </c>
      <c r="I17" s="1">
        <f t="shared" si="2"/>
        <v>38057</v>
      </c>
    </row>
    <row r="18" spans="1:9" x14ac:dyDescent="0.3">
      <c r="A18" s="1">
        <f t="shared" si="3"/>
        <v>38241</v>
      </c>
      <c r="B18" s="98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14204166.666666668</v>
      </c>
      <c r="I18" s="1">
        <f t="shared" si="2"/>
        <v>38241</v>
      </c>
    </row>
    <row r="19" spans="1:9" x14ac:dyDescent="0.3">
      <c r="A19" s="1">
        <f t="shared" si="3"/>
        <v>38422</v>
      </c>
      <c r="B19" s="98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15963888.88888889</v>
      </c>
      <c r="I19" s="1">
        <f t="shared" si="2"/>
        <v>38422</v>
      </c>
    </row>
    <row r="20" spans="1:9" x14ac:dyDescent="0.3">
      <c r="A20" s="1">
        <f t="shared" si="3"/>
        <v>38606</v>
      </c>
      <c r="B20" s="98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17752777.77777778</v>
      </c>
      <c r="I20" s="1">
        <f t="shared" si="2"/>
        <v>38606</v>
      </c>
    </row>
    <row r="21" spans="1:9" ht="16.2" thickBot="1" x14ac:dyDescent="0.35">
      <c r="A21" s="1"/>
      <c r="B21" s="1"/>
      <c r="D21" s="12">
        <f>SUM(D11:D20)</f>
        <v>17752777.77777778</v>
      </c>
      <c r="E21" s="12">
        <f>SUM(E11:E20)</f>
        <v>0</v>
      </c>
      <c r="F21" s="12">
        <f>SUM(F11:F20)</f>
        <v>17752777.77777778</v>
      </c>
    </row>
    <row r="22" spans="1:9" s="95" customFormat="1" ht="16.2" thickTop="1" x14ac:dyDescent="0.3">
      <c r="A22" s="109"/>
      <c r="B22" s="109"/>
    </row>
    <row r="23" spans="1:9" s="95" customFormat="1" x14ac:dyDescent="0.3">
      <c r="A23" s="196">
        <f>+Summary!C5</f>
        <v>37134</v>
      </c>
      <c r="B23" s="196"/>
      <c r="E23" s="95" t="s">
        <v>83</v>
      </c>
      <c r="F23" s="95">
        <f>VLOOKUP(+A23,Amort,2)</f>
        <v>1</v>
      </c>
    </row>
    <row r="24" spans="1:9" s="95" customFormat="1" x14ac:dyDescent="0.3">
      <c r="A24" s="95" t="s">
        <v>80</v>
      </c>
      <c r="B24" s="95">
        <v>0</v>
      </c>
      <c r="E24" s="95" t="s">
        <v>1</v>
      </c>
      <c r="F24" s="109">
        <f>VLOOKUP(+A23,Amort,1)</f>
        <v>36962</v>
      </c>
    </row>
    <row r="25" spans="1:9" s="95" customFormat="1" x14ac:dyDescent="0.3">
      <c r="A25" s="95" t="s">
        <v>81</v>
      </c>
      <c r="B25" s="119">
        <f>VLOOKUP(+A23,Note,8)</f>
        <v>1769444.4444444445</v>
      </c>
      <c r="E25" s="95" t="s">
        <v>84</v>
      </c>
      <c r="F25" s="95">
        <f>VLOOKUP(+F23+1,NotePeriod,5)</f>
        <v>1788888.888888889</v>
      </c>
    </row>
    <row r="26" spans="1:9" s="95" customFormat="1" x14ac:dyDescent="0.3">
      <c r="A26" s="109" t="s">
        <v>82</v>
      </c>
      <c r="B26" s="95">
        <f>+B24+B25</f>
        <v>1769444.4444444445</v>
      </c>
      <c r="E26" s="95" t="s">
        <v>85</v>
      </c>
      <c r="F26" s="109">
        <f>VLOOKUP(+F23+1,NotePeriod,8)</f>
        <v>37146</v>
      </c>
    </row>
    <row r="27" spans="1:9" s="95" customFormat="1" x14ac:dyDescent="0.3">
      <c r="A27" s="109" t="s">
        <v>86</v>
      </c>
      <c r="B27" s="95">
        <f>A23-F24</f>
        <v>172</v>
      </c>
      <c r="E27" s="109"/>
    </row>
    <row r="28" spans="1:9" s="95" customFormat="1" x14ac:dyDescent="0.3">
      <c r="A28" s="109" t="s">
        <v>26</v>
      </c>
      <c r="B28" s="95">
        <f>F25*B27/(F26-F24)</f>
        <v>1672222.2222222222</v>
      </c>
    </row>
    <row r="29" spans="1:9" s="95" customFormat="1" x14ac:dyDescent="0.3">
      <c r="A29" s="109" t="s">
        <v>27</v>
      </c>
      <c r="B29" s="95">
        <f>+B25+B28</f>
        <v>3441666.666666667</v>
      </c>
    </row>
    <row r="30" spans="1:9" s="95" customFormat="1" x14ac:dyDescent="0.3"/>
    <row r="31" spans="1:9" s="95" customFormat="1" x14ac:dyDescent="0.3"/>
    <row r="32" spans="1:9" s="95" customFormat="1" x14ac:dyDescent="0.3"/>
    <row r="33" spans="1:9" s="95" customFormat="1" x14ac:dyDescent="0.3"/>
    <row r="34" spans="1:9" s="95" customFormat="1" x14ac:dyDescent="0.3"/>
    <row r="35" spans="1:9" s="95" customFormat="1" x14ac:dyDescent="0.3">
      <c r="A35" s="6" t="s">
        <v>154</v>
      </c>
      <c r="B35" s="6"/>
      <c r="C35" s="7"/>
      <c r="D35" s="7"/>
      <c r="E35" s="7"/>
      <c r="F35" s="7"/>
      <c r="G35" s="8"/>
      <c r="H35" s="94"/>
    </row>
    <row r="36" spans="1:9" s="95" customFormat="1" x14ac:dyDescent="0.3">
      <c r="A36" s="7"/>
      <c r="B36" s="104" t="s">
        <v>144</v>
      </c>
      <c r="C36" s="7"/>
      <c r="D36" s="7"/>
      <c r="E36" s="7"/>
      <c r="F36" s="7"/>
      <c r="G36" s="7"/>
      <c r="H36" s="94"/>
    </row>
    <row r="37" spans="1:9" s="95" customFormat="1" x14ac:dyDescent="0.3">
      <c r="A37" s="7" t="s">
        <v>18</v>
      </c>
      <c r="B37" s="105">
        <v>400000000</v>
      </c>
      <c r="C37" s="7"/>
      <c r="D37" s="7"/>
      <c r="E37" s="7"/>
      <c r="F37" s="7"/>
      <c r="G37" s="7"/>
      <c r="H37" s="94"/>
    </row>
    <row r="38" spans="1:9" s="95" customFormat="1" x14ac:dyDescent="0.3">
      <c r="A38" s="7" t="s">
        <v>19</v>
      </c>
      <c r="B38" s="106">
        <v>7.0000000000000007E-2</v>
      </c>
      <c r="C38" s="7"/>
      <c r="D38" s="7"/>
      <c r="E38" s="7"/>
      <c r="F38" s="7"/>
      <c r="G38" s="7"/>
      <c r="H38" s="94"/>
    </row>
    <row r="39" spans="1:9" s="95" customFormat="1" x14ac:dyDescent="0.3">
      <c r="A39" s="7" t="s">
        <v>21</v>
      </c>
      <c r="B39" s="108">
        <v>2</v>
      </c>
      <c r="C39" s="7"/>
      <c r="D39" s="7"/>
      <c r="E39" s="7"/>
      <c r="F39" s="7"/>
      <c r="G39" s="7"/>
      <c r="H39" s="94"/>
    </row>
    <row r="40" spans="1:9" s="95" customFormat="1" x14ac:dyDescent="0.3">
      <c r="A40" s="7"/>
      <c r="B40" s="7"/>
      <c r="C40" s="7"/>
      <c r="D40" s="7"/>
      <c r="E40" s="7"/>
      <c r="F40" s="7"/>
      <c r="G40" s="7"/>
      <c r="H40" s="94"/>
    </row>
    <row r="41" spans="1:9" s="95" customFormat="1" ht="27" x14ac:dyDescent="0.3">
      <c r="A41" s="9"/>
      <c r="B41" s="11" t="s">
        <v>83</v>
      </c>
      <c r="C41" s="10" t="s">
        <v>23</v>
      </c>
      <c r="D41" s="10" t="s">
        <v>164</v>
      </c>
      <c r="E41" s="10" t="s">
        <v>18</v>
      </c>
      <c r="F41" s="10" t="s">
        <v>24</v>
      </c>
      <c r="G41" s="10" t="s">
        <v>25</v>
      </c>
      <c r="H41" s="10" t="s">
        <v>157</v>
      </c>
    </row>
    <row r="42" spans="1:9" s="95" customFormat="1" x14ac:dyDescent="0.3">
      <c r="A42" s="1">
        <v>36780</v>
      </c>
      <c r="B42" s="98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36780</v>
      </c>
    </row>
    <row r="43" spans="1:9" s="95" customFormat="1" x14ac:dyDescent="0.3">
      <c r="A43" s="1">
        <f>+A42+181+1</f>
        <v>36962</v>
      </c>
      <c r="B43" s="98">
        <f t="shared" ref="B43:B52" si="10">+B42+1</f>
        <v>1</v>
      </c>
      <c r="C43" s="7">
        <f t="shared" ref="C43:C52" si="11">G42</f>
        <v>400000000</v>
      </c>
      <c r="D43" s="7">
        <f>+E66</f>
        <v>6537740.0212500002</v>
      </c>
      <c r="E43" s="7">
        <v>0</v>
      </c>
      <c r="F43" s="7">
        <f>C43*$B$38/360*(A43-A42)</f>
        <v>14155555.555555556</v>
      </c>
      <c r="G43" s="7">
        <f>+C43+D43+E43+F43</f>
        <v>420693295.57680559</v>
      </c>
      <c r="H43" s="7">
        <f t="shared" ref="H43:H52" si="12">+H42+F43</f>
        <v>14155555.555555556</v>
      </c>
      <c r="I43" s="1">
        <f t="shared" si="9"/>
        <v>36962</v>
      </c>
    </row>
    <row r="44" spans="1:9" s="95" customFormat="1" x14ac:dyDescent="0.3">
      <c r="A44" s="1">
        <f>+A43+184</f>
        <v>37146</v>
      </c>
      <c r="B44" s="98">
        <f t="shared" si="10"/>
        <v>2</v>
      </c>
      <c r="C44" s="7">
        <f t="shared" si="11"/>
        <v>420693295.57680559</v>
      </c>
      <c r="D44" s="7">
        <f>+E70</f>
        <v>344594276.79339665</v>
      </c>
      <c r="E44" s="7">
        <v>0</v>
      </c>
      <c r="F44" s="7">
        <f t="shared" ref="F44:F52" si="13">C44*$B$38/360*(A44-A43)</f>
        <v>15051471.241747933</v>
      </c>
      <c r="G44" s="7">
        <f t="shared" ref="G44:G52" si="14">+C44+D44+E44+F44</f>
        <v>780339043.61195028</v>
      </c>
      <c r="H44" s="7">
        <f t="shared" si="12"/>
        <v>29207026.79730349</v>
      </c>
      <c r="I44" s="1">
        <f t="shared" si="9"/>
        <v>37146</v>
      </c>
    </row>
    <row r="45" spans="1:9" s="95" customFormat="1" x14ac:dyDescent="0.3">
      <c r="A45" s="1">
        <f>+A44+181-1</f>
        <v>37326</v>
      </c>
      <c r="B45" s="98">
        <f t="shared" si="10"/>
        <v>3</v>
      </c>
      <c r="C45" s="7">
        <f t="shared" si="11"/>
        <v>780339043.61195028</v>
      </c>
      <c r="D45" s="7">
        <v>0</v>
      </c>
      <c r="E45" s="7">
        <v>0</v>
      </c>
      <c r="F45" s="7">
        <f t="shared" si="13"/>
        <v>27311866.526418261</v>
      </c>
      <c r="G45" s="7">
        <f t="shared" si="14"/>
        <v>807650910.13836849</v>
      </c>
      <c r="H45" s="7">
        <f t="shared" si="12"/>
        <v>56518893.323721752</v>
      </c>
      <c r="I45" s="1">
        <f t="shared" si="9"/>
        <v>37326</v>
      </c>
    </row>
    <row r="46" spans="1:9" s="95" customFormat="1" x14ac:dyDescent="0.3">
      <c r="A46" s="1">
        <f>+A45+184</f>
        <v>37510</v>
      </c>
      <c r="B46" s="98">
        <f t="shared" si="10"/>
        <v>4</v>
      </c>
      <c r="C46" s="7">
        <f t="shared" si="11"/>
        <v>807650910.13836849</v>
      </c>
      <c r="D46" s="7">
        <v>0</v>
      </c>
      <c r="E46" s="7">
        <v>0</v>
      </c>
      <c r="F46" s="7">
        <f t="shared" si="13"/>
        <v>28895954.784950525</v>
      </c>
      <c r="G46" s="7">
        <f t="shared" si="14"/>
        <v>836546864.92331898</v>
      </c>
      <c r="H46" s="7">
        <f t="shared" si="12"/>
        <v>85414848.108672276</v>
      </c>
      <c r="I46" s="1">
        <f t="shared" si="9"/>
        <v>37510</v>
      </c>
    </row>
    <row r="47" spans="1:9" s="95" customFormat="1" x14ac:dyDescent="0.3">
      <c r="A47" s="1">
        <f>+A46+181</f>
        <v>37691</v>
      </c>
      <c r="B47" s="98">
        <f t="shared" si="10"/>
        <v>5</v>
      </c>
      <c r="C47" s="7">
        <f t="shared" si="11"/>
        <v>836546864.92331898</v>
      </c>
      <c r="D47" s="7">
        <v>0</v>
      </c>
      <c r="E47" s="7">
        <v>0</v>
      </c>
      <c r="F47" s="7">
        <f t="shared" si="13"/>
        <v>29441802.162717927</v>
      </c>
      <c r="G47" s="7">
        <f t="shared" si="14"/>
        <v>865988667.08603692</v>
      </c>
      <c r="H47" s="7">
        <f t="shared" si="12"/>
        <v>114856650.2713902</v>
      </c>
      <c r="I47" s="1">
        <f t="shared" si="9"/>
        <v>37691</v>
      </c>
    </row>
    <row r="48" spans="1:9" s="95" customFormat="1" x14ac:dyDescent="0.3">
      <c r="A48" s="1">
        <f>+A47+184</f>
        <v>37875</v>
      </c>
      <c r="B48" s="98">
        <f t="shared" si="10"/>
        <v>6</v>
      </c>
      <c r="C48" s="7">
        <f t="shared" si="11"/>
        <v>865988667.08603692</v>
      </c>
      <c r="D48" s="7">
        <v>0</v>
      </c>
      <c r="E48" s="7">
        <v>0</v>
      </c>
      <c r="F48" s="7">
        <f t="shared" si="13"/>
        <v>30983150.089078214</v>
      </c>
      <c r="G48" s="7">
        <f t="shared" si="14"/>
        <v>896971817.17511511</v>
      </c>
      <c r="H48" s="7">
        <f t="shared" si="12"/>
        <v>145839800.36046842</v>
      </c>
      <c r="I48" s="1">
        <f t="shared" si="9"/>
        <v>37875</v>
      </c>
    </row>
    <row r="49" spans="1:9" s="95" customFormat="1" x14ac:dyDescent="0.3">
      <c r="A49" s="1">
        <f>+A48+182</f>
        <v>38057</v>
      </c>
      <c r="B49" s="98">
        <f t="shared" si="10"/>
        <v>7</v>
      </c>
      <c r="C49" s="7">
        <f t="shared" si="11"/>
        <v>896971817.17511511</v>
      </c>
      <c r="D49" s="7">
        <v>0</v>
      </c>
      <c r="E49" s="7">
        <v>0</v>
      </c>
      <c r="F49" s="7">
        <f t="shared" si="13"/>
        <v>31742835.974474911</v>
      </c>
      <c r="G49" s="7">
        <f t="shared" si="14"/>
        <v>928714653.14959002</v>
      </c>
      <c r="H49" s="7">
        <f t="shared" si="12"/>
        <v>177582636.33494332</v>
      </c>
      <c r="I49" s="1">
        <f t="shared" si="9"/>
        <v>38057</v>
      </c>
    </row>
    <row r="50" spans="1:9" s="95" customFormat="1" x14ac:dyDescent="0.3">
      <c r="A50" s="1">
        <f>+A49+184</f>
        <v>38241</v>
      </c>
      <c r="B50" s="98">
        <f t="shared" si="10"/>
        <v>8</v>
      </c>
      <c r="C50" s="7">
        <f t="shared" si="11"/>
        <v>928714653.14959002</v>
      </c>
      <c r="D50" s="7">
        <v>0</v>
      </c>
      <c r="E50" s="7">
        <v>0</v>
      </c>
      <c r="F50" s="7">
        <f t="shared" si="13"/>
        <v>33227346.479352001</v>
      </c>
      <c r="G50" s="7">
        <f t="shared" si="14"/>
        <v>961941999.62894201</v>
      </c>
      <c r="H50" s="7">
        <f t="shared" si="12"/>
        <v>210809982.81429532</v>
      </c>
      <c r="I50" s="1">
        <f t="shared" si="9"/>
        <v>38241</v>
      </c>
    </row>
    <row r="51" spans="1:9" s="95" customFormat="1" x14ac:dyDescent="0.3">
      <c r="A51" s="1">
        <f>+A50+181</f>
        <v>38422</v>
      </c>
      <c r="B51" s="98">
        <f t="shared" si="10"/>
        <v>9</v>
      </c>
      <c r="C51" s="7">
        <f t="shared" si="11"/>
        <v>961941999.62894201</v>
      </c>
      <c r="D51" s="7">
        <v>0</v>
      </c>
      <c r="E51" s="7">
        <v>0</v>
      </c>
      <c r="F51" s="7">
        <f t="shared" si="13"/>
        <v>33855014.2647186</v>
      </c>
      <c r="G51" s="7">
        <f t="shared" si="14"/>
        <v>995797013.89366066</v>
      </c>
      <c r="H51" s="7">
        <f t="shared" si="12"/>
        <v>244664997.07901391</v>
      </c>
      <c r="I51" s="1">
        <f t="shared" si="9"/>
        <v>38422</v>
      </c>
    </row>
    <row r="52" spans="1:9" s="95" customFormat="1" x14ac:dyDescent="0.3">
      <c r="A52" s="1">
        <f>+A51+184</f>
        <v>38606</v>
      </c>
      <c r="B52" s="98">
        <f t="shared" si="10"/>
        <v>10</v>
      </c>
      <c r="C52" s="7">
        <f t="shared" si="11"/>
        <v>995797013.89366066</v>
      </c>
      <c r="D52" s="7">
        <v>0</v>
      </c>
      <c r="E52" s="7">
        <v>0</v>
      </c>
      <c r="F52" s="7">
        <f t="shared" si="13"/>
        <v>35627404.274862081</v>
      </c>
      <c r="G52" s="7">
        <f t="shared" si="14"/>
        <v>1031424418.1685227</v>
      </c>
      <c r="H52" s="7">
        <f t="shared" si="12"/>
        <v>280292401.35387599</v>
      </c>
      <c r="I52" s="1">
        <f t="shared" si="9"/>
        <v>38606</v>
      </c>
    </row>
    <row r="53" spans="1:9" s="95" customFormat="1" ht="16.2" thickBot="1" x14ac:dyDescent="0.35">
      <c r="A53" s="1"/>
      <c r="B53" s="1"/>
      <c r="C53" s="7"/>
      <c r="D53" s="12">
        <f>SUM(D43:D52)</f>
        <v>351132016.81464666</v>
      </c>
      <c r="E53" s="12">
        <f>SUM(E43:E52)</f>
        <v>0</v>
      </c>
      <c r="F53" s="12">
        <f>SUM(F43:F52)</f>
        <v>280292401.35387599</v>
      </c>
      <c r="G53" s="7"/>
      <c r="H53" s="13"/>
    </row>
    <row r="54" spans="1:9" s="95" customFormat="1" ht="16.2" thickTop="1" x14ac:dyDescent="0.3">
      <c r="A54" s="109"/>
      <c r="B54" s="98"/>
    </row>
    <row r="55" spans="1:9" s="95" customFormat="1" x14ac:dyDescent="0.3">
      <c r="A55" s="196">
        <f>+Summary!C5</f>
        <v>37134</v>
      </c>
      <c r="B55" s="196"/>
      <c r="E55" s="95" t="s">
        <v>83</v>
      </c>
      <c r="F55" s="95">
        <f>VLOOKUP(+A55,Note,2)</f>
        <v>1</v>
      </c>
    </row>
    <row r="56" spans="1:9" x14ac:dyDescent="0.3">
      <c r="A56" s="95"/>
      <c r="B56" s="95"/>
      <c r="C56" s="95"/>
      <c r="D56" s="95"/>
      <c r="E56" s="95" t="s">
        <v>1</v>
      </c>
      <c r="F56" s="109">
        <f>VLOOKUP(+A55,Note,1)</f>
        <v>36962</v>
      </c>
      <c r="G56" s="95"/>
    </row>
    <row r="57" spans="1:9" x14ac:dyDescent="0.3">
      <c r="A57" s="95" t="s">
        <v>158</v>
      </c>
      <c r="B57" s="119">
        <f>VLOOKUP(+A55,Loan,8)</f>
        <v>14155555.555555556</v>
      </c>
      <c r="C57" s="95"/>
      <c r="D57" s="95"/>
      <c r="E57" s="95" t="s">
        <v>84</v>
      </c>
      <c r="F57" s="95">
        <f>VLOOKUP(+F55+1,LoanPeriod,5)</f>
        <v>15051471.241747933</v>
      </c>
      <c r="G57" s="95"/>
    </row>
    <row r="58" spans="1:9" x14ac:dyDescent="0.3">
      <c r="A58" s="109" t="s">
        <v>7</v>
      </c>
      <c r="B58" s="95">
        <f>+B56+B57</f>
        <v>14155555.555555556</v>
      </c>
      <c r="C58" s="95"/>
      <c r="D58" s="95"/>
      <c r="E58" s="95" t="s">
        <v>85</v>
      </c>
      <c r="F58" s="109">
        <f>VLOOKUP(+F55+1,NotePeriod,8)</f>
        <v>37146</v>
      </c>
      <c r="G58" s="95"/>
    </row>
    <row r="59" spans="1:9" x14ac:dyDescent="0.3">
      <c r="A59" s="109" t="s">
        <v>86</v>
      </c>
      <c r="B59" s="95">
        <f>A55-F56</f>
        <v>172</v>
      </c>
      <c r="C59" s="95"/>
      <c r="D59" s="95"/>
      <c r="E59" s="109"/>
      <c r="F59" s="95"/>
      <c r="G59" s="95"/>
    </row>
    <row r="60" spans="1:9" x14ac:dyDescent="0.3">
      <c r="A60" s="109" t="s">
        <v>155</v>
      </c>
      <c r="B60" s="95">
        <f>F57*B59/(F58-F56)</f>
        <v>14069853.552068722</v>
      </c>
      <c r="C60" s="95"/>
      <c r="D60" s="95"/>
      <c r="E60" s="95"/>
      <c r="F60" s="95"/>
      <c r="G60" s="95"/>
    </row>
    <row r="61" spans="1:9" x14ac:dyDescent="0.3">
      <c r="A61" s="109" t="s">
        <v>156</v>
      </c>
      <c r="B61" s="95">
        <f>+B57+B60</f>
        <v>28225409.107624277</v>
      </c>
      <c r="C61" s="95"/>
      <c r="D61" s="95"/>
      <c r="E61" s="95"/>
      <c r="F61" s="95"/>
      <c r="G61" s="95"/>
    </row>
    <row r="63" spans="1:9" x14ac:dyDescent="0.3">
      <c r="A63" s="7" t="s">
        <v>167</v>
      </c>
    </row>
    <row r="64" spans="1:9" x14ac:dyDescent="0.3">
      <c r="A64" s="1">
        <f>+'Cash-Int-Trans'!B78</f>
        <v>36917</v>
      </c>
      <c r="B64" s="98">
        <f>IF(Summary!$C$5&lt;B62,+B62,IF(Summary!$C$5&gt;E62,+E62,Summary!$C$5))</f>
        <v>0</v>
      </c>
      <c r="E64" s="7">
        <f>+'Cash-Int-Trans'!B79</f>
        <v>6481031</v>
      </c>
    </row>
    <row r="65" spans="1:5" x14ac:dyDescent="0.3">
      <c r="A65" s="1">
        <f>+A64</f>
        <v>36917</v>
      </c>
      <c r="B65" s="7" t="s">
        <v>213</v>
      </c>
      <c r="C65" s="1"/>
      <c r="D65" s="1">
        <f>+'Cash-Int-Trans'!B80</f>
        <v>36962</v>
      </c>
      <c r="E65" s="154">
        <f>+'Cash-Int-Trans'!B82</f>
        <v>56709.021250000005</v>
      </c>
    </row>
    <row r="66" spans="1:5" x14ac:dyDescent="0.3">
      <c r="E66" s="7">
        <f>SUM(E64:E65)</f>
        <v>6537740.0212500002</v>
      </c>
    </row>
    <row r="68" spans="1:5" x14ac:dyDescent="0.3">
      <c r="A68" s="1">
        <f>+'Cash-Int-Trans'!B84</f>
        <v>36976</v>
      </c>
      <c r="B68" s="7" t="s">
        <v>268</v>
      </c>
      <c r="E68" s="7">
        <f>+'Cash-Int-Trans'!B85</f>
        <v>334323127.38</v>
      </c>
    </row>
    <row r="69" spans="1:5" x14ac:dyDescent="0.3">
      <c r="A69" s="1"/>
      <c r="B69" s="98">
        <f>IF(Summary!$C$5&lt;B67,+B67,IF(Summary!$C$5&gt;E67,+E67,Summary!$C$5))</f>
        <v>0</v>
      </c>
      <c r="C69" s="1"/>
      <c r="D69" s="1">
        <f>+'Cash-Int-Trans'!E84</f>
        <v>37134</v>
      </c>
      <c r="E69" s="154">
        <f>+'Cash-Int-Trans'!E86</f>
        <v>10271149.413396668</v>
      </c>
    </row>
    <row r="70" spans="1:5" x14ac:dyDescent="0.3">
      <c r="E70" s="7">
        <f>SUM(E68:E69)</f>
        <v>344594276.79339665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Summary</vt:lpstr>
      <vt:lpstr>Daily Position</vt:lpstr>
      <vt:lpstr>Stock Prices</vt:lpstr>
      <vt:lpstr>Private Values</vt:lpstr>
      <vt:lpstr>Financials</vt:lpstr>
      <vt:lpstr>Financials QTR</vt:lpstr>
      <vt:lpstr>Cash-Int-Trans</vt:lpstr>
      <vt:lpstr>Jedi Shares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2001-07-05T21:57:04Z</cp:lastPrinted>
  <dcterms:created xsi:type="dcterms:W3CDTF">2000-08-10T21:11:42Z</dcterms:created>
  <dcterms:modified xsi:type="dcterms:W3CDTF">2023-09-10T15:20:01Z</dcterms:modified>
</cp:coreProperties>
</file>