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7620" activeTab="2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Comp'!$A$1:$BT$79</definedName>
    <definedName name="_xlnm.Print_Area" localSheetId="1">'Year Over Year'!$A$1:$BS$95</definedName>
  </definedNames>
  <calcPr calcId="92512"/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S21" i="3"/>
  <c r="T21" i="3"/>
  <c r="W21" i="3"/>
  <c r="X21" i="3"/>
  <c r="AA21" i="3"/>
  <c r="AB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S27" i="3"/>
  <c r="T27" i="3"/>
  <c r="W27" i="3"/>
  <c r="X27" i="3"/>
  <c r="AA27" i="3"/>
  <c r="AB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Q34" i="3"/>
  <c r="Q35" i="3"/>
  <c r="S35" i="3"/>
  <c r="U35" i="3"/>
  <c r="W35" i="3"/>
  <c r="Y35" i="3"/>
  <c r="AA35" i="3"/>
  <c r="AC35" i="3"/>
  <c r="AE35" i="3"/>
  <c r="AF35" i="3"/>
  <c r="AG35" i="3"/>
  <c r="AJ35" i="3"/>
  <c r="AN35" i="3"/>
  <c r="AR35" i="3"/>
  <c r="AV35" i="3"/>
  <c r="AZ35" i="3"/>
  <c r="BD35" i="3"/>
  <c r="BH35" i="3"/>
  <c r="BL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C37" i="3"/>
  <c r="D37" i="3"/>
  <c r="E37" i="3"/>
  <c r="G37" i="3"/>
  <c r="H37" i="3"/>
  <c r="I37" i="3"/>
  <c r="K37" i="3"/>
  <c r="L37" i="3"/>
  <c r="M37" i="3"/>
  <c r="O37" i="3"/>
  <c r="P37" i="3"/>
  <c r="Q37" i="3"/>
  <c r="S37" i="3"/>
  <c r="T37" i="3"/>
  <c r="U37" i="3"/>
  <c r="W37" i="3"/>
  <c r="X37" i="3"/>
  <c r="Y37" i="3"/>
  <c r="AA37" i="3"/>
  <c r="AB37" i="3"/>
  <c r="AC37" i="3"/>
  <c r="AE37" i="3"/>
  <c r="AF37" i="3"/>
  <c r="AG37" i="3"/>
  <c r="AI37" i="3"/>
  <c r="AJ37" i="3"/>
  <c r="AK37" i="3"/>
  <c r="AM37" i="3"/>
  <c r="AN37" i="3"/>
  <c r="AO37" i="3"/>
  <c r="AQ37" i="3"/>
  <c r="AR37" i="3"/>
  <c r="AS37" i="3"/>
  <c r="AU37" i="3"/>
  <c r="AV37" i="3"/>
  <c r="AW37" i="3"/>
  <c r="AY37" i="3"/>
  <c r="AZ37" i="3"/>
  <c r="BA37" i="3"/>
  <c r="BC37" i="3"/>
  <c r="BD37" i="3"/>
  <c r="BE37" i="3"/>
  <c r="BG37" i="3"/>
  <c r="BH37" i="3"/>
  <c r="BI37" i="3"/>
  <c r="BK37" i="3"/>
  <c r="BL37" i="3"/>
  <c r="BM37" i="3"/>
  <c r="BO37" i="3"/>
  <c r="BP37" i="3"/>
  <c r="BQ37" i="3"/>
  <c r="C38" i="3"/>
  <c r="D38" i="3"/>
  <c r="E38" i="3"/>
  <c r="G38" i="3"/>
  <c r="H38" i="3"/>
  <c r="I38" i="3"/>
  <c r="K38" i="3"/>
  <c r="L38" i="3"/>
  <c r="M38" i="3"/>
  <c r="O38" i="3"/>
  <c r="P38" i="3"/>
  <c r="Q38" i="3"/>
  <c r="S38" i="3"/>
  <c r="T38" i="3"/>
  <c r="U38" i="3"/>
  <c r="W38" i="3"/>
  <c r="X38" i="3"/>
  <c r="Y38" i="3"/>
  <c r="AA38" i="3"/>
  <c r="AB38" i="3"/>
  <c r="AC38" i="3"/>
  <c r="AE38" i="3"/>
  <c r="AF38" i="3"/>
  <c r="AG38" i="3"/>
  <c r="AI38" i="3"/>
  <c r="AJ38" i="3"/>
  <c r="AK38" i="3"/>
  <c r="AM38" i="3"/>
  <c r="AN38" i="3"/>
  <c r="AO38" i="3"/>
  <c r="AQ38" i="3"/>
  <c r="AR38" i="3"/>
  <c r="AS38" i="3"/>
  <c r="AU38" i="3"/>
  <c r="AV38" i="3"/>
  <c r="AW38" i="3"/>
  <c r="AY38" i="3"/>
  <c r="AZ38" i="3"/>
  <c r="BA38" i="3"/>
  <c r="BC38" i="3"/>
  <c r="BD38" i="3"/>
  <c r="BE38" i="3"/>
  <c r="BG38" i="3"/>
  <c r="BH38" i="3"/>
  <c r="BI38" i="3"/>
  <c r="BK38" i="3"/>
  <c r="BL38" i="3"/>
  <c r="BM38" i="3"/>
  <c r="BO38" i="3"/>
  <c r="BP38" i="3"/>
  <c r="BQ38" i="3"/>
  <c r="BR38" i="3"/>
  <c r="BT38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6" i="3"/>
  <c r="G46" i="3"/>
  <c r="K46" i="3"/>
  <c r="O46" i="3"/>
  <c r="S46" i="3"/>
  <c r="W46" i="3"/>
  <c r="AA46" i="3"/>
  <c r="AE46" i="3"/>
  <c r="AI46" i="3"/>
  <c r="AM46" i="3"/>
  <c r="AQ46" i="3"/>
  <c r="AU46" i="3"/>
  <c r="AY46" i="3"/>
  <c r="BC46" i="3"/>
  <c r="BG46" i="3"/>
  <c r="BK46" i="3"/>
  <c r="BO46" i="3"/>
  <c r="C47" i="3"/>
  <c r="G47" i="3"/>
  <c r="K47" i="3"/>
  <c r="O47" i="3"/>
  <c r="S47" i="3"/>
  <c r="W47" i="3"/>
  <c r="AA47" i="3"/>
  <c r="AE47" i="3"/>
  <c r="AI47" i="3"/>
  <c r="AM47" i="3"/>
  <c r="AQ47" i="3"/>
  <c r="AU47" i="3"/>
  <c r="AY47" i="3"/>
  <c r="BC47" i="3"/>
  <c r="BG47" i="3"/>
  <c r="BK47" i="3"/>
  <c r="BO47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C54" i="3"/>
  <c r="G54" i="3"/>
  <c r="K54" i="3"/>
  <c r="O54" i="3"/>
  <c r="S54" i="3"/>
  <c r="W54" i="3"/>
  <c r="AA54" i="3"/>
  <c r="AE54" i="3"/>
  <c r="AI54" i="3"/>
  <c r="AM54" i="3"/>
  <c r="AQ54" i="3"/>
  <c r="AU54" i="3"/>
  <c r="AY54" i="3"/>
  <c r="BC54" i="3"/>
  <c r="BG54" i="3"/>
  <c r="BK54" i="3"/>
  <c r="BO54" i="3"/>
  <c r="C55" i="3"/>
  <c r="G55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BK55" i="3"/>
  <c r="BO55" i="3"/>
  <c r="K57" i="3"/>
  <c r="W57" i="3"/>
  <c r="AA57" i="3"/>
  <c r="AI57" i="3"/>
  <c r="AM57" i="3"/>
  <c r="AQ57" i="3"/>
  <c r="AU57" i="3"/>
  <c r="AY57" i="3"/>
  <c r="BC57" i="3"/>
  <c r="BG57" i="3"/>
  <c r="BK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C60" i="3"/>
  <c r="G60" i="3"/>
  <c r="K60" i="3"/>
  <c r="O60" i="3"/>
  <c r="S60" i="3"/>
  <c r="W60" i="3"/>
  <c r="AA60" i="3"/>
  <c r="AE60" i="3"/>
  <c r="AI60" i="3"/>
  <c r="AM60" i="3"/>
  <c r="AQ60" i="3"/>
  <c r="AU60" i="3"/>
  <c r="AY60" i="3"/>
  <c r="BC60" i="3"/>
  <c r="BG60" i="3"/>
  <c r="BK60" i="3"/>
  <c r="BO60" i="3"/>
  <c r="C61" i="3"/>
  <c r="G61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BO61" i="3"/>
  <c r="K63" i="3"/>
  <c r="W63" i="3"/>
  <c r="AA63" i="3"/>
  <c r="AI63" i="3"/>
  <c r="AM63" i="3"/>
  <c r="AQ63" i="3"/>
  <c r="AU63" i="3"/>
  <c r="AY63" i="3"/>
  <c r="BC63" i="3"/>
  <c r="BG63" i="3"/>
  <c r="BK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5" i="3"/>
  <c r="G65" i="3"/>
  <c r="K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BK65" i="3"/>
  <c r="BO65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O70" i="3"/>
  <c r="S70" i="3"/>
  <c r="W70" i="3"/>
  <c r="AA70" i="3"/>
  <c r="AE70" i="3"/>
  <c r="BO70" i="3"/>
  <c r="S71" i="3"/>
  <c r="W71" i="3"/>
  <c r="AA71" i="3"/>
  <c r="AE71" i="3"/>
  <c r="BO71" i="3"/>
  <c r="C72" i="3"/>
  <c r="G72" i="3"/>
  <c r="K72" i="3"/>
  <c r="O72" i="3"/>
  <c r="S72" i="3"/>
  <c r="W72" i="3"/>
  <c r="AA72" i="3"/>
  <c r="AE72" i="3"/>
  <c r="AI72" i="3"/>
  <c r="AM72" i="3"/>
  <c r="AQ72" i="3"/>
  <c r="AU72" i="3"/>
  <c r="AY72" i="3"/>
  <c r="BC72" i="3"/>
  <c r="BG72" i="3"/>
  <c r="BK72" i="3"/>
  <c r="BO72" i="3"/>
  <c r="C73" i="3"/>
  <c r="G73" i="3"/>
  <c r="K73" i="3"/>
  <c r="O73" i="3"/>
  <c r="S73" i="3"/>
  <c r="W73" i="3"/>
  <c r="AA73" i="3"/>
  <c r="AE73" i="3"/>
  <c r="AI73" i="3"/>
  <c r="AM73" i="3"/>
  <c r="AQ73" i="3"/>
  <c r="AU73" i="3"/>
  <c r="AY73" i="3"/>
  <c r="BC73" i="3"/>
  <c r="BG73" i="3"/>
  <c r="BK73" i="3"/>
  <c r="BO73" i="3"/>
  <c r="C74" i="3"/>
  <c r="G74" i="3"/>
  <c r="K74" i="3"/>
  <c r="O74" i="3"/>
  <c r="S74" i="3"/>
  <c r="W74" i="3"/>
  <c r="AA74" i="3"/>
  <c r="AE74" i="3"/>
  <c r="AI74" i="3"/>
  <c r="AM74" i="3"/>
  <c r="AQ74" i="3"/>
  <c r="AU74" i="3"/>
  <c r="AY74" i="3"/>
  <c r="BC74" i="3"/>
  <c r="BG74" i="3"/>
  <c r="BK74" i="3"/>
  <c r="BO74" i="3"/>
  <c r="E9" i="1"/>
  <c r="I9" i="1"/>
  <c r="M9" i="1"/>
  <c r="O9" i="1"/>
  <c r="P9" i="1"/>
  <c r="Q9" i="1"/>
  <c r="U9" i="1"/>
  <c r="X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A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T16" i="1"/>
  <c r="U16" i="1"/>
  <c r="X16" i="1"/>
  <c r="Y16" i="1"/>
  <c r="AB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AU21" i="1"/>
  <c r="AV21" i="1"/>
  <c r="BK21" i="1"/>
  <c r="BL21" i="1"/>
  <c r="E22" i="1"/>
  <c r="I22" i="1"/>
  <c r="M22" i="1"/>
  <c r="O22" i="1"/>
  <c r="P22" i="1"/>
  <c r="Q22" i="1"/>
  <c r="T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H23" i="1"/>
  <c r="I23" i="1"/>
  <c r="L23" i="1"/>
  <c r="M23" i="1"/>
  <c r="O23" i="1"/>
  <c r="P23" i="1"/>
  <c r="Q23" i="1"/>
  <c r="T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T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D25" i="1"/>
  <c r="E25" i="1"/>
  <c r="H25" i="1"/>
  <c r="I25" i="1"/>
  <c r="L25" i="1"/>
  <c r="M25" i="1"/>
  <c r="O25" i="1"/>
  <c r="P25" i="1"/>
  <c r="Q25" i="1"/>
  <c r="T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S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Q34" i="1"/>
  <c r="U34" i="1"/>
  <c r="Y34" i="1"/>
  <c r="AC34" i="1"/>
  <c r="AE34" i="1"/>
  <c r="AF34" i="1"/>
  <c r="AG34" i="1"/>
  <c r="BO34" i="1"/>
  <c r="BP34" i="1"/>
  <c r="BQ34" i="1"/>
  <c r="Q35" i="1"/>
  <c r="U35" i="1"/>
  <c r="Y35" i="1"/>
  <c r="AC35" i="1"/>
  <c r="AE35" i="1"/>
  <c r="AF35" i="1"/>
  <c r="AG35" i="1"/>
  <c r="BO35" i="1"/>
  <c r="BP35" i="1"/>
  <c r="BQ35" i="1"/>
  <c r="E36" i="1"/>
  <c r="I36" i="1"/>
  <c r="M36" i="1"/>
  <c r="O36" i="1"/>
  <c r="P36" i="1"/>
  <c r="Q36" i="1"/>
  <c r="U36" i="1"/>
  <c r="Y36" i="1"/>
  <c r="AC36" i="1"/>
  <c r="AE36" i="1"/>
  <c r="AF36" i="1"/>
  <c r="AG36" i="1"/>
  <c r="AK36" i="1"/>
  <c r="AO36" i="1"/>
  <c r="AS36" i="1"/>
  <c r="AU36" i="1"/>
  <c r="AV36" i="1"/>
  <c r="AW36" i="1"/>
  <c r="BA36" i="1"/>
  <c r="BE36" i="1"/>
  <c r="BI36" i="1"/>
  <c r="BK36" i="1"/>
  <c r="BL36" i="1"/>
  <c r="BM36" i="1"/>
  <c r="BO36" i="1"/>
  <c r="BP36" i="1"/>
  <c r="BQ36" i="1"/>
  <c r="BR36" i="1"/>
  <c r="E37" i="1"/>
  <c r="I37" i="1"/>
  <c r="M37" i="1"/>
  <c r="O37" i="1"/>
  <c r="P37" i="1"/>
  <c r="Q37" i="1"/>
  <c r="U37" i="1"/>
  <c r="Y37" i="1"/>
  <c r="AC37" i="1"/>
  <c r="AE37" i="1"/>
  <c r="AF37" i="1"/>
  <c r="AG37" i="1"/>
  <c r="AK37" i="1"/>
  <c r="AO37" i="1"/>
  <c r="AS37" i="1"/>
  <c r="AU37" i="1"/>
  <c r="AV37" i="1"/>
  <c r="AW37" i="1"/>
  <c r="BA37" i="1"/>
  <c r="BE37" i="1"/>
  <c r="BI37" i="1"/>
  <c r="BK37" i="1"/>
  <c r="BL37" i="1"/>
  <c r="BM37" i="1"/>
  <c r="BO37" i="1"/>
  <c r="BP37" i="1"/>
  <c r="BQ37" i="1"/>
  <c r="BR37" i="1"/>
  <c r="C38" i="1"/>
  <c r="D38" i="1"/>
  <c r="E38" i="1"/>
  <c r="G38" i="1"/>
  <c r="H38" i="1"/>
  <c r="I38" i="1"/>
  <c r="K38" i="1"/>
  <c r="L38" i="1"/>
  <c r="M38" i="1"/>
  <c r="O38" i="1"/>
  <c r="P38" i="1"/>
  <c r="Q38" i="1"/>
  <c r="S38" i="1"/>
  <c r="T38" i="1"/>
  <c r="U38" i="1"/>
  <c r="W38" i="1"/>
  <c r="X38" i="1"/>
  <c r="Y38" i="1"/>
  <c r="AA38" i="1"/>
  <c r="AB38" i="1"/>
  <c r="AC38" i="1"/>
  <c r="AE38" i="1"/>
  <c r="AF38" i="1"/>
  <c r="AG38" i="1"/>
  <c r="AI38" i="1"/>
  <c r="AJ38" i="1"/>
  <c r="AK38" i="1"/>
  <c r="AM38" i="1"/>
  <c r="AN38" i="1"/>
  <c r="AO38" i="1"/>
  <c r="AQ38" i="1"/>
  <c r="AR38" i="1"/>
  <c r="AS38" i="1"/>
  <c r="AU38" i="1"/>
  <c r="AV38" i="1"/>
  <c r="AW38" i="1"/>
  <c r="AY38" i="1"/>
  <c r="AZ38" i="1"/>
  <c r="BA38" i="1"/>
  <c r="BC38" i="1"/>
  <c r="BD38" i="1"/>
  <c r="BE38" i="1"/>
  <c r="BG38" i="1"/>
  <c r="BH38" i="1"/>
  <c r="BI38" i="1"/>
  <c r="BK38" i="1"/>
  <c r="BL38" i="1"/>
  <c r="BM38" i="1"/>
  <c r="BO38" i="1"/>
  <c r="BP38" i="1"/>
  <c r="BQ38" i="1"/>
  <c r="BR38" i="1"/>
  <c r="E43" i="1"/>
  <c r="G43" i="1"/>
  <c r="H43" i="1"/>
  <c r="I43" i="1"/>
  <c r="K43" i="1"/>
  <c r="L43" i="1"/>
  <c r="M43" i="1"/>
  <c r="O43" i="1"/>
  <c r="P43" i="1"/>
  <c r="Q43" i="1"/>
  <c r="S43" i="1"/>
  <c r="T43" i="1"/>
  <c r="U43" i="1"/>
  <c r="W43" i="1"/>
  <c r="X43" i="1"/>
  <c r="Y43" i="1"/>
  <c r="AA43" i="1"/>
  <c r="AB43" i="1"/>
  <c r="AC43" i="1"/>
  <c r="AE43" i="1"/>
  <c r="AF43" i="1"/>
  <c r="AG43" i="1"/>
  <c r="AI43" i="1"/>
  <c r="AJ43" i="1"/>
  <c r="AK43" i="1"/>
  <c r="AM43" i="1"/>
  <c r="AN43" i="1"/>
  <c r="AO43" i="1"/>
  <c r="AQ43" i="1"/>
  <c r="AR43" i="1"/>
  <c r="AS43" i="1"/>
  <c r="AU43" i="1"/>
  <c r="AV43" i="1"/>
  <c r="AW43" i="1"/>
  <c r="AY43" i="1"/>
  <c r="AZ43" i="1"/>
  <c r="BA43" i="1"/>
  <c r="BC43" i="1"/>
  <c r="BD43" i="1"/>
  <c r="BE43" i="1"/>
  <c r="BG43" i="1"/>
  <c r="BH43" i="1"/>
  <c r="BI43" i="1"/>
  <c r="BK43" i="1"/>
  <c r="BL43" i="1"/>
  <c r="BM43" i="1"/>
  <c r="BQ43" i="1"/>
  <c r="D45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E46" i="1"/>
  <c r="I46" i="1"/>
  <c r="M46" i="1"/>
  <c r="O46" i="1"/>
  <c r="P46" i="1"/>
  <c r="Q46" i="1"/>
  <c r="U46" i="1"/>
  <c r="Y46" i="1"/>
  <c r="AC46" i="1"/>
  <c r="AE46" i="1"/>
  <c r="AF46" i="1"/>
  <c r="AG46" i="1"/>
  <c r="AK46" i="1"/>
  <c r="AO46" i="1"/>
  <c r="AS46" i="1"/>
  <c r="AU46" i="1"/>
  <c r="AV46" i="1"/>
  <c r="AW46" i="1"/>
  <c r="BA46" i="1"/>
  <c r="BE46" i="1"/>
  <c r="BI46" i="1"/>
  <c r="BK46" i="1"/>
  <c r="BL46" i="1"/>
  <c r="BM46" i="1"/>
  <c r="BO46" i="1"/>
  <c r="BP46" i="1"/>
  <c r="BQ46" i="1"/>
  <c r="E47" i="1"/>
  <c r="I47" i="1"/>
  <c r="M47" i="1"/>
  <c r="O47" i="1"/>
  <c r="P47" i="1"/>
  <c r="Q47" i="1"/>
  <c r="U47" i="1"/>
  <c r="X47" i="1"/>
  <c r="Y47" i="1"/>
  <c r="AC47" i="1"/>
  <c r="AE47" i="1"/>
  <c r="AF47" i="1"/>
  <c r="AG47" i="1"/>
  <c r="AK47" i="1"/>
  <c r="AO47" i="1"/>
  <c r="AS47" i="1"/>
  <c r="AU47" i="1"/>
  <c r="AV47" i="1"/>
  <c r="AW47" i="1"/>
  <c r="BA47" i="1"/>
  <c r="BE47" i="1"/>
  <c r="BI47" i="1"/>
  <c r="BK47" i="1"/>
  <c r="BL47" i="1"/>
  <c r="BM47" i="1"/>
  <c r="BO47" i="1"/>
  <c r="BP47" i="1"/>
  <c r="BQ47" i="1"/>
  <c r="BR47" i="1"/>
  <c r="D50" i="1"/>
  <c r="E50" i="1"/>
  <c r="I50" i="1"/>
  <c r="L50" i="1"/>
  <c r="M50" i="1"/>
  <c r="O50" i="1"/>
  <c r="P50" i="1"/>
  <c r="Q50" i="1"/>
  <c r="T50" i="1"/>
  <c r="U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K51" i="1"/>
  <c r="M51" i="1"/>
  <c r="O51" i="1"/>
  <c r="P51" i="1"/>
  <c r="Q51" i="1"/>
  <c r="U51" i="1"/>
  <c r="Y51" i="1"/>
  <c r="AA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BR51" i="1"/>
  <c r="E52" i="1"/>
  <c r="I52" i="1"/>
  <c r="M52" i="1"/>
  <c r="O52" i="1"/>
  <c r="P52" i="1"/>
  <c r="Q52" i="1"/>
  <c r="T52" i="1"/>
  <c r="U52" i="1"/>
  <c r="X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BR52" i="1"/>
  <c r="E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E54" i="1"/>
  <c r="I54" i="1"/>
  <c r="M54" i="1"/>
  <c r="O54" i="1"/>
  <c r="P54" i="1"/>
  <c r="Q54" i="1"/>
  <c r="U54" i="1"/>
  <c r="Y54" i="1"/>
  <c r="AC54" i="1"/>
  <c r="AE54" i="1"/>
  <c r="AF54" i="1"/>
  <c r="AG54" i="1"/>
  <c r="AK54" i="1"/>
  <c r="AO54" i="1"/>
  <c r="AS54" i="1"/>
  <c r="AU54" i="1"/>
  <c r="AV54" i="1"/>
  <c r="AW54" i="1"/>
  <c r="BA54" i="1"/>
  <c r="BE54" i="1"/>
  <c r="BI54" i="1"/>
  <c r="BK54" i="1"/>
  <c r="BL54" i="1"/>
  <c r="BM54" i="1"/>
  <c r="BO54" i="1"/>
  <c r="BP54" i="1"/>
  <c r="BQ54" i="1"/>
  <c r="D55" i="1"/>
  <c r="E55" i="1"/>
  <c r="H55" i="1"/>
  <c r="I55" i="1"/>
  <c r="M55" i="1"/>
  <c r="O55" i="1"/>
  <c r="P55" i="1"/>
  <c r="Q55" i="1"/>
  <c r="U55" i="1"/>
  <c r="Y55" i="1"/>
  <c r="AC55" i="1"/>
  <c r="AE55" i="1"/>
  <c r="AF55" i="1"/>
  <c r="AG55" i="1"/>
  <c r="AK55" i="1"/>
  <c r="AO55" i="1"/>
  <c r="AS55" i="1"/>
  <c r="AU55" i="1"/>
  <c r="AV55" i="1"/>
  <c r="AW55" i="1"/>
  <c r="BA55" i="1"/>
  <c r="BE55" i="1"/>
  <c r="BI55" i="1"/>
  <c r="BK55" i="1"/>
  <c r="BL55" i="1"/>
  <c r="BM55" i="1"/>
  <c r="BO55" i="1"/>
  <c r="BP55" i="1"/>
  <c r="BQ55" i="1"/>
  <c r="BR55" i="1"/>
  <c r="AU57" i="1"/>
  <c r="AV57" i="1"/>
  <c r="BK57" i="1"/>
  <c r="BL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M59" i="1"/>
  <c r="O59" i="1"/>
  <c r="P59" i="1"/>
  <c r="Q59" i="1"/>
  <c r="T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E60" i="1"/>
  <c r="I60" i="1"/>
  <c r="M60" i="1"/>
  <c r="O60" i="1"/>
  <c r="P60" i="1"/>
  <c r="Q60" i="1"/>
  <c r="T60" i="1"/>
  <c r="U60" i="1"/>
  <c r="X60" i="1"/>
  <c r="Y60" i="1"/>
  <c r="AC60" i="1"/>
  <c r="AE60" i="1"/>
  <c r="AF60" i="1"/>
  <c r="AG60" i="1"/>
  <c r="AK60" i="1"/>
  <c r="AO60" i="1"/>
  <c r="AS60" i="1"/>
  <c r="AU60" i="1"/>
  <c r="AV60" i="1"/>
  <c r="AW60" i="1"/>
  <c r="BA60" i="1"/>
  <c r="BE60" i="1"/>
  <c r="BI60" i="1"/>
  <c r="BK60" i="1"/>
  <c r="BL60" i="1"/>
  <c r="BM60" i="1"/>
  <c r="BO60" i="1"/>
  <c r="BP60" i="1"/>
  <c r="BQ60" i="1"/>
  <c r="BR60" i="1"/>
  <c r="E61" i="1"/>
  <c r="I61" i="1"/>
  <c r="L61" i="1"/>
  <c r="M61" i="1"/>
  <c r="O61" i="1"/>
  <c r="P61" i="1"/>
  <c r="Q61" i="1"/>
  <c r="T61" i="1"/>
  <c r="U61" i="1"/>
  <c r="Y61" i="1"/>
  <c r="AC61" i="1"/>
  <c r="AE61" i="1"/>
  <c r="AF61" i="1"/>
  <c r="AG61" i="1"/>
  <c r="AK61" i="1"/>
  <c r="AO61" i="1"/>
  <c r="AS61" i="1"/>
  <c r="AU61" i="1"/>
  <c r="AV61" i="1"/>
  <c r="AW61" i="1"/>
  <c r="BA61" i="1"/>
  <c r="BE61" i="1"/>
  <c r="BI61" i="1"/>
  <c r="BK61" i="1"/>
  <c r="BL61" i="1"/>
  <c r="BM61" i="1"/>
  <c r="BO61" i="1"/>
  <c r="BP61" i="1"/>
  <c r="BQ61" i="1"/>
  <c r="BR61" i="1"/>
  <c r="AU63" i="1"/>
  <c r="AV63" i="1"/>
  <c r="BK63" i="1"/>
  <c r="BL63" i="1"/>
  <c r="E64" i="1"/>
  <c r="I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E65" i="1"/>
  <c r="H65" i="1"/>
  <c r="I65" i="1"/>
  <c r="L65" i="1"/>
  <c r="M65" i="1"/>
  <c r="O65" i="1"/>
  <c r="P65" i="1"/>
  <c r="Q65" i="1"/>
  <c r="U65" i="1"/>
  <c r="Y65" i="1"/>
  <c r="AC65" i="1"/>
  <c r="AE65" i="1"/>
  <c r="AF65" i="1"/>
  <c r="AG65" i="1"/>
  <c r="AK65" i="1"/>
  <c r="AO65" i="1"/>
  <c r="AS65" i="1"/>
  <c r="AU65" i="1"/>
  <c r="AV65" i="1"/>
  <c r="AW65" i="1"/>
  <c r="BA65" i="1"/>
  <c r="BE65" i="1"/>
  <c r="BI65" i="1"/>
  <c r="BK65" i="1"/>
  <c r="BL65" i="1"/>
  <c r="BM65" i="1"/>
  <c r="BO65" i="1"/>
  <c r="BP65" i="1"/>
  <c r="BQ65" i="1"/>
  <c r="BR65" i="1"/>
  <c r="D66" i="1"/>
  <c r="E66" i="1"/>
  <c r="H66" i="1"/>
  <c r="I66" i="1"/>
  <c r="L66" i="1"/>
  <c r="M66" i="1"/>
  <c r="O66" i="1"/>
  <c r="P66" i="1"/>
  <c r="Q66" i="1"/>
  <c r="U66" i="1"/>
  <c r="Y66" i="1"/>
  <c r="AB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8" i="1"/>
  <c r="I68" i="1"/>
  <c r="M68" i="1"/>
  <c r="O68" i="1"/>
  <c r="P68" i="1"/>
  <c r="Q68" i="1"/>
  <c r="S68" i="1"/>
  <c r="U68" i="1"/>
  <c r="X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U70" i="1"/>
  <c r="Y70" i="1"/>
  <c r="AC70" i="1"/>
  <c r="AE70" i="1"/>
  <c r="AF70" i="1"/>
  <c r="AG70" i="1"/>
  <c r="BO70" i="1"/>
  <c r="BP70" i="1"/>
  <c r="BQ70" i="1"/>
  <c r="Q71" i="1"/>
  <c r="U71" i="1"/>
  <c r="Y71" i="1"/>
  <c r="AC71" i="1"/>
  <c r="AE71" i="1"/>
  <c r="AF71" i="1"/>
  <c r="AG71" i="1"/>
  <c r="BO71" i="1"/>
  <c r="BP71" i="1"/>
  <c r="BQ71" i="1"/>
  <c r="E72" i="1"/>
  <c r="I72" i="1"/>
  <c r="M72" i="1"/>
  <c r="O72" i="1"/>
  <c r="P72" i="1"/>
  <c r="Q72" i="1"/>
  <c r="U72" i="1"/>
  <c r="Y72" i="1"/>
  <c r="AC72" i="1"/>
  <c r="AE72" i="1"/>
  <c r="AF72" i="1"/>
  <c r="AG72" i="1"/>
  <c r="AK72" i="1"/>
  <c r="AO72" i="1"/>
  <c r="AS72" i="1"/>
  <c r="AU72" i="1"/>
  <c r="AV72" i="1"/>
  <c r="AW72" i="1"/>
  <c r="BA72" i="1"/>
  <c r="BE72" i="1"/>
  <c r="BI72" i="1"/>
  <c r="BK72" i="1"/>
  <c r="BL72" i="1"/>
  <c r="BM72" i="1"/>
  <c r="BO72" i="1"/>
  <c r="BP72" i="1"/>
  <c r="BQ72" i="1"/>
  <c r="BR72" i="1"/>
  <c r="E73" i="1"/>
  <c r="I73" i="1"/>
  <c r="M73" i="1"/>
  <c r="O73" i="1"/>
  <c r="P73" i="1"/>
  <c r="Q73" i="1"/>
  <c r="U73" i="1"/>
  <c r="Y73" i="1"/>
  <c r="AC73" i="1"/>
  <c r="AE73" i="1"/>
  <c r="AF73" i="1"/>
  <c r="AG73" i="1"/>
  <c r="AK73" i="1"/>
  <c r="AO73" i="1"/>
  <c r="AS73" i="1"/>
  <c r="AU73" i="1"/>
  <c r="AV73" i="1"/>
  <c r="AW73" i="1"/>
  <c r="BA73" i="1"/>
  <c r="BE73" i="1"/>
  <c r="BI73" i="1"/>
  <c r="BK73" i="1"/>
  <c r="BL73" i="1"/>
  <c r="BM73" i="1"/>
  <c r="BO73" i="1"/>
  <c r="BP73" i="1"/>
  <c r="BQ73" i="1"/>
  <c r="BR73" i="1"/>
  <c r="C74" i="1"/>
  <c r="D74" i="1"/>
  <c r="E74" i="1"/>
  <c r="G74" i="1"/>
  <c r="H74" i="1"/>
  <c r="I74" i="1"/>
  <c r="K74" i="1"/>
  <c r="L74" i="1"/>
  <c r="M74" i="1"/>
  <c r="O74" i="1"/>
  <c r="P74" i="1"/>
  <c r="Q74" i="1"/>
  <c r="S74" i="1"/>
  <c r="T74" i="1"/>
  <c r="U74" i="1"/>
  <c r="W74" i="1"/>
  <c r="X74" i="1"/>
  <c r="Y74" i="1"/>
  <c r="AA74" i="1"/>
  <c r="AB74" i="1"/>
  <c r="AC74" i="1"/>
  <c r="AE74" i="1"/>
  <c r="AF74" i="1"/>
  <c r="AG74" i="1"/>
  <c r="AI74" i="1"/>
  <c r="AJ74" i="1"/>
  <c r="AK74" i="1"/>
  <c r="AM74" i="1"/>
  <c r="AN74" i="1"/>
  <c r="AO74" i="1"/>
  <c r="AQ74" i="1"/>
  <c r="AR74" i="1"/>
  <c r="AS74" i="1"/>
  <c r="AU74" i="1"/>
  <c r="AV74" i="1"/>
  <c r="AW74" i="1"/>
  <c r="AY74" i="1"/>
  <c r="AZ74" i="1"/>
  <c r="BA74" i="1"/>
  <c r="BC74" i="1"/>
  <c r="BD74" i="1"/>
  <c r="BE74" i="1"/>
  <c r="BG74" i="1"/>
  <c r="BH74" i="1"/>
  <c r="BI74" i="1"/>
  <c r="BK74" i="1"/>
  <c r="BL74" i="1"/>
  <c r="BM74" i="1"/>
  <c r="BO74" i="1"/>
  <c r="BP74" i="1"/>
  <c r="BQ74" i="1"/>
  <c r="BR74" i="1"/>
  <c r="C81" i="1"/>
  <c r="C83" i="1"/>
  <c r="C85" i="1"/>
  <c r="C87" i="1"/>
  <c r="C94" i="1"/>
</calcChain>
</file>

<file path=xl/sharedStrings.xml><?xml version="1.0" encoding="utf-8"?>
<sst xmlns="http://schemas.openxmlformats.org/spreadsheetml/2006/main" count="218" uniqueCount="99">
  <si>
    <t>Enron North America</t>
  </si>
  <si>
    <t>Mid-Market and Originations Transactions</t>
  </si>
  <si>
    <t>2000 vs. 2001</t>
  </si>
  <si>
    <t>East Power</t>
  </si>
  <si>
    <t>West Power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</si>
  <si>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</si>
  <si>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</si>
  <si>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</si>
  <si>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</si>
  <si>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</si>
  <si>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</si>
  <si>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</si>
  <si>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</si>
  <si>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</si>
  <si>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</si>
  <si>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</si>
  <si>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</si>
  <si>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</si>
  <si>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</si>
  <si>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</si>
  <si>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</si>
  <si>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</si>
  <si>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</si>
  <si>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</si>
  <si>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</si>
  <si>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</si>
  <si>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</si>
  <si>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</si>
  <si>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</si>
  <si>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</si>
  <si>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</si>
  <si>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</si>
  <si>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</si>
  <si>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</si>
  <si>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</si>
  <si>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</si>
  <si>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</si>
  <si>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</si>
  <si>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</si>
  <si>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</si>
  <si>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</si>
  <si>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</si>
  <si>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</si>
  <si>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</si>
  <si>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</si>
  <si>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</si>
  <si>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</si>
  <si>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</si>
  <si>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</si>
  <si>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</si>
  <si>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</si>
  <si>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</si>
  <si>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</si>
  <si>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</si>
  <si>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</si>
  <si>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</si>
  <si>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</si>
  <si>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</si>
  <si>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</si>
  <si>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</si>
  <si>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</si>
  <si>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</si>
  <si>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</si>
  <si>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</si>
  <si>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</si>
  <si>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</si>
  <si>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</si>
  <si>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</si>
  <si>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</si>
  <si>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</si>
  <si>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</si>
  <si>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</si>
  <si>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</si>
  <si>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</si>
  <si>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</si>
  <si>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</si>
  <si>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</si>
  <si>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</si>
  <si>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</si>
  <si>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</si>
  <si>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</si>
  <si>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</si>
  <si>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</si>
  <si>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</si>
  <si>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</si>
  <si>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</si>
  <si>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</si>
  <si>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</si>
  <si>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</si>
  <si>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</si>
  <si>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</si>
  <si>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</si>
  <si>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</si>
  <si>
    <t xml:space="preserve">  W Power Trading</t>
  </si>
  <si>
    <t xml:space="preserve">  W Power Originations</t>
  </si>
  <si>
    <t>Gas Assets</t>
  </si>
  <si>
    <t>Office of the Chairman</t>
  </si>
  <si>
    <t>Office of the Chariman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</si>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</sst>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165" fontId="1" fillId="0" borderId="0" xfId="1" applyNumberFormat="1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17" fontId="0" fillId="0" borderId="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2" fillId="0" borderId="0" xfId="1" applyNumberFormat="1" applyFont="1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Transactions</a:t>
            </a:r>
          </a:p>
        </c:rich>
      </c:tx>
      <c:layout>
        <c:manualLayout>
          <c:xMode val="edge"/>
          <c:yMode val="edge"/>
          <c:x val="0.3943817795744457"/>
          <c:y val="1.2269940947539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82162167295439E-2"/>
          <c:y val="0.20245402563439599"/>
          <c:w val="0.94057353183439718"/>
          <c:h val="0.6901841782990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Year'!$BO$9:$BO$11,'Year Over Year'!$BO$14:$BO$17,'Year Over Year'!$BO$19,'Year Over Year'!$BO$22:$BO$25,'Year Over Year'!$BO$30,'Year Over Year'!$BO$32:$BO$37)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135</c:v>
                </c:pt>
                <c:pt idx="3">
                  <c:v>97</c:v>
                </c:pt>
                <c:pt idx="4">
                  <c:v>92</c:v>
                </c:pt>
                <c:pt idx="5">
                  <c:v>5</c:v>
                </c:pt>
                <c:pt idx="6">
                  <c:v>13</c:v>
                </c:pt>
                <c:pt idx="7">
                  <c:v>1596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356</c:v>
                </c:pt>
                <c:pt idx="14">
                  <c:v>21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0-4FF2-858F-96376497256F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Year'!$BP$9:$BP$11,'Year Over Year'!$BP$14:$BP$17,'Year Over Year'!$BP$19,'Year Over Year'!$BP$22:$BP$25,'Year Over Year'!$BP$30,'Year Over Year'!$BP$32:$BP$37)</c:f>
              <c:numCache>
                <c:formatCode>_(* #,##0_);_(* \(#,##0\);_(* "-"??_);_(@_)</c:formatCode>
                <c:ptCount val="19"/>
                <c:pt idx="0">
                  <c:v>6</c:v>
                </c:pt>
                <c:pt idx="1">
                  <c:v>1</c:v>
                </c:pt>
                <c:pt idx="2">
                  <c:v>362</c:v>
                </c:pt>
                <c:pt idx="3">
                  <c:v>446</c:v>
                </c:pt>
                <c:pt idx="4">
                  <c:v>887</c:v>
                </c:pt>
                <c:pt idx="5">
                  <c:v>288</c:v>
                </c:pt>
                <c:pt idx="6">
                  <c:v>5</c:v>
                </c:pt>
                <c:pt idx="7">
                  <c:v>2308</c:v>
                </c:pt>
                <c:pt idx="8">
                  <c:v>11</c:v>
                </c:pt>
                <c:pt idx="9">
                  <c:v>21</c:v>
                </c:pt>
                <c:pt idx="10">
                  <c:v>113</c:v>
                </c:pt>
                <c:pt idx="11">
                  <c:v>134</c:v>
                </c:pt>
                <c:pt idx="12">
                  <c:v>52</c:v>
                </c:pt>
                <c:pt idx="13">
                  <c:v>146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0-4FF2-858F-96376497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43440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Year'!$A$9:$A$11,'Year Over Year'!$A$14:$A$17,'Year Over Year'!$A$19,'Year Over Year'!$A$22:$A$25,'Year Over Year'!$A$30,'Year Over Year'!$A$32:$A$37)</c:f>
              <c:strCache>
                <c:ptCount val="19"/>
                <c:pt idx="0">
                  <c:v>   Canada Power- Alberta</c:v>
                </c:pt>
                <c:pt idx="1">
                  <c:v>   Canada Power- Eastern</c:v>
                </c:pt>
                <c:pt idx="2">
                  <c:v> 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Chariman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('Plan Comp'!$BP$9:$BP$11,'Plan Comp'!$BP$14:$BP$17,'Plan Comp'!$BP$19,'Plan Comp'!$BP$22:$BP$25,'Plan Comp'!$BP$30,'Plan Comp'!$BP$32:$BP$37)</c:f>
              <c:numCache>
                <c:formatCode>_(* #,##0_);_(* \(#,##0\);_(* "-"??_);_(@_)</c:formatCode>
                <c:ptCount val="19"/>
                <c:pt idx="0">
                  <c:v>40.200000000000003</c:v>
                </c:pt>
                <c:pt idx="1">
                  <c:v>0</c:v>
                </c:pt>
                <c:pt idx="2">
                  <c:v>360.3</c:v>
                </c:pt>
                <c:pt idx="3">
                  <c:v>238.3</c:v>
                </c:pt>
                <c:pt idx="4">
                  <c:v>75.8</c:v>
                </c:pt>
                <c:pt idx="5">
                  <c:v>75.8</c:v>
                </c:pt>
                <c:pt idx="6">
                  <c:v>63.249999999999993</c:v>
                </c:pt>
                <c:pt idx="7">
                  <c:v>800.30000000000007</c:v>
                </c:pt>
                <c:pt idx="8">
                  <c:v>25.500000000000004</c:v>
                </c:pt>
                <c:pt idx="9">
                  <c:v>48.000000000000007</c:v>
                </c:pt>
                <c:pt idx="10">
                  <c:v>100.00000000000001</c:v>
                </c:pt>
                <c:pt idx="11">
                  <c:v>75.5</c:v>
                </c:pt>
                <c:pt idx="12">
                  <c:v>251.6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0-4FF2-858F-96376497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43440"/>
        <c:axId val="1"/>
      </c:lineChart>
      <c:catAx>
        <c:axId val="18774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4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46061345961293"/>
          <c:y val="0.11656443900162193"/>
          <c:w val="0.36736932891866175"/>
          <c:h val="4.7546021171714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Value</a:t>
            </a:r>
          </a:p>
        </c:rich>
      </c:tx>
      <c:layout>
        <c:manualLayout>
          <c:xMode val="edge"/>
          <c:yMode val="edge"/>
          <c:x val="0.42479803934587917"/>
          <c:y val="1.8433228113823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06235716368478E-2"/>
          <c:y val="0.19508499753796099"/>
          <c:w val="0.91105163260727884"/>
          <c:h val="0.75422625032392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Year'!$BO$43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Year'!$BO$45:$BO$47,'Year Over Year'!$BO$50:$BO$53,'Year Over Year'!$BO$55,'Year Over Year'!$BO$58:$BO$61,'Year Over Year'!$BO$66,'Year Over Year'!$BO$68:$BO$73)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3774.056</c:v>
                </c:pt>
                <c:pt idx="3">
                  <c:v>394.46000000000004</c:v>
                </c:pt>
                <c:pt idx="4">
                  <c:v>3879.808</c:v>
                </c:pt>
                <c:pt idx="5">
                  <c:v>354.78800000000001</c:v>
                </c:pt>
                <c:pt idx="6">
                  <c:v>50.704000000000001</c:v>
                </c:pt>
                <c:pt idx="7">
                  <c:v>11072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11328.761999999999</c:v>
                </c:pt>
                <c:pt idx="14">
                  <c:v>-198</c:v>
                </c:pt>
                <c:pt idx="15">
                  <c:v>0</c:v>
                </c:pt>
                <c:pt idx="16">
                  <c:v>-19239</c:v>
                </c:pt>
                <c:pt idx="17">
                  <c:v>0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5-4AE5-828E-391E58571D1C}"/>
            </c:ext>
          </c:extLst>
        </c:ser>
        <c:ser>
          <c:idx val="1"/>
          <c:order val="1"/>
          <c:tx>
            <c:strRef>
              <c:f>'Year Over Year'!$BP$43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Year'!$A$45:$A$47,'Year Over Year'!$A$50:$A$52,'Year Over Year'!$A$53,'Year Over Year'!$A$55,'Year Over Year'!$A$58:$A$61,'Year Over Year'!$A$66,'Year Over Year'!$A$68:$A$73)</c:f>
              <c:strCache>
                <c:ptCount val="19"/>
                <c:pt idx="0">
                  <c:v>  Canada Power-Alberta</c:v>
                </c:pt>
                <c:pt idx="1">
                  <c:v>  Canada Power-Eastern</c:v>
                </c:pt>
                <c:pt idx="2">
                  <c:v>  Canada Gas</c:v>
                </c:pt>
                <c:pt idx="3">
                  <c:v>  Central Gas</c:v>
                </c:pt>
                <c:pt idx="4">
                  <c:v>  East Gas </c:v>
                </c:pt>
                <c:pt idx="5">
                  <c:v>  West Gas</c:v>
                </c:pt>
                <c:pt idx="6">
                  <c:v>  Texas Gas</c:v>
                </c:pt>
                <c:pt idx="7">
                  <c:v>  Derivatives</c:v>
                </c:pt>
                <c:pt idx="8">
                  <c:v>   ERCOT</c:v>
                </c:pt>
                <c:pt idx="9">
                  <c:v>   Southeast</c:v>
                </c:pt>
                <c:pt idx="10">
                  <c:v>   Midwest</c:v>
                </c:pt>
                <c:pt idx="11">
                  <c:v>   Northeast</c:v>
                </c:pt>
                <c:pt idx="12">
                  <c:v>  W Power Originations</c:v>
                </c:pt>
                <c:pt idx="13">
                  <c:v>Gas Assets</c:v>
                </c:pt>
                <c:pt idx="14">
                  <c:v>HPL - Transport</c:v>
                </c:pt>
                <c:pt idx="15">
                  <c:v>Asset Marketing</c:v>
                </c:pt>
                <c:pt idx="16">
                  <c:v>Office of the Chairman</c:v>
                </c:pt>
                <c:pt idx="17">
                  <c:v>Energy Capital Resources</c:v>
                </c:pt>
                <c:pt idx="18">
                  <c:v>Mexico</c:v>
                </c:pt>
              </c:strCache>
            </c:strRef>
          </c:cat>
          <c:val>
            <c:numRef>
              <c:f>('Year Over Year'!$BP$45:$BP$47,'Year Over Year'!$BP$50:$BP$53,'Year Over Year'!$BP$55,'Year Over Year'!$BP$58:$BP$61,'Year Over Year'!$BP$66,'Year Over Year'!$BP$68:$BP$73)</c:f>
              <c:numCache>
                <c:formatCode>_(* #,##0_);_(* \(#,##0\);_(* "-"??_);_(@_)</c:formatCode>
                <c:ptCount val="19"/>
                <c:pt idx="0">
                  <c:v>29349</c:v>
                </c:pt>
                <c:pt idx="1">
                  <c:v>500</c:v>
                </c:pt>
                <c:pt idx="2">
                  <c:v>12223.368</c:v>
                </c:pt>
                <c:pt idx="3">
                  <c:v>2390.5419999999999</c:v>
                </c:pt>
                <c:pt idx="4">
                  <c:v>8782.0210000000006</c:v>
                </c:pt>
                <c:pt idx="5">
                  <c:v>40559.044999999998</c:v>
                </c:pt>
                <c:pt idx="6">
                  <c:v>54</c:v>
                </c:pt>
                <c:pt idx="7">
                  <c:v>20428.058000000001</c:v>
                </c:pt>
                <c:pt idx="8">
                  <c:v>2392</c:v>
                </c:pt>
                <c:pt idx="9">
                  <c:v>791</c:v>
                </c:pt>
                <c:pt idx="10">
                  <c:v>4882</c:v>
                </c:pt>
                <c:pt idx="11">
                  <c:v>9485</c:v>
                </c:pt>
                <c:pt idx="12">
                  <c:v>110595</c:v>
                </c:pt>
                <c:pt idx="13">
                  <c:v>5388.7280000000001</c:v>
                </c:pt>
                <c:pt idx="14">
                  <c:v>5758.63</c:v>
                </c:pt>
                <c:pt idx="15">
                  <c:v>3000</c:v>
                </c:pt>
                <c:pt idx="16">
                  <c:v>0</c:v>
                </c:pt>
                <c:pt idx="17">
                  <c:v>532.21299999999997</c:v>
                </c:pt>
                <c:pt idx="18">
                  <c:v>2564.9369999999999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5-4AE5-828E-391E5857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67968"/>
        <c:axId val="1"/>
      </c:barChart>
      <c:catAx>
        <c:axId val="1878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9.1644247067004386E-3"/>
              <c:y val="0.4531501911314840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6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25622833621112"/>
          <c:y val="0.10138275462602697"/>
          <c:w val="0.2867925849390961"/>
          <c:h val="5.9907991369925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20</xdr:col>
      <xdr:colOff>480060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129540</xdr:rowOff>
    </xdr:from>
    <xdr:to>
      <xdr:col>20</xdr:col>
      <xdr:colOff>518160</xdr:colOff>
      <xdr:row>65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17.399999999999999" x14ac:dyDescent="0.3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17.399999999999999" x14ac:dyDescent="0.3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112"/>
  <sheetViews>
    <sheetView topLeftCell="A9" workbookViewId="0">
      <pane xSplit="1" topLeftCell="B1" activePane="topRight" state="frozen"/>
      <selection activeCell="A2" sqref="A2"/>
      <selection pane="topRight" activeCell="AE27" sqref="AE27"/>
    </sheetView>
  </sheetViews>
  <sheetFormatPr defaultRowHeight="13.2" x14ac:dyDescent="0.25"/>
  <cols>
    <col min="1" max="1" width="39.5546875" bestFit="1" customWidth="1"/>
    <col min="2" max="2" width="2.5546875" customWidth="1"/>
    <col min="3" max="5" width="10.6640625" hidden="1" customWidth="1"/>
    <col min="6" max="6" width="2.33203125" hidden="1" customWidth="1"/>
    <col min="7" max="9" width="10.6640625" hidden="1" customWidth="1"/>
    <col min="10" max="10" width="2.33203125" hidden="1" customWidth="1"/>
    <col min="11" max="13" width="10.6640625" hidden="1" customWidth="1"/>
    <col min="14" max="14" width="2.33203125" hidden="1" customWidth="1"/>
    <col min="15" max="17" width="10.6640625" customWidth="1"/>
    <col min="18" max="18" width="2.33203125" hidden="1" customWidth="1"/>
    <col min="19" max="21" width="10.6640625" hidden="1" customWidth="1"/>
    <col min="22" max="22" width="2.33203125" hidden="1" customWidth="1"/>
    <col min="23" max="25" width="10.6640625" hidden="1" customWidth="1"/>
    <col min="26" max="26" width="2.33203125" hidden="1" customWidth="1"/>
    <col min="27" max="27" width="10.6640625" hidden="1" customWidth="1"/>
    <col min="28" max="28" width="10.6640625" style="29" hidden="1" customWidth="1"/>
    <col min="29" max="29" width="10.6640625" hidden="1" customWidth="1"/>
    <col min="30" max="30" width="2.33203125" customWidth="1"/>
    <col min="31" max="33" width="10.6640625" customWidth="1"/>
    <col min="34" max="34" width="2.33203125" hidden="1" customWidth="1"/>
    <col min="35" max="37" width="10.6640625" hidden="1" customWidth="1"/>
    <col min="38" max="38" width="2.33203125" hidden="1" customWidth="1"/>
    <col min="39" max="41" width="10.6640625" hidden="1" customWidth="1"/>
    <col min="42" max="42" width="2.33203125" hidden="1" customWidth="1"/>
    <col min="43" max="45" width="10.6640625" hidden="1" customWidth="1"/>
    <col min="46" max="46" width="2.33203125" hidden="1" customWidth="1"/>
    <col min="47" max="49" width="10.6640625" hidden="1" customWidth="1"/>
    <col min="50" max="50" width="2.33203125" hidden="1" customWidth="1"/>
    <col min="51" max="53" width="10.6640625" hidden="1" customWidth="1"/>
    <col min="54" max="54" width="2.33203125" hidden="1" customWidth="1"/>
    <col min="55" max="57" width="10.6640625" hidden="1" customWidth="1"/>
    <col min="58" max="58" width="2.33203125" hidden="1" customWidth="1"/>
    <col min="59" max="61" width="10.6640625" hidden="1" customWidth="1"/>
    <col min="62" max="62" width="2.33203125" hidden="1" customWidth="1"/>
    <col min="63" max="65" width="10.6640625" hidden="1" customWidth="1"/>
    <col min="66" max="66" width="2.33203125" customWidth="1"/>
    <col min="67" max="69" width="10.6640625" customWidth="1"/>
    <col min="70" max="70" width="7.6640625" hidden="1" customWidth="1"/>
    <col min="71" max="71" width="2.6640625" customWidth="1"/>
  </cols>
  <sheetData>
    <row r="1" spans="1:70" x14ac:dyDescent="0.25">
      <c r="A1" s="1" t="s">
        <v>0</v>
      </c>
      <c r="B1" s="1"/>
    </row>
    <row r="2" spans="1:70" x14ac:dyDescent="0.25">
      <c r="A2" s="1" t="s">
        <v>1</v>
      </c>
      <c r="B2" s="1"/>
    </row>
    <row r="3" spans="1:70" x14ac:dyDescent="0.25">
      <c r="A3" s="1" t="s">
        <v>2</v>
      </c>
      <c r="B3" s="1"/>
    </row>
    <row r="6" spans="1:70" x14ac:dyDescent="0.25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30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9"/>
      <c r="BP6" s="39"/>
      <c r="BQ6" s="39"/>
      <c r="BR6" s="39"/>
    </row>
    <row r="7" spans="1:70" ht="27" customHeight="1" x14ac:dyDescent="0.25">
      <c r="C7" s="7">
        <v>36526</v>
      </c>
      <c r="D7" s="7">
        <v>36892</v>
      </c>
      <c r="E7" s="8" t="s">
        <v>27</v>
      </c>
      <c r="F7" s="9"/>
      <c r="G7" s="7">
        <v>36557</v>
      </c>
      <c r="H7" s="7">
        <v>36923</v>
      </c>
      <c r="I7" s="8" t="s">
        <v>27</v>
      </c>
      <c r="K7" s="7">
        <v>36586</v>
      </c>
      <c r="L7" s="7">
        <v>36951</v>
      </c>
      <c r="M7" s="8" t="s">
        <v>27</v>
      </c>
      <c r="O7" s="7" t="s">
        <v>29</v>
      </c>
      <c r="P7" s="7" t="s">
        <v>30</v>
      </c>
      <c r="Q7" s="8" t="s">
        <v>27</v>
      </c>
      <c r="S7" s="7">
        <v>36617</v>
      </c>
      <c r="T7" s="7">
        <v>36982</v>
      </c>
      <c r="U7" s="8" t="s">
        <v>27</v>
      </c>
      <c r="W7" s="7">
        <v>36647</v>
      </c>
      <c r="X7" s="7">
        <v>37012</v>
      </c>
      <c r="Y7" s="8" t="s">
        <v>27</v>
      </c>
      <c r="AA7" s="7">
        <v>36678</v>
      </c>
      <c r="AB7" s="31">
        <v>37043</v>
      </c>
      <c r="AC7" s="8" t="s">
        <v>27</v>
      </c>
      <c r="AE7" s="7" t="s">
        <v>31</v>
      </c>
      <c r="AF7" s="7" t="s">
        <v>32</v>
      </c>
      <c r="AG7" s="8" t="s">
        <v>27</v>
      </c>
      <c r="AI7" s="7">
        <v>36708</v>
      </c>
      <c r="AJ7" s="7">
        <v>37073</v>
      </c>
      <c r="AK7" s="8" t="s">
        <v>27</v>
      </c>
      <c r="AM7" s="7">
        <v>36739</v>
      </c>
      <c r="AN7" s="7">
        <v>37104</v>
      </c>
      <c r="AO7" s="8" t="s">
        <v>27</v>
      </c>
      <c r="AQ7" s="7">
        <v>36770</v>
      </c>
      <c r="AR7" s="7">
        <v>37135</v>
      </c>
      <c r="AS7" s="8" t="s">
        <v>27</v>
      </c>
      <c r="AU7" s="7" t="s">
        <v>33</v>
      </c>
      <c r="AV7" s="7" t="s">
        <v>34</v>
      </c>
      <c r="AW7" s="8" t="s">
        <v>27</v>
      </c>
      <c r="AY7" s="7">
        <v>36800</v>
      </c>
      <c r="AZ7" s="7">
        <v>37165</v>
      </c>
      <c r="BA7" s="8" t="s">
        <v>27</v>
      </c>
      <c r="BC7" s="7">
        <v>36831</v>
      </c>
      <c r="BD7" s="7">
        <v>37196</v>
      </c>
      <c r="BE7" s="8" t="s">
        <v>27</v>
      </c>
      <c r="BG7" s="7">
        <v>36861</v>
      </c>
      <c r="BH7" s="7">
        <v>37226</v>
      </c>
      <c r="BI7" s="8" t="s">
        <v>27</v>
      </c>
      <c r="BK7" s="7" t="s">
        <v>35</v>
      </c>
      <c r="BL7" s="7" t="s">
        <v>36</v>
      </c>
      <c r="BM7" s="8" t="s">
        <v>27</v>
      </c>
      <c r="BO7" s="7" t="s">
        <v>11</v>
      </c>
      <c r="BP7" s="7" t="s">
        <v>12</v>
      </c>
      <c r="BQ7" s="8" t="s">
        <v>27</v>
      </c>
      <c r="BR7" s="8" t="s">
        <v>8</v>
      </c>
    </row>
    <row r="8" spans="1:70" ht="12.75" customHeight="1" x14ac:dyDescent="0.25">
      <c r="A8" s="1" t="s">
        <v>84</v>
      </c>
      <c r="C8" s="27"/>
      <c r="D8" s="27"/>
      <c r="E8" s="9"/>
      <c r="F8" s="9"/>
      <c r="G8" s="27"/>
      <c r="H8" s="27"/>
      <c r="I8" s="9"/>
      <c r="K8" s="27"/>
      <c r="L8" s="27"/>
      <c r="M8" s="9"/>
      <c r="O8" s="27"/>
      <c r="P8" s="27"/>
      <c r="Q8" s="9"/>
      <c r="S8" s="27"/>
      <c r="T8" s="27"/>
      <c r="U8" s="9"/>
      <c r="W8" s="27"/>
      <c r="X8" s="27"/>
      <c r="Y8" s="9"/>
      <c r="AA8" s="27"/>
      <c r="AB8" s="32"/>
      <c r="AC8" s="9"/>
      <c r="AE8" s="27"/>
      <c r="AF8" s="27"/>
      <c r="AG8" s="9"/>
      <c r="AI8" s="27"/>
      <c r="AJ8" s="27"/>
      <c r="AK8" s="9"/>
      <c r="AM8" s="27"/>
      <c r="AN8" s="27"/>
      <c r="AO8" s="9"/>
      <c r="AQ8" s="27"/>
      <c r="AR8" s="27"/>
      <c r="AS8" s="9"/>
      <c r="AU8" s="27"/>
      <c r="AV8" s="27"/>
      <c r="AW8" s="9"/>
      <c r="AY8" s="27"/>
      <c r="AZ8" s="27"/>
      <c r="BA8" s="9"/>
      <c r="BC8" s="27"/>
      <c r="BD8" s="27"/>
      <c r="BE8" s="9"/>
      <c r="BG8" s="27"/>
      <c r="BH8" s="27"/>
      <c r="BI8" s="9"/>
      <c r="BK8" s="27"/>
      <c r="BL8" s="27"/>
      <c r="BM8" s="9"/>
      <c r="BO8" s="27"/>
      <c r="BP8" s="27"/>
      <c r="BQ8" s="9"/>
      <c r="BR8" s="9"/>
    </row>
    <row r="9" spans="1:70" ht="12.75" customHeight="1" x14ac:dyDescent="0.25">
      <c r="A9" t="s">
        <v>90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>
        <v>0</v>
      </c>
      <c r="T9" s="3">
        <v>0</v>
      </c>
      <c r="U9" s="3">
        <f>T9-S9</f>
        <v>0</v>
      </c>
      <c r="W9" s="3"/>
      <c r="X9" s="3">
        <f>3</f>
        <v>3</v>
      </c>
      <c r="Y9" s="3">
        <f>X9-W9</f>
        <v>3</v>
      </c>
      <c r="AA9" s="3"/>
      <c r="AB9" s="33">
        <v>0</v>
      </c>
      <c r="AC9" s="3">
        <f>AB9-AA9</f>
        <v>0</v>
      </c>
      <c r="AE9" s="3">
        <f>S9+W9+AA9</f>
        <v>0</v>
      </c>
      <c r="AF9" s="3">
        <f>T9+X9+AB9</f>
        <v>3</v>
      </c>
      <c r="AG9" s="3">
        <f>AF9-AE9</f>
        <v>3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 t="shared" ref="BO9:BP11" si="0">C9+G9+K9+S9+W9+AA9</f>
        <v>0</v>
      </c>
      <c r="BP9" s="3">
        <f t="shared" si="0"/>
        <v>6</v>
      </c>
      <c r="BQ9" s="3">
        <f>BP9-BO9</f>
        <v>6</v>
      </c>
      <c r="BR9" s="5">
        <f>BQ9/BP9</f>
        <v>1</v>
      </c>
    </row>
    <row r="10" spans="1:70" ht="12.75" customHeight="1" x14ac:dyDescent="0.25">
      <c r="A10" t="s">
        <v>91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7" si="1">C10+G10+K10</f>
        <v>0</v>
      </c>
      <c r="P10" s="3">
        <f t="shared" ref="P10:P37" si="2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>
        <v>1</v>
      </c>
      <c r="Y10" s="3">
        <f>X10-W10</f>
        <v>1</v>
      </c>
      <c r="AA10" s="3"/>
      <c r="AB10" s="33"/>
      <c r="AC10" s="3">
        <f>AB10-AA10</f>
        <v>0</v>
      </c>
      <c r="AE10" s="3">
        <f t="shared" ref="AE10:AE37" si="3">S10+W10+AA10</f>
        <v>0</v>
      </c>
      <c r="AF10" s="3">
        <f t="shared" ref="AF10:AF37" si="4">T10+X10+AB10</f>
        <v>1</v>
      </c>
      <c r="AG10" s="3">
        <f>AF10-AE10</f>
        <v>1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7" si="5">AI10+AM10+AQ10</f>
        <v>0</v>
      </c>
      <c r="AV10" s="3">
        <f t="shared" ref="AV10:AV37" si="6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7" si="7">AY10+BC10+BG10</f>
        <v>0</v>
      </c>
      <c r="BL10" s="3">
        <f t="shared" ref="BL10:BL37" si="8">AZ10+BD10+BH10</f>
        <v>0</v>
      </c>
      <c r="BM10" s="3">
        <f>BL10-BK10</f>
        <v>0</v>
      </c>
      <c r="BO10" s="3">
        <f t="shared" si="0"/>
        <v>0</v>
      </c>
      <c r="BP10" s="3">
        <f t="shared" si="0"/>
        <v>1</v>
      </c>
      <c r="BQ10" s="3">
        <f>BP10-BO10</f>
        <v>1</v>
      </c>
      <c r="BR10" s="5">
        <v>0</v>
      </c>
    </row>
    <row r="11" spans="1:70" x14ac:dyDescent="0.25">
      <c r="A11" t="s">
        <v>92</v>
      </c>
      <c r="C11" s="3">
        <v>2</v>
      </c>
      <c r="D11" s="3">
        <v>55</v>
      </c>
      <c r="E11" s="3">
        <f t="shared" ref="E11:E37" si="9">D11-C11</f>
        <v>53</v>
      </c>
      <c r="F11" s="5"/>
      <c r="G11" s="3">
        <v>3</v>
      </c>
      <c r="H11" s="3">
        <v>40</v>
      </c>
      <c r="I11" s="3">
        <f t="shared" ref="I11:I19" si="10">H11-G11</f>
        <v>37</v>
      </c>
      <c r="K11" s="3">
        <v>7</v>
      </c>
      <c r="L11" s="3">
        <v>49</v>
      </c>
      <c r="M11" s="3">
        <f t="shared" ref="M11:M19" si="11">L11-K11</f>
        <v>42</v>
      </c>
      <c r="O11" s="3">
        <f t="shared" si="1"/>
        <v>12</v>
      </c>
      <c r="P11" s="3">
        <f t="shared" si="2"/>
        <v>144</v>
      </c>
      <c r="Q11" s="3">
        <f t="shared" ref="Q11:Q19" si="12">P11-O11</f>
        <v>132</v>
      </c>
      <c r="S11" s="3">
        <v>29</v>
      </c>
      <c r="T11" s="3">
        <v>75</v>
      </c>
      <c r="U11" s="3">
        <f t="shared" ref="U11:U19" si="13">T11-S11</f>
        <v>46</v>
      </c>
      <c r="W11" s="3">
        <v>44</v>
      </c>
      <c r="X11" s="3">
        <v>64</v>
      </c>
      <c r="Y11" s="3">
        <f t="shared" ref="Y11:Y19" si="14">X11-W11</f>
        <v>20</v>
      </c>
      <c r="AA11" s="3">
        <v>50</v>
      </c>
      <c r="AB11" s="33">
        <v>79</v>
      </c>
      <c r="AC11" s="3">
        <f t="shared" ref="AC11:AC19" si="15">AB11-AA11</f>
        <v>29</v>
      </c>
      <c r="AE11" s="3">
        <f t="shared" si="3"/>
        <v>123</v>
      </c>
      <c r="AF11" s="3">
        <f t="shared" si="4"/>
        <v>218</v>
      </c>
      <c r="AG11" s="3">
        <f t="shared" ref="AG11:AG19" si="16">AF11-AE11</f>
        <v>95</v>
      </c>
      <c r="AI11" s="3"/>
      <c r="AJ11" s="3"/>
      <c r="AK11" s="3">
        <f t="shared" ref="AK11:AK19" si="17">AJ11-AI11</f>
        <v>0</v>
      </c>
      <c r="AM11" s="3"/>
      <c r="AN11" s="3"/>
      <c r="AO11" s="3">
        <f t="shared" ref="AO11:AO19" si="18">AN11-AM11</f>
        <v>0</v>
      </c>
      <c r="AQ11" s="3"/>
      <c r="AR11" s="3"/>
      <c r="AS11" s="3">
        <f t="shared" ref="AS11:AS19" si="19">AR11-AQ11</f>
        <v>0</v>
      </c>
      <c r="AU11" s="3">
        <f t="shared" si="5"/>
        <v>0</v>
      </c>
      <c r="AV11" s="3">
        <f t="shared" si="6"/>
        <v>0</v>
      </c>
      <c r="AW11" s="3">
        <f t="shared" ref="AW11:AW19" si="20">AV11-AU11</f>
        <v>0</v>
      </c>
      <c r="AY11" s="3"/>
      <c r="AZ11" s="3"/>
      <c r="BA11" s="3">
        <f t="shared" ref="BA11:BA19" si="21">AZ11-AY11</f>
        <v>0</v>
      </c>
      <c r="BC11" s="3"/>
      <c r="BD11" s="3"/>
      <c r="BE11" s="3">
        <f t="shared" ref="BE11:BE19" si="22">BD11-BC11</f>
        <v>0</v>
      </c>
      <c r="BG11" s="3"/>
      <c r="BH11" s="3"/>
      <c r="BI11" s="3">
        <f t="shared" ref="BI11:BI19" si="23">BH11-BG11</f>
        <v>0</v>
      </c>
      <c r="BK11" s="3">
        <f t="shared" si="7"/>
        <v>0</v>
      </c>
      <c r="BL11" s="3">
        <f t="shared" si="8"/>
        <v>0</v>
      </c>
      <c r="BM11" s="3">
        <f t="shared" ref="BM11:BM19" si="24">BL11-BK11</f>
        <v>0</v>
      </c>
      <c r="BO11" s="3">
        <f t="shared" si="0"/>
        <v>135</v>
      </c>
      <c r="BP11" s="3">
        <f t="shared" si="0"/>
        <v>362</v>
      </c>
      <c r="BQ11" s="3">
        <f t="shared" ref="BQ11:BQ37" si="25">BP11-BO11</f>
        <v>227</v>
      </c>
      <c r="BR11" s="5">
        <f>BQ11/BP11</f>
        <v>0.6270718232044199</v>
      </c>
    </row>
    <row r="12" spans="1:70" x14ac:dyDescent="0.25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5">
      <c r="A13" s="1" t="s">
        <v>69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5">
      <c r="A14" t="s">
        <v>70</v>
      </c>
      <c r="C14" s="3">
        <v>9</v>
      </c>
      <c r="D14" s="3">
        <v>42</v>
      </c>
      <c r="E14" s="3">
        <f t="shared" si="9"/>
        <v>33</v>
      </c>
      <c r="F14" s="5"/>
      <c r="G14" s="3">
        <v>5</v>
      </c>
      <c r="H14" s="3">
        <v>48</v>
      </c>
      <c r="I14" s="3">
        <f t="shared" si="10"/>
        <v>43</v>
      </c>
      <c r="K14" s="3">
        <v>16</v>
      </c>
      <c r="L14" s="3">
        <v>62</v>
      </c>
      <c r="M14" s="3">
        <f t="shared" si="11"/>
        <v>46</v>
      </c>
      <c r="O14" s="3">
        <f t="shared" si="1"/>
        <v>30</v>
      </c>
      <c r="P14" s="3">
        <f t="shared" si="2"/>
        <v>152</v>
      </c>
      <c r="Q14" s="3">
        <f t="shared" si="12"/>
        <v>122</v>
      </c>
      <c r="S14" s="3">
        <v>8</v>
      </c>
      <c r="T14" s="3">
        <v>100</v>
      </c>
      <c r="U14" s="3">
        <f t="shared" si="13"/>
        <v>92</v>
      </c>
      <c r="W14" s="3">
        <v>30</v>
      </c>
      <c r="X14" s="3">
        <v>105</v>
      </c>
      <c r="Y14" s="3">
        <f t="shared" si="14"/>
        <v>75</v>
      </c>
      <c r="AA14" s="3">
        <v>29</v>
      </c>
      <c r="AB14" s="33">
        <v>89</v>
      </c>
      <c r="AC14" s="3">
        <f t="shared" si="15"/>
        <v>60</v>
      </c>
      <c r="AE14" s="3">
        <f t="shared" si="3"/>
        <v>67</v>
      </c>
      <c r="AF14" s="3">
        <f t="shared" si="4"/>
        <v>294</v>
      </c>
      <c r="AG14" s="3">
        <f t="shared" si="16"/>
        <v>227</v>
      </c>
      <c r="AI14" s="3"/>
      <c r="AJ14" s="3"/>
      <c r="AK14" s="3">
        <f t="shared" si="17"/>
        <v>0</v>
      </c>
      <c r="AM14" s="3"/>
      <c r="AN14" s="3"/>
      <c r="AO14" s="3">
        <f t="shared" si="18"/>
        <v>0</v>
      </c>
      <c r="AQ14" s="3"/>
      <c r="AR14" s="3"/>
      <c r="AS14" s="3">
        <f t="shared" si="19"/>
        <v>0</v>
      </c>
      <c r="AU14" s="3">
        <f t="shared" si="5"/>
        <v>0</v>
      </c>
      <c r="AV14" s="3">
        <f t="shared" si="6"/>
        <v>0</v>
      </c>
      <c r="AW14" s="3">
        <f t="shared" si="20"/>
        <v>0</v>
      </c>
      <c r="AY14" s="3"/>
      <c r="AZ14" s="3"/>
      <c r="BA14" s="3">
        <f t="shared" si="21"/>
        <v>0</v>
      </c>
      <c r="BC14" s="3"/>
      <c r="BD14" s="3"/>
      <c r="BE14" s="3">
        <f t="shared" si="22"/>
        <v>0</v>
      </c>
      <c r="BG14" s="3"/>
      <c r="BH14" s="3"/>
      <c r="BI14" s="3">
        <f t="shared" si="23"/>
        <v>0</v>
      </c>
      <c r="BK14" s="3">
        <f t="shared" si="7"/>
        <v>0</v>
      </c>
      <c r="BL14" s="3">
        <f t="shared" si="8"/>
        <v>0</v>
      </c>
      <c r="BM14" s="3">
        <f t="shared" si="24"/>
        <v>0</v>
      </c>
      <c r="BO14" s="3">
        <f t="shared" ref="BO14:BP17" si="26">C14+G14+K14+S14+W14+AA14</f>
        <v>97</v>
      </c>
      <c r="BP14" s="3">
        <f t="shared" si="26"/>
        <v>446</v>
      </c>
      <c r="BQ14" s="3">
        <f t="shared" si="25"/>
        <v>349</v>
      </c>
      <c r="BR14" s="5">
        <f>BQ14/BP14</f>
        <v>0.78251121076233188</v>
      </c>
    </row>
    <row r="15" spans="1:70" x14ac:dyDescent="0.25">
      <c r="A15" t="s">
        <v>71</v>
      </c>
      <c r="C15" s="3">
        <v>17</v>
      </c>
      <c r="D15" s="3">
        <v>84</v>
      </c>
      <c r="E15" s="3">
        <f t="shared" si="9"/>
        <v>67</v>
      </c>
      <c r="F15" s="5"/>
      <c r="G15" s="3">
        <v>7</v>
      </c>
      <c r="H15" s="3">
        <v>88</v>
      </c>
      <c r="I15" s="3">
        <f t="shared" si="10"/>
        <v>81</v>
      </c>
      <c r="K15" s="3">
        <v>22</v>
      </c>
      <c r="L15" s="3">
        <v>134</v>
      </c>
      <c r="M15" s="3">
        <f t="shared" si="11"/>
        <v>112</v>
      </c>
      <c r="O15" s="3">
        <f t="shared" si="1"/>
        <v>46</v>
      </c>
      <c r="P15" s="3">
        <f t="shared" si="2"/>
        <v>306</v>
      </c>
      <c r="Q15" s="3">
        <f t="shared" si="12"/>
        <v>260</v>
      </c>
      <c r="S15" s="3">
        <v>11</v>
      </c>
      <c r="T15" s="3">
        <v>166</v>
      </c>
      <c r="U15" s="3">
        <f t="shared" si="13"/>
        <v>155</v>
      </c>
      <c r="W15" s="3">
        <v>11</v>
      </c>
      <c r="X15" s="3">
        <v>177</v>
      </c>
      <c r="Y15" s="3">
        <f t="shared" si="14"/>
        <v>166</v>
      </c>
      <c r="AA15" s="3">
        <f>2+22</f>
        <v>24</v>
      </c>
      <c r="AB15" s="33">
        <v>238</v>
      </c>
      <c r="AC15" s="3">
        <f t="shared" si="15"/>
        <v>214</v>
      </c>
      <c r="AE15" s="3">
        <f t="shared" si="3"/>
        <v>46</v>
      </c>
      <c r="AF15" s="3">
        <f t="shared" si="4"/>
        <v>581</v>
      </c>
      <c r="AG15" s="3">
        <f t="shared" si="16"/>
        <v>535</v>
      </c>
      <c r="AI15" s="3"/>
      <c r="AJ15" s="3"/>
      <c r="AK15" s="3">
        <f t="shared" si="17"/>
        <v>0</v>
      </c>
      <c r="AM15" s="3"/>
      <c r="AN15" s="3"/>
      <c r="AO15" s="3">
        <f t="shared" si="18"/>
        <v>0</v>
      </c>
      <c r="AQ15" s="3"/>
      <c r="AR15" s="3"/>
      <c r="AS15" s="3">
        <f t="shared" si="19"/>
        <v>0</v>
      </c>
      <c r="AU15" s="3">
        <f t="shared" si="5"/>
        <v>0</v>
      </c>
      <c r="AV15" s="3">
        <f t="shared" si="6"/>
        <v>0</v>
      </c>
      <c r="AW15" s="3">
        <f t="shared" si="20"/>
        <v>0</v>
      </c>
      <c r="AY15" s="3"/>
      <c r="AZ15" s="3"/>
      <c r="BA15" s="3">
        <f t="shared" si="21"/>
        <v>0</v>
      </c>
      <c r="BC15" s="3"/>
      <c r="BD15" s="3"/>
      <c r="BE15" s="3">
        <f t="shared" si="22"/>
        <v>0</v>
      </c>
      <c r="BG15" s="3"/>
      <c r="BH15" s="3"/>
      <c r="BI15" s="3">
        <f t="shared" si="23"/>
        <v>0</v>
      </c>
      <c r="BK15" s="3">
        <f t="shared" si="7"/>
        <v>0</v>
      </c>
      <c r="BL15" s="3">
        <f t="shared" si="8"/>
        <v>0</v>
      </c>
      <c r="BM15" s="3">
        <f t="shared" si="24"/>
        <v>0</v>
      </c>
      <c r="BO15" s="3">
        <f t="shared" si="26"/>
        <v>92</v>
      </c>
      <c r="BP15" s="3">
        <f t="shared" si="26"/>
        <v>887</v>
      </c>
      <c r="BQ15" s="3">
        <f t="shared" si="25"/>
        <v>795</v>
      </c>
      <c r="BR15" s="5">
        <f>BQ15/BP15</f>
        <v>0.89627959413754232</v>
      </c>
    </row>
    <row r="16" spans="1:70" x14ac:dyDescent="0.25">
      <c r="A16" t="s">
        <v>72</v>
      </c>
      <c r="C16" s="3">
        <v>3</v>
      </c>
      <c r="D16" s="3">
        <v>43</v>
      </c>
      <c r="E16" s="3">
        <f t="shared" si="9"/>
        <v>40</v>
      </c>
      <c r="F16" s="5"/>
      <c r="G16" s="3">
        <v>0</v>
      </c>
      <c r="H16" s="3">
        <v>25</v>
      </c>
      <c r="I16" s="3">
        <f t="shared" si="10"/>
        <v>25</v>
      </c>
      <c r="K16" s="3">
        <v>0</v>
      </c>
      <c r="L16" s="3">
        <v>29</v>
      </c>
      <c r="M16" s="3">
        <f t="shared" si="11"/>
        <v>29</v>
      </c>
      <c r="O16" s="3">
        <f t="shared" si="1"/>
        <v>3</v>
      </c>
      <c r="P16" s="3">
        <f t="shared" si="2"/>
        <v>97</v>
      </c>
      <c r="Q16" s="3">
        <f t="shared" si="12"/>
        <v>94</v>
      </c>
      <c r="S16" s="3">
        <v>0</v>
      </c>
      <c r="T16" s="3">
        <f>42+3+10</f>
        <v>55</v>
      </c>
      <c r="U16" s="3">
        <f t="shared" si="13"/>
        <v>55</v>
      </c>
      <c r="W16" s="3">
        <v>0</v>
      </c>
      <c r="X16" s="3">
        <f>55</f>
        <v>55</v>
      </c>
      <c r="Y16" s="3">
        <f t="shared" si="14"/>
        <v>55</v>
      </c>
      <c r="AA16" s="3">
        <v>2</v>
      </c>
      <c r="AB16" s="33">
        <f>64+17</f>
        <v>81</v>
      </c>
      <c r="AC16" s="3">
        <f t="shared" si="15"/>
        <v>79</v>
      </c>
      <c r="AE16" s="3">
        <f t="shared" si="3"/>
        <v>2</v>
      </c>
      <c r="AF16" s="3">
        <f t="shared" si="4"/>
        <v>191</v>
      </c>
      <c r="AG16" s="3">
        <f t="shared" si="16"/>
        <v>189</v>
      </c>
      <c r="AI16" s="3"/>
      <c r="AJ16" s="3"/>
      <c r="AK16" s="3">
        <f t="shared" si="17"/>
        <v>0</v>
      </c>
      <c r="AM16" s="3"/>
      <c r="AN16" s="3"/>
      <c r="AO16" s="3">
        <f t="shared" si="18"/>
        <v>0</v>
      </c>
      <c r="AQ16" s="3"/>
      <c r="AR16" s="3"/>
      <c r="AS16" s="3">
        <f t="shared" si="19"/>
        <v>0</v>
      </c>
      <c r="AU16" s="3">
        <f t="shared" si="5"/>
        <v>0</v>
      </c>
      <c r="AV16" s="3">
        <f t="shared" si="6"/>
        <v>0</v>
      </c>
      <c r="AW16" s="3">
        <f t="shared" si="20"/>
        <v>0</v>
      </c>
      <c r="AY16" s="3"/>
      <c r="AZ16" s="3"/>
      <c r="BA16" s="3">
        <f t="shared" si="21"/>
        <v>0</v>
      </c>
      <c r="BC16" s="3"/>
      <c r="BD16" s="3"/>
      <c r="BE16" s="3">
        <f t="shared" si="22"/>
        <v>0</v>
      </c>
      <c r="BG16" s="3"/>
      <c r="BH16" s="3"/>
      <c r="BI16" s="3">
        <f t="shared" si="23"/>
        <v>0</v>
      </c>
      <c r="BK16" s="3">
        <f t="shared" si="7"/>
        <v>0</v>
      </c>
      <c r="BL16" s="3">
        <f t="shared" si="8"/>
        <v>0</v>
      </c>
      <c r="BM16" s="3">
        <f t="shared" si="24"/>
        <v>0</v>
      </c>
      <c r="BO16" s="3">
        <f t="shared" si="26"/>
        <v>5</v>
      </c>
      <c r="BP16" s="3">
        <f t="shared" si="26"/>
        <v>288</v>
      </c>
      <c r="BQ16" s="3">
        <f t="shared" si="25"/>
        <v>283</v>
      </c>
      <c r="BR16" s="5">
        <f>BQ16/BP16</f>
        <v>0.98263888888888884</v>
      </c>
    </row>
    <row r="17" spans="1:70" x14ac:dyDescent="0.25">
      <c r="A17" t="s">
        <v>73</v>
      </c>
      <c r="C17" s="3">
        <v>1</v>
      </c>
      <c r="D17" s="3">
        <v>0</v>
      </c>
      <c r="E17" s="3">
        <f t="shared" si="9"/>
        <v>-1</v>
      </c>
      <c r="F17" s="5"/>
      <c r="G17" s="3">
        <v>4</v>
      </c>
      <c r="H17" s="3">
        <v>0</v>
      </c>
      <c r="I17" s="3">
        <f t="shared" si="10"/>
        <v>-4</v>
      </c>
      <c r="K17" s="3">
        <v>3</v>
      </c>
      <c r="L17" s="3">
        <v>0</v>
      </c>
      <c r="M17" s="3">
        <f t="shared" si="11"/>
        <v>-3</v>
      </c>
      <c r="O17" s="3">
        <f t="shared" si="1"/>
        <v>8</v>
      </c>
      <c r="P17" s="3">
        <f t="shared" si="2"/>
        <v>0</v>
      </c>
      <c r="Q17" s="3">
        <f t="shared" si="12"/>
        <v>-8</v>
      </c>
      <c r="S17" s="3">
        <v>2</v>
      </c>
      <c r="T17" s="3"/>
      <c r="U17" s="3">
        <f t="shared" si="13"/>
        <v>-2</v>
      </c>
      <c r="W17" s="3">
        <v>2</v>
      </c>
      <c r="X17" s="3">
        <v>5</v>
      </c>
      <c r="Y17" s="3">
        <f t="shared" si="14"/>
        <v>3</v>
      </c>
      <c r="AA17" s="3">
        <v>1</v>
      </c>
      <c r="AB17" s="33"/>
      <c r="AC17" s="3">
        <f t="shared" si="15"/>
        <v>-1</v>
      </c>
      <c r="AE17" s="3">
        <f t="shared" si="3"/>
        <v>5</v>
      </c>
      <c r="AF17" s="3">
        <f t="shared" si="4"/>
        <v>5</v>
      </c>
      <c r="AG17" s="3">
        <f t="shared" si="16"/>
        <v>0</v>
      </c>
      <c r="AI17" s="3"/>
      <c r="AJ17" s="3"/>
      <c r="AK17" s="3">
        <f t="shared" si="17"/>
        <v>0</v>
      </c>
      <c r="AM17" s="3"/>
      <c r="AN17" s="3"/>
      <c r="AO17" s="3">
        <f t="shared" si="18"/>
        <v>0</v>
      </c>
      <c r="AQ17" s="3"/>
      <c r="AR17" s="3"/>
      <c r="AS17" s="3">
        <f t="shared" si="19"/>
        <v>0</v>
      </c>
      <c r="AU17" s="3">
        <f t="shared" si="5"/>
        <v>0</v>
      </c>
      <c r="AV17" s="3">
        <f t="shared" si="6"/>
        <v>0</v>
      </c>
      <c r="AW17" s="3">
        <f t="shared" si="20"/>
        <v>0</v>
      </c>
      <c r="AY17" s="3"/>
      <c r="AZ17" s="3"/>
      <c r="BA17" s="3">
        <f t="shared" si="21"/>
        <v>0</v>
      </c>
      <c r="BC17" s="3"/>
      <c r="BD17" s="3"/>
      <c r="BE17" s="3">
        <f t="shared" si="22"/>
        <v>0</v>
      </c>
      <c r="BG17" s="3"/>
      <c r="BH17" s="3"/>
      <c r="BI17" s="3">
        <f t="shared" si="23"/>
        <v>0</v>
      </c>
      <c r="BK17" s="3">
        <f t="shared" si="7"/>
        <v>0</v>
      </c>
      <c r="BL17" s="3">
        <f t="shared" si="8"/>
        <v>0</v>
      </c>
      <c r="BM17" s="3">
        <f t="shared" si="24"/>
        <v>0</v>
      </c>
      <c r="BO17" s="3">
        <f t="shared" si="26"/>
        <v>13</v>
      </c>
      <c r="BP17" s="3">
        <f t="shared" si="26"/>
        <v>5</v>
      </c>
      <c r="BQ17" s="3">
        <f t="shared" si="25"/>
        <v>-8</v>
      </c>
      <c r="BR17" s="5">
        <v>0</v>
      </c>
    </row>
    <row r="18" spans="1:70" hidden="1" x14ac:dyDescent="0.25">
      <c r="A18" t="s">
        <v>74</v>
      </c>
      <c r="C18" s="3">
        <v>0</v>
      </c>
      <c r="D18" s="3">
        <v>0</v>
      </c>
      <c r="E18" s="3">
        <f t="shared" si="9"/>
        <v>0</v>
      </c>
      <c r="F18" s="5"/>
      <c r="G18" s="3">
        <v>0</v>
      </c>
      <c r="H18" s="3">
        <v>0</v>
      </c>
      <c r="I18" s="3">
        <f t="shared" si="10"/>
        <v>0</v>
      </c>
      <c r="K18" s="3">
        <v>0</v>
      </c>
      <c r="L18" s="3">
        <v>0</v>
      </c>
      <c r="M18" s="3">
        <f t="shared" si="11"/>
        <v>0</v>
      </c>
      <c r="O18" s="3">
        <f t="shared" si="1"/>
        <v>0</v>
      </c>
      <c r="P18" s="3">
        <f t="shared" si="2"/>
        <v>0</v>
      </c>
      <c r="Q18" s="3">
        <f t="shared" si="12"/>
        <v>0</v>
      </c>
      <c r="S18" s="3"/>
      <c r="T18" s="3"/>
      <c r="U18" s="3">
        <f t="shared" si="13"/>
        <v>0</v>
      </c>
      <c r="W18" s="3"/>
      <c r="X18" s="3"/>
      <c r="Y18" s="3">
        <f t="shared" si="14"/>
        <v>0</v>
      </c>
      <c r="AA18" s="3"/>
      <c r="AB18" s="33"/>
      <c r="AC18" s="3">
        <f t="shared" si="15"/>
        <v>0</v>
      </c>
      <c r="AE18" s="3">
        <f t="shared" si="3"/>
        <v>0</v>
      </c>
      <c r="AF18" s="3">
        <f t="shared" si="4"/>
        <v>0</v>
      </c>
      <c r="AG18" s="3">
        <f t="shared" si="16"/>
        <v>0</v>
      </c>
      <c r="AI18" s="3"/>
      <c r="AJ18" s="3"/>
      <c r="AK18" s="3">
        <f t="shared" si="17"/>
        <v>0</v>
      </c>
      <c r="AM18" s="3"/>
      <c r="AN18" s="3"/>
      <c r="AO18" s="3">
        <f t="shared" si="18"/>
        <v>0</v>
      </c>
      <c r="AQ18" s="3"/>
      <c r="AR18" s="3"/>
      <c r="AS18" s="3">
        <f t="shared" si="19"/>
        <v>0</v>
      </c>
      <c r="AU18" s="3">
        <f t="shared" si="5"/>
        <v>0</v>
      </c>
      <c r="AV18" s="3">
        <f t="shared" si="6"/>
        <v>0</v>
      </c>
      <c r="AW18" s="3">
        <f t="shared" si="20"/>
        <v>0</v>
      </c>
      <c r="AY18" s="3"/>
      <c r="AZ18" s="3"/>
      <c r="BA18" s="3">
        <f t="shared" si="21"/>
        <v>0</v>
      </c>
      <c r="BC18" s="3"/>
      <c r="BD18" s="3"/>
      <c r="BE18" s="3">
        <f t="shared" si="22"/>
        <v>0</v>
      </c>
      <c r="BG18" s="3"/>
      <c r="BH18" s="3"/>
      <c r="BI18" s="3">
        <f t="shared" si="23"/>
        <v>0</v>
      </c>
      <c r="BK18" s="3">
        <f t="shared" si="7"/>
        <v>0</v>
      </c>
      <c r="BL18" s="3">
        <f t="shared" si="8"/>
        <v>0</v>
      </c>
      <c r="BM18" s="3">
        <f t="shared" si="24"/>
        <v>0</v>
      </c>
      <c r="BO18" s="3">
        <f>C18+G18+K18+S18+W18</f>
        <v>0</v>
      </c>
      <c r="BP18" s="3">
        <f>D18+H18+L18+T18+X18</f>
        <v>0</v>
      </c>
      <c r="BQ18" s="3">
        <f t="shared" si="25"/>
        <v>0</v>
      </c>
      <c r="BR18" s="5"/>
    </row>
    <row r="19" spans="1:70" x14ac:dyDescent="0.25">
      <c r="A19" t="s">
        <v>75</v>
      </c>
      <c r="C19" s="3">
        <v>223</v>
      </c>
      <c r="D19" s="3">
        <v>439</v>
      </c>
      <c r="E19" s="3">
        <f t="shared" si="9"/>
        <v>216</v>
      </c>
      <c r="F19" s="5"/>
      <c r="G19" s="3">
        <v>247</v>
      </c>
      <c r="H19" s="3">
        <v>283</v>
      </c>
      <c r="I19" s="3">
        <f t="shared" si="10"/>
        <v>36</v>
      </c>
      <c r="K19" s="3">
        <v>276</v>
      </c>
      <c r="L19" s="3">
        <v>372</v>
      </c>
      <c r="M19" s="3">
        <f t="shared" si="11"/>
        <v>96</v>
      </c>
      <c r="O19" s="3">
        <f t="shared" si="1"/>
        <v>746</v>
      </c>
      <c r="P19" s="3">
        <f t="shared" si="2"/>
        <v>1094</v>
      </c>
      <c r="Q19" s="3">
        <f t="shared" si="12"/>
        <v>348</v>
      </c>
      <c r="S19" s="3">
        <v>186</v>
      </c>
      <c r="T19" s="3">
        <v>372</v>
      </c>
      <c r="U19" s="3">
        <f t="shared" si="13"/>
        <v>186</v>
      </c>
      <c r="W19" s="3">
        <v>318</v>
      </c>
      <c r="X19" s="3">
        <v>443</v>
      </c>
      <c r="Y19" s="3">
        <f t="shared" si="14"/>
        <v>125</v>
      </c>
      <c r="AA19" s="3">
        <v>346</v>
      </c>
      <c r="AB19" s="33">
        <v>399</v>
      </c>
      <c r="AC19" s="3">
        <f t="shared" si="15"/>
        <v>53</v>
      </c>
      <c r="AE19" s="3">
        <f t="shared" si="3"/>
        <v>850</v>
      </c>
      <c r="AF19" s="3">
        <f t="shared" si="4"/>
        <v>1214</v>
      </c>
      <c r="AG19" s="3">
        <f t="shared" si="16"/>
        <v>364</v>
      </c>
      <c r="AI19" s="3"/>
      <c r="AJ19" s="3"/>
      <c r="AK19" s="3">
        <f t="shared" si="17"/>
        <v>0</v>
      </c>
      <c r="AM19" s="3"/>
      <c r="AN19" s="3"/>
      <c r="AO19" s="3">
        <f t="shared" si="18"/>
        <v>0</v>
      </c>
      <c r="AQ19" s="3"/>
      <c r="AR19" s="3"/>
      <c r="AS19" s="3">
        <f t="shared" si="19"/>
        <v>0</v>
      </c>
      <c r="AU19" s="3">
        <f t="shared" si="5"/>
        <v>0</v>
      </c>
      <c r="AV19" s="3">
        <f t="shared" si="6"/>
        <v>0</v>
      </c>
      <c r="AW19" s="3">
        <f t="shared" si="20"/>
        <v>0</v>
      </c>
      <c r="AY19" s="3"/>
      <c r="AZ19" s="3"/>
      <c r="BA19" s="3">
        <f t="shared" si="21"/>
        <v>0</v>
      </c>
      <c r="BC19" s="3"/>
      <c r="BD19" s="3"/>
      <c r="BE19" s="3">
        <f t="shared" si="22"/>
        <v>0</v>
      </c>
      <c r="BG19" s="3"/>
      <c r="BH19" s="3"/>
      <c r="BI19" s="3">
        <f t="shared" si="23"/>
        <v>0</v>
      </c>
      <c r="BK19" s="3">
        <f t="shared" si="7"/>
        <v>0</v>
      </c>
      <c r="BL19" s="3">
        <f t="shared" si="8"/>
        <v>0</v>
      </c>
      <c r="BM19" s="3">
        <f t="shared" si="24"/>
        <v>0</v>
      </c>
      <c r="BO19" s="3">
        <f>C19+G19+K19+S19+W19+AA19</f>
        <v>1596</v>
      </c>
      <c r="BP19" s="3">
        <f>D19+H19+L19+T19+X19+AB19</f>
        <v>2308</v>
      </c>
      <c r="BQ19" s="3">
        <f t="shared" si="25"/>
        <v>712</v>
      </c>
      <c r="BR19" s="5">
        <f>BQ19/BP19</f>
        <v>0.30849220103986136</v>
      </c>
    </row>
    <row r="20" spans="1:70" x14ac:dyDescent="0.25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5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/>
      <c r="P21" s="3"/>
      <c r="Q21" s="3"/>
      <c r="S21" s="3"/>
      <c r="T21" s="3"/>
      <c r="U21" s="3"/>
      <c r="W21" s="3"/>
      <c r="X21" s="3"/>
      <c r="Y21" s="3"/>
      <c r="AA21" s="3"/>
      <c r="AB21" s="33"/>
      <c r="AC21" s="3"/>
      <c r="AE21" s="3"/>
      <c r="AF21" s="3"/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5"/>
        <v>0</v>
      </c>
      <c r="AV21" s="3">
        <f t="shared" si="6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7"/>
        <v>0</v>
      </c>
      <c r="BL21" s="3">
        <f t="shared" si="8"/>
        <v>0</v>
      </c>
      <c r="BM21" s="3"/>
      <c r="BO21" s="3"/>
      <c r="BP21" s="3"/>
      <c r="BQ21" s="3"/>
      <c r="BR21" s="5"/>
    </row>
    <row r="22" spans="1:70" x14ac:dyDescent="0.25">
      <c r="A22" s="11" t="s">
        <v>13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4</v>
      </c>
      <c r="I22" s="3">
        <f>H22-G22</f>
        <v>4</v>
      </c>
      <c r="K22" s="3">
        <v>0</v>
      </c>
      <c r="L22" s="3">
        <v>2</v>
      </c>
      <c r="M22" s="3">
        <f>L22-K22</f>
        <v>2</v>
      </c>
      <c r="O22" s="3">
        <f t="shared" si="1"/>
        <v>0</v>
      </c>
      <c r="P22" s="3">
        <f t="shared" si="2"/>
        <v>6</v>
      </c>
      <c r="Q22" s="3">
        <f>P22-O22</f>
        <v>6</v>
      </c>
      <c r="S22" s="3">
        <v>0</v>
      </c>
      <c r="T22" s="3">
        <f>2+1</f>
        <v>3</v>
      </c>
      <c r="U22" s="3">
        <f>T22-S22</f>
        <v>3</v>
      </c>
      <c r="W22" s="3">
        <v>0</v>
      </c>
      <c r="X22" s="3">
        <v>2</v>
      </c>
      <c r="Y22" s="3">
        <f>X22-W22</f>
        <v>2</v>
      </c>
      <c r="AA22" s="3">
        <v>0</v>
      </c>
      <c r="AB22" s="33"/>
      <c r="AC22" s="3">
        <f>AB22-AA22</f>
        <v>0</v>
      </c>
      <c r="AE22" s="3">
        <f t="shared" si="3"/>
        <v>0</v>
      </c>
      <c r="AF22" s="3">
        <f t="shared" si="4"/>
        <v>5</v>
      </c>
      <c r="AG22" s="3">
        <f>AF22-AE22</f>
        <v>5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5"/>
        <v>0</v>
      </c>
      <c r="AV22" s="3">
        <f t="shared" si="6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7"/>
        <v>0</v>
      </c>
      <c r="BL22" s="3">
        <f t="shared" si="8"/>
        <v>0</v>
      </c>
      <c r="BM22" s="3">
        <f>BL22-BK22</f>
        <v>0</v>
      </c>
      <c r="BO22" s="3">
        <f t="shared" ref="BO22:BP25" si="27">C22+G22+K22+S22+W22+AA22</f>
        <v>0</v>
      </c>
      <c r="BP22" s="3">
        <f t="shared" si="27"/>
        <v>11</v>
      </c>
      <c r="BQ22" s="3">
        <f>BP22-BO22</f>
        <v>11</v>
      </c>
      <c r="BR22" s="5">
        <f>BQ22/BP22</f>
        <v>1</v>
      </c>
    </row>
    <row r="23" spans="1:70" x14ac:dyDescent="0.25">
      <c r="A23" s="11" t="s">
        <v>14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f>1+2</f>
        <v>3</v>
      </c>
      <c r="I23" s="3">
        <f>H23-G23</f>
        <v>3</v>
      </c>
      <c r="K23" s="3">
        <v>0</v>
      </c>
      <c r="L23" s="3">
        <f>1+2</f>
        <v>3</v>
      </c>
      <c r="M23" s="3">
        <f>L23-K23</f>
        <v>3</v>
      </c>
      <c r="O23" s="3">
        <f t="shared" si="1"/>
        <v>0</v>
      </c>
      <c r="P23" s="3">
        <f t="shared" si="2"/>
        <v>6</v>
      </c>
      <c r="Q23" s="3">
        <f>P23-O23</f>
        <v>6</v>
      </c>
      <c r="S23" s="3">
        <v>0</v>
      </c>
      <c r="T23" s="3">
        <f>6-1</f>
        <v>5</v>
      </c>
      <c r="U23" s="3">
        <f>T23-S23</f>
        <v>5</v>
      </c>
      <c r="W23" s="3">
        <v>0</v>
      </c>
      <c r="X23" s="3">
        <v>5</v>
      </c>
      <c r="Y23" s="3">
        <f>X23-W23</f>
        <v>5</v>
      </c>
      <c r="AA23" s="3">
        <v>0</v>
      </c>
      <c r="AB23" s="33">
        <v>5</v>
      </c>
      <c r="AC23" s="3">
        <f>AB23-AA23</f>
        <v>5</v>
      </c>
      <c r="AE23" s="3">
        <f t="shared" si="3"/>
        <v>0</v>
      </c>
      <c r="AF23" s="3">
        <f t="shared" si="4"/>
        <v>15</v>
      </c>
      <c r="AG23" s="3">
        <f>AF23-AE23</f>
        <v>15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5"/>
        <v>0</v>
      </c>
      <c r="AV23" s="3">
        <f t="shared" si="6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7"/>
        <v>0</v>
      </c>
      <c r="BL23" s="3">
        <f t="shared" si="8"/>
        <v>0</v>
      </c>
      <c r="BM23" s="3">
        <f>BL23-BK23</f>
        <v>0</v>
      </c>
      <c r="BO23" s="3">
        <f t="shared" si="27"/>
        <v>0</v>
      </c>
      <c r="BP23" s="3">
        <f t="shared" si="27"/>
        <v>21</v>
      </c>
      <c r="BQ23" s="3">
        <f>BP23-BO23</f>
        <v>21</v>
      </c>
      <c r="BR23" s="5">
        <f>BQ23/BP23</f>
        <v>1</v>
      </c>
    </row>
    <row r="24" spans="1:70" x14ac:dyDescent="0.25">
      <c r="A24" s="11" t="s">
        <v>15</v>
      </c>
      <c r="C24" s="3">
        <v>0</v>
      </c>
      <c r="D24" s="3">
        <v>14</v>
      </c>
      <c r="E24" s="3">
        <f>D24-C24</f>
        <v>14</v>
      </c>
      <c r="F24" s="5"/>
      <c r="G24" s="3">
        <v>0</v>
      </c>
      <c r="H24" s="3">
        <v>15</v>
      </c>
      <c r="I24" s="3">
        <f>H24-G24</f>
        <v>15</v>
      </c>
      <c r="K24" s="3">
        <v>0</v>
      </c>
      <c r="L24" s="3">
        <v>30</v>
      </c>
      <c r="M24" s="3">
        <f>L24-K24</f>
        <v>30</v>
      </c>
      <c r="O24" s="3">
        <f t="shared" si="1"/>
        <v>0</v>
      </c>
      <c r="P24" s="3">
        <f t="shared" si="2"/>
        <v>59</v>
      </c>
      <c r="Q24" s="3">
        <f>P24-O24</f>
        <v>59</v>
      </c>
      <c r="S24" s="3">
        <v>0</v>
      </c>
      <c r="T24" s="3">
        <f>12+9+1</f>
        <v>22</v>
      </c>
      <c r="U24" s="3">
        <f>T24-S24</f>
        <v>22</v>
      </c>
      <c r="W24" s="3">
        <v>0</v>
      </c>
      <c r="X24" s="3">
        <v>14</v>
      </c>
      <c r="Y24" s="3">
        <f>X24-W24</f>
        <v>14</v>
      </c>
      <c r="AA24" s="3">
        <v>0</v>
      </c>
      <c r="AB24" s="33">
        <v>18</v>
      </c>
      <c r="AC24" s="3">
        <f>AB24-AA24</f>
        <v>18</v>
      </c>
      <c r="AE24" s="3">
        <f t="shared" si="3"/>
        <v>0</v>
      </c>
      <c r="AF24" s="3">
        <f t="shared" si="4"/>
        <v>54</v>
      </c>
      <c r="AG24" s="3">
        <f>AF24-AE24</f>
        <v>54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5"/>
        <v>0</v>
      </c>
      <c r="AV24" s="3">
        <f t="shared" si="6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7"/>
        <v>0</v>
      </c>
      <c r="BL24" s="3">
        <f t="shared" si="8"/>
        <v>0</v>
      </c>
      <c r="BM24" s="3">
        <f>BL24-BK24</f>
        <v>0</v>
      </c>
      <c r="BO24" s="3">
        <f t="shared" si="27"/>
        <v>0</v>
      </c>
      <c r="BP24" s="3">
        <f t="shared" si="27"/>
        <v>113</v>
      </c>
      <c r="BQ24" s="3">
        <f>BP24-BO24</f>
        <v>113</v>
      </c>
      <c r="BR24" s="5">
        <f>BQ24/BP24</f>
        <v>1</v>
      </c>
    </row>
    <row r="25" spans="1:70" x14ac:dyDescent="0.25">
      <c r="A25" s="11" t="s">
        <v>16</v>
      </c>
      <c r="C25" s="3">
        <v>0</v>
      </c>
      <c r="D25" s="3">
        <f>4+9</f>
        <v>13</v>
      </c>
      <c r="E25" s="3">
        <f>D25-C25</f>
        <v>13</v>
      </c>
      <c r="F25" s="5"/>
      <c r="G25" s="3">
        <v>0</v>
      </c>
      <c r="H25" s="3">
        <f>3+9</f>
        <v>12</v>
      </c>
      <c r="I25" s="3">
        <f>H25-G25</f>
        <v>12</v>
      </c>
      <c r="K25" s="3">
        <v>1</v>
      </c>
      <c r="L25" s="3">
        <f>95</f>
        <v>95</v>
      </c>
      <c r="M25" s="3">
        <f>L25-K25</f>
        <v>94</v>
      </c>
      <c r="O25" s="3">
        <f t="shared" si="1"/>
        <v>1</v>
      </c>
      <c r="P25" s="3">
        <f t="shared" si="2"/>
        <v>120</v>
      </c>
      <c r="Q25" s="3">
        <f>P25-O25</f>
        <v>119</v>
      </c>
      <c r="S25" s="3">
        <v>0</v>
      </c>
      <c r="T25" s="3">
        <f>2+1-1</f>
        <v>2</v>
      </c>
      <c r="U25" s="3">
        <f>T25-S25</f>
        <v>2</v>
      </c>
      <c r="W25" s="3"/>
      <c r="X25" s="3">
        <v>6</v>
      </c>
      <c r="Y25" s="3">
        <f>X25-W25</f>
        <v>6</v>
      </c>
      <c r="AA25" s="3">
        <v>0</v>
      </c>
      <c r="AB25" s="33">
        <v>6</v>
      </c>
      <c r="AC25" s="3">
        <f>AB25-AA25</f>
        <v>6</v>
      </c>
      <c r="AE25" s="3">
        <f t="shared" si="3"/>
        <v>0</v>
      </c>
      <c r="AF25" s="3">
        <f t="shared" si="4"/>
        <v>14</v>
      </c>
      <c r="AG25" s="3">
        <f>AF25-AE25</f>
        <v>14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5"/>
        <v>0</v>
      </c>
      <c r="AV25" s="3">
        <f t="shared" si="6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7"/>
        <v>0</v>
      </c>
      <c r="BL25" s="3">
        <f t="shared" si="8"/>
        <v>0</v>
      </c>
      <c r="BM25" s="3">
        <f>BL25-BK25</f>
        <v>0</v>
      </c>
      <c r="BO25" s="3">
        <f t="shared" si="27"/>
        <v>1</v>
      </c>
      <c r="BP25" s="3">
        <f t="shared" si="27"/>
        <v>134</v>
      </c>
      <c r="BQ25" s="3">
        <f>BP25-BO25</f>
        <v>133</v>
      </c>
      <c r="BR25" s="5">
        <f>BQ25/BP25</f>
        <v>0.9925373134328358</v>
      </c>
    </row>
    <row r="26" spans="1:70" x14ac:dyDescent="0.25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5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/>
      <c r="P27" s="3"/>
      <c r="Q27" s="3"/>
      <c r="S27" s="3"/>
      <c r="T27" s="3"/>
      <c r="U27" s="3"/>
      <c r="W27" s="3"/>
      <c r="X27" s="3"/>
      <c r="Y27" s="3"/>
      <c r="AA27" s="3"/>
      <c r="AB27" s="33"/>
      <c r="AC27" s="3"/>
      <c r="AE27" s="3"/>
      <c r="AF27" s="3"/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5"/>
        <v>0</v>
      </c>
      <c r="AV27" s="3">
        <f t="shared" si="6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7"/>
        <v>0</v>
      </c>
      <c r="BL27" s="3">
        <f t="shared" si="8"/>
        <v>0</v>
      </c>
      <c r="BM27" s="3"/>
      <c r="BO27" s="3"/>
      <c r="BP27" s="3"/>
      <c r="BQ27" s="3"/>
      <c r="BR27" s="5"/>
    </row>
    <row r="28" spans="1:70" hidden="1" x14ac:dyDescent="0.25">
      <c r="A28" t="s">
        <v>93</v>
      </c>
      <c r="C28" s="3">
        <v>0</v>
      </c>
      <c r="D28" s="3">
        <v>0</v>
      </c>
      <c r="E28" s="3">
        <f t="shared" si="9"/>
        <v>0</v>
      </c>
      <c r="F28" s="5"/>
      <c r="G28" s="3">
        <v>0</v>
      </c>
      <c r="H28" s="3">
        <v>0</v>
      </c>
      <c r="I28" s="3">
        <f t="shared" ref="I28:I37" si="28">H28-G28</f>
        <v>0</v>
      </c>
      <c r="K28" s="3">
        <v>0</v>
      </c>
      <c r="L28" s="3">
        <v>0</v>
      </c>
      <c r="M28" s="3">
        <f t="shared" ref="M28:M37" si="29">L28-K28</f>
        <v>0</v>
      </c>
      <c r="O28" s="3">
        <f t="shared" si="1"/>
        <v>0</v>
      </c>
      <c r="P28" s="3">
        <f t="shared" si="2"/>
        <v>0</v>
      </c>
      <c r="Q28" s="3">
        <f t="shared" ref="Q28:Q37" si="30">P28-O28</f>
        <v>0</v>
      </c>
      <c r="S28" s="3">
        <v>0</v>
      </c>
      <c r="T28" s="3">
        <v>0</v>
      </c>
      <c r="U28" s="3">
        <f t="shared" ref="U28:U37" si="31">T28-S28</f>
        <v>0</v>
      </c>
      <c r="W28" s="3">
        <v>0</v>
      </c>
      <c r="X28" s="3"/>
      <c r="Y28" s="3">
        <f t="shared" ref="Y28:Y37" si="32">X28-W28</f>
        <v>0</v>
      </c>
      <c r="AA28" s="3"/>
      <c r="AB28" s="33"/>
      <c r="AC28" s="3">
        <f t="shared" ref="AC28:AC37" si="33">AB28-AA28</f>
        <v>0</v>
      </c>
      <c r="AE28" s="3">
        <f t="shared" si="3"/>
        <v>0</v>
      </c>
      <c r="AF28" s="3">
        <f t="shared" si="4"/>
        <v>0</v>
      </c>
      <c r="AG28" s="3">
        <f t="shared" ref="AG28:AG37" si="34">AF28-AE28</f>
        <v>0</v>
      </c>
      <c r="AI28" s="3"/>
      <c r="AJ28" s="3"/>
      <c r="AK28" s="3">
        <f t="shared" ref="AK28:AK37" si="35">AJ28-AI28</f>
        <v>0</v>
      </c>
      <c r="AM28" s="3"/>
      <c r="AN28" s="3"/>
      <c r="AO28" s="3">
        <f t="shared" ref="AO28:AO37" si="36">AN28-AM28</f>
        <v>0</v>
      </c>
      <c r="AQ28" s="3"/>
      <c r="AR28" s="3"/>
      <c r="AS28" s="3">
        <f t="shared" ref="AS28:AS37" si="37">AR28-AQ28</f>
        <v>0</v>
      </c>
      <c r="AU28" s="3">
        <f t="shared" si="5"/>
        <v>0</v>
      </c>
      <c r="AV28" s="3">
        <f t="shared" si="6"/>
        <v>0</v>
      </c>
      <c r="AW28" s="3">
        <f t="shared" ref="AW28:AW37" si="38">AV28-AU28</f>
        <v>0</v>
      </c>
      <c r="AY28" s="3"/>
      <c r="AZ28" s="3"/>
      <c r="BA28" s="3">
        <f t="shared" ref="BA28:BA37" si="39">AZ28-AY28</f>
        <v>0</v>
      </c>
      <c r="BC28" s="3"/>
      <c r="BD28" s="3"/>
      <c r="BE28" s="3">
        <f t="shared" ref="BE28:BE37" si="40">BD28-BC28</f>
        <v>0</v>
      </c>
      <c r="BG28" s="3"/>
      <c r="BH28" s="3"/>
      <c r="BI28" s="3">
        <f t="shared" ref="BI28:BI37" si="41">BH28-BG28</f>
        <v>0</v>
      </c>
      <c r="BK28" s="3">
        <f t="shared" si="7"/>
        <v>0</v>
      </c>
      <c r="BL28" s="3">
        <f t="shared" si="8"/>
        <v>0</v>
      </c>
      <c r="BM28" s="3">
        <f t="shared" ref="BM28:BM37" si="42">BL28-BK28</f>
        <v>0</v>
      </c>
      <c r="BO28" s="3">
        <f>C28+G28+K28+S28+W28</f>
        <v>0</v>
      </c>
      <c r="BP28" s="3">
        <f>D28+H28+L28+T28+X28</f>
        <v>0</v>
      </c>
      <c r="BQ28" s="3">
        <f>BP28-BO28</f>
        <v>0</v>
      </c>
      <c r="BR28" s="5"/>
    </row>
    <row r="29" spans="1:70" hidden="1" x14ac:dyDescent="0.25">
      <c r="A29" t="s">
        <v>17</v>
      </c>
      <c r="C29" s="3">
        <v>0</v>
      </c>
      <c r="D29" s="3">
        <v>0</v>
      </c>
      <c r="E29" s="3">
        <f t="shared" si="9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1"/>
        <v>0</v>
      </c>
      <c r="P29" s="3">
        <f t="shared" si="2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3"/>
      <c r="AC29" s="3">
        <f t="shared" si="33"/>
        <v>0</v>
      </c>
      <c r="AE29" s="3">
        <f t="shared" si="3"/>
        <v>0</v>
      </c>
      <c r="AF29" s="3">
        <f t="shared" si="4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5"/>
        <v>0</v>
      </c>
      <c r="AV29" s="3">
        <f t="shared" si="6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7"/>
        <v>0</v>
      </c>
      <c r="BL29" s="3">
        <f t="shared" si="8"/>
        <v>0</v>
      </c>
      <c r="BM29" s="3">
        <f t="shared" si="42"/>
        <v>0</v>
      </c>
      <c r="BO29" s="3">
        <f>C29+G29+K29+S29+W29</f>
        <v>0</v>
      </c>
      <c r="BP29" s="3">
        <f>D29+H29+L29+T29+X29</f>
        <v>0</v>
      </c>
      <c r="BQ29" s="3">
        <f t="shared" si="25"/>
        <v>0</v>
      </c>
      <c r="BR29" s="5" t="e">
        <f>BQ29/BP29</f>
        <v>#DIV/0!</v>
      </c>
    </row>
    <row r="30" spans="1:70" x14ac:dyDescent="0.25">
      <c r="A30" t="s">
        <v>94</v>
      </c>
      <c r="C30" s="3">
        <v>0</v>
      </c>
      <c r="D30" s="3">
        <v>1</v>
      </c>
      <c r="E30" s="3">
        <f t="shared" si="9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1"/>
        <v>0</v>
      </c>
      <c r="P30" s="3">
        <f t="shared" si="2"/>
        <v>16</v>
      </c>
      <c r="Q30" s="3">
        <f t="shared" si="30"/>
        <v>16</v>
      </c>
      <c r="S30" s="3">
        <v>0</v>
      </c>
      <c r="T30" s="3">
        <v>6</v>
      </c>
      <c r="U30" s="3">
        <f t="shared" si="31"/>
        <v>6</v>
      </c>
      <c r="W30" s="3">
        <v>0</v>
      </c>
      <c r="X30" s="3">
        <v>19</v>
      </c>
      <c r="Y30" s="3">
        <f t="shared" si="32"/>
        <v>19</v>
      </c>
      <c r="AA30" s="3">
        <v>1</v>
      </c>
      <c r="AB30" s="33">
        <v>11</v>
      </c>
      <c r="AC30" s="3">
        <f t="shared" si="33"/>
        <v>10</v>
      </c>
      <c r="AE30" s="3">
        <f t="shared" si="3"/>
        <v>1</v>
      </c>
      <c r="AF30" s="3">
        <f t="shared" si="4"/>
        <v>36</v>
      </c>
      <c r="AG30" s="3">
        <f t="shared" si="34"/>
        <v>35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5"/>
        <v>0</v>
      </c>
      <c r="AV30" s="3">
        <f t="shared" si="6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7"/>
        <v>0</v>
      </c>
      <c r="BL30" s="3">
        <f t="shared" si="8"/>
        <v>0</v>
      </c>
      <c r="BM30" s="3">
        <f t="shared" si="42"/>
        <v>0</v>
      </c>
      <c r="BO30" s="3">
        <f>C30+G30+K30+S30+W30+AA30</f>
        <v>1</v>
      </c>
      <c r="BP30" s="3">
        <f>D30+H30+L30+T30+X30+AB30</f>
        <v>52</v>
      </c>
      <c r="BQ30" s="3">
        <f t="shared" si="25"/>
        <v>51</v>
      </c>
      <c r="BR30" s="5">
        <f>BQ30/BP30</f>
        <v>0.98076923076923073</v>
      </c>
    </row>
    <row r="31" spans="1:70" x14ac:dyDescent="0.25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>
        <v>0</v>
      </c>
      <c r="AB31" s="3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5">
      <c r="A32" t="s">
        <v>95</v>
      </c>
      <c r="C32" s="3">
        <v>67</v>
      </c>
      <c r="D32" s="3">
        <v>24</v>
      </c>
      <c r="E32" s="3">
        <f t="shared" si="9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1"/>
        <v>174</v>
      </c>
      <c r="P32" s="3">
        <f t="shared" si="2"/>
        <v>111</v>
      </c>
      <c r="Q32" s="3">
        <f t="shared" si="30"/>
        <v>-63</v>
      </c>
      <c r="S32" s="3">
        <f>36+3</f>
        <v>39</v>
      </c>
      <c r="T32" s="3">
        <v>26</v>
      </c>
      <c r="U32" s="3">
        <f t="shared" si="31"/>
        <v>-13</v>
      </c>
      <c r="W32" s="3">
        <v>78</v>
      </c>
      <c r="X32" s="3">
        <v>7</v>
      </c>
      <c r="Y32" s="3">
        <f t="shared" si="32"/>
        <v>-71</v>
      </c>
      <c r="AA32" s="3">
        <v>65</v>
      </c>
      <c r="AB32" s="33">
        <v>2</v>
      </c>
      <c r="AC32" s="3">
        <f t="shared" si="33"/>
        <v>-63</v>
      </c>
      <c r="AE32" s="3">
        <f t="shared" si="3"/>
        <v>182</v>
      </c>
      <c r="AF32" s="3">
        <f t="shared" si="4"/>
        <v>35</v>
      </c>
      <c r="AG32" s="3">
        <f t="shared" si="34"/>
        <v>-147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5"/>
        <v>0</v>
      </c>
      <c r="AV32" s="3">
        <f t="shared" si="6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7"/>
        <v>0</v>
      </c>
      <c r="BL32" s="3">
        <f t="shared" si="8"/>
        <v>0</v>
      </c>
      <c r="BM32" s="3">
        <f t="shared" si="42"/>
        <v>0</v>
      </c>
      <c r="BO32" s="3">
        <f t="shared" ref="BO32:BO37" si="43">C32+G32+K32+S32+W32+AA32</f>
        <v>356</v>
      </c>
      <c r="BP32" s="3">
        <f t="shared" ref="BP32:BP37" si="44">D32+H32+L32+T32+X32+AB32</f>
        <v>146</v>
      </c>
      <c r="BQ32" s="3">
        <f t="shared" si="25"/>
        <v>-210</v>
      </c>
      <c r="BR32" s="5">
        <f>BQ32/BP32</f>
        <v>-1.4383561643835616</v>
      </c>
    </row>
    <row r="33" spans="1:70" x14ac:dyDescent="0.25">
      <c r="A33" t="s">
        <v>5</v>
      </c>
      <c r="C33" s="3">
        <v>0</v>
      </c>
      <c r="D33" s="3">
        <v>1</v>
      </c>
      <c r="E33" s="3">
        <f t="shared" si="9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1"/>
        <v>9</v>
      </c>
      <c r="P33" s="3">
        <f t="shared" si="2"/>
        <v>2</v>
      </c>
      <c r="Q33" s="3">
        <f t="shared" si="30"/>
        <v>-7</v>
      </c>
      <c r="S33" s="3">
        <v>0</v>
      </c>
      <c r="T33" s="3"/>
      <c r="U33" s="3">
        <f t="shared" si="31"/>
        <v>0</v>
      </c>
      <c r="W33" s="3">
        <v>12</v>
      </c>
      <c r="X33" s="3">
        <v>0</v>
      </c>
      <c r="Y33" s="3">
        <f t="shared" si="32"/>
        <v>-12</v>
      </c>
      <c r="AA33" s="3">
        <v>0</v>
      </c>
      <c r="AB33" s="33"/>
      <c r="AC33" s="3">
        <f t="shared" si="33"/>
        <v>0</v>
      </c>
      <c r="AE33" s="3">
        <f t="shared" si="3"/>
        <v>12</v>
      </c>
      <c r="AF33" s="3">
        <f t="shared" si="4"/>
        <v>0</v>
      </c>
      <c r="AG33" s="3">
        <f t="shared" si="34"/>
        <v>-12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5"/>
        <v>0</v>
      </c>
      <c r="AV33" s="3">
        <f t="shared" si="6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7"/>
        <v>0</v>
      </c>
      <c r="BL33" s="3">
        <f t="shared" si="8"/>
        <v>0</v>
      </c>
      <c r="BM33" s="3">
        <f t="shared" si="42"/>
        <v>0</v>
      </c>
      <c r="BO33" s="3">
        <f t="shared" si="43"/>
        <v>21</v>
      </c>
      <c r="BP33" s="3">
        <f t="shared" si="44"/>
        <v>2</v>
      </c>
      <c r="BQ33" s="3">
        <f t="shared" si="25"/>
        <v>-19</v>
      </c>
      <c r="BR33" s="5">
        <f>BQ33/BP33</f>
        <v>-9.5</v>
      </c>
    </row>
    <row r="34" spans="1:70" x14ac:dyDescent="0.25">
      <c r="A34" t="s">
        <v>98</v>
      </c>
      <c r="C34" s="3"/>
      <c r="D34" s="3"/>
      <c r="E34" s="3"/>
      <c r="F34" s="5"/>
      <c r="G34" s="3"/>
      <c r="H34" s="3"/>
      <c r="I34" s="3"/>
      <c r="K34" s="3"/>
      <c r="L34" s="3"/>
      <c r="M34" s="3"/>
      <c r="O34" s="3">
        <v>0</v>
      </c>
      <c r="P34" s="3">
        <v>0</v>
      </c>
      <c r="Q34" s="3">
        <f t="shared" si="30"/>
        <v>0</v>
      </c>
      <c r="S34" s="3">
        <v>0</v>
      </c>
      <c r="T34" s="3">
        <v>0</v>
      </c>
      <c r="U34" s="3">
        <f t="shared" si="31"/>
        <v>0</v>
      </c>
      <c r="W34" s="3">
        <v>0</v>
      </c>
      <c r="X34" s="3">
        <v>0</v>
      </c>
      <c r="Y34" s="3">
        <f t="shared" si="32"/>
        <v>0</v>
      </c>
      <c r="AA34" s="3">
        <v>0</v>
      </c>
      <c r="AB34" s="33">
        <v>1</v>
      </c>
      <c r="AC34" s="3">
        <f t="shared" si="33"/>
        <v>1</v>
      </c>
      <c r="AE34" s="3">
        <f t="shared" si="3"/>
        <v>0</v>
      </c>
      <c r="AF34" s="3">
        <f t="shared" si="4"/>
        <v>1</v>
      </c>
      <c r="AG34" s="3">
        <f t="shared" si="34"/>
        <v>1</v>
      </c>
      <c r="AI34" s="3"/>
      <c r="AJ34" s="3"/>
      <c r="AK34" s="3"/>
      <c r="AM34" s="3"/>
      <c r="AN34" s="3"/>
      <c r="AO34" s="3"/>
      <c r="AQ34" s="3"/>
      <c r="AR34" s="3"/>
      <c r="AS34" s="3"/>
      <c r="AU34" s="3"/>
      <c r="AV34" s="3"/>
      <c r="AW34" s="3"/>
      <c r="AY34" s="3"/>
      <c r="AZ34" s="3"/>
      <c r="BA34" s="3"/>
      <c r="BC34" s="3"/>
      <c r="BD34" s="3"/>
      <c r="BE34" s="3"/>
      <c r="BG34" s="3"/>
      <c r="BH34" s="3"/>
      <c r="BI34" s="3"/>
      <c r="BK34" s="3"/>
      <c r="BL34" s="3"/>
      <c r="BM34" s="3"/>
      <c r="BO34" s="3">
        <f t="shared" si="43"/>
        <v>0</v>
      </c>
      <c r="BP34" s="3">
        <f t="shared" si="44"/>
        <v>1</v>
      </c>
      <c r="BQ34" s="3">
        <f t="shared" si="25"/>
        <v>1</v>
      </c>
      <c r="BR34" s="5"/>
    </row>
    <row r="35" spans="1:70" x14ac:dyDescent="0.25">
      <c r="A35" t="s">
        <v>97</v>
      </c>
      <c r="C35" s="3"/>
      <c r="D35" s="3"/>
      <c r="E35" s="3"/>
      <c r="F35" s="5"/>
      <c r="G35" s="3"/>
      <c r="H35" s="3"/>
      <c r="I35" s="3"/>
      <c r="K35" s="3"/>
      <c r="L35" s="3"/>
      <c r="M35" s="3"/>
      <c r="O35" s="3">
        <v>0</v>
      </c>
      <c r="P35" s="3">
        <v>0</v>
      </c>
      <c r="Q35" s="3">
        <f t="shared" si="30"/>
        <v>0</v>
      </c>
      <c r="S35" s="3">
        <v>0</v>
      </c>
      <c r="T35" s="3">
        <v>0</v>
      </c>
      <c r="U35" s="3">
        <f t="shared" si="31"/>
        <v>0</v>
      </c>
      <c r="W35" s="3">
        <v>0</v>
      </c>
      <c r="X35" s="3">
        <v>0</v>
      </c>
      <c r="Y35" s="3">
        <f t="shared" si="32"/>
        <v>0</v>
      </c>
      <c r="AA35" s="3">
        <v>1</v>
      </c>
      <c r="AB35" s="33">
        <v>0</v>
      </c>
      <c r="AC35" s="3">
        <f t="shared" si="33"/>
        <v>-1</v>
      </c>
      <c r="AE35" s="3">
        <f t="shared" si="3"/>
        <v>1</v>
      </c>
      <c r="AF35" s="3">
        <f t="shared" si="4"/>
        <v>0</v>
      </c>
      <c r="AG35" s="3">
        <f t="shared" si="34"/>
        <v>-1</v>
      </c>
      <c r="AI35" s="3"/>
      <c r="AJ35" s="3"/>
      <c r="AK35" s="3"/>
      <c r="AM35" s="3"/>
      <c r="AN35" s="3"/>
      <c r="AO35" s="3"/>
      <c r="AQ35" s="3"/>
      <c r="AR35" s="3"/>
      <c r="AS35" s="3"/>
      <c r="AU35" s="3"/>
      <c r="AV35" s="3"/>
      <c r="AW35" s="3"/>
      <c r="AY35" s="3"/>
      <c r="AZ35" s="3"/>
      <c r="BA35" s="3"/>
      <c r="BC35" s="3"/>
      <c r="BD35" s="3"/>
      <c r="BE35" s="3"/>
      <c r="BG35" s="3"/>
      <c r="BH35" s="3"/>
      <c r="BI35" s="3"/>
      <c r="BK35" s="3"/>
      <c r="BL35" s="3"/>
      <c r="BM35" s="3"/>
      <c r="BO35" s="3">
        <f t="shared" si="43"/>
        <v>1</v>
      </c>
      <c r="BP35" s="3">
        <f t="shared" si="44"/>
        <v>0</v>
      </c>
      <c r="BQ35" s="3">
        <f t="shared" si="25"/>
        <v>-1</v>
      </c>
      <c r="BR35" s="5"/>
    </row>
    <row r="36" spans="1:70" x14ac:dyDescent="0.25">
      <c r="A36" t="s">
        <v>6</v>
      </c>
      <c r="C36" s="3">
        <v>0</v>
      </c>
      <c r="D36" s="3">
        <v>1</v>
      </c>
      <c r="E36" s="3">
        <f t="shared" si="9"/>
        <v>1</v>
      </c>
      <c r="F36" s="5"/>
      <c r="G36" s="3">
        <v>0</v>
      </c>
      <c r="H36" s="3">
        <v>0</v>
      </c>
      <c r="I36" s="3">
        <f t="shared" si="28"/>
        <v>0</v>
      </c>
      <c r="K36" s="3">
        <v>0</v>
      </c>
      <c r="L36" s="3">
        <v>0</v>
      </c>
      <c r="M36" s="3">
        <f t="shared" si="29"/>
        <v>0</v>
      </c>
      <c r="O36" s="3">
        <f t="shared" si="1"/>
        <v>0</v>
      </c>
      <c r="P36" s="3">
        <f t="shared" si="2"/>
        <v>1</v>
      </c>
      <c r="Q36" s="3">
        <f t="shared" si="30"/>
        <v>1</v>
      </c>
      <c r="S36" s="3">
        <v>0</v>
      </c>
      <c r="T36" s="3">
        <v>1</v>
      </c>
      <c r="U36" s="3">
        <f t="shared" si="31"/>
        <v>1</v>
      </c>
      <c r="W36" s="3">
        <v>0</v>
      </c>
      <c r="X36" s="3">
        <v>1</v>
      </c>
      <c r="Y36" s="3">
        <f t="shared" si="32"/>
        <v>1</v>
      </c>
      <c r="AA36" s="3">
        <v>0</v>
      </c>
      <c r="AB36" s="33">
        <v>2</v>
      </c>
      <c r="AC36" s="3">
        <f t="shared" si="33"/>
        <v>2</v>
      </c>
      <c r="AE36" s="3">
        <f t="shared" si="3"/>
        <v>0</v>
      </c>
      <c r="AF36" s="3">
        <f t="shared" si="4"/>
        <v>4</v>
      </c>
      <c r="AG36" s="3">
        <f t="shared" si="34"/>
        <v>4</v>
      </c>
      <c r="AI36" s="3"/>
      <c r="AJ36" s="3"/>
      <c r="AK36" s="3">
        <f t="shared" si="35"/>
        <v>0</v>
      </c>
      <c r="AM36" s="3"/>
      <c r="AN36" s="3"/>
      <c r="AO36" s="3">
        <f t="shared" si="36"/>
        <v>0</v>
      </c>
      <c r="AQ36" s="3"/>
      <c r="AR36" s="3"/>
      <c r="AS36" s="3">
        <f t="shared" si="37"/>
        <v>0</v>
      </c>
      <c r="AU36" s="3">
        <f t="shared" si="5"/>
        <v>0</v>
      </c>
      <c r="AV36" s="3">
        <f t="shared" si="6"/>
        <v>0</v>
      </c>
      <c r="AW36" s="3">
        <f t="shared" si="38"/>
        <v>0</v>
      </c>
      <c r="AY36" s="3"/>
      <c r="AZ36" s="3"/>
      <c r="BA36" s="3">
        <f t="shared" si="39"/>
        <v>0</v>
      </c>
      <c r="BC36" s="3"/>
      <c r="BD36" s="3"/>
      <c r="BE36" s="3">
        <f t="shared" si="40"/>
        <v>0</v>
      </c>
      <c r="BG36" s="3"/>
      <c r="BH36" s="3"/>
      <c r="BI36" s="3">
        <f t="shared" si="41"/>
        <v>0</v>
      </c>
      <c r="BK36" s="3">
        <f t="shared" si="7"/>
        <v>0</v>
      </c>
      <c r="BL36" s="3">
        <f t="shared" si="8"/>
        <v>0</v>
      </c>
      <c r="BM36" s="3">
        <f t="shared" si="42"/>
        <v>0</v>
      </c>
      <c r="BO36" s="3">
        <f t="shared" si="43"/>
        <v>0</v>
      </c>
      <c r="BP36" s="3">
        <f t="shared" si="44"/>
        <v>5</v>
      </c>
      <c r="BQ36" s="3">
        <f t="shared" si="25"/>
        <v>5</v>
      </c>
      <c r="BR36" s="5">
        <f>BQ36/BP36</f>
        <v>1</v>
      </c>
    </row>
    <row r="37" spans="1:70" x14ac:dyDescent="0.25">
      <c r="A37" t="s">
        <v>9</v>
      </c>
      <c r="C37" s="4">
        <v>0</v>
      </c>
      <c r="D37" s="4">
        <v>5</v>
      </c>
      <c r="E37" s="4">
        <f t="shared" si="9"/>
        <v>5</v>
      </c>
      <c r="F37" s="10"/>
      <c r="G37" s="4">
        <v>0</v>
      </c>
      <c r="H37" s="4">
        <v>6</v>
      </c>
      <c r="I37" s="4">
        <f t="shared" si="28"/>
        <v>6</v>
      </c>
      <c r="K37" s="4">
        <v>0</v>
      </c>
      <c r="L37" s="4">
        <v>9</v>
      </c>
      <c r="M37" s="4">
        <f t="shared" si="29"/>
        <v>9</v>
      </c>
      <c r="O37" s="4">
        <f t="shared" si="1"/>
        <v>0</v>
      </c>
      <c r="P37" s="4">
        <f t="shared" si="2"/>
        <v>20</v>
      </c>
      <c r="Q37" s="4">
        <f t="shared" si="30"/>
        <v>20</v>
      </c>
      <c r="S37" s="4">
        <v>0</v>
      </c>
      <c r="T37" s="4">
        <v>6</v>
      </c>
      <c r="U37" s="4">
        <f t="shared" si="31"/>
        <v>6</v>
      </c>
      <c r="W37" s="4">
        <v>0</v>
      </c>
      <c r="X37" s="4">
        <v>13</v>
      </c>
      <c r="Y37" s="4">
        <f t="shared" si="32"/>
        <v>13</v>
      </c>
      <c r="AA37" s="4">
        <v>5</v>
      </c>
      <c r="AB37" s="34">
        <v>48</v>
      </c>
      <c r="AC37" s="4">
        <f t="shared" si="33"/>
        <v>43</v>
      </c>
      <c r="AE37" s="4">
        <f t="shared" si="3"/>
        <v>5</v>
      </c>
      <c r="AF37" s="4">
        <f t="shared" si="4"/>
        <v>67</v>
      </c>
      <c r="AG37" s="4">
        <f t="shared" si="34"/>
        <v>62</v>
      </c>
      <c r="AI37" s="4"/>
      <c r="AJ37" s="4"/>
      <c r="AK37" s="4">
        <f t="shared" si="35"/>
        <v>0</v>
      </c>
      <c r="AM37" s="4"/>
      <c r="AN37" s="4"/>
      <c r="AO37" s="4">
        <f t="shared" si="36"/>
        <v>0</v>
      </c>
      <c r="AQ37" s="4"/>
      <c r="AR37" s="4"/>
      <c r="AS37" s="4">
        <f t="shared" si="37"/>
        <v>0</v>
      </c>
      <c r="AU37" s="4">
        <f t="shared" si="5"/>
        <v>0</v>
      </c>
      <c r="AV37" s="4">
        <f t="shared" si="6"/>
        <v>0</v>
      </c>
      <c r="AW37" s="4">
        <f t="shared" si="38"/>
        <v>0</v>
      </c>
      <c r="AY37" s="4"/>
      <c r="AZ37" s="4"/>
      <c r="BA37" s="4">
        <f t="shared" si="39"/>
        <v>0</v>
      </c>
      <c r="BC37" s="4"/>
      <c r="BD37" s="4"/>
      <c r="BE37" s="4">
        <f t="shared" si="40"/>
        <v>0</v>
      </c>
      <c r="BG37" s="4"/>
      <c r="BH37" s="4"/>
      <c r="BI37" s="4">
        <f t="shared" si="41"/>
        <v>0</v>
      </c>
      <c r="BK37" s="4">
        <f t="shared" si="7"/>
        <v>0</v>
      </c>
      <c r="BL37" s="4">
        <f t="shared" si="8"/>
        <v>0</v>
      </c>
      <c r="BM37" s="4">
        <f t="shared" si="42"/>
        <v>0</v>
      </c>
      <c r="BO37" s="4">
        <f t="shared" si="43"/>
        <v>5</v>
      </c>
      <c r="BP37" s="4">
        <f t="shared" si="44"/>
        <v>87</v>
      </c>
      <c r="BQ37" s="4">
        <f t="shared" si="25"/>
        <v>82</v>
      </c>
      <c r="BR37" s="6">
        <f>BQ37/BP37</f>
        <v>0.94252873563218387</v>
      </c>
    </row>
    <row r="38" spans="1:70" s="1" customFormat="1" x14ac:dyDescent="0.25">
      <c r="C38" s="12">
        <f>SUM(C9:C37)</f>
        <v>322</v>
      </c>
      <c r="D38" s="12">
        <f>SUM(D9:D37)</f>
        <v>725</v>
      </c>
      <c r="E38" s="12">
        <f>SUM(E9:E37)</f>
        <v>403</v>
      </c>
      <c r="F38" s="13"/>
      <c r="G38" s="12">
        <f>SUM(G9:G37)</f>
        <v>319</v>
      </c>
      <c r="H38" s="12">
        <f>SUM(H9:H37)</f>
        <v>549</v>
      </c>
      <c r="I38" s="12">
        <f>SUM(I9:I37)</f>
        <v>230</v>
      </c>
      <c r="K38" s="12">
        <f>SUM(K9:K37)</f>
        <v>388</v>
      </c>
      <c r="L38" s="12">
        <f>SUM(L9:L37)</f>
        <v>863</v>
      </c>
      <c r="M38" s="12">
        <f>SUM(M9:M37)</f>
        <v>475</v>
      </c>
      <c r="O38" s="12">
        <f>SUM(O9:O37)</f>
        <v>1029</v>
      </c>
      <c r="P38" s="12">
        <f>SUM(P9:P37)</f>
        <v>2137</v>
      </c>
      <c r="Q38" s="12">
        <f>SUM(Q9:Q37)</f>
        <v>1108</v>
      </c>
      <c r="S38" s="12">
        <f>SUM(S9:S37)</f>
        <v>275</v>
      </c>
      <c r="T38" s="12">
        <f>SUM(T9:T37)</f>
        <v>839</v>
      </c>
      <c r="U38" s="12">
        <f>SUM(U9:U37)</f>
        <v>564</v>
      </c>
      <c r="W38" s="12">
        <f>SUM(W9:W37)</f>
        <v>495</v>
      </c>
      <c r="X38" s="12">
        <f>SUM(X9:X37)</f>
        <v>920</v>
      </c>
      <c r="Y38" s="12">
        <f>SUM(Y9:Y37)</f>
        <v>425</v>
      </c>
      <c r="AA38" s="12">
        <f>SUM(AA9:AA37)</f>
        <v>524</v>
      </c>
      <c r="AB38" s="35">
        <f>SUM(AB9:AB37)</f>
        <v>979</v>
      </c>
      <c r="AC38" s="12">
        <f>SUM(AC9:AC37)</f>
        <v>455</v>
      </c>
      <c r="AE38" s="12">
        <f>SUM(AE9:AE37)</f>
        <v>1294</v>
      </c>
      <c r="AF38" s="12">
        <f>SUM(AF9:AF37)</f>
        <v>2738</v>
      </c>
      <c r="AG38" s="12">
        <f>SUM(AG9:AG37)</f>
        <v>1444</v>
      </c>
      <c r="AI38" s="12">
        <f>SUM(AI9:AI37)</f>
        <v>0</v>
      </c>
      <c r="AJ38" s="12">
        <f>SUM(AJ9:AJ37)</f>
        <v>0</v>
      </c>
      <c r="AK38" s="12">
        <f>SUM(AK9:AK37)</f>
        <v>0</v>
      </c>
      <c r="AM38" s="12">
        <f>SUM(AM9:AM37)</f>
        <v>0</v>
      </c>
      <c r="AN38" s="12">
        <f>SUM(AN9:AN37)</f>
        <v>0</v>
      </c>
      <c r="AO38" s="12">
        <f>SUM(AO9:AO37)</f>
        <v>0</v>
      </c>
      <c r="AQ38" s="12">
        <f>SUM(AQ9:AQ37)</f>
        <v>0</v>
      </c>
      <c r="AR38" s="12">
        <f>SUM(AR9:AR37)</f>
        <v>0</v>
      </c>
      <c r="AS38" s="12">
        <f>SUM(AS9:AS37)</f>
        <v>0</v>
      </c>
      <c r="AU38" s="12">
        <f>SUM(AU9:AU37)</f>
        <v>0</v>
      </c>
      <c r="AV38" s="12">
        <f>SUM(AV9:AV37)</f>
        <v>0</v>
      </c>
      <c r="AW38" s="12">
        <f>SUM(AW9:AW37)</f>
        <v>0</v>
      </c>
      <c r="AY38" s="12">
        <f>SUM(AY9:AY37)</f>
        <v>0</v>
      </c>
      <c r="AZ38" s="12">
        <f>SUM(AZ9:AZ37)</f>
        <v>0</v>
      </c>
      <c r="BA38" s="12">
        <f>SUM(BA9:BA37)</f>
        <v>0</v>
      </c>
      <c r="BC38" s="12">
        <f>SUM(BC9:BC37)</f>
        <v>0</v>
      </c>
      <c r="BD38" s="12">
        <f>SUM(BD9:BD37)</f>
        <v>0</v>
      </c>
      <c r="BE38" s="12">
        <f>SUM(BE9:BE37)</f>
        <v>0</v>
      </c>
      <c r="BG38" s="12">
        <f>SUM(BG9:BG37)</f>
        <v>0</v>
      </c>
      <c r="BH38" s="12">
        <f>SUM(BH9:BH37)</f>
        <v>0</v>
      </c>
      <c r="BI38" s="12">
        <f>SUM(BI9:BI37)</f>
        <v>0</v>
      </c>
      <c r="BK38" s="12">
        <f>SUM(BK9:BK37)</f>
        <v>0</v>
      </c>
      <c r="BL38" s="12">
        <f>SUM(BL9:BL37)</f>
        <v>0</v>
      </c>
      <c r="BM38" s="12">
        <f>SUM(BM9:BM37)</f>
        <v>0</v>
      </c>
      <c r="BO38" s="12">
        <f>SUM(BO9:BO37)</f>
        <v>2323</v>
      </c>
      <c r="BP38" s="12">
        <f>SUM(BP9:BP37)</f>
        <v>4875</v>
      </c>
      <c r="BQ38" s="12">
        <f>SUM(BQ9:BQ37)</f>
        <v>2552</v>
      </c>
      <c r="BR38" s="13">
        <f>BQ38/BP38</f>
        <v>0.52348717948717949</v>
      </c>
    </row>
    <row r="42" spans="1:70" x14ac:dyDescent="0.25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30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39"/>
      <c r="BP42" s="39"/>
      <c r="BQ42" s="39"/>
      <c r="BR42" s="39"/>
    </row>
    <row r="43" spans="1:70" ht="30.75" customHeight="1" x14ac:dyDescent="0.25">
      <c r="A43" t="s">
        <v>10</v>
      </c>
      <c r="C43" s="7">
        <v>36526</v>
      </c>
      <c r="D43" s="7">
        <v>36892</v>
      </c>
      <c r="E43" s="8" t="str">
        <f>E7</f>
        <v>Variance F/(U)</v>
      </c>
      <c r="F43" s="9"/>
      <c r="G43" s="7">
        <f>G7</f>
        <v>36557</v>
      </c>
      <c r="H43" s="7">
        <f>H7</f>
        <v>36923</v>
      </c>
      <c r="I43" s="8" t="str">
        <f>I7</f>
        <v>Variance F/(U)</v>
      </c>
      <c r="K43" s="7">
        <f>K7</f>
        <v>36586</v>
      </c>
      <c r="L43" s="7">
        <f>L7</f>
        <v>36951</v>
      </c>
      <c r="M43" s="8" t="str">
        <f>M7</f>
        <v>Variance F/(U)</v>
      </c>
      <c r="O43" s="7" t="str">
        <f>O7</f>
        <v>1Q 2000</v>
      </c>
      <c r="P43" s="7" t="str">
        <f>P7</f>
        <v>1Q 2001</v>
      </c>
      <c r="Q43" s="8" t="str">
        <f>Q7</f>
        <v>Variance F/(U)</v>
      </c>
      <c r="S43" s="7">
        <f>S7</f>
        <v>36617</v>
      </c>
      <c r="T43" s="7">
        <f>T7</f>
        <v>36982</v>
      </c>
      <c r="U43" s="8" t="str">
        <f>U7</f>
        <v>Variance F/(U)</v>
      </c>
      <c r="W43" s="7">
        <f>W7</f>
        <v>36647</v>
      </c>
      <c r="X43" s="7">
        <f>X7</f>
        <v>37012</v>
      </c>
      <c r="Y43" s="8" t="str">
        <f>Y7</f>
        <v>Variance F/(U)</v>
      </c>
      <c r="AA43" s="7">
        <f>AA7</f>
        <v>36678</v>
      </c>
      <c r="AB43" s="31">
        <f>AB7</f>
        <v>37043</v>
      </c>
      <c r="AC43" s="8" t="str">
        <f>AC7</f>
        <v>Variance F/(U)</v>
      </c>
      <c r="AE43" s="7" t="str">
        <f>AE7</f>
        <v>2Q 2000</v>
      </c>
      <c r="AF43" s="7" t="str">
        <f>AF7</f>
        <v>2Q 2001</v>
      </c>
      <c r="AG43" s="8" t="str">
        <f>AG7</f>
        <v>Variance F/(U)</v>
      </c>
      <c r="AI43" s="7">
        <f>AI7</f>
        <v>36708</v>
      </c>
      <c r="AJ43" s="7">
        <f>AJ7</f>
        <v>37073</v>
      </c>
      <c r="AK43" s="8" t="str">
        <f>AK7</f>
        <v>Variance F/(U)</v>
      </c>
      <c r="AM43" s="7">
        <f>AM7</f>
        <v>36739</v>
      </c>
      <c r="AN43" s="7">
        <f>AN7</f>
        <v>37104</v>
      </c>
      <c r="AO43" s="8" t="str">
        <f>AO7</f>
        <v>Variance F/(U)</v>
      </c>
      <c r="AQ43" s="7">
        <f>AQ7</f>
        <v>36770</v>
      </c>
      <c r="AR43" s="7">
        <f>AR7</f>
        <v>37135</v>
      </c>
      <c r="AS43" s="8" t="str">
        <f>AS7</f>
        <v>Variance F/(U)</v>
      </c>
      <c r="AU43" s="7" t="str">
        <f>AU7</f>
        <v>3Q 2000</v>
      </c>
      <c r="AV43" s="7" t="str">
        <f>AV7</f>
        <v>3Q 2001</v>
      </c>
      <c r="AW43" s="8" t="str">
        <f>AW7</f>
        <v>Variance F/(U)</v>
      </c>
      <c r="AY43" s="7">
        <f>AY7</f>
        <v>36800</v>
      </c>
      <c r="AZ43" s="7">
        <f>AZ7</f>
        <v>37165</v>
      </c>
      <c r="BA43" s="8" t="str">
        <f>BA7</f>
        <v>Variance F/(U)</v>
      </c>
      <c r="BC43" s="7">
        <f>BC7</f>
        <v>36831</v>
      </c>
      <c r="BD43" s="7">
        <f>BD7</f>
        <v>37196</v>
      </c>
      <c r="BE43" s="8" t="str">
        <f>BE7</f>
        <v>Variance F/(U)</v>
      </c>
      <c r="BG43" s="7">
        <f>BG7</f>
        <v>36861</v>
      </c>
      <c r="BH43" s="7">
        <f>BH7</f>
        <v>37226</v>
      </c>
      <c r="BI43" s="8" t="str">
        <f>BI7</f>
        <v>Variance F/(U)</v>
      </c>
      <c r="BK43" s="7" t="str">
        <f>BK7</f>
        <v>4Q 2000</v>
      </c>
      <c r="BL43" s="7" t="str">
        <f>BL7</f>
        <v>4Q 2001</v>
      </c>
      <c r="BM43" s="8" t="str">
        <f>BM7</f>
        <v>Variance F/(U)</v>
      </c>
      <c r="BO43" s="7" t="s">
        <v>11</v>
      </c>
      <c r="BP43" s="7" t="s">
        <v>12</v>
      </c>
      <c r="BQ43" s="8" t="str">
        <f>BQ7</f>
        <v>Variance F/(U)</v>
      </c>
      <c r="BR43" s="8" t="s">
        <v>8</v>
      </c>
    </row>
    <row r="44" spans="1:70" ht="12.75" customHeight="1" x14ac:dyDescent="0.25">
      <c r="A44" s="1" t="s">
        <v>84</v>
      </c>
      <c r="C44" s="27"/>
      <c r="D44" s="27"/>
      <c r="E44" s="9"/>
      <c r="F44" s="9"/>
      <c r="G44" s="27"/>
      <c r="H44" s="27"/>
      <c r="I44" s="9"/>
      <c r="K44" s="27"/>
      <c r="L44" s="27"/>
      <c r="M44" s="9"/>
      <c r="O44" s="27"/>
      <c r="P44" s="27"/>
      <c r="Q44" s="9"/>
      <c r="S44" s="27"/>
      <c r="T44" s="27"/>
      <c r="U44" s="9"/>
      <c r="W44" s="27"/>
      <c r="X44" s="27"/>
      <c r="Y44" s="9"/>
      <c r="AA44" s="27"/>
      <c r="AB44" s="32"/>
      <c r="AC44" s="9"/>
      <c r="AE44" s="27"/>
      <c r="AF44" s="27"/>
      <c r="AG44" s="9"/>
      <c r="AI44" s="27"/>
      <c r="AJ44" s="27"/>
      <c r="AK44" s="9"/>
      <c r="AM44" s="27"/>
      <c r="AN44" s="27"/>
      <c r="AO44" s="9"/>
      <c r="AQ44" s="27"/>
      <c r="AR44" s="27"/>
      <c r="AS44" s="9"/>
      <c r="AU44" s="27"/>
      <c r="AV44" s="27"/>
      <c r="AW44" s="9"/>
      <c r="AY44" s="27"/>
      <c r="AZ44" s="27"/>
      <c r="BA44" s="9"/>
      <c r="BC44" s="27"/>
      <c r="BD44" s="27"/>
      <c r="BE44" s="9"/>
      <c r="BG44" s="27"/>
      <c r="BH44" s="27"/>
      <c r="BI44" s="9"/>
      <c r="BK44" s="27"/>
      <c r="BL44" s="27"/>
      <c r="BM44" s="9"/>
      <c r="BO44" s="27"/>
      <c r="BP44" s="27"/>
      <c r="BQ44" s="9"/>
      <c r="BR44" s="9"/>
    </row>
    <row r="45" spans="1:70" ht="12.75" customHeight="1" x14ac:dyDescent="0.25">
      <c r="A45" t="s">
        <v>88</v>
      </c>
      <c r="C45" s="3">
        <v>0</v>
      </c>
      <c r="D45" s="3">
        <f>1653.5-953.5+25000+310</f>
        <v>26010</v>
      </c>
      <c r="E45" s="3">
        <f>D45-C45</f>
        <v>26010</v>
      </c>
      <c r="F45" s="5"/>
      <c r="G45" s="3">
        <v>0</v>
      </c>
      <c r="H45" s="3">
        <v>0</v>
      </c>
      <c r="I45" s="3">
        <f>H45-G45</f>
        <v>0</v>
      </c>
      <c r="K45" s="3">
        <v>0</v>
      </c>
      <c r="L45" s="3">
        <v>0</v>
      </c>
      <c r="M45" s="3">
        <f>L45-K45</f>
        <v>0</v>
      </c>
      <c r="O45" s="3">
        <f t="shared" ref="O45:O73" si="45">C45+G45+K45</f>
        <v>0</v>
      </c>
      <c r="P45" s="3">
        <f>D45+H45+L45+0.4</f>
        <v>26010.400000000001</v>
      </c>
      <c r="Q45" s="3">
        <f>P45-O45</f>
        <v>26010.400000000001</v>
      </c>
      <c r="S45" s="3">
        <v>0</v>
      </c>
      <c r="T45" s="3">
        <v>0</v>
      </c>
      <c r="U45" s="3">
        <f>T45-S45</f>
        <v>0</v>
      </c>
      <c r="W45" s="3">
        <v>0</v>
      </c>
      <c r="X45" s="3">
        <v>2190</v>
      </c>
      <c r="Y45" s="3">
        <f>X45-W45</f>
        <v>2190</v>
      </c>
      <c r="AA45" s="3">
        <v>0</v>
      </c>
      <c r="AB45" s="33">
        <v>1149</v>
      </c>
      <c r="AC45" s="3">
        <f>AB45-AA45</f>
        <v>1149</v>
      </c>
      <c r="AE45" s="3">
        <f t="shared" ref="AE45:AE73" si="46">S45+W45+AA45</f>
        <v>0</v>
      </c>
      <c r="AF45" s="3">
        <f t="shared" ref="AF45:AF73" si="47">T45+X45+AB45</f>
        <v>3339</v>
      </c>
      <c r="AG45" s="3">
        <f>AF45-AE45</f>
        <v>3339</v>
      </c>
      <c r="AI45" s="3"/>
      <c r="AJ45" s="3"/>
      <c r="AK45" s="3">
        <f>AJ45-AI45</f>
        <v>0</v>
      </c>
      <c r="AM45" s="3"/>
      <c r="AN45" s="3"/>
      <c r="AO45" s="3">
        <f>AN45-AM45</f>
        <v>0</v>
      </c>
      <c r="AQ45" s="3"/>
      <c r="AR45" s="3"/>
      <c r="AS45" s="3">
        <f>AR45-AQ45</f>
        <v>0</v>
      </c>
      <c r="AU45" s="3">
        <f t="shared" ref="AU45:AU73" si="48">AI45+AM45+AQ45</f>
        <v>0</v>
      </c>
      <c r="AV45" s="3">
        <f t="shared" ref="AV45:AV73" si="49">AJ45+AN45+AR45</f>
        <v>0</v>
      </c>
      <c r="AW45" s="3">
        <f>AV45-AU45</f>
        <v>0</v>
      </c>
      <c r="AY45" s="3"/>
      <c r="AZ45" s="3"/>
      <c r="BA45" s="3">
        <f>AZ45-AY45</f>
        <v>0</v>
      </c>
      <c r="BC45" s="3"/>
      <c r="BD45" s="3"/>
      <c r="BE45" s="3">
        <f>BD45-BC45</f>
        <v>0</v>
      </c>
      <c r="BG45" s="3"/>
      <c r="BH45" s="3"/>
      <c r="BI45" s="3">
        <f>BH45-BG45</f>
        <v>0</v>
      </c>
      <c r="BK45" s="3">
        <f t="shared" ref="BK45:BK73" si="50">AY45+BC45+BG45</f>
        <v>0</v>
      </c>
      <c r="BL45" s="3">
        <f t="shared" ref="BL45:BL73" si="51">AZ45+BD45+BH45</f>
        <v>0</v>
      </c>
      <c r="BM45" s="3">
        <f>BL45-BK45</f>
        <v>0</v>
      </c>
      <c r="BO45" s="3">
        <f>C45+G45+K45+S45+W45+AA45</f>
        <v>0</v>
      </c>
      <c r="BP45" s="3">
        <f>D45+H45+L45+T45+X45+AB45</f>
        <v>29349</v>
      </c>
      <c r="BQ45" s="3">
        <f>BP45-BO45</f>
        <v>29349</v>
      </c>
      <c r="BR45" s="5">
        <f>BQ45/BP45</f>
        <v>1</v>
      </c>
    </row>
    <row r="46" spans="1:70" ht="12.75" customHeight="1" x14ac:dyDescent="0.25">
      <c r="A46" t="s">
        <v>89</v>
      </c>
      <c r="C46" s="3">
        <v>0</v>
      </c>
      <c r="D46" s="3">
        <v>0</v>
      </c>
      <c r="E46" s="3">
        <f>D46-C46</f>
        <v>0</v>
      </c>
      <c r="F46" s="5"/>
      <c r="G46" s="3">
        <v>0</v>
      </c>
      <c r="H46" s="3">
        <v>0</v>
      </c>
      <c r="I46" s="3">
        <f>H46-G46</f>
        <v>0</v>
      </c>
      <c r="K46" s="3">
        <v>0</v>
      </c>
      <c r="L46" s="3">
        <v>0</v>
      </c>
      <c r="M46" s="3">
        <f>L46-K46</f>
        <v>0</v>
      </c>
      <c r="O46" s="3">
        <f t="shared" si="45"/>
        <v>0</v>
      </c>
      <c r="P46" s="3">
        <f t="shared" ref="P46:P73" si="52">D46+H46+L46</f>
        <v>0</v>
      </c>
      <c r="Q46" s="3">
        <f>P46-O46</f>
        <v>0</v>
      </c>
      <c r="S46" s="3"/>
      <c r="T46" s="3"/>
      <c r="U46" s="3">
        <f>T46-S46</f>
        <v>0</v>
      </c>
      <c r="W46" s="3">
        <v>0</v>
      </c>
      <c r="X46" s="3">
        <v>500</v>
      </c>
      <c r="Y46" s="3">
        <f>X46-W46</f>
        <v>500</v>
      </c>
      <c r="AA46" s="3">
        <v>0</v>
      </c>
      <c r="AB46" s="33"/>
      <c r="AC46" s="3">
        <f>AB46-AA46</f>
        <v>0</v>
      </c>
      <c r="AE46" s="3">
        <f t="shared" si="46"/>
        <v>0</v>
      </c>
      <c r="AF46" s="3">
        <f t="shared" si="47"/>
        <v>500</v>
      </c>
      <c r="AG46" s="3">
        <f>AF46-AE46</f>
        <v>500</v>
      </c>
      <c r="AI46" s="3"/>
      <c r="AJ46" s="3"/>
      <c r="AK46" s="3">
        <f>AJ46-AI46</f>
        <v>0</v>
      </c>
      <c r="AM46" s="3"/>
      <c r="AN46" s="3"/>
      <c r="AO46" s="3">
        <f>AN46-AM46</f>
        <v>0</v>
      </c>
      <c r="AQ46" s="3"/>
      <c r="AR46" s="3"/>
      <c r="AS46" s="3">
        <f>AR46-AQ46</f>
        <v>0</v>
      </c>
      <c r="AU46" s="3">
        <f t="shared" si="48"/>
        <v>0</v>
      </c>
      <c r="AV46" s="3">
        <f t="shared" si="49"/>
        <v>0</v>
      </c>
      <c r="AW46" s="3">
        <f>AV46-AU46</f>
        <v>0</v>
      </c>
      <c r="AY46" s="3"/>
      <c r="AZ46" s="3"/>
      <c r="BA46" s="3">
        <f>AZ46-AY46</f>
        <v>0</v>
      </c>
      <c r="BC46" s="3"/>
      <c r="BD46" s="3"/>
      <c r="BE46" s="3">
        <f>BD46-BC46</f>
        <v>0</v>
      </c>
      <c r="BG46" s="3"/>
      <c r="BH46" s="3"/>
      <c r="BI46" s="3">
        <f>BH46-BG46</f>
        <v>0</v>
      </c>
      <c r="BK46" s="3">
        <f t="shared" si="50"/>
        <v>0</v>
      </c>
      <c r="BL46" s="3">
        <f t="shared" si="51"/>
        <v>0</v>
      </c>
      <c r="BM46" s="3">
        <f>BL46-BK46</f>
        <v>0</v>
      </c>
      <c r="BO46" s="3">
        <f>C46+G46+K46+S46+W46+AA46</f>
        <v>0</v>
      </c>
      <c r="BP46" s="3">
        <f>D46+H46+L46+T46+X46+AB46</f>
        <v>500</v>
      </c>
      <c r="BQ46" s="3">
        <f>BP46-BO46</f>
        <v>500</v>
      </c>
      <c r="BR46" s="5"/>
    </row>
    <row r="47" spans="1:70" x14ac:dyDescent="0.25">
      <c r="A47" t="s">
        <v>87</v>
      </c>
      <c r="C47" s="3">
        <v>2.956</v>
      </c>
      <c r="D47" s="3">
        <v>5361.268</v>
      </c>
      <c r="E47" s="3">
        <f t="shared" ref="E47:E73" si="53">D47-C47</f>
        <v>5358.3119999999999</v>
      </c>
      <c r="F47" s="5"/>
      <c r="G47" s="3">
        <v>2</v>
      </c>
      <c r="H47" s="3">
        <v>630</v>
      </c>
      <c r="I47" s="3">
        <f>H47-G47</f>
        <v>628</v>
      </c>
      <c r="K47" s="3">
        <v>13</v>
      </c>
      <c r="L47" s="3">
        <v>881</v>
      </c>
      <c r="M47" s="3">
        <f t="shared" ref="M47:M55" si="54">L47-K47</f>
        <v>868</v>
      </c>
      <c r="O47" s="3">
        <f>C47+G47+K47+0.1</f>
        <v>18.056000000000001</v>
      </c>
      <c r="P47" s="3">
        <f>D47+H47+L47-0.1+0.3</f>
        <v>6872.4679999999998</v>
      </c>
      <c r="Q47" s="3">
        <f t="shared" ref="Q47:Q55" si="55">P47-O47</f>
        <v>6854.4120000000003</v>
      </c>
      <c r="S47" s="3">
        <v>1588</v>
      </c>
      <c r="T47" s="3">
        <v>3271</v>
      </c>
      <c r="U47" s="3">
        <f t="shared" ref="U47:U55" si="56">T47-S47</f>
        <v>1683</v>
      </c>
      <c r="W47" s="3">
        <v>1155</v>
      </c>
      <c r="X47" s="3">
        <f>587</f>
        <v>587</v>
      </c>
      <c r="Y47" s="3">
        <f t="shared" ref="Y47:Y55" si="57">X47-W47</f>
        <v>-568</v>
      </c>
      <c r="AA47" s="3">
        <v>1013</v>
      </c>
      <c r="AB47" s="33">
        <v>1493</v>
      </c>
      <c r="AC47" s="3">
        <f t="shared" ref="AC47:AC55" si="58">AB47-AA47</f>
        <v>480</v>
      </c>
      <c r="AE47" s="3">
        <f t="shared" si="46"/>
        <v>3756</v>
      </c>
      <c r="AF47" s="3">
        <f t="shared" si="47"/>
        <v>5351</v>
      </c>
      <c r="AG47" s="3">
        <f t="shared" ref="AG47:AG55" si="59">AF47-AE47</f>
        <v>1595</v>
      </c>
      <c r="AI47" s="3"/>
      <c r="AJ47" s="3"/>
      <c r="AK47" s="3">
        <f t="shared" ref="AK47:AK55" si="60">AJ47-AI47</f>
        <v>0</v>
      </c>
      <c r="AM47" s="3"/>
      <c r="AN47" s="3"/>
      <c r="AO47" s="3">
        <f t="shared" ref="AO47:AO55" si="61">AN47-AM47</f>
        <v>0</v>
      </c>
      <c r="AQ47" s="3"/>
      <c r="AR47" s="3"/>
      <c r="AS47" s="3">
        <f t="shared" ref="AS47:AS55" si="62">AR47-AQ47</f>
        <v>0</v>
      </c>
      <c r="AU47" s="3">
        <f t="shared" si="48"/>
        <v>0</v>
      </c>
      <c r="AV47" s="3">
        <f t="shared" si="49"/>
        <v>0</v>
      </c>
      <c r="AW47" s="3">
        <f t="shared" ref="AW47:AW55" si="63">AV47-AU47</f>
        <v>0</v>
      </c>
      <c r="AY47" s="3"/>
      <c r="AZ47" s="3"/>
      <c r="BA47" s="3">
        <f t="shared" ref="BA47:BA55" si="64">AZ47-AY47</f>
        <v>0</v>
      </c>
      <c r="BC47" s="3"/>
      <c r="BD47" s="3"/>
      <c r="BE47" s="3">
        <f t="shared" ref="BE47:BE55" si="65">BD47-BC47</f>
        <v>0</v>
      </c>
      <c r="BG47" s="3"/>
      <c r="BH47" s="3"/>
      <c r="BI47" s="3">
        <f t="shared" ref="BI47:BI55" si="66">BH47-BG47</f>
        <v>0</v>
      </c>
      <c r="BK47" s="3">
        <f t="shared" si="50"/>
        <v>0</v>
      </c>
      <c r="BL47" s="3">
        <f t="shared" si="51"/>
        <v>0</v>
      </c>
      <c r="BM47" s="3">
        <f t="shared" ref="BM47:BM55" si="67">BL47-BK47</f>
        <v>0</v>
      </c>
      <c r="BO47" s="3">
        <f>C47+G47+K47+S47+W47+AA47+0.1</f>
        <v>3774.056</v>
      </c>
      <c r="BP47" s="3">
        <f>D47+H47+L47+T47+X47+AB47+0.1</f>
        <v>12223.368</v>
      </c>
      <c r="BQ47" s="3">
        <f>BP47-BO47</f>
        <v>8449.3119999999999</v>
      </c>
      <c r="BR47" s="5">
        <f>BQ47/BP47</f>
        <v>0.69124254460799994</v>
      </c>
    </row>
    <row r="48" spans="1:70" x14ac:dyDescent="0.25">
      <c r="C48" s="3"/>
      <c r="D48" s="3"/>
      <c r="E48" s="3"/>
      <c r="F48" s="5"/>
      <c r="G48" s="3"/>
      <c r="H48" s="3"/>
      <c r="I48" s="3"/>
      <c r="K48" s="3"/>
      <c r="L48" s="3"/>
      <c r="M48" s="3"/>
      <c r="O48" s="3"/>
      <c r="P48" s="3"/>
      <c r="Q48" s="3"/>
      <c r="S48" s="3"/>
      <c r="T48" s="3"/>
      <c r="U48" s="3"/>
      <c r="W48" s="3"/>
      <c r="X48" s="3"/>
      <c r="Y48" s="3"/>
      <c r="AA48" s="3"/>
      <c r="AB48" s="33"/>
      <c r="AC48" s="3"/>
      <c r="AE48" s="3"/>
      <c r="AF48" s="3"/>
      <c r="AG48" s="3"/>
      <c r="AI48" s="3"/>
      <c r="AJ48" s="3"/>
      <c r="AK48" s="3"/>
      <c r="AM48" s="3"/>
      <c r="AN48" s="3"/>
      <c r="AO48" s="3"/>
      <c r="AQ48" s="3"/>
      <c r="AR48" s="3"/>
      <c r="AS48" s="3"/>
      <c r="AU48" s="3"/>
      <c r="AV48" s="3"/>
      <c r="AW48" s="3"/>
      <c r="AY48" s="3"/>
      <c r="AZ48" s="3"/>
      <c r="BA48" s="3"/>
      <c r="BC48" s="3"/>
      <c r="BD48" s="3"/>
      <c r="BE48" s="3"/>
      <c r="BG48" s="3"/>
      <c r="BH48" s="3"/>
      <c r="BI48" s="3"/>
      <c r="BK48" s="3"/>
      <c r="BL48" s="3"/>
      <c r="BM48" s="3"/>
      <c r="BO48" s="3"/>
      <c r="BP48" s="25"/>
      <c r="BQ48" s="3"/>
      <c r="BR48" s="5"/>
    </row>
    <row r="49" spans="1:70" x14ac:dyDescent="0.25">
      <c r="A49" s="1" t="s">
        <v>69</v>
      </c>
      <c r="C49" s="3"/>
      <c r="D49" s="3"/>
      <c r="E49" s="3"/>
      <c r="F49" s="5"/>
      <c r="G49" s="3"/>
      <c r="H49" s="3"/>
      <c r="I49" s="3"/>
      <c r="K49" s="3"/>
      <c r="L49" s="3"/>
      <c r="M49" s="3"/>
      <c r="O49" s="3"/>
      <c r="P49" s="3"/>
      <c r="Q49" s="3"/>
      <c r="S49" s="3"/>
      <c r="T49" s="3"/>
      <c r="U49" s="3"/>
      <c r="W49" s="3"/>
      <c r="X49" s="3"/>
      <c r="Y49" s="3"/>
      <c r="AA49" s="3"/>
      <c r="AB49" s="33"/>
      <c r="AC49" s="3"/>
      <c r="AE49" s="3"/>
      <c r="AF49" s="3"/>
      <c r="AG49" s="3"/>
      <c r="AI49" s="3"/>
      <c r="AJ49" s="3"/>
      <c r="AK49" s="3"/>
      <c r="AM49" s="3"/>
      <c r="AN49" s="3"/>
      <c r="AO49" s="3"/>
      <c r="AQ49" s="3"/>
      <c r="AR49" s="3"/>
      <c r="AS49" s="3"/>
      <c r="AU49" s="3"/>
      <c r="AV49" s="3"/>
      <c r="AW49" s="3"/>
      <c r="AY49" s="3"/>
      <c r="AZ49" s="3"/>
      <c r="BA49" s="3"/>
      <c r="BC49" s="3"/>
      <c r="BD49" s="3"/>
      <c r="BE49" s="3"/>
      <c r="BG49" s="3"/>
      <c r="BH49" s="3"/>
      <c r="BI49" s="3"/>
      <c r="BK49" s="3"/>
      <c r="BL49" s="3"/>
      <c r="BM49" s="3"/>
      <c r="BO49" s="3"/>
      <c r="BP49" s="25"/>
      <c r="BQ49" s="3"/>
      <c r="BR49" s="5"/>
    </row>
    <row r="50" spans="1:70" x14ac:dyDescent="0.25">
      <c r="A50" t="s">
        <v>70</v>
      </c>
      <c r="C50" s="3">
        <v>51.46</v>
      </c>
      <c r="D50" s="3">
        <f>104.542+36</f>
        <v>140.542</v>
      </c>
      <c r="E50" s="3">
        <f t="shared" si="53"/>
        <v>89.081999999999994</v>
      </c>
      <c r="F50" s="5"/>
      <c r="G50" s="3">
        <v>13</v>
      </c>
      <c r="H50" s="3">
        <v>192</v>
      </c>
      <c r="I50" s="3">
        <f t="shared" ref="I50:I55" si="68">H50-G50</f>
        <v>179</v>
      </c>
      <c r="K50" s="3">
        <v>76</v>
      </c>
      <c r="L50" s="3">
        <f>1000+154</f>
        <v>1154</v>
      </c>
      <c r="M50" s="3">
        <f t="shared" si="54"/>
        <v>1078</v>
      </c>
      <c r="O50" s="3">
        <f>C50+G50+K50-0.5</f>
        <v>139.96</v>
      </c>
      <c r="P50" s="3">
        <f>D50+H50+L50</f>
        <v>1486.5419999999999</v>
      </c>
      <c r="Q50" s="3">
        <f t="shared" si="55"/>
        <v>1346.5819999999999</v>
      </c>
      <c r="S50" s="3">
        <v>26</v>
      </c>
      <c r="T50" s="3">
        <f>470</f>
        <v>470</v>
      </c>
      <c r="U50" s="3">
        <f t="shared" si="56"/>
        <v>444</v>
      </c>
      <c r="W50" s="3">
        <v>60</v>
      </c>
      <c r="X50" s="3">
        <v>327</v>
      </c>
      <c r="Y50" s="3">
        <f t="shared" si="57"/>
        <v>267</v>
      </c>
      <c r="AA50" s="3">
        <v>168</v>
      </c>
      <c r="AB50" s="33">
        <v>107</v>
      </c>
      <c r="AC50" s="3">
        <f t="shared" si="58"/>
        <v>-61</v>
      </c>
      <c r="AE50" s="3">
        <f t="shared" si="46"/>
        <v>254</v>
      </c>
      <c r="AF50" s="3">
        <f t="shared" si="47"/>
        <v>904</v>
      </c>
      <c r="AG50" s="3">
        <f t="shared" si="59"/>
        <v>650</v>
      </c>
      <c r="AI50" s="3"/>
      <c r="AJ50" s="3"/>
      <c r="AK50" s="3">
        <f t="shared" si="60"/>
        <v>0</v>
      </c>
      <c r="AM50" s="3"/>
      <c r="AN50" s="3"/>
      <c r="AO50" s="3">
        <f t="shared" si="61"/>
        <v>0</v>
      </c>
      <c r="AQ50" s="3"/>
      <c r="AR50" s="3"/>
      <c r="AS50" s="3">
        <f t="shared" si="62"/>
        <v>0</v>
      </c>
      <c r="AU50" s="3">
        <f t="shared" si="48"/>
        <v>0</v>
      </c>
      <c r="AV50" s="3">
        <f t="shared" si="49"/>
        <v>0</v>
      </c>
      <c r="AW50" s="3">
        <f t="shared" si="63"/>
        <v>0</v>
      </c>
      <c r="AY50" s="3"/>
      <c r="AZ50" s="3"/>
      <c r="BA50" s="3">
        <f t="shared" si="64"/>
        <v>0</v>
      </c>
      <c r="BC50" s="3"/>
      <c r="BD50" s="3"/>
      <c r="BE50" s="3">
        <f t="shared" si="65"/>
        <v>0</v>
      </c>
      <c r="BG50" s="3"/>
      <c r="BH50" s="3"/>
      <c r="BI50" s="3">
        <f t="shared" si="66"/>
        <v>0</v>
      </c>
      <c r="BK50" s="3">
        <f t="shared" si="50"/>
        <v>0</v>
      </c>
      <c r="BL50" s="3">
        <f t="shared" si="51"/>
        <v>0</v>
      </c>
      <c r="BM50" s="3">
        <f t="shared" si="67"/>
        <v>0</v>
      </c>
      <c r="BO50" s="3">
        <f t="shared" ref="BO50:BP53" si="69">C50+G50+K50+S50+W50+AA50</f>
        <v>394.46000000000004</v>
      </c>
      <c r="BP50" s="3">
        <f t="shared" si="69"/>
        <v>2390.5419999999999</v>
      </c>
      <c r="BQ50" s="3">
        <f t="shared" ref="BQ50:BQ55" si="70">BP50-BO50</f>
        <v>1996.0819999999999</v>
      </c>
      <c r="BR50" s="5">
        <f>BQ50/BP50</f>
        <v>0.83499139525680788</v>
      </c>
    </row>
    <row r="51" spans="1:70" x14ac:dyDescent="0.25">
      <c r="A51" t="s">
        <v>71</v>
      </c>
      <c r="C51" s="3">
        <v>323.40800000000002</v>
      </c>
      <c r="D51" s="3">
        <v>1235.021</v>
      </c>
      <c r="E51" s="3">
        <f t="shared" si="53"/>
        <v>911.61299999999994</v>
      </c>
      <c r="F51" s="5"/>
      <c r="G51" s="3">
        <v>1161</v>
      </c>
      <c r="H51" s="3">
        <v>1447</v>
      </c>
      <c r="I51" s="3">
        <f t="shared" si="68"/>
        <v>286</v>
      </c>
      <c r="K51" s="3">
        <f>-162.6+-46</f>
        <v>-208.6</v>
      </c>
      <c r="L51" s="3">
        <v>2026</v>
      </c>
      <c r="M51" s="3">
        <f t="shared" si="54"/>
        <v>2234.6</v>
      </c>
      <c r="O51" s="3">
        <f t="shared" si="45"/>
        <v>1275.808</v>
      </c>
      <c r="P51" s="3">
        <f t="shared" si="52"/>
        <v>4708.0209999999997</v>
      </c>
      <c r="Q51" s="3">
        <f t="shared" si="55"/>
        <v>3432.2129999999997</v>
      </c>
      <c r="S51" s="3">
        <v>163</v>
      </c>
      <c r="T51" s="3">
        <v>2728</v>
      </c>
      <c r="U51" s="3">
        <f t="shared" si="56"/>
        <v>2565</v>
      </c>
      <c r="W51" s="3">
        <v>23</v>
      </c>
      <c r="X51" s="3">
        <v>869</v>
      </c>
      <c r="Y51" s="3">
        <f t="shared" si="57"/>
        <v>846</v>
      </c>
      <c r="AA51" s="3">
        <f>2189+229</f>
        <v>2418</v>
      </c>
      <c r="AB51" s="33">
        <v>477</v>
      </c>
      <c r="AC51" s="3">
        <f t="shared" si="58"/>
        <v>-1941</v>
      </c>
      <c r="AE51" s="3">
        <f t="shared" si="46"/>
        <v>2604</v>
      </c>
      <c r="AF51" s="3">
        <f t="shared" si="47"/>
        <v>4074</v>
      </c>
      <c r="AG51" s="3">
        <f t="shared" si="59"/>
        <v>1470</v>
      </c>
      <c r="AI51" s="3"/>
      <c r="AJ51" s="3"/>
      <c r="AK51" s="3">
        <f t="shared" si="60"/>
        <v>0</v>
      </c>
      <c r="AM51" s="3"/>
      <c r="AN51" s="3"/>
      <c r="AO51" s="3">
        <f t="shared" si="61"/>
        <v>0</v>
      </c>
      <c r="AQ51" s="3"/>
      <c r="AR51" s="3"/>
      <c r="AS51" s="3">
        <f t="shared" si="62"/>
        <v>0</v>
      </c>
      <c r="AU51" s="3">
        <f t="shared" si="48"/>
        <v>0</v>
      </c>
      <c r="AV51" s="3">
        <f t="shared" si="49"/>
        <v>0</v>
      </c>
      <c r="AW51" s="3">
        <f t="shared" si="63"/>
        <v>0</v>
      </c>
      <c r="AY51" s="3"/>
      <c r="AZ51" s="3"/>
      <c r="BA51" s="3">
        <f t="shared" si="64"/>
        <v>0</v>
      </c>
      <c r="BC51" s="3"/>
      <c r="BD51" s="3"/>
      <c r="BE51" s="3">
        <f t="shared" si="65"/>
        <v>0</v>
      </c>
      <c r="BG51" s="3"/>
      <c r="BH51" s="3"/>
      <c r="BI51" s="3">
        <f t="shared" si="66"/>
        <v>0</v>
      </c>
      <c r="BK51" s="3">
        <f t="shared" si="50"/>
        <v>0</v>
      </c>
      <c r="BL51" s="3">
        <f t="shared" si="51"/>
        <v>0</v>
      </c>
      <c r="BM51" s="3">
        <f t="shared" si="67"/>
        <v>0</v>
      </c>
      <c r="BO51" s="3">
        <f t="shared" si="69"/>
        <v>3879.808</v>
      </c>
      <c r="BP51" s="3">
        <f t="shared" si="69"/>
        <v>8782.0210000000006</v>
      </c>
      <c r="BQ51" s="3">
        <f t="shared" si="70"/>
        <v>4902.2130000000006</v>
      </c>
      <c r="BR51" s="5">
        <f>BQ51/BP51</f>
        <v>0.5582101204267218</v>
      </c>
    </row>
    <row r="52" spans="1:70" x14ac:dyDescent="0.25">
      <c r="A52" t="s">
        <v>72</v>
      </c>
      <c r="C52" s="3">
        <v>354.78800000000001</v>
      </c>
      <c r="D52" s="3">
        <v>3531.0450000000001</v>
      </c>
      <c r="E52" s="3">
        <f t="shared" si="53"/>
        <v>3176.2570000000001</v>
      </c>
      <c r="F52" s="5"/>
      <c r="G52" s="3">
        <v>0</v>
      </c>
      <c r="H52" s="3">
        <v>2972</v>
      </c>
      <c r="I52" s="3">
        <f t="shared" si="68"/>
        <v>2972</v>
      </c>
      <c r="K52" s="3">
        <v>0</v>
      </c>
      <c r="L52" s="3">
        <v>605</v>
      </c>
      <c r="M52" s="3">
        <f t="shared" si="54"/>
        <v>605</v>
      </c>
      <c r="O52" s="3">
        <f t="shared" si="45"/>
        <v>354.78800000000001</v>
      </c>
      <c r="P52" s="3">
        <f>D52+H52+L52-0.1</f>
        <v>7107.9449999999997</v>
      </c>
      <c r="Q52" s="3">
        <f t="shared" si="55"/>
        <v>6753.1569999999992</v>
      </c>
      <c r="S52" s="3">
        <v>0</v>
      </c>
      <c r="T52" s="3">
        <f>2192+28025</f>
        <v>30217</v>
      </c>
      <c r="U52" s="3">
        <f t="shared" si="56"/>
        <v>30217</v>
      </c>
      <c r="W52" s="3">
        <v>0</v>
      </c>
      <c r="X52" s="3">
        <f>851</f>
        <v>851</v>
      </c>
      <c r="Y52" s="3">
        <f t="shared" si="57"/>
        <v>851</v>
      </c>
      <c r="AA52" s="3">
        <v>0</v>
      </c>
      <c r="AB52" s="33">
        <v>2383</v>
      </c>
      <c r="AC52" s="3">
        <f t="shared" si="58"/>
        <v>2383</v>
      </c>
      <c r="AE52" s="3">
        <f t="shared" si="46"/>
        <v>0</v>
      </c>
      <c r="AF52" s="3">
        <f t="shared" si="47"/>
        <v>33451</v>
      </c>
      <c r="AG52" s="3">
        <f t="shared" si="59"/>
        <v>33451</v>
      </c>
      <c r="AI52" s="3"/>
      <c r="AJ52" s="3"/>
      <c r="AK52" s="3">
        <f t="shared" si="60"/>
        <v>0</v>
      </c>
      <c r="AM52" s="3"/>
      <c r="AN52" s="3"/>
      <c r="AO52" s="3">
        <f t="shared" si="61"/>
        <v>0</v>
      </c>
      <c r="AQ52" s="3"/>
      <c r="AR52" s="3"/>
      <c r="AS52" s="3">
        <f t="shared" si="62"/>
        <v>0</v>
      </c>
      <c r="AU52" s="3">
        <f t="shared" si="48"/>
        <v>0</v>
      </c>
      <c r="AV52" s="3">
        <f t="shared" si="49"/>
        <v>0</v>
      </c>
      <c r="AW52" s="3">
        <f t="shared" si="63"/>
        <v>0</v>
      </c>
      <c r="AY52" s="3"/>
      <c r="AZ52" s="3"/>
      <c r="BA52" s="3">
        <f t="shared" si="64"/>
        <v>0</v>
      </c>
      <c r="BC52" s="3"/>
      <c r="BD52" s="3"/>
      <c r="BE52" s="3">
        <f t="shared" si="65"/>
        <v>0</v>
      </c>
      <c r="BG52" s="3"/>
      <c r="BH52" s="3"/>
      <c r="BI52" s="3">
        <f t="shared" si="66"/>
        <v>0</v>
      </c>
      <c r="BK52" s="3">
        <f t="shared" si="50"/>
        <v>0</v>
      </c>
      <c r="BL52" s="3">
        <f t="shared" si="51"/>
        <v>0</v>
      </c>
      <c r="BM52" s="3">
        <f t="shared" si="67"/>
        <v>0</v>
      </c>
      <c r="BO52" s="3">
        <f t="shared" si="69"/>
        <v>354.78800000000001</v>
      </c>
      <c r="BP52" s="3">
        <f t="shared" si="69"/>
        <v>40559.044999999998</v>
      </c>
      <c r="BQ52" s="3">
        <f t="shared" si="70"/>
        <v>40204.256999999998</v>
      </c>
      <c r="BR52" s="5">
        <f>BQ52/BP52</f>
        <v>0.99125255537944745</v>
      </c>
    </row>
    <row r="53" spans="1:70" x14ac:dyDescent="0.25">
      <c r="A53" t="s">
        <v>73</v>
      </c>
      <c r="C53" s="3">
        <v>17.704000000000001</v>
      </c>
      <c r="D53" s="3">
        <v>0</v>
      </c>
      <c r="E53" s="3">
        <f t="shared" si="53"/>
        <v>-17.704000000000001</v>
      </c>
      <c r="F53" s="5"/>
      <c r="G53" s="3">
        <v>15</v>
      </c>
      <c r="H53" s="3"/>
      <c r="I53" s="3">
        <f t="shared" si="68"/>
        <v>-15</v>
      </c>
      <c r="K53" s="3">
        <v>3</v>
      </c>
      <c r="L53" s="3">
        <v>0</v>
      </c>
      <c r="M53" s="3">
        <f t="shared" si="54"/>
        <v>-3</v>
      </c>
      <c r="O53" s="3">
        <f>C53+G53+K53+0.1</f>
        <v>35.804000000000002</v>
      </c>
      <c r="P53" s="3">
        <f t="shared" si="52"/>
        <v>0</v>
      </c>
      <c r="Q53" s="3">
        <f t="shared" si="55"/>
        <v>-35.804000000000002</v>
      </c>
      <c r="S53" s="3">
        <v>0</v>
      </c>
      <c r="T53" s="3"/>
      <c r="U53" s="3">
        <f t="shared" si="56"/>
        <v>0</v>
      </c>
      <c r="W53" s="3">
        <v>15</v>
      </c>
      <c r="X53" s="3">
        <v>54</v>
      </c>
      <c r="Y53" s="3">
        <f t="shared" si="57"/>
        <v>39</v>
      </c>
      <c r="AA53" s="3">
        <v>0</v>
      </c>
      <c r="AB53" s="33">
        <v>0</v>
      </c>
      <c r="AC53" s="3">
        <f t="shared" si="58"/>
        <v>0</v>
      </c>
      <c r="AE53" s="3">
        <f t="shared" si="46"/>
        <v>15</v>
      </c>
      <c r="AF53" s="3">
        <f t="shared" si="47"/>
        <v>54</v>
      </c>
      <c r="AG53" s="3">
        <f t="shared" si="59"/>
        <v>39</v>
      </c>
      <c r="AI53" s="3"/>
      <c r="AJ53" s="3"/>
      <c r="AK53" s="3">
        <f t="shared" si="60"/>
        <v>0</v>
      </c>
      <c r="AM53" s="3"/>
      <c r="AN53" s="3"/>
      <c r="AO53" s="3">
        <f t="shared" si="61"/>
        <v>0</v>
      </c>
      <c r="AQ53" s="3"/>
      <c r="AR53" s="3"/>
      <c r="AS53" s="3">
        <f t="shared" si="62"/>
        <v>0</v>
      </c>
      <c r="AU53" s="3">
        <f t="shared" si="48"/>
        <v>0</v>
      </c>
      <c r="AV53" s="3">
        <f t="shared" si="49"/>
        <v>0</v>
      </c>
      <c r="AW53" s="3">
        <f t="shared" si="63"/>
        <v>0</v>
      </c>
      <c r="AY53" s="3"/>
      <c r="AZ53" s="3"/>
      <c r="BA53" s="3">
        <f t="shared" si="64"/>
        <v>0</v>
      </c>
      <c r="BC53" s="3"/>
      <c r="BD53" s="3"/>
      <c r="BE53" s="3">
        <f t="shared" si="65"/>
        <v>0</v>
      </c>
      <c r="BG53" s="3"/>
      <c r="BH53" s="3"/>
      <c r="BI53" s="3">
        <f t="shared" si="66"/>
        <v>0</v>
      </c>
      <c r="BK53" s="3">
        <f t="shared" si="50"/>
        <v>0</v>
      </c>
      <c r="BL53" s="3">
        <f t="shared" si="51"/>
        <v>0</v>
      </c>
      <c r="BM53" s="3">
        <f t="shared" si="67"/>
        <v>0</v>
      </c>
      <c r="BO53" s="3">
        <f t="shared" si="69"/>
        <v>50.704000000000001</v>
      </c>
      <c r="BP53" s="3">
        <f t="shared" si="69"/>
        <v>54</v>
      </c>
      <c r="BQ53" s="3">
        <f t="shared" si="70"/>
        <v>3.2959999999999994</v>
      </c>
      <c r="BR53" s="5">
        <v>0</v>
      </c>
    </row>
    <row r="54" spans="1:70" hidden="1" x14ac:dyDescent="0.25">
      <c r="A54" t="s">
        <v>74</v>
      </c>
      <c r="C54" s="3">
        <v>0</v>
      </c>
      <c r="D54" s="3">
        <v>0</v>
      </c>
      <c r="E54" s="3">
        <f t="shared" si="53"/>
        <v>0</v>
      </c>
      <c r="F54" s="5"/>
      <c r="G54" s="3">
        <v>0</v>
      </c>
      <c r="H54" s="3">
        <v>0</v>
      </c>
      <c r="I54" s="3">
        <f t="shared" si="68"/>
        <v>0</v>
      </c>
      <c r="K54" s="3">
        <v>0</v>
      </c>
      <c r="L54" s="3">
        <v>0</v>
      </c>
      <c r="M54" s="3">
        <f t="shared" si="54"/>
        <v>0</v>
      </c>
      <c r="O54" s="3">
        <f t="shared" si="45"/>
        <v>0</v>
      </c>
      <c r="P54" s="3">
        <f t="shared" si="52"/>
        <v>0</v>
      </c>
      <c r="Q54" s="3">
        <f t="shared" si="55"/>
        <v>0</v>
      </c>
      <c r="S54" s="3"/>
      <c r="T54" s="3"/>
      <c r="U54" s="3">
        <f t="shared" si="56"/>
        <v>0</v>
      </c>
      <c r="W54" s="3"/>
      <c r="X54" s="3"/>
      <c r="Y54" s="3">
        <f t="shared" si="57"/>
        <v>0</v>
      </c>
      <c r="AA54" s="3"/>
      <c r="AB54" s="33"/>
      <c r="AC54" s="3">
        <f t="shared" si="58"/>
        <v>0</v>
      </c>
      <c r="AE54" s="3">
        <f t="shared" si="46"/>
        <v>0</v>
      </c>
      <c r="AF54" s="3">
        <f t="shared" si="47"/>
        <v>0</v>
      </c>
      <c r="AG54" s="3">
        <f t="shared" si="59"/>
        <v>0</v>
      </c>
      <c r="AI54" s="3"/>
      <c r="AJ54" s="3"/>
      <c r="AK54" s="3">
        <f t="shared" si="60"/>
        <v>0</v>
      </c>
      <c r="AM54" s="3"/>
      <c r="AN54" s="3"/>
      <c r="AO54" s="3">
        <f t="shared" si="61"/>
        <v>0</v>
      </c>
      <c r="AQ54" s="3"/>
      <c r="AR54" s="3"/>
      <c r="AS54" s="3">
        <f t="shared" si="62"/>
        <v>0</v>
      </c>
      <c r="AU54" s="3">
        <f t="shared" si="48"/>
        <v>0</v>
      </c>
      <c r="AV54" s="3">
        <f t="shared" si="49"/>
        <v>0</v>
      </c>
      <c r="AW54" s="3">
        <f t="shared" si="63"/>
        <v>0</v>
      </c>
      <c r="AY54" s="3"/>
      <c r="AZ54" s="3"/>
      <c r="BA54" s="3">
        <f t="shared" si="64"/>
        <v>0</v>
      </c>
      <c r="BC54" s="3"/>
      <c r="BD54" s="3"/>
      <c r="BE54" s="3">
        <f t="shared" si="65"/>
        <v>0</v>
      </c>
      <c r="BG54" s="3"/>
      <c r="BH54" s="3"/>
      <c r="BI54" s="3">
        <f t="shared" si="66"/>
        <v>0</v>
      </c>
      <c r="BK54" s="3">
        <f t="shared" si="50"/>
        <v>0</v>
      </c>
      <c r="BL54" s="3">
        <f t="shared" si="51"/>
        <v>0</v>
      </c>
      <c r="BM54" s="3">
        <f t="shared" si="67"/>
        <v>0</v>
      </c>
      <c r="BO54" s="3">
        <f>C54+G54+K54+S54+W54</f>
        <v>0</v>
      </c>
      <c r="BP54" s="25">
        <f>D54+H54+L54+T54+X54</f>
        <v>0</v>
      </c>
      <c r="BQ54" s="3">
        <f t="shared" si="70"/>
        <v>0</v>
      </c>
      <c r="BR54" s="5"/>
    </row>
    <row r="55" spans="1:70" x14ac:dyDescent="0.25">
      <c r="A55" t="s">
        <v>75</v>
      </c>
      <c r="C55" s="3">
        <v>1672</v>
      </c>
      <c r="D55" s="3">
        <f>6057.058</f>
        <v>6057.058</v>
      </c>
      <c r="E55" s="3">
        <f t="shared" si="53"/>
        <v>4385.058</v>
      </c>
      <c r="F55" s="5"/>
      <c r="G55" s="3">
        <v>1727</v>
      </c>
      <c r="H55" s="3">
        <f>1682+79+38</f>
        <v>1799</v>
      </c>
      <c r="I55" s="3">
        <f t="shared" si="68"/>
        <v>72</v>
      </c>
      <c r="K55" s="3">
        <v>2079</v>
      </c>
      <c r="L55" s="3">
        <v>1653</v>
      </c>
      <c r="M55" s="3">
        <f t="shared" si="54"/>
        <v>-426</v>
      </c>
      <c r="O55" s="3">
        <f>C55+G55+K55+0.2</f>
        <v>5478.2</v>
      </c>
      <c r="P55" s="3">
        <f t="shared" si="52"/>
        <v>9509.0580000000009</v>
      </c>
      <c r="Q55" s="3">
        <f t="shared" si="55"/>
        <v>4030.8580000000011</v>
      </c>
      <c r="S55" s="3">
        <v>1134</v>
      </c>
      <c r="T55" s="3">
        <v>2952</v>
      </c>
      <c r="U55" s="3">
        <f t="shared" si="56"/>
        <v>1818</v>
      </c>
      <c r="W55" s="3">
        <v>3003</v>
      </c>
      <c r="X55" s="3">
        <v>4130</v>
      </c>
      <c r="Y55" s="3">
        <f t="shared" si="57"/>
        <v>1127</v>
      </c>
      <c r="AA55" s="3">
        <v>1457</v>
      </c>
      <c r="AB55" s="33">
        <v>3837</v>
      </c>
      <c r="AC55" s="3">
        <f t="shared" si="58"/>
        <v>2380</v>
      </c>
      <c r="AE55" s="3">
        <f t="shared" si="46"/>
        <v>5594</v>
      </c>
      <c r="AF55" s="3">
        <f t="shared" si="47"/>
        <v>10919</v>
      </c>
      <c r="AG55" s="3">
        <f t="shared" si="59"/>
        <v>5325</v>
      </c>
      <c r="AI55" s="3"/>
      <c r="AJ55" s="3"/>
      <c r="AK55" s="3">
        <f t="shared" si="60"/>
        <v>0</v>
      </c>
      <c r="AM55" s="3"/>
      <c r="AN55" s="3"/>
      <c r="AO55" s="3">
        <f t="shared" si="61"/>
        <v>0</v>
      </c>
      <c r="AQ55" s="3"/>
      <c r="AR55" s="3"/>
      <c r="AS55" s="3">
        <f t="shared" si="62"/>
        <v>0</v>
      </c>
      <c r="AU55" s="3">
        <f t="shared" si="48"/>
        <v>0</v>
      </c>
      <c r="AV55" s="3">
        <f t="shared" si="49"/>
        <v>0</v>
      </c>
      <c r="AW55" s="3">
        <f t="shared" si="63"/>
        <v>0</v>
      </c>
      <c r="AY55" s="3"/>
      <c r="AZ55" s="3"/>
      <c r="BA55" s="3">
        <f t="shared" si="64"/>
        <v>0</v>
      </c>
      <c r="BC55" s="3"/>
      <c r="BD55" s="3"/>
      <c r="BE55" s="3">
        <f t="shared" si="65"/>
        <v>0</v>
      </c>
      <c r="BG55" s="3"/>
      <c r="BH55" s="3"/>
      <c r="BI55" s="3">
        <f t="shared" si="66"/>
        <v>0</v>
      </c>
      <c r="BK55" s="3">
        <f t="shared" si="50"/>
        <v>0</v>
      </c>
      <c r="BL55" s="3">
        <f t="shared" si="51"/>
        <v>0</v>
      </c>
      <c r="BM55" s="3">
        <f t="shared" si="67"/>
        <v>0</v>
      </c>
      <c r="BO55" s="3">
        <f>C55+G55+K55+S55+W55+AA55</f>
        <v>11072</v>
      </c>
      <c r="BP55" s="3">
        <f>D55+H55+L55+T55+X55+AB55</f>
        <v>20428.058000000001</v>
      </c>
      <c r="BQ55" s="3">
        <f t="shared" si="70"/>
        <v>9356.0580000000009</v>
      </c>
      <c r="BR55" s="5">
        <f>BQ55/BP55</f>
        <v>0.45800036400914862</v>
      </c>
    </row>
    <row r="56" spans="1:70" x14ac:dyDescent="0.25">
      <c r="C56" s="3"/>
      <c r="D56" s="3"/>
      <c r="E56" s="3"/>
      <c r="F56" s="5"/>
      <c r="G56" s="3"/>
      <c r="H56" s="3"/>
      <c r="I56" s="3"/>
      <c r="K56" s="3"/>
      <c r="L56" s="3"/>
      <c r="M56" s="3"/>
      <c r="O56" s="3"/>
      <c r="P56" s="3"/>
      <c r="Q56" s="3"/>
      <c r="S56" s="3"/>
      <c r="T56" s="3"/>
      <c r="U56" s="3"/>
      <c r="W56" s="3"/>
      <c r="X56" s="3"/>
      <c r="Y56" s="3"/>
      <c r="AA56" s="3"/>
      <c r="AB56" s="33"/>
      <c r="AC56" s="3"/>
      <c r="AE56" s="3"/>
      <c r="AF56" s="3"/>
      <c r="AG56" s="3"/>
      <c r="AI56" s="3"/>
      <c r="AJ56" s="3"/>
      <c r="AK56" s="3"/>
      <c r="AM56" s="3"/>
      <c r="AN56" s="3"/>
      <c r="AO56" s="3"/>
      <c r="AQ56" s="3"/>
      <c r="AR56" s="3"/>
      <c r="AS56" s="3"/>
      <c r="AU56" s="3"/>
      <c r="AV56" s="3"/>
      <c r="AW56" s="3"/>
      <c r="AY56" s="3"/>
      <c r="AZ56" s="3"/>
      <c r="BA56" s="3"/>
      <c r="BC56" s="3"/>
      <c r="BD56" s="3"/>
      <c r="BE56" s="3"/>
      <c r="BG56" s="3"/>
      <c r="BH56" s="3"/>
      <c r="BI56" s="3"/>
      <c r="BK56" s="3"/>
      <c r="BL56" s="3"/>
      <c r="BM56" s="3"/>
      <c r="BO56" s="3"/>
      <c r="BP56" s="25"/>
      <c r="BQ56" s="3"/>
      <c r="BR56" s="5"/>
    </row>
    <row r="57" spans="1:70" x14ac:dyDescent="0.25">
      <c r="A57" s="1" t="s">
        <v>3</v>
      </c>
      <c r="C57" s="3"/>
      <c r="D57" s="3"/>
      <c r="E57" s="3"/>
      <c r="F57" s="5"/>
      <c r="G57" s="3"/>
      <c r="H57" s="3"/>
      <c r="I57" s="3"/>
      <c r="K57" s="3"/>
      <c r="L57" s="3"/>
      <c r="M57" s="3"/>
      <c r="O57" s="3"/>
      <c r="P57" s="3"/>
      <c r="Q57" s="3"/>
      <c r="S57" s="3"/>
      <c r="T57" s="3"/>
      <c r="U57" s="3"/>
      <c r="W57" s="3"/>
      <c r="X57" s="3"/>
      <c r="Y57" s="3"/>
      <c r="AA57" s="3"/>
      <c r="AB57" s="33"/>
      <c r="AC57" s="3"/>
      <c r="AE57" s="3"/>
      <c r="AF57" s="3"/>
      <c r="AG57" s="3"/>
      <c r="AI57" s="3"/>
      <c r="AJ57" s="3"/>
      <c r="AK57" s="3"/>
      <c r="AM57" s="3"/>
      <c r="AN57" s="3"/>
      <c r="AO57" s="3"/>
      <c r="AQ57" s="3"/>
      <c r="AR57" s="3"/>
      <c r="AS57" s="3"/>
      <c r="AU57" s="3">
        <f t="shared" si="48"/>
        <v>0</v>
      </c>
      <c r="AV57" s="3">
        <f t="shared" si="49"/>
        <v>0</v>
      </c>
      <c r="AW57" s="3"/>
      <c r="AY57" s="3"/>
      <c r="AZ57" s="3"/>
      <c r="BA57" s="3"/>
      <c r="BC57" s="3"/>
      <c r="BD57" s="3"/>
      <c r="BE57" s="3"/>
      <c r="BG57" s="3"/>
      <c r="BH57" s="3"/>
      <c r="BI57" s="3"/>
      <c r="BK57" s="3">
        <f t="shared" si="50"/>
        <v>0</v>
      </c>
      <c r="BL57" s="3">
        <f t="shared" si="51"/>
        <v>0</v>
      </c>
      <c r="BM57" s="3"/>
      <c r="BO57" s="3"/>
      <c r="BP57" s="25"/>
      <c r="BQ57" s="3"/>
      <c r="BR57" s="5"/>
    </row>
    <row r="58" spans="1:70" x14ac:dyDescent="0.25">
      <c r="A58" s="11" t="s">
        <v>13</v>
      </c>
      <c r="C58" s="3">
        <v>0</v>
      </c>
      <c r="D58" s="3">
        <v>0</v>
      </c>
      <c r="E58" s="3">
        <f t="shared" si="53"/>
        <v>0</v>
      </c>
      <c r="F58" s="5"/>
      <c r="G58" s="3">
        <v>0</v>
      </c>
      <c r="H58" s="3">
        <v>28</v>
      </c>
      <c r="I58" s="3">
        <f t="shared" ref="I58:I66" si="71">H58-G58</f>
        <v>28</v>
      </c>
      <c r="K58" s="3">
        <v>0</v>
      </c>
      <c r="L58" s="3">
        <v>175</v>
      </c>
      <c r="M58" s="3">
        <f>L58-K58</f>
        <v>175</v>
      </c>
      <c r="O58" s="3">
        <f t="shared" si="45"/>
        <v>0</v>
      </c>
      <c r="P58" s="3">
        <f>D58+H58+L58-0.4</f>
        <v>202.6</v>
      </c>
      <c r="Q58" s="3">
        <f>P58-O58</f>
        <v>202.6</v>
      </c>
      <c r="S58" s="3">
        <v>0</v>
      </c>
      <c r="T58" s="3">
        <v>12</v>
      </c>
      <c r="U58" s="3">
        <f>T58-S58</f>
        <v>12</v>
      </c>
      <c r="W58" s="3">
        <v>0</v>
      </c>
      <c r="X58" s="3">
        <v>2177</v>
      </c>
      <c r="Y58" s="3">
        <f>X58-W58</f>
        <v>2177</v>
      </c>
      <c r="AA58" s="3"/>
      <c r="AB58" s="33"/>
      <c r="AC58" s="3">
        <f>AB58-AA58</f>
        <v>0</v>
      </c>
      <c r="AE58" s="3">
        <f t="shared" si="46"/>
        <v>0</v>
      </c>
      <c r="AF58" s="3">
        <f t="shared" si="47"/>
        <v>2189</v>
      </c>
      <c r="AG58" s="3">
        <f>AF58-AE58</f>
        <v>2189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8"/>
        <v>0</v>
      </c>
      <c r="AV58" s="3">
        <f t="shared" si="49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0"/>
        <v>0</v>
      </c>
      <c r="BL58" s="3">
        <f t="shared" si="51"/>
        <v>0</v>
      </c>
      <c r="BM58" s="3">
        <f>BL58-BK58</f>
        <v>0</v>
      </c>
      <c r="BO58" s="3">
        <f t="shared" ref="BO58:BP61" si="72">C58+G58+K58+S58+W58+AA58</f>
        <v>0</v>
      </c>
      <c r="BP58" s="3">
        <f t="shared" si="72"/>
        <v>2392</v>
      </c>
      <c r="BQ58" s="3">
        <f t="shared" ref="BQ58:BQ66" si="73">BP58-BO58</f>
        <v>2392</v>
      </c>
      <c r="BR58" s="5">
        <f t="shared" ref="BR58:BR66" si="74">BQ58/BP58</f>
        <v>1</v>
      </c>
    </row>
    <row r="59" spans="1:70" x14ac:dyDescent="0.25">
      <c r="A59" s="11" t="s">
        <v>14</v>
      </c>
      <c r="C59" s="3">
        <v>0</v>
      </c>
      <c r="D59" s="3"/>
      <c r="E59" s="3">
        <f t="shared" si="53"/>
        <v>0</v>
      </c>
      <c r="F59" s="5"/>
      <c r="G59" s="3">
        <v>0</v>
      </c>
      <c r="H59" s="3">
        <v>313</v>
      </c>
      <c r="I59" s="3">
        <f t="shared" si="71"/>
        <v>313</v>
      </c>
      <c r="K59" s="3">
        <v>0</v>
      </c>
      <c r="L59" s="3">
        <v>50</v>
      </c>
      <c r="M59" s="3">
        <f>L59-K59</f>
        <v>50</v>
      </c>
      <c r="O59" s="3">
        <f t="shared" si="45"/>
        <v>0</v>
      </c>
      <c r="P59" s="3">
        <f t="shared" si="52"/>
        <v>363</v>
      </c>
      <c r="Q59" s="3">
        <f>P59-O59</f>
        <v>363</v>
      </c>
      <c r="S59" s="3">
        <v>0</v>
      </c>
      <c r="T59" s="3">
        <f>212-95</f>
        <v>117</v>
      </c>
      <c r="U59" s="3">
        <f>T59-S59</f>
        <v>117</v>
      </c>
      <c r="W59" s="3">
        <v>0</v>
      </c>
      <c r="X59" s="3">
        <v>292</v>
      </c>
      <c r="Y59" s="3">
        <f>X59-W59</f>
        <v>292</v>
      </c>
      <c r="AA59" s="3"/>
      <c r="AB59" s="33">
        <v>19</v>
      </c>
      <c r="AC59" s="3">
        <f>AB59-AA59</f>
        <v>19</v>
      </c>
      <c r="AE59" s="3">
        <f t="shared" si="46"/>
        <v>0</v>
      </c>
      <c r="AF59" s="3">
        <f t="shared" si="47"/>
        <v>428</v>
      </c>
      <c r="AG59" s="3">
        <f>AF59-AE59</f>
        <v>428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8"/>
        <v>0</v>
      </c>
      <c r="AV59" s="3">
        <f t="shared" si="49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0"/>
        <v>0</v>
      </c>
      <c r="BL59" s="3">
        <f t="shared" si="51"/>
        <v>0</v>
      </c>
      <c r="BM59" s="3">
        <f>BL59-BK59</f>
        <v>0</v>
      </c>
      <c r="BO59" s="3">
        <f t="shared" si="72"/>
        <v>0</v>
      </c>
      <c r="BP59" s="3">
        <f t="shared" si="72"/>
        <v>791</v>
      </c>
      <c r="BQ59" s="3">
        <f t="shared" si="73"/>
        <v>791</v>
      </c>
      <c r="BR59" s="5">
        <f t="shared" si="74"/>
        <v>1</v>
      </c>
    </row>
    <row r="60" spans="1:70" x14ac:dyDescent="0.25">
      <c r="A60" s="11" t="s">
        <v>15</v>
      </c>
      <c r="C60" s="3">
        <v>0</v>
      </c>
      <c r="D60" s="3">
        <v>435</v>
      </c>
      <c r="E60" s="3">
        <f t="shared" si="53"/>
        <v>435</v>
      </c>
      <c r="F60" s="5"/>
      <c r="G60" s="3">
        <v>0</v>
      </c>
      <c r="H60" s="3">
        <v>146</v>
      </c>
      <c r="I60" s="3">
        <f t="shared" si="71"/>
        <v>146</v>
      </c>
      <c r="K60" s="3">
        <v>0</v>
      </c>
      <c r="L60" s="3">
        <v>1048</v>
      </c>
      <c r="M60" s="3">
        <f>L60-K60</f>
        <v>1048</v>
      </c>
      <c r="O60" s="3">
        <f t="shared" si="45"/>
        <v>0</v>
      </c>
      <c r="P60" s="3">
        <f t="shared" si="52"/>
        <v>1629</v>
      </c>
      <c r="Q60" s="3">
        <f>P60-O60</f>
        <v>1629</v>
      </c>
      <c r="S60" s="3">
        <v>0</v>
      </c>
      <c r="T60" s="3">
        <f>148+403</f>
        <v>551</v>
      </c>
      <c r="U60" s="3">
        <f>T60-S60</f>
        <v>551</v>
      </c>
      <c r="W60" s="3">
        <v>0</v>
      </c>
      <c r="X60" s="3">
        <f>443-20</f>
        <v>423</v>
      </c>
      <c r="Y60" s="3">
        <f>X60-W60</f>
        <v>423</v>
      </c>
      <c r="AA60" s="3"/>
      <c r="AB60" s="33">
        <v>2279</v>
      </c>
      <c r="AC60" s="3">
        <f>AB60-AA60</f>
        <v>2279</v>
      </c>
      <c r="AE60" s="3">
        <f t="shared" si="46"/>
        <v>0</v>
      </c>
      <c r="AF60" s="3">
        <f t="shared" si="47"/>
        <v>3253</v>
      </c>
      <c r="AG60" s="3">
        <f>AF60-AE60</f>
        <v>3253</v>
      </c>
      <c r="AI60" s="3"/>
      <c r="AJ60" s="3"/>
      <c r="AK60" s="3">
        <f>AJ60-AI60</f>
        <v>0</v>
      </c>
      <c r="AM60" s="3"/>
      <c r="AN60" s="3"/>
      <c r="AO60" s="3">
        <f>AN60-AM60</f>
        <v>0</v>
      </c>
      <c r="AQ60" s="3"/>
      <c r="AR60" s="3"/>
      <c r="AS60" s="3">
        <f>AR60-AQ60</f>
        <v>0</v>
      </c>
      <c r="AU60" s="3">
        <f t="shared" si="48"/>
        <v>0</v>
      </c>
      <c r="AV60" s="3">
        <f t="shared" si="49"/>
        <v>0</v>
      </c>
      <c r="AW60" s="3">
        <f>AV60-AU60</f>
        <v>0</v>
      </c>
      <c r="AY60" s="3"/>
      <c r="AZ60" s="3"/>
      <c r="BA60" s="3">
        <f>AZ60-AY60</f>
        <v>0</v>
      </c>
      <c r="BC60" s="3"/>
      <c r="BD60" s="3"/>
      <c r="BE60" s="3">
        <f>BD60-BC60</f>
        <v>0</v>
      </c>
      <c r="BG60" s="3"/>
      <c r="BH60" s="3"/>
      <c r="BI60" s="3">
        <f>BH60-BG60</f>
        <v>0</v>
      </c>
      <c r="BK60" s="3">
        <f t="shared" si="50"/>
        <v>0</v>
      </c>
      <c r="BL60" s="3">
        <f t="shared" si="51"/>
        <v>0</v>
      </c>
      <c r="BM60" s="3">
        <f>BL60-BK60</f>
        <v>0</v>
      </c>
      <c r="BO60" s="3">
        <f t="shared" si="72"/>
        <v>0</v>
      </c>
      <c r="BP60" s="3">
        <f t="shared" si="72"/>
        <v>4882</v>
      </c>
      <c r="BQ60" s="3">
        <f t="shared" si="73"/>
        <v>4882</v>
      </c>
      <c r="BR60" s="5">
        <f t="shared" si="74"/>
        <v>1</v>
      </c>
    </row>
    <row r="61" spans="1:70" x14ac:dyDescent="0.25">
      <c r="A61" s="11" t="s">
        <v>16</v>
      </c>
      <c r="C61" s="3">
        <v>0</v>
      </c>
      <c r="D61" s="3">
        <v>175</v>
      </c>
      <c r="E61" s="3">
        <f t="shared" si="53"/>
        <v>175</v>
      </c>
      <c r="F61" s="5"/>
      <c r="G61" s="3">
        <v>0</v>
      </c>
      <c r="H61" s="3">
        <v>5281</v>
      </c>
      <c r="I61" s="3">
        <f t="shared" si="71"/>
        <v>5281</v>
      </c>
      <c r="K61" s="3">
        <v>12</v>
      </c>
      <c r="L61" s="3">
        <f>8654-4400</f>
        <v>4254</v>
      </c>
      <c r="M61" s="3">
        <f>L61-K61</f>
        <v>4242</v>
      </c>
      <c r="O61" s="3">
        <f t="shared" si="45"/>
        <v>12</v>
      </c>
      <c r="P61" s="3">
        <f t="shared" si="52"/>
        <v>9710</v>
      </c>
      <c r="Q61" s="3">
        <f>P61-O61</f>
        <v>9698</v>
      </c>
      <c r="S61" s="3">
        <v>0</v>
      </c>
      <c r="T61" s="3">
        <f>-298-403</f>
        <v>-701</v>
      </c>
      <c r="U61" s="3">
        <f>T61-S61</f>
        <v>-701</v>
      </c>
      <c r="W61" s="3">
        <v>0</v>
      </c>
      <c r="X61" s="3">
        <v>355</v>
      </c>
      <c r="Y61" s="3">
        <f>X61-W61</f>
        <v>355</v>
      </c>
      <c r="AA61" s="3"/>
      <c r="AB61" s="33">
        <v>121</v>
      </c>
      <c r="AC61" s="3">
        <f>AB61-AA61</f>
        <v>121</v>
      </c>
      <c r="AE61" s="3">
        <f t="shared" si="46"/>
        <v>0</v>
      </c>
      <c r="AF61" s="3">
        <f t="shared" si="47"/>
        <v>-225</v>
      </c>
      <c r="AG61" s="3">
        <f>AF61-AE61</f>
        <v>-225</v>
      </c>
      <c r="AI61" s="3"/>
      <c r="AJ61" s="3"/>
      <c r="AK61" s="3">
        <f>AJ61-AI61</f>
        <v>0</v>
      </c>
      <c r="AM61" s="3"/>
      <c r="AN61" s="3"/>
      <c r="AO61" s="3">
        <f>AN61-AM61</f>
        <v>0</v>
      </c>
      <c r="AQ61" s="3"/>
      <c r="AR61" s="3"/>
      <c r="AS61" s="3">
        <f>AR61-AQ61</f>
        <v>0</v>
      </c>
      <c r="AU61" s="3">
        <f t="shared" si="48"/>
        <v>0</v>
      </c>
      <c r="AV61" s="3">
        <f t="shared" si="49"/>
        <v>0</v>
      </c>
      <c r="AW61" s="3">
        <f>AV61-AU61</f>
        <v>0</v>
      </c>
      <c r="AY61" s="3"/>
      <c r="AZ61" s="3"/>
      <c r="BA61" s="3">
        <f>AZ61-AY61</f>
        <v>0</v>
      </c>
      <c r="BC61" s="3"/>
      <c r="BD61" s="3"/>
      <c r="BE61" s="3">
        <f>BD61-BC61</f>
        <v>0</v>
      </c>
      <c r="BG61" s="3"/>
      <c r="BH61" s="3"/>
      <c r="BI61" s="3">
        <f>BH61-BG61</f>
        <v>0</v>
      </c>
      <c r="BK61" s="3">
        <f t="shared" si="50"/>
        <v>0</v>
      </c>
      <c r="BL61" s="3">
        <f t="shared" si="51"/>
        <v>0</v>
      </c>
      <c r="BM61" s="3">
        <f>BL61-BK61</f>
        <v>0</v>
      </c>
      <c r="BO61" s="3">
        <f t="shared" si="72"/>
        <v>12</v>
      </c>
      <c r="BP61" s="3">
        <f t="shared" si="72"/>
        <v>9485</v>
      </c>
      <c r="BQ61" s="3">
        <f t="shared" si="73"/>
        <v>9473</v>
      </c>
      <c r="BR61" s="5">
        <f t="shared" si="74"/>
        <v>0.99873484449130201</v>
      </c>
    </row>
    <row r="62" spans="1:70" x14ac:dyDescent="0.25">
      <c r="A62" s="11"/>
      <c r="C62" s="3"/>
      <c r="D62" s="3"/>
      <c r="E62" s="3"/>
      <c r="F62" s="5"/>
      <c r="G62" s="3"/>
      <c r="H62" s="3"/>
      <c r="I62" s="3"/>
      <c r="K62" s="3"/>
      <c r="L62" s="3"/>
      <c r="M62" s="3"/>
      <c r="O62" s="3"/>
      <c r="P62" s="3"/>
      <c r="Q62" s="3"/>
      <c r="S62" s="3"/>
      <c r="T62" s="3"/>
      <c r="U62" s="3"/>
      <c r="W62" s="3"/>
      <c r="X62" s="3"/>
      <c r="Y62" s="3"/>
      <c r="AA62" s="3"/>
      <c r="AB62" s="33"/>
      <c r="AC62" s="3"/>
      <c r="AE62" s="3"/>
      <c r="AF62" s="3"/>
      <c r="AG62" s="3"/>
      <c r="AI62" s="3"/>
      <c r="AJ62" s="3"/>
      <c r="AK62" s="3"/>
      <c r="AM62" s="3"/>
      <c r="AN62" s="3"/>
      <c r="AO62" s="3"/>
      <c r="AQ62" s="3"/>
      <c r="AR62" s="3"/>
      <c r="AS62" s="3"/>
      <c r="AU62" s="3"/>
      <c r="AV62" s="3"/>
      <c r="AW62" s="3"/>
      <c r="AY62" s="3"/>
      <c r="AZ62" s="3"/>
      <c r="BA62" s="3"/>
      <c r="BC62" s="3"/>
      <c r="BD62" s="3"/>
      <c r="BE62" s="3"/>
      <c r="BG62" s="3"/>
      <c r="BH62" s="3"/>
      <c r="BI62" s="3"/>
      <c r="BK62" s="3"/>
      <c r="BL62" s="3"/>
      <c r="BM62" s="3"/>
      <c r="BO62" s="3"/>
      <c r="BP62" s="25"/>
      <c r="BQ62" s="3"/>
      <c r="BR62" s="5"/>
    </row>
    <row r="63" spans="1:70" x14ac:dyDescent="0.25">
      <c r="A63" s="1" t="s">
        <v>4</v>
      </c>
      <c r="C63" s="3"/>
      <c r="D63" s="3"/>
      <c r="E63" s="3"/>
      <c r="F63" s="5"/>
      <c r="G63" s="3"/>
      <c r="H63" s="3"/>
      <c r="I63" s="3"/>
      <c r="K63" s="3"/>
      <c r="L63" s="3"/>
      <c r="M63" s="3"/>
      <c r="O63" s="3"/>
      <c r="P63" s="3"/>
      <c r="Q63" s="3"/>
      <c r="S63" s="3"/>
      <c r="T63" s="3"/>
      <c r="U63" s="3"/>
      <c r="W63" s="3"/>
      <c r="X63" s="3"/>
      <c r="Y63" s="3"/>
      <c r="AA63" s="3"/>
      <c r="AB63" s="33"/>
      <c r="AC63" s="3"/>
      <c r="AE63" s="3"/>
      <c r="AF63" s="3"/>
      <c r="AG63" s="3"/>
      <c r="AI63" s="3"/>
      <c r="AJ63" s="3"/>
      <c r="AK63" s="3"/>
      <c r="AM63" s="3"/>
      <c r="AN63" s="3"/>
      <c r="AO63" s="3"/>
      <c r="AQ63" s="3"/>
      <c r="AR63" s="3"/>
      <c r="AS63" s="3"/>
      <c r="AU63" s="3">
        <f t="shared" si="48"/>
        <v>0</v>
      </c>
      <c r="AV63" s="3">
        <f t="shared" si="49"/>
        <v>0</v>
      </c>
      <c r="AW63" s="3"/>
      <c r="AY63" s="3"/>
      <c r="AZ63" s="3"/>
      <c r="BA63" s="3"/>
      <c r="BC63" s="3"/>
      <c r="BD63" s="3"/>
      <c r="BE63" s="3"/>
      <c r="BG63" s="3"/>
      <c r="BH63" s="3"/>
      <c r="BI63" s="3"/>
      <c r="BK63" s="3">
        <f t="shared" si="50"/>
        <v>0</v>
      </c>
      <c r="BL63" s="3">
        <f t="shared" si="51"/>
        <v>0</v>
      </c>
      <c r="BM63" s="3"/>
      <c r="BO63" s="3"/>
      <c r="BP63" s="25"/>
      <c r="BQ63" s="3"/>
      <c r="BR63" s="5"/>
    </row>
    <row r="64" spans="1:70" hidden="1" x14ac:dyDescent="0.25">
      <c r="A64" t="s">
        <v>93</v>
      </c>
      <c r="C64" s="3">
        <v>0</v>
      </c>
      <c r="D64" s="3">
        <v>0</v>
      </c>
      <c r="E64" s="3">
        <f t="shared" si="53"/>
        <v>0</v>
      </c>
      <c r="F64" s="5"/>
      <c r="G64" s="3">
        <v>0</v>
      </c>
      <c r="H64" s="3">
        <v>0</v>
      </c>
      <c r="I64" s="3">
        <f t="shared" si="71"/>
        <v>0</v>
      </c>
      <c r="K64" s="3">
        <v>0</v>
      </c>
      <c r="L64" s="3">
        <v>0</v>
      </c>
      <c r="M64" s="3">
        <f t="shared" ref="M64:M73" si="75">L64-K64</f>
        <v>0</v>
      </c>
      <c r="O64" s="3">
        <f t="shared" si="45"/>
        <v>0</v>
      </c>
      <c r="P64" s="3">
        <f t="shared" si="52"/>
        <v>0</v>
      </c>
      <c r="Q64" s="3">
        <f t="shared" ref="Q64:Q73" si="76">P64-O64</f>
        <v>0</v>
      </c>
      <c r="S64" s="3">
        <v>0</v>
      </c>
      <c r="T64" s="3">
        <v>0</v>
      </c>
      <c r="U64" s="3">
        <f t="shared" ref="U64:U73" si="77">T64-S64</f>
        <v>0</v>
      </c>
      <c r="W64" s="3">
        <v>0</v>
      </c>
      <c r="X64" s="3"/>
      <c r="Y64" s="3">
        <f t="shared" ref="Y64:Y73" si="78">X64-W64</f>
        <v>0</v>
      </c>
      <c r="AA64" s="3"/>
      <c r="AB64" s="33"/>
      <c r="AC64" s="3">
        <f t="shared" ref="AC64:AC73" si="79">AB64-AA64</f>
        <v>0</v>
      </c>
      <c r="AE64" s="3">
        <f t="shared" si="46"/>
        <v>0</v>
      </c>
      <c r="AF64" s="3">
        <f t="shared" si="47"/>
        <v>0</v>
      </c>
      <c r="AG64" s="3">
        <f t="shared" ref="AG64:AG73" si="80">AF64-AE64</f>
        <v>0</v>
      </c>
      <c r="AI64" s="3"/>
      <c r="AJ64" s="3"/>
      <c r="AK64" s="3">
        <f t="shared" ref="AK64:AK73" si="81">AJ64-AI64</f>
        <v>0</v>
      </c>
      <c r="AM64" s="3"/>
      <c r="AN64" s="3"/>
      <c r="AO64" s="3">
        <f t="shared" ref="AO64:AO73" si="82">AN64-AM64</f>
        <v>0</v>
      </c>
      <c r="AQ64" s="3"/>
      <c r="AR64" s="3"/>
      <c r="AS64" s="3">
        <f t="shared" ref="AS64:AS73" si="83">AR64-AQ64</f>
        <v>0</v>
      </c>
      <c r="AU64" s="3">
        <f t="shared" si="48"/>
        <v>0</v>
      </c>
      <c r="AV64" s="3">
        <f t="shared" si="49"/>
        <v>0</v>
      </c>
      <c r="AW64" s="3">
        <f t="shared" ref="AW64:AW73" si="84">AV64-AU64</f>
        <v>0</v>
      </c>
      <c r="AY64" s="3"/>
      <c r="AZ64" s="3"/>
      <c r="BA64" s="3">
        <f t="shared" ref="BA64:BA73" si="85">AZ64-AY64</f>
        <v>0</v>
      </c>
      <c r="BC64" s="3"/>
      <c r="BD64" s="3"/>
      <c r="BE64" s="3">
        <f t="shared" ref="BE64:BE73" si="86">BD64-BC64</f>
        <v>0</v>
      </c>
      <c r="BG64" s="3"/>
      <c r="BH64" s="3"/>
      <c r="BI64" s="3">
        <f t="shared" ref="BI64:BI73" si="87">BH64-BG64</f>
        <v>0</v>
      </c>
      <c r="BK64" s="3">
        <f t="shared" si="50"/>
        <v>0</v>
      </c>
      <c r="BL64" s="3">
        <f t="shared" si="51"/>
        <v>0</v>
      </c>
      <c r="BM64" s="3">
        <f t="shared" ref="BM64:BM73" si="88">BL64-BK64</f>
        <v>0</v>
      </c>
      <c r="BO64" s="3">
        <f>C64+G64+K64+S64+W64</f>
        <v>0</v>
      </c>
      <c r="BP64" s="25">
        <f>D64+H64+L64+T64+X64</f>
        <v>0</v>
      </c>
      <c r="BQ64" s="3">
        <f>BP64-BO64</f>
        <v>0</v>
      </c>
      <c r="BR64" s="5"/>
    </row>
    <row r="65" spans="1:70" hidden="1" x14ac:dyDescent="0.25">
      <c r="A65" t="s">
        <v>17</v>
      </c>
      <c r="C65" s="3">
        <v>0</v>
      </c>
      <c r="D65" s="3">
        <v>0</v>
      </c>
      <c r="E65" s="3">
        <f t="shared" si="53"/>
        <v>0</v>
      </c>
      <c r="F65" s="5"/>
      <c r="G65" s="3">
        <v>0</v>
      </c>
      <c r="H65" s="3">
        <f>5350-5350</f>
        <v>0</v>
      </c>
      <c r="I65" s="3">
        <f t="shared" si="71"/>
        <v>0</v>
      </c>
      <c r="K65" s="3">
        <v>0</v>
      </c>
      <c r="L65" s="3">
        <f>5297-5297</f>
        <v>0</v>
      </c>
      <c r="M65" s="3">
        <f t="shared" si="75"/>
        <v>0</v>
      </c>
      <c r="O65" s="3">
        <f t="shared" si="45"/>
        <v>0</v>
      </c>
      <c r="P65" s="3">
        <f t="shared" si="52"/>
        <v>0</v>
      </c>
      <c r="Q65" s="3">
        <f t="shared" si="76"/>
        <v>0</v>
      </c>
      <c r="S65" s="3"/>
      <c r="T65" s="3"/>
      <c r="U65" s="3">
        <f t="shared" si="77"/>
        <v>0</v>
      </c>
      <c r="W65" s="3"/>
      <c r="X65" s="3"/>
      <c r="Y65" s="3">
        <f t="shared" si="78"/>
        <v>0</v>
      </c>
      <c r="AA65" s="3"/>
      <c r="AB65" s="33"/>
      <c r="AC65" s="3">
        <f t="shared" si="79"/>
        <v>0</v>
      </c>
      <c r="AE65" s="3">
        <f t="shared" si="46"/>
        <v>0</v>
      </c>
      <c r="AF65" s="3">
        <f t="shared" si="47"/>
        <v>0</v>
      </c>
      <c r="AG65" s="3">
        <f t="shared" si="80"/>
        <v>0</v>
      </c>
      <c r="AI65" s="3"/>
      <c r="AJ65" s="3"/>
      <c r="AK65" s="3">
        <f t="shared" si="81"/>
        <v>0</v>
      </c>
      <c r="AM65" s="3"/>
      <c r="AN65" s="3"/>
      <c r="AO65" s="3">
        <f t="shared" si="82"/>
        <v>0</v>
      </c>
      <c r="AQ65" s="3"/>
      <c r="AR65" s="3"/>
      <c r="AS65" s="3">
        <f t="shared" si="83"/>
        <v>0</v>
      </c>
      <c r="AU65" s="3">
        <f t="shared" si="48"/>
        <v>0</v>
      </c>
      <c r="AV65" s="3">
        <f t="shared" si="49"/>
        <v>0</v>
      </c>
      <c r="AW65" s="3">
        <f t="shared" si="84"/>
        <v>0</v>
      </c>
      <c r="AY65" s="3"/>
      <c r="AZ65" s="3"/>
      <c r="BA65" s="3">
        <f t="shared" si="85"/>
        <v>0</v>
      </c>
      <c r="BC65" s="3"/>
      <c r="BD65" s="3"/>
      <c r="BE65" s="3">
        <f t="shared" si="86"/>
        <v>0</v>
      </c>
      <c r="BG65" s="3"/>
      <c r="BH65" s="3"/>
      <c r="BI65" s="3">
        <f t="shared" si="87"/>
        <v>0</v>
      </c>
      <c r="BK65" s="3">
        <f t="shared" si="50"/>
        <v>0</v>
      </c>
      <c r="BL65" s="3">
        <f t="shared" si="51"/>
        <v>0</v>
      </c>
      <c r="BM65" s="3">
        <f t="shared" si="88"/>
        <v>0</v>
      </c>
      <c r="BO65" s="3">
        <f>C65+G65+K65+S65+W65</f>
        <v>0</v>
      </c>
      <c r="BP65" s="25">
        <f>D65+H65+L65+T65+X65</f>
        <v>0</v>
      </c>
      <c r="BQ65" s="3">
        <f t="shared" si="73"/>
        <v>0</v>
      </c>
      <c r="BR65" s="5" t="e">
        <f t="shared" si="74"/>
        <v>#DIV/0!</v>
      </c>
    </row>
    <row r="66" spans="1:70" x14ac:dyDescent="0.25">
      <c r="A66" t="s">
        <v>94</v>
      </c>
      <c r="C66" s="3">
        <v>0</v>
      </c>
      <c r="D66" s="3">
        <f>280-10</f>
        <v>270</v>
      </c>
      <c r="E66" s="3">
        <f t="shared" si="53"/>
        <v>270</v>
      </c>
      <c r="F66" s="5"/>
      <c r="G66" s="3">
        <v>0</v>
      </c>
      <c r="H66" s="3">
        <f>-37+5350</f>
        <v>5313</v>
      </c>
      <c r="I66" s="3">
        <f t="shared" si="71"/>
        <v>5313</v>
      </c>
      <c r="K66" s="3">
        <v>0</v>
      </c>
      <c r="L66" s="3">
        <f>5297</f>
        <v>5297</v>
      </c>
      <c r="M66" s="3">
        <f t="shared" si="75"/>
        <v>5297</v>
      </c>
      <c r="O66" s="3">
        <f t="shared" si="45"/>
        <v>0</v>
      </c>
      <c r="P66" s="3">
        <f t="shared" si="52"/>
        <v>10880</v>
      </c>
      <c r="Q66" s="3">
        <f t="shared" si="76"/>
        <v>10880</v>
      </c>
      <c r="S66" s="3">
        <v>0</v>
      </c>
      <c r="T66" s="3">
        <v>16400</v>
      </c>
      <c r="U66" s="3">
        <f t="shared" si="77"/>
        <v>16400</v>
      </c>
      <c r="W66" s="3">
        <v>0</v>
      </c>
      <c r="X66" s="3">
        <v>81177</v>
      </c>
      <c r="Y66" s="3">
        <f t="shared" si="78"/>
        <v>81177</v>
      </c>
      <c r="AA66" s="3"/>
      <c r="AB66" s="33">
        <f>1200+938</f>
        <v>2138</v>
      </c>
      <c r="AC66" s="3">
        <f t="shared" si="79"/>
        <v>2138</v>
      </c>
      <c r="AE66" s="3">
        <f t="shared" si="46"/>
        <v>0</v>
      </c>
      <c r="AF66" s="3">
        <f t="shared" si="47"/>
        <v>99715</v>
      </c>
      <c r="AG66" s="3">
        <f t="shared" si="80"/>
        <v>99715</v>
      </c>
      <c r="AI66" s="3"/>
      <c r="AJ66" s="3"/>
      <c r="AK66" s="3">
        <f t="shared" si="81"/>
        <v>0</v>
      </c>
      <c r="AM66" s="3"/>
      <c r="AN66" s="3"/>
      <c r="AO66" s="3">
        <f t="shared" si="82"/>
        <v>0</v>
      </c>
      <c r="AQ66" s="3"/>
      <c r="AR66" s="3"/>
      <c r="AS66" s="3">
        <f t="shared" si="83"/>
        <v>0</v>
      </c>
      <c r="AU66" s="3">
        <f t="shared" si="48"/>
        <v>0</v>
      </c>
      <c r="AV66" s="3">
        <f t="shared" si="49"/>
        <v>0</v>
      </c>
      <c r="AW66" s="3">
        <f t="shared" si="84"/>
        <v>0</v>
      </c>
      <c r="AY66" s="3"/>
      <c r="AZ66" s="3"/>
      <c r="BA66" s="3">
        <f t="shared" si="85"/>
        <v>0</v>
      </c>
      <c r="BC66" s="3"/>
      <c r="BD66" s="3"/>
      <c r="BE66" s="3">
        <f t="shared" si="86"/>
        <v>0</v>
      </c>
      <c r="BG66" s="3"/>
      <c r="BH66" s="3"/>
      <c r="BI66" s="3">
        <f t="shared" si="87"/>
        <v>0</v>
      </c>
      <c r="BK66" s="3">
        <f t="shared" si="50"/>
        <v>0</v>
      </c>
      <c r="BL66" s="3">
        <f t="shared" si="51"/>
        <v>0</v>
      </c>
      <c r="BM66" s="3">
        <f t="shared" si="88"/>
        <v>0</v>
      </c>
      <c r="BO66" s="3">
        <f>C66+G66+K66+S66+W66+AA66</f>
        <v>0</v>
      </c>
      <c r="BP66" s="3">
        <f>D66+H66+L66+T66+X66+AB66</f>
        <v>110595</v>
      </c>
      <c r="BQ66" s="3">
        <f t="shared" si="73"/>
        <v>110595</v>
      </c>
      <c r="BR66" s="5">
        <f t="shared" si="74"/>
        <v>1</v>
      </c>
    </row>
    <row r="67" spans="1:70" x14ac:dyDescent="0.25">
      <c r="C67" s="3"/>
      <c r="D67" s="3"/>
      <c r="E67" s="3"/>
      <c r="F67" s="5"/>
      <c r="G67" s="3"/>
      <c r="H67" s="3"/>
      <c r="I67" s="3"/>
      <c r="K67" s="3"/>
      <c r="L67" s="3"/>
      <c r="M67" s="3"/>
      <c r="O67" s="3"/>
      <c r="P67" s="3"/>
      <c r="Q67" s="3"/>
      <c r="S67" s="3"/>
      <c r="T67" s="3"/>
      <c r="U67" s="3"/>
      <c r="W67" s="3"/>
      <c r="X67" s="3"/>
      <c r="Y67" s="3"/>
      <c r="AA67" s="3"/>
      <c r="AB67" s="33"/>
      <c r="AC67" s="3"/>
      <c r="AE67" s="3"/>
      <c r="AF67" s="3"/>
      <c r="AG67" s="3"/>
      <c r="AI67" s="3"/>
      <c r="AJ67" s="3"/>
      <c r="AK67" s="3"/>
      <c r="AM67" s="3"/>
      <c r="AN67" s="3"/>
      <c r="AO67" s="3"/>
      <c r="AQ67" s="3"/>
      <c r="AR67" s="3"/>
      <c r="AS67" s="3"/>
      <c r="AU67" s="3"/>
      <c r="AV67" s="3"/>
      <c r="AW67" s="3"/>
      <c r="AY67" s="3"/>
      <c r="AZ67" s="3"/>
      <c r="BA67" s="3"/>
      <c r="BC67" s="3"/>
      <c r="BD67" s="3"/>
      <c r="BE67" s="3"/>
      <c r="BG67" s="3"/>
      <c r="BH67" s="3"/>
      <c r="BI67" s="3"/>
      <c r="BK67" s="3"/>
      <c r="BL67" s="3"/>
      <c r="BM67" s="3"/>
      <c r="BO67" s="3"/>
      <c r="BP67" s="25"/>
      <c r="BQ67" s="3"/>
      <c r="BR67" s="5"/>
    </row>
    <row r="68" spans="1:70" x14ac:dyDescent="0.25">
      <c r="A68" t="s">
        <v>95</v>
      </c>
      <c r="C68" s="3">
        <v>1975.7619999999999</v>
      </c>
      <c r="D68" s="3">
        <v>2350.7280000000001</v>
      </c>
      <c r="E68" s="3">
        <f t="shared" si="53"/>
        <v>374.96600000000012</v>
      </c>
      <c r="F68" s="5"/>
      <c r="G68" s="3">
        <v>1871</v>
      </c>
      <c r="H68" s="3">
        <v>774</v>
      </c>
      <c r="I68" s="3">
        <f>H68-G68</f>
        <v>-1097</v>
      </c>
      <c r="K68" s="3">
        <v>1742</v>
      </c>
      <c r="L68" s="3">
        <v>-372</v>
      </c>
      <c r="M68" s="3">
        <f t="shared" si="75"/>
        <v>-2114</v>
      </c>
      <c r="O68" s="3">
        <f>C68+G68+K68+0.2</f>
        <v>5588.9619999999995</v>
      </c>
      <c r="P68" s="3">
        <f t="shared" si="52"/>
        <v>2752.7280000000001</v>
      </c>
      <c r="Q68" s="3">
        <f t="shared" si="76"/>
        <v>-2836.2339999999995</v>
      </c>
      <c r="S68" s="3">
        <f>2179</f>
        <v>2179</v>
      </c>
      <c r="T68" s="3">
        <v>566</v>
      </c>
      <c r="U68" s="3">
        <f t="shared" si="77"/>
        <v>-1613</v>
      </c>
      <c r="W68" s="3">
        <v>2301</v>
      </c>
      <c r="X68" s="3">
        <f>426+1250</f>
        <v>1676</v>
      </c>
      <c r="Y68" s="3">
        <f t="shared" si="78"/>
        <v>-625</v>
      </c>
      <c r="AA68" s="3">
        <v>1260</v>
      </c>
      <c r="AB68" s="33">
        <v>394</v>
      </c>
      <c r="AC68" s="3">
        <f t="shared" si="79"/>
        <v>-866</v>
      </c>
      <c r="AE68" s="3">
        <f t="shared" si="46"/>
        <v>5740</v>
      </c>
      <c r="AF68" s="3">
        <f t="shared" si="47"/>
        <v>2636</v>
      </c>
      <c r="AG68" s="3">
        <f t="shared" si="80"/>
        <v>-3104</v>
      </c>
      <c r="AI68" s="3"/>
      <c r="AJ68" s="3"/>
      <c r="AK68" s="3">
        <f t="shared" si="81"/>
        <v>0</v>
      </c>
      <c r="AM68" s="3"/>
      <c r="AN68" s="3"/>
      <c r="AO68" s="3">
        <f t="shared" si="82"/>
        <v>0</v>
      </c>
      <c r="AQ68" s="3"/>
      <c r="AR68" s="3"/>
      <c r="AS68" s="3">
        <f t="shared" si="83"/>
        <v>0</v>
      </c>
      <c r="AU68" s="3">
        <f t="shared" si="48"/>
        <v>0</v>
      </c>
      <c r="AV68" s="3">
        <f t="shared" si="49"/>
        <v>0</v>
      </c>
      <c r="AW68" s="3">
        <f t="shared" si="84"/>
        <v>0</v>
      </c>
      <c r="AY68" s="3"/>
      <c r="AZ68" s="3"/>
      <c r="BA68" s="3">
        <f t="shared" si="85"/>
        <v>0</v>
      </c>
      <c r="BC68" s="3"/>
      <c r="BD68" s="3"/>
      <c r="BE68" s="3">
        <f t="shared" si="86"/>
        <v>0</v>
      </c>
      <c r="BG68" s="3"/>
      <c r="BH68" s="3"/>
      <c r="BI68" s="3">
        <f t="shared" si="87"/>
        <v>0</v>
      </c>
      <c r="BK68" s="3">
        <f t="shared" si="50"/>
        <v>0</v>
      </c>
      <c r="BL68" s="3">
        <f t="shared" si="51"/>
        <v>0</v>
      </c>
      <c r="BM68" s="3">
        <f t="shared" si="88"/>
        <v>0</v>
      </c>
      <c r="BO68" s="3">
        <f t="shared" ref="BO68:BO73" si="89">C68+G68+K68+S68+W68+AA68</f>
        <v>11328.761999999999</v>
      </c>
      <c r="BP68" s="3">
        <f t="shared" ref="BP68:BP73" si="90">D68+H68+L68+T68+X68+AB68</f>
        <v>5388.7280000000001</v>
      </c>
      <c r="BQ68" s="3">
        <f t="shared" ref="BQ68:BQ73" si="91">BP68-BO68</f>
        <v>-5940.0339999999987</v>
      </c>
      <c r="BR68" s="5">
        <f>BQ68/BP68</f>
        <v>-1.1023072606373896</v>
      </c>
    </row>
    <row r="69" spans="1:70" x14ac:dyDescent="0.25">
      <c r="A69" t="s">
        <v>5</v>
      </c>
      <c r="C69" s="3">
        <v>0</v>
      </c>
      <c r="D69" s="3">
        <v>5749.63</v>
      </c>
      <c r="E69" s="3">
        <f t="shared" si="53"/>
        <v>5749.63</v>
      </c>
      <c r="F69" s="5"/>
      <c r="G69" s="3">
        <v>147</v>
      </c>
      <c r="H69" s="3">
        <v>9</v>
      </c>
      <c r="I69" s="3">
        <f>H69-G69</f>
        <v>-138</v>
      </c>
      <c r="K69" s="3">
        <v>6</v>
      </c>
      <c r="L69" s="3">
        <v>0</v>
      </c>
      <c r="M69" s="3">
        <f t="shared" si="75"/>
        <v>-6</v>
      </c>
      <c r="O69" s="3">
        <f t="shared" si="45"/>
        <v>153</v>
      </c>
      <c r="P69" s="3">
        <f t="shared" si="52"/>
        <v>5758.63</v>
      </c>
      <c r="Q69" s="3">
        <f t="shared" si="76"/>
        <v>5605.63</v>
      </c>
      <c r="S69" s="3">
        <v>-30</v>
      </c>
      <c r="T69" s="3">
        <v>0</v>
      </c>
      <c r="U69" s="3">
        <f t="shared" si="77"/>
        <v>30</v>
      </c>
      <c r="W69" s="3">
        <v>-321</v>
      </c>
      <c r="X69" s="3">
        <v>0</v>
      </c>
      <c r="Y69" s="3">
        <f t="shared" si="78"/>
        <v>321</v>
      </c>
      <c r="AA69" s="3"/>
      <c r="AB69" s="33"/>
      <c r="AC69" s="3">
        <f t="shared" si="79"/>
        <v>0</v>
      </c>
      <c r="AE69" s="3">
        <f t="shared" si="46"/>
        <v>-351</v>
      </c>
      <c r="AF69" s="3">
        <f t="shared" si="47"/>
        <v>0</v>
      </c>
      <c r="AG69" s="3">
        <f t="shared" si="80"/>
        <v>351</v>
      </c>
      <c r="AI69" s="3"/>
      <c r="AJ69" s="3"/>
      <c r="AK69" s="3">
        <f t="shared" si="81"/>
        <v>0</v>
      </c>
      <c r="AM69" s="3"/>
      <c r="AN69" s="3"/>
      <c r="AO69" s="3">
        <f t="shared" si="82"/>
        <v>0</v>
      </c>
      <c r="AQ69" s="3"/>
      <c r="AR69" s="3"/>
      <c r="AS69" s="3">
        <f t="shared" si="83"/>
        <v>0</v>
      </c>
      <c r="AU69" s="3">
        <f t="shared" si="48"/>
        <v>0</v>
      </c>
      <c r="AV69" s="3">
        <f t="shared" si="49"/>
        <v>0</v>
      </c>
      <c r="AW69" s="3">
        <f t="shared" si="84"/>
        <v>0</v>
      </c>
      <c r="AY69" s="3"/>
      <c r="AZ69" s="3"/>
      <c r="BA69" s="3">
        <f t="shared" si="85"/>
        <v>0</v>
      </c>
      <c r="BC69" s="3"/>
      <c r="BD69" s="3"/>
      <c r="BE69" s="3">
        <f t="shared" si="86"/>
        <v>0</v>
      </c>
      <c r="BG69" s="3"/>
      <c r="BH69" s="3"/>
      <c r="BI69" s="3">
        <f t="shared" si="87"/>
        <v>0</v>
      </c>
      <c r="BK69" s="3">
        <f t="shared" si="50"/>
        <v>0</v>
      </c>
      <c r="BL69" s="3">
        <f t="shared" si="51"/>
        <v>0</v>
      </c>
      <c r="BM69" s="3">
        <f t="shared" si="88"/>
        <v>0</v>
      </c>
      <c r="BO69" s="3">
        <f t="shared" si="89"/>
        <v>-198</v>
      </c>
      <c r="BP69" s="3">
        <f t="shared" si="90"/>
        <v>5758.63</v>
      </c>
      <c r="BQ69" s="3">
        <f t="shared" si="91"/>
        <v>5956.63</v>
      </c>
      <c r="BR69" s="5">
        <f>BQ69/BP69</f>
        <v>1.034383177943365</v>
      </c>
    </row>
    <row r="70" spans="1:70" x14ac:dyDescent="0.25">
      <c r="A70" t="s">
        <v>98</v>
      </c>
      <c r="C70" s="3"/>
      <c r="D70" s="3"/>
      <c r="E70" s="3"/>
      <c r="F70" s="5"/>
      <c r="G70" s="3"/>
      <c r="H70" s="3"/>
      <c r="I70" s="3"/>
      <c r="K70" s="3"/>
      <c r="L70" s="3"/>
      <c r="M70" s="3"/>
      <c r="O70" s="3">
        <v>0</v>
      </c>
      <c r="P70" s="3">
        <v>0</v>
      </c>
      <c r="Q70" s="3">
        <v>0</v>
      </c>
      <c r="S70" s="3">
        <v>0</v>
      </c>
      <c r="T70" s="3">
        <v>0</v>
      </c>
      <c r="U70" s="3">
        <f t="shared" si="77"/>
        <v>0</v>
      </c>
      <c r="W70" s="3">
        <v>0</v>
      </c>
      <c r="X70" s="3">
        <v>0</v>
      </c>
      <c r="Y70" s="3">
        <f t="shared" si="78"/>
        <v>0</v>
      </c>
      <c r="AA70" s="3">
        <v>0</v>
      </c>
      <c r="AB70" s="33">
        <v>3000</v>
      </c>
      <c r="AC70" s="3">
        <f t="shared" si="79"/>
        <v>3000</v>
      </c>
      <c r="AE70" s="3">
        <f t="shared" si="46"/>
        <v>0</v>
      </c>
      <c r="AF70" s="3">
        <f t="shared" si="47"/>
        <v>3000</v>
      </c>
      <c r="AG70" s="3">
        <f t="shared" si="80"/>
        <v>3000</v>
      </c>
      <c r="AI70" s="3"/>
      <c r="AJ70" s="3"/>
      <c r="AK70" s="3"/>
      <c r="AM70" s="3"/>
      <c r="AN70" s="3"/>
      <c r="AO70" s="3"/>
      <c r="AQ70" s="3"/>
      <c r="AR70" s="3"/>
      <c r="AS70" s="3"/>
      <c r="AU70" s="3"/>
      <c r="AV70" s="3"/>
      <c r="AW70" s="3"/>
      <c r="AY70" s="3"/>
      <c r="AZ70" s="3"/>
      <c r="BA70" s="3"/>
      <c r="BC70" s="3"/>
      <c r="BD70" s="3"/>
      <c r="BE70" s="3"/>
      <c r="BG70" s="3"/>
      <c r="BH70" s="3"/>
      <c r="BI70" s="3"/>
      <c r="BK70" s="3"/>
      <c r="BL70" s="3"/>
      <c r="BM70" s="3"/>
      <c r="BO70" s="3">
        <f>C70+G70+K70+S70+W70+AA70</f>
        <v>0</v>
      </c>
      <c r="BP70" s="3">
        <f>D70+H70+L70+T70+X70+AB70</f>
        <v>3000</v>
      </c>
      <c r="BQ70" s="3">
        <f t="shared" si="91"/>
        <v>3000</v>
      </c>
      <c r="BR70" s="5"/>
    </row>
    <row r="71" spans="1:70" x14ac:dyDescent="0.25">
      <c r="A71" t="s">
        <v>96</v>
      </c>
      <c r="C71" s="3"/>
      <c r="D71" s="3"/>
      <c r="E71" s="3"/>
      <c r="F71" s="5"/>
      <c r="G71" s="3"/>
      <c r="H71" s="3"/>
      <c r="I71" s="3"/>
      <c r="K71" s="3"/>
      <c r="L71" s="3"/>
      <c r="M71" s="3"/>
      <c r="O71" s="3">
        <v>0</v>
      </c>
      <c r="P71" s="3">
        <v>0</v>
      </c>
      <c r="Q71" s="3">
        <f t="shared" si="76"/>
        <v>0</v>
      </c>
      <c r="S71" s="3">
        <v>0</v>
      </c>
      <c r="T71" s="3">
        <v>0</v>
      </c>
      <c r="U71" s="3">
        <f t="shared" si="77"/>
        <v>0</v>
      </c>
      <c r="W71" s="3">
        <v>0</v>
      </c>
      <c r="X71" s="3">
        <v>0</v>
      </c>
      <c r="Y71" s="3">
        <f t="shared" si="78"/>
        <v>0</v>
      </c>
      <c r="AA71" s="3">
        <v>-19239</v>
      </c>
      <c r="AB71" s="33">
        <v>0</v>
      </c>
      <c r="AC71" s="3">
        <f t="shared" si="79"/>
        <v>19239</v>
      </c>
      <c r="AE71" s="3">
        <f t="shared" si="46"/>
        <v>-19239</v>
      </c>
      <c r="AF71" s="3">
        <f t="shared" si="47"/>
        <v>0</v>
      </c>
      <c r="AG71" s="3">
        <f t="shared" si="80"/>
        <v>19239</v>
      </c>
      <c r="AI71" s="3"/>
      <c r="AJ71" s="3"/>
      <c r="AK71" s="3"/>
      <c r="AM71" s="3"/>
      <c r="AN71" s="3"/>
      <c r="AO71" s="3"/>
      <c r="AQ71" s="3"/>
      <c r="AR71" s="3"/>
      <c r="AS71" s="3"/>
      <c r="AU71" s="3"/>
      <c r="AV71" s="3"/>
      <c r="AW71" s="3"/>
      <c r="AY71" s="3"/>
      <c r="AZ71" s="3"/>
      <c r="BA71" s="3"/>
      <c r="BC71" s="3"/>
      <c r="BD71" s="3"/>
      <c r="BE71" s="3"/>
      <c r="BG71" s="3"/>
      <c r="BH71" s="3"/>
      <c r="BI71" s="3"/>
      <c r="BK71" s="3"/>
      <c r="BL71" s="3"/>
      <c r="BM71" s="3"/>
      <c r="BO71" s="3">
        <f t="shared" si="89"/>
        <v>-19239</v>
      </c>
      <c r="BP71" s="3">
        <f t="shared" si="90"/>
        <v>0</v>
      </c>
      <c r="BQ71" s="3">
        <f t="shared" si="91"/>
        <v>19239</v>
      </c>
      <c r="BR71" s="5"/>
    </row>
    <row r="72" spans="1:70" x14ac:dyDescent="0.25">
      <c r="A72" t="s">
        <v>6</v>
      </c>
      <c r="C72" s="3">
        <v>0</v>
      </c>
      <c r="D72" s="3">
        <v>56.213000000000001</v>
      </c>
      <c r="E72" s="3">
        <f t="shared" si="53"/>
        <v>56.213000000000001</v>
      </c>
      <c r="F72" s="5"/>
      <c r="G72" s="3">
        <v>0</v>
      </c>
      <c r="H72" s="3">
        <v>0</v>
      </c>
      <c r="I72" s="3">
        <f>H72-G72</f>
        <v>0</v>
      </c>
      <c r="K72" s="3">
        <v>0</v>
      </c>
      <c r="L72" s="3">
        <v>0</v>
      </c>
      <c r="M72" s="3">
        <f t="shared" si="75"/>
        <v>0</v>
      </c>
      <c r="O72" s="3">
        <f t="shared" si="45"/>
        <v>0</v>
      </c>
      <c r="P72" s="3">
        <f t="shared" si="52"/>
        <v>56.213000000000001</v>
      </c>
      <c r="Q72" s="3">
        <f t="shared" si="76"/>
        <v>56.213000000000001</v>
      </c>
      <c r="S72" s="3">
        <v>0</v>
      </c>
      <c r="T72" s="3">
        <v>393</v>
      </c>
      <c r="U72" s="3">
        <f t="shared" si="77"/>
        <v>393</v>
      </c>
      <c r="W72" s="3">
        <v>0</v>
      </c>
      <c r="X72" s="3">
        <v>50</v>
      </c>
      <c r="Y72" s="3">
        <f t="shared" si="78"/>
        <v>50</v>
      </c>
      <c r="AA72" s="3"/>
      <c r="AB72" s="33">
        <v>33</v>
      </c>
      <c r="AC72" s="3">
        <f t="shared" si="79"/>
        <v>33</v>
      </c>
      <c r="AE72" s="3">
        <f t="shared" si="46"/>
        <v>0</v>
      </c>
      <c r="AF72" s="3">
        <f t="shared" si="47"/>
        <v>476</v>
      </c>
      <c r="AG72" s="3">
        <f t="shared" si="80"/>
        <v>476</v>
      </c>
      <c r="AI72" s="3"/>
      <c r="AJ72" s="3"/>
      <c r="AK72" s="3">
        <f t="shared" si="81"/>
        <v>0</v>
      </c>
      <c r="AM72" s="3"/>
      <c r="AN72" s="3"/>
      <c r="AO72" s="3">
        <f t="shared" si="82"/>
        <v>0</v>
      </c>
      <c r="AQ72" s="3"/>
      <c r="AR72" s="3"/>
      <c r="AS72" s="3">
        <f t="shared" si="83"/>
        <v>0</v>
      </c>
      <c r="AU72" s="3">
        <f t="shared" si="48"/>
        <v>0</v>
      </c>
      <c r="AV72" s="3">
        <f t="shared" si="49"/>
        <v>0</v>
      </c>
      <c r="AW72" s="3">
        <f t="shared" si="84"/>
        <v>0</v>
      </c>
      <c r="AY72" s="3"/>
      <c r="AZ72" s="3"/>
      <c r="BA72" s="3">
        <f t="shared" si="85"/>
        <v>0</v>
      </c>
      <c r="BC72" s="3"/>
      <c r="BD72" s="3"/>
      <c r="BE72" s="3">
        <f t="shared" si="86"/>
        <v>0</v>
      </c>
      <c r="BG72" s="3"/>
      <c r="BH72" s="3"/>
      <c r="BI72" s="3">
        <f t="shared" si="87"/>
        <v>0</v>
      </c>
      <c r="BK72" s="3">
        <f t="shared" si="50"/>
        <v>0</v>
      </c>
      <c r="BL72" s="3">
        <f t="shared" si="51"/>
        <v>0</v>
      </c>
      <c r="BM72" s="3">
        <f t="shared" si="88"/>
        <v>0</v>
      </c>
      <c r="BO72" s="3">
        <f t="shared" si="89"/>
        <v>0</v>
      </c>
      <c r="BP72" s="3">
        <f t="shared" si="90"/>
        <v>532.21299999999997</v>
      </c>
      <c r="BQ72" s="3">
        <f t="shared" si="91"/>
        <v>532.21299999999997</v>
      </c>
      <c r="BR72" s="5">
        <f>BQ72/BP72</f>
        <v>1</v>
      </c>
    </row>
    <row r="73" spans="1:70" x14ac:dyDescent="0.25">
      <c r="A73" t="s">
        <v>9</v>
      </c>
      <c r="C73" s="4">
        <v>0</v>
      </c>
      <c r="D73" s="4">
        <v>39.936999999999998</v>
      </c>
      <c r="E73" s="4">
        <f t="shared" si="53"/>
        <v>39.936999999999998</v>
      </c>
      <c r="F73" s="10"/>
      <c r="G73" s="4">
        <v>0</v>
      </c>
      <c r="H73" s="4">
        <v>144</v>
      </c>
      <c r="I73" s="4">
        <f>H73-G73</f>
        <v>144</v>
      </c>
      <c r="K73" s="4">
        <v>0</v>
      </c>
      <c r="L73" s="4">
        <v>108</v>
      </c>
      <c r="M73" s="4">
        <f t="shared" si="75"/>
        <v>108</v>
      </c>
      <c r="O73" s="4">
        <f t="shared" si="45"/>
        <v>0</v>
      </c>
      <c r="P73" s="4">
        <f t="shared" si="52"/>
        <v>291.93700000000001</v>
      </c>
      <c r="Q73" s="4">
        <f t="shared" si="76"/>
        <v>291.93700000000001</v>
      </c>
      <c r="S73" s="4">
        <v>0</v>
      </c>
      <c r="T73" s="4">
        <v>433</v>
      </c>
      <c r="U73" s="4">
        <f t="shared" si="77"/>
        <v>433</v>
      </c>
      <c r="W73" s="4">
        <v>0</v>
      </c>
      <c r="X73" s="4">
        <v>967</v>
      </c>
      <c r="Y73" s="4">
        <f t="shared" si="78"/>
        <v>967</v>
      </c>
      <c r="AA73" s="4">
        <v>20</v>
      </c>
      <c r="AB73" s="34">
        <v>873</v>
      </c>
      <c r="AC73" s="4">
        <f t="shared" si="79"/>
        <v>853</v>
      </c>
      <c r="AE73" s="4">
        <f t="shared" si="46"/>
        <v>20</v>
      </c>
      <c r="AF73" s="4">
        <f t="shared" si="47"/>
        <v>2273</v>
      </c>
      <c r="AG73" s="4">
        <f t="shared" si="80"/>
        <v>2253</v>
      </c>
      <c r="AI73" s="4"/>
      <c r="AJ73" s="4"/>
      <c r="AK73" s="4">
        <f t="shared" si="81"/>
        <v>0</v>
      </c>
      <c r="AM73" s="4"/>
      <c r="AN73" s="4"/>
      <c r="AO73" s="4">
        <f t="shared" si="82"/>
        <v>0</v>
      </c>
      <c r="AQ73" s="4"/>
      <c r="AR73" s="4"/>
      <c r="AS73" s="4">
        <f t="shared" si="83"/>
        <v>0</v>
      </c>
      <c r="AU73" s="3">
        <f t="shared" si="48"/>
        <v>0</v>
      </c>
      <c r="AV73" s="3">
        <f t="shared" si="49"/>
        <v>0</v>
      </c>
      <c r="AW73" s="4">
        <f t="shared" si="84"/>
        <v>0</v>
      </c>
      <c r="AY73" s="4"/>
      <c r="AZ73" s="4"/>
      <c r="BA73" s="4">
        <f t="shared" si="85"/>
        <v>0</v>
      </c>
      <c r="BC73" s="4"/>
      <c r="BD73" s="4"/>
      <c r="BE73" s="4">
        <f t="shared" si="86"/>
        <v>0</v>
      </c>
      <c r="BG73" s="4"/>
      <c r="BH73" s="4"/>
      <c r="BI73" s="4">
        <f t="shared" si="87"/>
        <v>0</v>
      </c>
      <c r="BK73" s="4">
        <f t="shared" si="50"/>
        <v>0</v>
      </c>
      <c r="BL73" s="4">
        <f t="shared" si="51"/>
        <v>0</v>
      </c>
      <c r="BM73" s="4">
        <f t="shared" si="88"/>
        <v>0</v>
      </c>
      <c r="BO73" s="4">
        <f t="shared" si="89"/>
        <v>20</v>
      </c>
      <c r="BP73" s="4">
        <f t="shared" si="90"/>
        <v>2564.9369999999999</v>
      </c>
      <c r="BQ73" s="4">
        <f t="shared" si="91"/>
        <v>2544.9369999999999</v>
      </c>
      <c r="BR73" s="6">
        <f>BQ73/BP73</f>
        <v>0.99220253752821219</v>
      </c>
    </row>
    <row r="74" spans="1:70" s="1" customFormat="1" x14ac:dyDescent="0.25">
      <c r="C74" s="12">
        <f>SUM(C45:C73)</f>
        <v>4398.0779999999995</v>
      </c>
      <c r="D74" s="12">
        <f>SUM(D45:D73)</f>
        <v>51411.442000000003</v>
      </c>
      <c r="E74" s="12">
        <f>SUM(E45:E73)</f>
        <v>47013.363999999994</v>
      </c>
      <c r="F74" s="13"/>
      <c r="G74" s="12">
        <f>SUM(G45:G73)</f>
        <v>4936</v>
      </c>
      <c r="H74" s="12">
        <f>SUM(H45:H73)</f>
        <v>19048</v>
      </c>
      <c r="I74" s="12">
        <f>SUM(I45:I73)</f>
        <v>14112</v>
      </c>
      <c r="K74" s="12">
        <f>SUM(K45:K73)</f>
        <v>3722.4</v>
      </c>
      <c r="L74" s="12">
        <f>SUM(L45:L73)</f>
        <v>16879</v>
      </c>
      <c r="M74" s="12">
        <f>SUM(M45:M73)</f>
        <v>13156.6</v>
      </c>
      <c r="O74" s="12">
        <f>SUM(O45:O73)</f>
        <v>13056.578</v>
      </c>
      <c r="P74" s="12">
        <f>SUM(P45:P73)</f>
        <v>87338.54200000003</v>
      </c>
      <c r="Q74" s="12">
        <f>SUM(Q45:Q73)</f>
        <v>74281.964000000022</v>
      </c>
      <c r="S74" s="12">
        <f>SUM(S45:S73)</f>
        <v>5060</v>
      </c>
      <c r="T74" s="12">
        <f>SUM(T45:T73)</f>
        <v>57409</v>
      </c>
      <c r="U74" s="12">
        <f>SUM(U45:U73)</f>
        <v>52349</v>
      </c>
      <c r="W74" s="12">
        <f>SUM(W45:W73)</f>
        <v>6236</v>
      </c>
      <c r="X74" s="12">
        <f>SUM(X45:X73)</f>
        <v>96625</v>
      </c>
      <c r="Y74" s="12">
        <f>SUM(Y45:Y73)</f>
        <v>90389</v>
      </c>
      <c r="AA74" s="12">
        <f>SUM(AA45:AA73)</f>
        <v>-12903</v>
      </c>
      <c r="AB74" s="35">
        <f>SUM(AB45:AB73)</f>
        <v>18303</v>
      </c>
      <c r="AC74" s="12">
        <f>SUM(AC45:AC73)</f>
        <v>31206</v>
      </c>
      <c r="AE74" s="12">
        <f>SUM(AE45:AE73)</f>
        <v>-1607</v>
      </c>
      <c r="AF74" s="12">
        <f>SUM(AF45:AF73)</f>
        <v>172337</v>
      </c>
      <c r="AG74" s="12">
        <f>SUM(AG45:AG73)</f>
        <v>173944</v>
      </c>
      <c r="AI74" s="12">
        <f>SUM(AI45:AI73)</f>
        <v>0</v>
      </c>
      <c r="AJ74" s="12">
        <f>SUM(AJ45:AJ73)</f>
        <v>0</v>
      </c>
      <c r="AK74" s="12">
        <f>SUM(AK45:AK73)</f>
        <v>0</v>
      </c>
      <c r="AM74" s="12">
        <f>SUM(AM45:AM73)</f>
        <v>0</v>
      </c>
      <c r="AN74" s="12">
        <f>SUM(AN45:AN73)</f>
        <v>0</v>
      </c>
      <c r="AO74" s="12">
        <f>SUM(AO45:AO73)</f>
        <v>0</v>
      </c>
      <c r="AQ74" s="12">
        <f>SUM(AQ45:AQ73)</f>
        <v>0</v>
      </c>
      <c r="AR74" s="12">
        <f>SUM(AR45:AR73)</f>
        <v>0</v>
      </c>
      <c r="AS74" s="12">
        <f>SUM(AS45:AS73)</f>
        <v>0</v>
      </c>
      <c r="AU74" s="12">
        <f>SUM(AU45:AU73)</f>
        <v>0</v>
      </c>
      <c r="AV74" s="12">
        <f>SUM(AV45:AV73)</f>
        <v>0</v>
      </c>
      <c r="AW74" s="12">
        <f>SUM(AW45:AW73)</f>
        <v>0</v>
      </c>
      <c r="AY74" s="12">
        <f>SUM(AY45:AY73)</f>
        <v>0</v>
      </c>
      <c r="AZ74" s="12">
        <f>SUM(AZ45:AZ73)</f>
        <v>0</v>
      </c>
      <c r="BA74" s="12">
        <f>SUM(BA45:BA73)</f>
        <v>0</v>
      </c>
      <c r="BC74" s="12">
        <f>SUM(BC45:BC73)</f>
        <v>0</v>
      </c>
      <c r="BD74" s="12">
        <f>SUM(BD45:BD73)</f>
        <v>0</v>
      </c>
      <c r="BE74" s="12">
        <f>SUM(BE45:BE73)</f>
        <v>0</v>
      </c>
      <c r="BG74" s="12">
        <f>SUM(BG45:BG73)</f>
        <v>0</v>
      </c>
      <c r="BH74" s="12">
        <f>SUM(BH45:BH73)</f>
        <v>0</v>
      </c>
      <c r="BI74" s="12">
        <f>SUM(BI45:BI73)</f>
        <v>0</v>
      </c>
      <c r="BK74" s="12">
        <f>SUM(BK45:BK73)</f>
        <v>0</v>
      </c>
      <c r="BL74" s="12">
        <f>SUM(BL45:BL73)</f>
        <v>0</v>
      </c>
      <c r="BM74" s="12">
        <f>SUM(BM45:BM73)</f>
        <v>0</v>
      </c>
      <c r="BO74" s="12">
        <f>SUM(BO45:BO73)</f>
        <v>11449.577999999998</v>
      </c>
      <c r="BP74" s="12">
        <f>SUM(BP45:BP73)</f>
        <v>259675.54199999999</v>
      </c>
      <c r="BQ74" s="12">
        <f>SUM(BQ45:BQ73)</f>
        <v>248225.96400000001</v>
      </c>
      <c r="BR74" s="13">
        <f>BQ74/BP74</f>
        <v>0.95590813862631707</v>
      </c>
    </row>
    <row r="77" spans="1:70" hidden="1" x14ac:dyDescent="0.25">
      <c r="A77" t="s">
        <v>76</v>
      </c>
    </row>
    <row r="78" spans="1:70" hidden="1" x14ac:dyDescent="0.25"/>
    <row r="79" spans="1:70" hidden="1" x14ac:dyDescent="0.25">
      <c r="A79" t="s">
        <v>77</v>
      </c>
      <c r="C79" s="3">
        <v>37510</v>
      </c>
    </row>
    <row r="80" spans="1:70" hidden="1" x14ac:dyDescent="0.25">
      <c r="A80" t="s">
        <v>78</v>
      </c>
      <c r="C80" s="4">
        <v>273913</v>
      </c>
    </row>
    <row r="81" spans="1:28" hidden="1" x14ac:dyDescent="0.25">
      <c r="C81" s="3">
        <f>SUM(C79:C80)</f>
        <v>311423</v>
      </c>
    </row>
    <row r="82" spans="1:28" hidden="1" x14ac:dyDescent="0.25">
      <c r="A82" t="s">
        <v>79</v>
      </c>
      <c r="C82" s="4">
        <v>-225333</v>
      </c>
    </row>
    <row r="83" spans="1:28" s="1" customFormat="1" hidden="1" x14ac:dyDescent="0.25">
      <c r="A83" s="1" t="s">
        <v>80</v>
      </c>
      <c r="C83" s="12">
        <f>SUM(C81:C82)</f>
        <v>86090</v>
      </c>
      <c r="AB83" s="36"/>
    </row>
    <row r="84" spans="1:28" hidden="1" x14ac:dyDescent="0.25">
      <c r="C84" s="3"/>
    </row>
    <row r="85" spans="1:28" s="1" customFormat="1" hidden="1" x14ac:dyDescent="0.25">
      <c r="A85" s="1" t="s">
        <v>81</v>
      </c>
      <c r="C85" s="12">
        <f>BP74</f>
        <v>259675.54199999999</v>
      </c>
      <c r="AB85" s="36"/>
    </row>
    <row r="86" spans="1:28" hidden="1" x14ac:dyDescent="0.25">
      <c r="C86" s="3"/>
    </row>
    <row r="87" spans="1:28" hidden="1" x14ac:dyDescent="0.25">
      <c r="A87" t="s">
        <v>82</v>
      </c>
      <c r="C87" s="3">
        <f>C83-C85</f>
        <v>-173585.54199999999</v>
      </c>
    </row>
    <row r="88" spans="1:28" hidden="1" x14ac:dyDescent="0.25">
      <c r="C88" s="3"/>
    </row>
    <row r="89" spans="1:28" hidden="1" x14ac:dyDescent="0.25">
      <c r="A89" t="s">
        <v>65</v>
      </c>
      <c r="C89" s="3">
        <v>1029</v>
      </c>
    </row>
    <row r="90" spans="1:28" hidden="1" x14ac:dyDescent="0.25">
      <c r="A90" t="s">
        <v>66</v>
      </c>
      <c r="C90" s="3">
        <v>135</v>
      </c>
    </row>
    <row r="91" spans="1:28" hidden="1" x14ac:dyDescent="0.25">
      <c r="A91" t="s">
        <v>67</v>
      </c>
      <c r="C91" s="3">
        <v>42</v>
      </c>
    </row>
    <row r="92" spans="1:28" hidden="1" x14ac:dyDescent="0.25">
      <c r="A92" t="s">
        <v>68</v>
      </c>
      <c r="C92" s="26">
        <v>38</v>
      </c>
    </row>
    <row r="93" spans="1:28" hidden="1" x14ac:dyDescent="0.25">
      <c r="A93" t="s">
        <v>83</v>
      </c>
      <c r="C93" s="4">
        <v>4</v>
      </c>
    </row>
    <row r="94" spans="1:28" hidden="1" x14ac:dyDescent="0.25">
      <c r="C94" s="26">
        <f>SUM(C89:C93)</f>
        <v>1248</v>
      </c>
    </row>
    <row r="95" spans="1:28" hidden="1" x14ac:dyDescent="0.25"/>
    <row r="96" spans="1:28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mergeCells count="2">
    <mergeCell ref="BO6:BR6"/>
    <mergeCell ref="BO42:BR42"/>
  </mergeCells>
  <phoneticPr fontId="0" type="noConversion"/>
  <printOptions horizontalCentered="1" verticalCentered="1"/>
  <pageMargins left="0.2" right="0.2" top="0.22" bottom="0.23" header="0.17" footer="0.19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4"/>
  <sheetViews>
    <sheetView tabSelected="1" workbookViewId="0">
      <pane xSplit="1" ySplit="6" topLeftCell="B7" activePane="bottomRight" state="frozen"/>
      <selection activeCell="A6" sqref="A6"/>
      <selection pane="topRight" activeCell="A6" sqref="A6"/>
      <selection pane="bottomLeft" activeCell="A6" sqref="A6"/>
      <selection pane="bottomRight"/>
    </sheetView>
  </sheetViews>
  <sheetFormatPr defaultRowHeight="13.2" x14ac:dyDescent="0.25"/>
  <cols>
    <col min="1" max="1" width="23.109375" customWidth="1"/>
    <col min="2" max="2" width="10.44140625" customWidth="1"/>
    <col min="3" max="5" width="11.6640625" hidden="1" customWidth="1"/>
    <col min="6" max="6" width="2.33203125" hidden="1" customWidth="1"/>
    <col min="7" max="9" width="11.6640625" hidden="1" customWidth="1"/>
    <col min="10" max="10" width="2.33203125" hidden="1" customWidth="1"/>
    <col min="11" max="13" width="11.6640625" hidden="1" customWidth="1"/>
    <col min="14" max="14" width="2.33203125" hidden="1" customWidth="1"/>
    <col min="15" max="17" width="11.6640625" customWidth="1"/>
    <col min="18" max="18" width="2.33203125" hidden="1" customWidth="1"/>
    <col min="19" max="21" width="11.6640625" hidden="1" customWidth="1"/>
    <col min="22" max="22" width="2.33203125" hidden="1" customWidth="1"/>
    <col min="23" max="25" width="11.6640625" hidden="1" customWidth="1"/>
    <col min="26" max="26" width="2.33203125" hidden="1" customWidth="1"/>
    <col min="27" max="29" width="11.6640625" hidden="1" customWidth="1"/>
    <col min="30" max="30" width="2.33203125" customWidth="1"/>
    <col min="31" max="33" width="11.6640625" customWidth="1"/>
    <col min="34" max="34" width="2.33203125" customWidth="1"/>
    <col min="35" max="37" width="11.6640625" hidden="1" customWidth="1"/>
    <col min="38" max="38" width="2.33203125" hidden="1" customWidth="1"/>
    <col min="39" max="41" width="11.6640625" hidden="1" customWidth="1"/>
    <col min="42" max="42" width="2.33203125" hidden="1" customWidth="1"/>
    <col min="43" max="45" width="11.6640625" hidden="1" customWidth="1"/>
    <col min="46" max="46" width="2.33203125" hidden="1" customWidth="1"/>
    <col min="47" max="49" width="11.6640625" hidden="1" customWidth="1"/>
    <col min="50" max="50" width="2.33203125" hidden="1" customWidth="1"/>
    <col min="51" max="53" width="11.6640625" hidden="1" customWidth="1"/>
    <col min="54" max="54" width="2.33203125" hidden="1" customWidth="1"/>
    <col min="55" max="57" width="11.6640625" hidden="1" customWidth="1"/>
    <col min="58" max="58" width="2.33203125" hidden="1" customWidth="1"/>
    <col min="59" max="61" width="11.6640625" hidden="1" customWidth="1"/>
    <col min="62" max="62" width="2.33203125" hidden="1" customWidth="1"/>
    <col min="63" max="65" width="11.6640625" hidden="1" customWidth="1"/>
    <col min="66" max="66" width="2.33203125" hidden="1" customWidth="1"/>
    <col min="67" max="69" width="11.6640625" customWidth="1"/>
    <col min="70" max="70" width="7.6640625" hidden="1" customWidth="1"/>
    <col min="71" max="71" width="9.6640625" customWidth="1"/>
  </cols>
  <sheetData>
    <row r="1" spans="1:72" x14ac:dyDescent="0.25">
      <c r="A1" s="1" t="s">
        <v>0</v>
      </c>
      <c r="B1" s="1"/>
    </row>
    <row r="2" spans="1:72" x14ac:dyDescent="0.25">
      <c r="A2" s="1" t="s">
        <v>1</v>
      </c>
      <c r="B2" s="1"/>
    </row>
    <row r="3" spans="1:72" x14ac:dyDescent="0.25">
      <c r="A3" s="1" t="s">
        <v>21</v>
      </c>
      <c r="B3" s="1"/>
    </row>
    <row r="6" spans="1:72" x14ac:dyDescent="0.25">
      <c r="A6" s="2" t="s">
        <v>7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9"/>
      <c r="BP6" s="39"/>
      <c r="BQ6" s="39"/>
      <c r="BR6" s="39"/>
    </row>
    <row r="7" spans="1:72" ht="27" customHeight="1" x14ac:dyDescent="0.25">
      <c r="C7" s="15" t="s">
        <v>22</v>
      </c>
      <c r="D7" s="15" t="s">
        <v>23</v>
      </c>
      <c r="E7" s="8" t="s">
        <v>27</v>
      </c>
      <c r="F7" s="9"/>
      <c r="G7" s="15" t="s">
        <v>24</v>
      </c>
      <c r="H7" s="15" t="s">
        <v>25</v>
      </c>
      <c r="I7" s="8" t="s">
        <v>27</v>
      </c>
      <c r="J7" s="11"/>
      <c r="K7" s="15" t="s">
        <v>37</v>
      </c>
      <c r="L7" s="15" t="s">
        <v>40</v>
      </c>
      <c r="M7" s="8" t="s">
        <v>27</v>
      </c>
      <c r="N7" s="11"/>
      <c r="O7" s="15" t="s">
        <v>38</v>
      </c>
      <c r="P7" s="15" t="s">
        <v>39</v>
      </c>
      <c r="Q7" s="8" t="s">
        <v>27</v>
      </c>
      <c r="R7" s="11"/>
      <c r="S7" s="15" t="s">
        <v>41</v>
      </c>
      <c r="T7" s="15" t="s">
        <v>42</v>
      </c>
      <c r="U7" s="8" t="s">
        <v>27</v>
      </c>
      <c r="V7" s="11"/>
      <c r="W7" s="15" t="s">
        <v>43</v>
      </c>
      <c r="X7" s="15" t="s">
        <v>44</v>
      </c>
      <c r="Y7" s="8" t="s">
        <v>27</v>
      </c>
      <c r="Z7" s="11"/>
      <c r="AA7" s="15" t="s">
        <v>45</v>
      </c>
      <c r="AB7" s="15" t="s">
        <v>46</v>
      </c>
      <c r="AC7" s="8" t="s">
        <v>27</v>
      </c>
      <c r="AD7" s="11"/>
      <c r="AE7" s="15" t="s">
        <v>47</v>
      </c>
      <c r="AF7" s="15" t="s">
        <v>48</v>
      </c>
      <c r="AG7" s="8" t="s">
        <v>27</v>
      </c>
      <c r="AH7" s="11"/>
      <c r="AI7" s="15" t="s">
        <v>49</v>
      </c>
      <c r="AJ7" s="15" t="s">
        <v>50</v>
      </c>
      <c r="AK7" s="8" t="s">
        <v>27</v>
      </c>
      <c r="AL7" s="11"/>
      <c r="AM7" s="15" t="s">
        <v>51</v>
      </c>
      <c r="AN7" s="15" t="s">
        <v>52</v>
      </c>
      <c r="AO7" s="8" t="s">
        <v>27</v>
      </c>
      <c r="AP7" s="11"/>
      <c r="AQ7" s="15" t="s">
        <v>53</v>
      </c>
      <c r="AR7" s="15" t="s">
        <v>54</v>
      </c>
      <c r="AS7" s="8" t="s">
        <v>27</v>
      </c>
      <c r="AT7" s="11"/>
      <c r="AU7" s="15" t="s">
        <v>55</v>
      </c>
      <c r="AV7" s="15" t="s">
        <v>56</v>
      </c>
      <c r="AW7" s="8" t="s">
        <v>27</v>
      </c>
      <c r="AX7" s="11"/>
      <c r="AY7" s="15" t="s">
        <v>57</v>
      </c>
      <c r="AZ7" s="15" t="s">
        <v>58</v>
      </c>
      <c r="BA7" s="8" t="s">
        <v>27</v>
      </c>
      <c r="BB7" s="11"/>
      <c r="BC7" s="15" t="s">
        <v>59</v>
      </c>
      <c r="BD7" s="15" t="s">
        <v>60</v>
      </c>
      <c r="BE7" s="8" t="s">
        <v>27</v>
      </c>
      <c r="BF7" s="11"/>
      <c r="BG7" s="15" t="s">
        <v>61</v>
      </c>
      <c r="BH7" s="15" t="s">
        <v>62</v>
      </c>
      <c r="BI7" s="8" t="s">
        <v>27</v>
      </c>
      <c r="BJ7" s="11"/>
      <c r="BK7" s="15" t="s">
        <v>63</v>
      </c>
      <c r="BL7" s="15" t="s">
        <v>64</v>
      </c>
      <c r="BM7" s="8" t="s">
        <v>27</v>
      </c>
      <c r="BN7" s="11"/>
      <c r="BO7" s="15" t="s">
        <v>19</v>
      </c>
      <c r="BP7" s="15" t="s">
        <v>20</v>
      </c>
      <c r="BQ7" s="8" t="s">
        <v>27</v>
      </c>
      <c r="BR7" s="8" t="s">
        <v>8</v>
      </c>
      <c r="BT7" s="8" t="s">
        <v>26</v>
      </c>
    </row>
    <row r="8" spans="1:72" ht="12.75" customHeight="1" x14ac:dyDescent="0.25">
      <c r="A8" s="1" t="s">
        <v>84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5">
      <c r="A9" t="s">
        <v>85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3</v>
      </c>
      <c r="X9" s="16">
        <f>$BT9/12</f>
        <v>6.666666666666667</v>
      </c>
      <c r="Y9" s="16">
        <f>-(X9-W9)</f>
        <v>-3.666666666666667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3</v>
      </c>
      <c r="AF9" s="16">
        <f>T9+X9+AB9</f>
        <v>20</v>
      </c>
      <c r="AG9" s="16">
        <f>-(AF9-AE9)</f>
        <v>-17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C9+G9+K9+S9+W9+AA9</f>
        <v>6</v>
      </c>
      <c r="BP9" s="16">
        <f>D9+H9+L9+T9+X9+AB9+0.2</f>
        <v>40.200000000000003</v>
      </c>
      <c r="BQ9" s="16">
        <f>-(BP9-BO9)</f>
        <v>-34.200000000000003</v>
      </c>
      <c r="BR9" s="17">
        <f>BQ9/BP9</f>
        <v>-0.85074626865671643</v>
      </c>
      <c r="BT9" s="16">
        <v>80</v>
      </c>
    </row>
    <row r="10" spans="1:72" ht="12.75" customHeight="1" x14ac:dyDescent="0.25">
      <c r="A10" t="s">
        <v>86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7" si="3">C10+G10+K10</f>
        <v>0</v>
      </c>
      <c r="P10" s="3">
        <f t="shared" ref="P10:P37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7" si="6">$BT10/12</f>
        <v>0</v>
      </c>
      <c r="U10" s="16">
        <f t="shared" ref="U10:U19" si="7">-(T10-S10)</f>
        <v>0</v>
      </c>
      <c r="W10" s="3">
        <f>'Year Over Year'!X10</f>
        <v>1</v>
      </c>
      <c r="X10" s="16">
        <f t="shared" ref="X10:X37" si="8">$BT10/12</f>
        <v>0</v>
      </c>
      <c r="Y10" s="16">
        <f t="shared" ref="Y10:Y19" si="9">-(X10-W10)</f>
        <v>1</v>
      </c>
      <c r="AA10" s="3">
        <f>'Year Over Year'!AB10</f>
        <v>0</v>
      </c>
      <c r="AB10" s="16">
        <f t="shared" ref="AB10:AB37" si="10">$BT10/12</f>
        <v>0</v>
      </c>
      <c r="AC10" s="16">
        <f t="shared" ref="AC10:AC19" si="11">-(AB10-AA10)</f>
        <v>0</v>
      </c>
      <c r="AE10" s="3">
        <f t="shared" ref="AE10:AE37" si="12">S10+W10+AA10</f>
        <v>1</v>
      </c>
      <c r="AF10" s="16">
        <f>T10+X10+AB10</f>
        <v>0</v>
      </c>
      <c r="AG10" s="16">
        <f t="shared" ref="AG10:AG19" si="13">-(AF10-AE10)</f>
        <v>1</v>
      </c>
      <c r="AI10" s="3">
        <f>'Year Over Year'!AJ10</f>
        <v>0</v>
      </c>
      <c r="AJ10" s="16">
        <f t="shared" ref="AJ10:AJ37" si="14">$BT10/12</f>
        <v>0</v>
      </c>
      <c r="AK10" s="16">
        <f t="shared" ref="AK10:AK19" si="15">-(AJ10-AI10)</f>
        <v>0</v>
      </c>
      <c r="AM10" s="3">
        <f>'Year Over Year'!AN10</f>
        <v>0</v>
      </c>
      <c r="AN10" s="16">
        <f t="shared" ref="AN10:AN37" si="16">$BT10/12</f>
        <v>0</v>
      </c>
      <c r="AO10" s="16">
        <f t="shared" ref="AO10:AO19" si="17">-(AN10-AM10)</f>
        <v>0</v>
      </c>
      <c r="AQ10" s="3">
        <f>'Year Over Year'!AR10</f>
        <v>0</v>
      </c>
      <c r="AR10" s="16">
        <f t="shared" ref="AR10:AR37" si="18">$BT10/12</f>
        <v>0</v>
      </c>
      <c r="AS10" s="16">
        <f t="shared" ref="AS10:AS19" si="19">-(AR10-AQ10)</f>
        <v>0</v>
      </c>
      <c r="AU10" s="3">
        <f t="shared" ref="AU10:AU37" si="20">AI10+AM10+AQ10</f>
        <v>0</v>
      </c>
      <c r="AV10" s="3">
        <f t="shared" ref="AV10:AV37" si="21">AJ10+AN10+AR10</f>
        <v>0</v>
      </c>
      <c r="AW10" s="16">
        <f t="shared" ref="AW10:AW19" si="22">-(AV10-AU10)</f>
        <v>0</v>
      </c>
      <c r="AY10" s="3">
        <f>'Year Over Year'!AZ10</f>
        <v>0</v>
      </c>
      <c r="AZ10" s="16">
        <f t="shared" ref="AZ10:AZ37" si="23">$BT10/12</f>
        <v>0</v>
      </c>
      <c r="BA10" s="16">
        <f t="shared" ref="BA10:BA19" si="24">-(AZ10-AY10)</f>
        <v>0</v>
      </c>
      <c r="BC10" s="3">
        <f>'Year Over Year'!BD10</f>
        <v>0</v>
      </c>
      <c r="BD10" s="16">
        <f t="shared" ref="BD10:BD37" si="25">$BT10/12</f>
        <v>0</v>
      </c>
      <c r="BE10" s="16">
        <f t="shared" ref="BE10:BE19" si="26">-(BD10-BC10)</f>
        <v>0</v>
      </c>
      <c r="BG10" s="3">
        <f>'Year Over Year'!BH10</f>
        <v>0</v>
      </c>
      <c r="BH10" s="16">
        <f t="shared" ref="BH10:BH37" si="27">$BT10/12</f>
        <v>0</v>
      </c>
      <c r="BI10" s="16">
        <f t="shared" ref="BI10:BI19" si="28">-(BH10-BG10)</f>
        <v>0</v>
      </c>
      <c r="BK10" s="3">
        <f t="shared" ref="BK10:BK37" si="29">AY10+BC10+BG10</f>
        <v>0</v>
      </c>
      <c r="BL10" s="3">
        <f t="shared" ref="BL10:BL37" si="30">AZ10+BD10+BH10</f>
        <v>0</v>
      </c>
      <c r="BM10" s="16">
        <f t="shared" ref="BM10:BM19" si="31">-(BL10-BK10)</f>
        <v>0</v>
      </c>
      <c r="BO10" s="16">
        <f>C10+G10+K10+S10+W10+AA10</f>
        <v>1</v>
      </c>
      <c r="BP10" s="16">
        <f>D10+H10+L10+T10+X10+AB10</f>
        <v>0</v>
      </c>
      <c r="BQ10" s="16">
        <f t="shared" ref="BQ10:BQ37" si="32">-(BP10-BO10)</f>
        <v>1</v>
      </c>
      <c r="BR10" s="17">
        <v>0</v>
      </c>
      <c r="BT10" s="16">
        <v>0</v>
      </c>
    </row>
    <row r="11" spans="1:72" x14ac:dyDescent="0.25">
      <c r="A11" t="s">
        <v>87</v>
      </c>
      <c r="C11" s="3">
        <f>'Year Over Year'!D11</f>
        <v>55</v>
      </c>
      <c r="D11" s="16">
        <f>BT11/12</f>
        <v>60</v>
      </c>
      <c r="E11" s="16">
        <f t="shared" si="0"/>
        <v>-5</v>
      </c>
      <c r="F11" s="17"/>
      <c r="G11" s="3">
        <f>'Year Over Year'!H11</f>
        <v>40</v>
      </c>
      <c r="H11" s="16">
        <f>$BT11/12</f>
        <v>60</v>
      </c>
      <c r="I11" s="16">
        <f t="shared" si="1"/>
        <v>-20</v>
      </c>
      <c r="K11" s="3">
        <f>'Year Over Year'!L11</f>
        <v>49</v>
      </c>
      <c r="L11" s="16">
        <f>$BT11/12</f>
        <v>60</v>
      </c>
      <c r="M11" s="16">
        <f t="shared" si="2"/>
        <v>-11</v>
      </c>
      <c r="O11" s="3">
        <f t="shared" si="3"/>
        <v>144</v>
      </c>
      <c r="P11" s="3">
        <f t="shared" si="4"/>
        <v>180</v>
      </c>
      <c r="Q11" s="16">
        <f t="shared" si="5"/>
        <v>-36</v>
      </c>
      <c r="S11" s="3">
        <f>'Year Over Year'!T11</f>
        <v>75</v>
      </c>
      <c r="T11" s="16">
        <f t="shared" si="6"/>
        <v>60</v>
      </c>
      <c r="U11" s="16">
        <f t="shared" si="7"/>
        <v>15</v>
      </c>
      <c r="W11" s="3">
        <f>'Year Over Year'!X11</f>
        <v>64</v>
      </c>
      <c r="X11" s="16">
        <f t="shared" si="8"/>
        <v>60</v>
      </c>
      <c r="Y11" s="16">
        <f t="shared" si="9"/>
        <v>4</v>
      </c>
      <c r="AA11" s="3">
        <f>'Year Over Year'!AB11</f>
        <v>79</v>
      </c>
      <c r="AB11" s="16">
        <f t="shared" si="10"/>
        <v>60</v>
      </c>
      <c r="AC11" s="16">
        <f t="shared" si="11"/>
        <v>19</v>
      </c>
      <c r="AE11" s="3">
        <f t="shared" si="12"/>
        <v>218</v>
      </c>
      <c r="AF11" s="16">
        <f>T11+X11+AB11</f>
        <v>180</v>
      </c>
      <c r="AG11" s="16">
        <f t="shared" si="13"/>
        <v>38</v>
      </c>
      <c r="AI11" s="3">
        <f>'Year Over Year'!AJ11</f>
        <v>0</v>
      </c>
      <c r="AJ11" s="16">
        <f t="shared" si="14"/>
        <v>60</v>
      </c>
      <c r="AK11" s="16">
        <f t="shared" si="15"/>
        <v>-60</v>
      </c>
      <c r="AM11" s="3">
        <f>'Year Over Year'!AN11</f>
        <v>0</v>
      </c>
      <c r="AN11" s="16">
        <f t="shared" si="16"/>
        <v>60</v>
      </c>
      <c r="AO11" s="16">
        <f t="shared" si="17"/>
        <v>-60</v>
      </c>
      <c r="AQ11" s="3">
        <f>'Year Over Year'!AR11</f>
        <v>0</v>
      </c>
      <c r="AR11" s="16">
        <f t="shared" si="18"/>
        <v>60</v>
      </c>
      <c r="AS11" s="16">
        <f t="shared" si="19"/>
        <v>-60</v>
      </c>
      <c r="AU11" s="3">
        <f t="shared" si="20"/>
        <v>0</v>
      </c>
      <c r="AV11" s="3">
        <f t="shared" si="21"/>
        <v>180</v>
      </c>
      <c r="AW11" s="16">
        <f t="shared" si="22"/>
        <v>-180</v>
      </c>
      <c r="AY11" s="3">
        <f>'Year Over Year'!AZ11</f>
        <v>0</v>
      </c>
      <c r="AZ11" s="16">
        <f t="shared" si="23"/>
        <v>60</v>
      </c>
      <c r="BA11" s="16">
        <f t="shared" si="24"/>
        <v>-60</v>
      </c>
      <c r="BC11" s="3">
        <f>'Year Over Year'!BD11</f>
        <v>0</v>
      </c>
      <c r="BD11" s="16">
        <f t="shared" si="25"/>
        <v>60</v>
      </c>
      <c r="BE11" s="16">
        <f t="shared" si="26"/>
        <v>-60</v>
      </c>
      <c r="BG11" s="3">
        <f>'Year Over Year'!BH11</f>
        <v>0</v>
      </c>
      <c r="BH11" s="16">
        <f t="shared" si="27"/>
        <v>60</v>
      </c>
      <c r="BI11" s="16">
        <f t="shared" si="28"/>
        <v>-60</v>
      </c>
      <c r="BK11" s="3">
        <f t="shared" si="29"/>
        <v>0</v>
      </c>
      <c r="BL11" s="3">
        <f t="shared" si="30"/>
        <v>180</v>
      </c>
      <c r="BM11" s="16">
        <f t="shared" si="31"/>
        <v>-180</v>
      </c>
      <c r="BO11" s="16">
        <f>C11+G11+K11+S11+W11+AA11</f>
        <v>362</v>
      </c>
      <c r="BP11" s="16">
        <f>D11+H11+L11+T11+X11+AB11+0.3</f>
        <v>360.3</v>
      </c>
      <c r="BQ11" s="16">
        <f t="shared" si="32"/>
        <v>1.6999999999999886</v>
      </c>
      <c r="BR11" s="17">
        <f t="shared" ref="BR11:BR29" si="33">BQ11/BP11</f>
        <v>4.7182903136275007E-3</v>
      </c>
      <c r="BT11" s="16">
        <v>720</v>
      </c>
    </row>
    <row r="12" spans="1:72" x14ac:dyDescent="0.25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5">
      <c r="A13" s="1" t="s">
        <v>69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5">
      <c r="A14" t="s">
        <v>70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100</v>
      </c>
      <c r="T14" s="16">
        <v>119</v>
      </c>
      <c r="U14" s="16">
        <f t="shared" si="7"/>
        <v>-19</v>
      </c>
      <c r="W14" s="3">
        <f>'Year Over Year'!X14</f>
        <v>105</v>
      </c>
      <c r="X14" s="16">
        <f t="shared" si="8"/>
        <v>0</v>
      </c>
      <c r="Y14" s="16">
        <f t="shared" si="9"/>
        <v>105</v>
      </c>
      <c r="AA14" s="3">
        <f>'Year Over Year'!AB14</f>
        <v>89</v>
      </c>
      <c r="AB14" s="16">
        <f t="shared" si="10"/>
        <v>0</v>
      </c>
      <c r="AC14" s="16">
        <f t="shared" si="11"/>
        <v>89</v>
      </c>
      <c r="AE14" s="3">
        <f t="shared" si="12"/>
        <v>294</v>
      </c>
      <c r="AF14" s="16">
        <f>T14+X14+AB14+0.1</f>
        <v>119.1</v>
      </c>
      <c r="AG14" s="16">
        <f t="shared" si="13"/>
        <v>174.9</v>
      </c>
      <c r="AI14" s="3">
        <f>'Year Over Year'!AJ14</f>
        <v>0</v>
      </c>
      <c r="AJ14" s="16">
        <f t="shared" si="14"/>
        <v>0</v>
      </c>
      <c r="AK14" s="16">
        <f t="shared" si="15"/>
        <v>0</v>
      </c>
      <c r="AM14" s="3">
        <f>'Year Over Year'!AN14</f>
        <v>0</v>
      </c>
      <c r="AN14" s="16">
        <f t="shared" si="16"/>
        <v>0</v>
      </c>
      <c r="AO14" s="16">
        <f t="shared" si="17"/>
        <v>0</v>
      </c>
      <c r="AQ14" s="3">
        <f>'Year Over Year'!AR14</f>
        <v>0</v>
      </c>
      <c r="AR14" s="16">
        <f t="shared" si="18"/>
        <v>0</v>
      </c>
      <c r="AS14" s="16">
        <f t="shared" si="19"/>
        <v>0</v>
      </c>
      <c r="AU14" s="3">
        <f t="shared" si="20"/>
        <v>0</v>
      </c>
      <c r="AV14" s="3">
        <f t="shared" si="21"/>
        <v>0</v>
      </c>
      <c r="AW14" s="16">
        <f t="shared" si="22"/>
        <v>0</v>
      </c>
      <c r="AY14" s="3">
        <f>'Year Over Year'!AZ14</f>
        <v>0</v>
      </c>
      <c r="AZ14" s="16">
        <f t="shared" si="23"/>
        <v>0</v>
      </c>
      <c r="BA14" s="16">
        <f t="shared" si="24"/>
        <v>0</v>
      </c>
      <c r="BC14" s="3">
        <f>'Year Over Year'!BD14</f>
        <v>0</v>
      </c>
      <c r="BD14" s="16">
        <f t="shared" si="25"/>
        <v>0</v>
      </c>
      <c r="BE14" s="16">
        <f t="shared" si="26"/>
        <v>0</v>
      </c>
      <c r="BG14" s="3">
        <f>'Year Over Year'!BH14</f>
        <v>0</v>
      </c>
      <c r="BH14" s="16">
        <f t="shared" si="27"/>
        <v>0</v>
      </c>
      <c r="BI14" s="16">
        <f t="shared" si="28"/>
        <v>0</v>
      </c>
      <c r="BK14" s="3">
        <f t="shared" si="29"/>
        <v>0</v>
      </c>
      <c r="BL14" s="3">
        <f t="shared" si="30"/>
        <v>0</v>
      </c>
      <c r="BM14" s="16">
        <f t="shared" si="31"/>
        <v>0</v>
      </c>
      <c r="BO14" s="16">
        <f>C14+G14+K14+S14+W14+AA14</f>
        <v>446</v>
      </c>
      <c r="BP14" s="16">
        <f>D14+H14+L14+T14+X14+AB14+0.3</f>
        <v>238.3</v>
      </c>
      <c r="BQ14" s="16">
        <f t="shared" si="32"/>
        <v>207.7</v>
      </c>
      <c r="BR14" s="17">
        <v>0</v>
      </c>
      <c r="BT14" s="16">
        <v>0</v>
      </c>
    </row>
    <row r="15" spans="1:72" x14ac:dyDescent="0.25">
      <c r="A15" t="s">
        <v>71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166</v>
      </c>
      <c r="T15" s="16">
        <f t="shared" si="6"/>
        <v>12.5</v>
      </c>
      <c r="U15" s="16">
        <f t="shared" si="7"/>
        <v>153.5</v>
      </c>
      <c r="W15" s="3">
        <f>'Year Over Year'!X15</f>
        <v>177</v>
      </c>
      <c r="X15" s="16">
        <f t="shared" si="8"/>
        <v>12.5</v>
      </c>
      <c r="Y15" s="16">
        <f t="shared" si="9"/>
        <v>164.5</v>
      </c>
      <c r="AA15" s="3">
        <f>'Year Over Year'!AB15</f>
        <v>238</v>
      </c>
      <c r="AB15" s="16">
        <f t="shared" si="10"/>
        <v>12.5</v>
      </c>
      <c r="AC15" s="16">
        <f t="shared" si="11"/>
        <v>225.5</v>
      </c>
      <c r="AE15" s="3">
        <f t="shared" si="12"/>
        <v>581</v>
      </c>
      <c r="AF15" s="16">
        <f>T15+X15+AB15+0.1</f>
        <v>37.6</v>
      </c>
      <c r="AG15" s="16">
        <f>-(AF15-AE15)-0.5</f>
        <v>542.9</v>
      </c>
      <c r="AI15" s="3">
        <f>'Year Over Year'!AJ15</f>
        <v>0</v>
      </c>
      <c r="AJ15" s="16">
        <f t="shared" si="14"/>
        <v>12.5</v>
      </c>
      <c r="AK15" s="16">
        <f t="shared" si="15"/>
        <v>-12.5</v>
      </c>
      <c r="AM15" s="3">
        <f>'Year Over Year'!AN15</f>
        <v>0</v>
      </c>
      <c r="AN15" s="16">
        <f t="shared" si="16"/>
        <v>12.5</v>
      </c>
      <c r="AO15" s="16">
        <f t="shared" si="17"/>
        <v>-12.5</v>
      </c>
      <c r="AQ15" s="3">
        <f>'Year Over Year'!AR15</f>
        <v>0</v>
      </c>
      <c r="AR15" s="16">
        <f t="shared" si="18"/>
        <v>12.5</v>
      </c>
      <c r="AS15" s="16">
        <f t="shared" si="19"/>
        <v>-12.5</v>
      </c>
      <c r="AU15" s="3">
        <f t="shared" si="20"/>
        <v>0</v>
      </c>
      <c r="AV15" s="3">
        <f t="shared" si="21"/>
        <v>37.5</v>
      </c>
      <c r="AW15" s="16">
        <f t="shared" si="22"/>
        <v>-37.5</v>
      </c>
      <c r="AY15" s="3">
        <f>'Year Over Year'!AZ15</f>
        <v>0</v>
      </c>
      <c r="AZ15" s="16">
        <f t="shared" si="23"/>
        <v>12.5</v>
      </c>
      <c r="BA15" s="16">
        <f t="shared" si="24"/>
        <v>-12.5</v>
      </c>
      <c r="BC15" s="3">
        <f>'Year Over Year'!BD15</f>
        <v>0</v>
      </c>
      <c r="BD15" s="16">
        <f t="shared" si="25"/>
        <v>12.5</v>
      </c>
      <c r="BE15" s="16">
        <f t="shared" si="26"/>
        <v>-12.5</v>
      </c>
      <c r="BG15" s="3">
        <f>'Year Over Year'!BH15</f>
        <v>0</v>
      </c>
      <c r="BH15" s="16">
        <f t="shared" si="27"/>
        <v>12.5</v>
      </c>
      <c r="BI15" s="16">
        <f t="shared" si="28"/>
        <v>-12.5</v>
      </c>
      <c r="BK15" s="3">
        <f t="shared" si="29"/>
        <v>0</v>
      </c>
      <c r="BL15" s="3">
        <f t="shared" si="30"/>
        <v>37.5</v>
      </c>
      <c r="BM15" s="16">
        <f t="shared" si="31"/>
        <v>-37.5</v>
      </c>
      <c r="BO15" s="16">
        <f>C15+G15+K15+S15+W15+AA15</f>
        <v>887</v>
      </c>
      <c r="BP15" s="16">
        <f>D15+H15+L15+T15+X15+AB15+0.3</f>
        <v>75.8</v>
      </c>
      <c r="BQ15" s="16">
        <f t="shared" si="32"/>
        <v>811.2</v>
      </c>
      <c r="BR15" s="17">
        <f t="shared" si="33"/>
        <v>10.701846965699209</v>
      </c>
      <c r="BT15" s="16">
        <v>150</v>
      </c>
    </row>
    <row r="16" spans="1:72" x14ac:dyDescent="0.25">
      <c r="A16" t="s">
        <v>72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55</v>
      </c>
      <c r="T16" s="16">
        <f t="shared" si="6"/>
        <v>12.5</v>
      </c>
      <c r="U16" s="16">
        <f t="shared" si="7"/>
        <v>42.5</v>
      </c>
      <c r="W16" s="3">
        <f>'Year Over Year'!X16</f>
        <v>55</v>
      </c>
      <c r="X16" s="16">
        <f t="shared" si="8"/>
        <v>12.5</v>
      </c>
      <c r="Y16" s="16">
        <f t="shared" si="9"/>
        <v>42.5</v>
      </c>
      <c r="AA16" s="3">
        <f>'Year Over Year'!AB16</f>
        <v>81</v>
      </c>
      <c r="AB16" s="16">
        <f t="shared" si="10"/>
        <v>12.5</v>
      </c>
      <c r="AC16" s="16">
        <f t="shared" si="11"/>
        <v>68.5</v>
      </c>
      <c r="AE16" s="3">
        <f t="shared" si="12"/>
        <v>191</v>
      </c>
      <c r="AF16" s="16">
        <f>T16+X16+AB16+0.1</f>
        <v>37.6</v>
      </c>
      <c r="AG16" s="16">
        <f t="shared" si="13"/>
        <v>153.4</v>
      </c>
      <c r="AI16" s="3">
        <f>'Year Over Year'!AJ16</f>
        <v>0</v>
      </c>
      <c r="AJ16" s="16">
        <f t="shared" si="14"/>
        <v>12.5</v>
      </c>
      <c r="AK16" s="16">
        <f t="shared" si="15"/>
        <v>-12.5</v>
      </c>
      <c r="AM16" s="3">
        <f>'Year Over Year'!AN16</f>
        <v>0</v>
      </c>
      <c r="AN16" s="16">
        <f t="shared" si="16"/>
        <v>12.5</v>
      </c>
      <c r="AO16" s="16">
        <f t="shared" si="17"/>
        <v>-12.5</v>
      </c>
      <c r="AQ16" s="3">
        <f>'Year Over Year'!AR16</f>
        <v>0</v>
      </c>
      <c r="AR16" s="16">
        <f t="shared" si="18"/>
        <v>12.5</v>
      </c>
      <c r="AS16" s="16">
        <f t="shared" si="19"/>
        <v>-12.5</v>
      </c>
      <c r="AU16" s="3">
        <f t="shared" si="20"/>
        <v>0</v>
      </c>
      <c r="AV16" s="3">
        <f t="shared" si="21"/>
        <v>37.5</v>
      </c>
      <c r="AW16" s="16">
        <f t="shared" si="22"/>
        <v>-37.5</v>
      </c>
      <c r="AY16" s="3">
        <f>'Year Over Year'!AZ16</f>
        <v>0</v>
      </c>
      <c r="AZ16" s="16">
        <f t="shared" si="23"/>
        <v>12.5</v>
      </c>
      <c r="BA16" s="16">
        <f t="shared" si="24"/>
        <v>-12.5</v>
      </c>
      <c r="BC16" s="3">
        <f>'Year Over Year'!BD16</f>
        <v>0</v>
      </c>
      <c r="BD16" s="16">
        <f t="shared" si="25"/>
        <v>12.5</v>
      </c>
      <c r="BE16" s="16">
        <f t="shared" si="26"/>
        <v>-12.5</v>
      </c>
      <c r="BG16" s="3">
        <f>'Year Over Year'!BH16</f>
        <v>0</v>
      </c>
      <c r="BH16" s="16">
        <f t="shared" si="27"/>
        <v>12.5</v>
      </c>
      <c r="BI16" s="16">
        <f t="shared" si="28"/>
        <v>-12.5</v>
      </c>
      <c r="BK16" s="3">
        <f t="shared" si="29"/>
        <v>0</v>
      </c>
      <c r="BL16" s="3">
        <f t="shared" si="30"/>
        <v>37.5</v>
      </c>
      <c r="BM16" s="16">
        <f t="shared" si="31"/>
        <v>-37.5</v>
      </c>
      <c r="BO16" s="16">
        <f>C16+G16+K16+S16+W16+AA16</f>
        <v>288</v>
      </c>
      <c r="BP16" s="16">
        <f>D16+H16+L16+T16+X16+AB16+0.3</f>
        <v>75.8</v>
      </c>
      <c r="BQ16" s="16">
        <f t="shared" si="32"/>
        <v>212.2</v>
      </c>
      <c r="BR16" s="17">
        <f t="shared" si="33"/>
        <v>2.7994722955145117</v>
      </c>
      <c r="BT16" s="16">
        <v>150</v>
      </c>
    </row>
    <row r="17" spans="1:72" x14ac:dyDescent="0.25">
      <c r="A17" t="s">
        <v>73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5</v>
      </c>
      <c r="X17" s="16">
        <f t="shared" si="8"/>
        <v>10.416666666666666</v>
      </c>
      <c r="Y17" s="16">
        <f t="shared" si="9"/>
        <v>-5.4166666666666661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5</v>
      </c>
      <c r="AF17" s="28">
        <f>T17+X17+AB17+0.25+0.1</f>
        <v>31.6</v>
      </c>
      <c r="AG17" s="16">
        <f t="shared" si="13"/>
        <v>-26.6</v>
      </c>
      <c r="AI17" s="3">
        <f>'Year Over Year'!AJ17</f>
        <v>0</v>
      </c>
      <c r="AJ17" s="16">
        <f t="shared" si="14"/>
        <v>10.416666666666666</v>
      </c>
      <c r="AK17" s="16">
        <f t="shared" si="15"/>
        <v>-10.416666666666666</v>
      </c>
      <c r="AM17" s="3">
        <f>'Year Over Year'!AN17</f>
        <v>0</v>
      </c>
      <c r="AN17" s="16">
        <f t="shared" si="16"/>
        <v>10.416666666666666</v>
      </c>
      <c r="AO17" s="16">
        <f t="shared" si="17"/>
        <v>-10.416666666666666</v>
      </c>
      <c r="AQ17" s="3">
        <f>'Year Over Year'!AR17</f>
        <v>0</v>
      </c>
      <c r="AR17" s="16">
        <f t="shared" si="18"/>
        <v>10.416666666666666</v>
      </c>
      <c r="AS17" s="16">
        <f t="shared" si="19"/>
        <v>-10.416666666666666</v>
      </c>
      <c r="AU17" s="3">
        <f t="shared" si="20"/>
        <v>0</v>
      </c>
      <c r="AV17" s="3">
        <f t="shared" si="21"/>
        <v>31.25</v>
      </c>
      <c r="AW17" s="16">
        <f t="shared" si="22"/>
        <v>-31.25</v>
      </c>
      <c r="AY17" s="3">
        <f>'Year Over Year'!AZ17</f>
        <v>0</v>
      </c>
      <c r="AZ17" s="16">
        <f t="shared" si="23"/>
        <v>10.416666666666666</v>
      </c>
      <c r="BA17" s="16">
        <f t="shared" si="24"/>
        <v>-10.416666666666666</v>
      </c>
      <c r="BC17" s="3">
        <f>'Year Over Year'!BD17</f>
        <v>0</v>
      </c>
      <c r="BD17" s="16">
        <f t="shared" si="25"/>
        <v>10.416666666666666</v>
      </c>
      <c r="BE17" s="16">
        <f t="shared" si="26"/>
        <v>-10.416666666666666</v>
      </c>
      <c r="BG17" s="3">
        <f>'Year Over Year'!BH17</f>
        <v>0</v>
      </c>
      <c r="BH17" s="16">
        <f t="shared" si="27"/>
        <v>10.416666666666666</v>
      </c>
      <c r="BI17" s="16">
        <f t="shared" si="28"/>
        <v>-10.416666666666666</v>
      </c>
      <c r="BK17" s="3">
        <f t="shared" si="29"/>
        <v>0</v>
      </c>
      <c r="BL17" s="3">
        <f t="shared" si="30"/>
        <v>31.25</v>
      </c>
      <c r="BM17" s="16">
        <f t="shared" si="31"/>
        <v>-31.25</v>
      </c>
      <c r="BO17" s="16">
        <f>C17+G17+K17+S17+W17+AA17</f>
        <v>5</v>
      </c>
      <c r="BP17" s="16">
        <f>D17+H17+L17+T17+X17+AB17+1</f>
        <v>63.249999999999993</v>
      </c>
      <c r="BQ17" s="16">
        <f t="shared" si="32"/>
        <v>-58.249999999999993</v>
      </c>
      <c r="BR17" s="17">
        <f t="shared" si="33"/>
        <v>-0.92094861660079053</v>
      </c>
      <c r="BT17" s="16">
        <v>125</v>
      </c>
    </row>
    <row r="18" spans="1:72" hidden="1" x14ac:dyDescent="0.25">
      <c r="A18" t="s">
        <v>74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>T18+X18+AB18</f>
        <v>0</v>
      </c>
      <c r="AG18" s="16">
        <f t="shared" si="13"/>
        <v>0</v>
      </c>
      <c r="AI18" s="3">
        <f>'Year Over Year'!AJ18</f>
        <v>0</v>
      </c>
      <c r="AJ18" s="16">
        <f t="shared" si="14"/>
        <v>0</v>
      </c>
      <c r="AK18" s="16">
        <f t="shared" si="15"/>
        <v>0</v>
      </c>
      <c r="AM18" s="3">
        <f>'Year Over Year'!AN18</f>
        <v>0</v>
      </c>
      <c r="AN18" s="16">
        <f t="shared" si="16"/>
        <v>0</v>
      </c>
      <c r="AO18" s="16">
        <f t="shared" si="17"/>
        <v>0</v>
      </c>
      <c r="AQ18" s="3">
        <f>'Year Over Year'!AR18</f>
        <v>0</v>
      </c>
      <c r="AR18" s="16">
        <f t="shared" si="18"/>
        <v>0</v>
      </c>
      <c r="AS18" s="16">
        <f t="shared" si="19"/>
        <v>0</v>
      </c>
      <c r="AU18" s="3">
        <f t="shared" si="20"/>
        <v>0</v>
      </c>
      <c r="AV18" s="3">
        <f t="shared" si="21"/>
        <v>0</v>
      </c>
      <c r="AW18" s="16">
        <f t="shared" si="22"/>
        <v>0</v>
      </c>
      <c r="AY18" s="3">
        <f>'Year Over Year'!AZ18</f>
        <v>0</v>
      </c>
      <c r="AZ18" s="16">
        <f t="shared" si="23"/>
        <v>0</v>
      </c>
      <c r="BA18" s="16">
        <f t="shared" si="24"/>
        <v>0</v>
      </c>
      <c r="BC18" s="3">
        <f>'Year Over Year'!BD18</f>
        <v>0</v>
      </c>
      <c r="BD18" s="16">
        <f t="shared" si="25"/>
        <v>0</v>
      </c>
      <c r="BE18" s="16">
        <f t="shared" si="26"/>
        <v>0</v>
      </c>
      <c r="BG18" s="3">
        <f>'Year Over Year'!BH18</f>
        <v>0</v>
      </c>
      <c r="BH18" s="16">
        <f t="shared" si="27"/>
        <v>0</v>
      </c>
      <c r="BI18" s="16">
        <f t="shared" si="28"/>
        <v>0</v>
      </c>
      <c r="BK18" s="3">
        <f t="shared" si="29"/>
        <v>0</v>
      </c>
      <c r="BL18" s="3">
        <f t="shared" si="30"/>
        <v>0</v>
      </c>
      <c r="BM18" s="16">
        <f t="shared" si="31"/>
        <v>0</v>
      </c>
      <c r="BO18" s="16">
        <f>C18+G18+K18+S18+W18</f>
        <v>0</v>
      </c>
      <c r="BP18" s="16">
        <f>D18+H18+L18+T18+X18</f>
        <v>0</v>
      </c>
      <c r="BQ18" s="16">
        <f>-(BP18-BO18)</f>
        <v>0</v>
      </c>
      <c r="BR18" s="17"/>
      <c r="BT18" s="16">
        <v>0</v>
      </c>
    </row>
    <row r="19" spans="1:72" x14ac:dyDescent="0.25">
      <c r="A19" t="s">
        <v>75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372</v>
      </c>
      <c r="T19" s="16">
        <f t="shared" si="6"/>
        <v>133.33333333333334</v>
      </c>
      <c r="U19" s="16">
        <f t="shared" si="7"/>
        <v>238.66666666666666</v>
      </c>
      <c r="W19" s="3">
        <f>'Year Over Year'!X19</f>
        <v>443</v>
      </c>
      <c r="X19" s="16">
        <f t="shared" si="8"/>
        <v>133.33333333333334</v>
      </c>
      <c r="Y19" s="16">
        <f t="shared" si="9"/>
        <v>309.66666666666663</v>
      </c>
      <c r="AA19" s="3">
        <f>'Year Over Year'!AB19</f>
        <v>399</v>
      </c>
      <c r="AB19" s="16">
        <f t="shared" si="10"/>
        <v>133.33333333333334</v>
      </c>
      <c r="AC19" s="16">
        <f t="shared" si="11"/>
        <v>265.66666666666663</v>
      </c>
      <c r="AE19" s="3">
        <f t="shared" si="12"/>
        <v>1214</v>
      </c>
      <c r="AF19" s="16">
        <f>T19+X19+AB19+0.25</f>
        <v>400.25</v>
      </c>
      <c r="AG19" s="16">
        <f t="shared" si="13"/>
        <v>813.75</v>
      </c>
      <c r="AI19" s="3">
        <f>'Year Over Year'!AJ19</f>
        <v>0</v>
      </c>
      <c r="AJ19" s="16">
        <f t="shared" si="14"/>
        <v>133.33333333333334</v>
      </c>
      <c r="AK19" s="16">
        <f t="shared" si="15"/>
        <v>-133.33333333333334</v>
      </c>
      <c r="AM19" s="3">
        <f>'Year Over Year'!AN19</f>
        <v>0</v>
      </c>
      <c r="AN19" s="16">
        <f t="shared" si="16"/>
        <v>133.33333333333334</v>
      </c>
      <c r="AO19" s="16">
        <f t="shared" si="17"/>
        <v>-133.33333333333334</v>
      </c>
      <c r="AQ19" s="3">
        <f>'Year Over Year'!AR19</f>
        <v>0</v>
      </c>
      <c r="AR19" s="16">
        <f t="shared" si="18"/>
        <v>133.33333333333334</v>
      </c>
      <c r="AS19" s="16">
        <f t="shared" si="19"/>
        <v>-133.33333333333334</v>
      </c>
      <c r="AU19" s="3">
        <f t="shared" si="20"/>
        <v>0</v>
      </c>
      <c r="AV19" s="3">
        <f t="shared" si="21"/>
        <v>400</v>
      </c>
      <c r="AW19" s="16">
        <f t="shared" si="22"/>
        <v>-400</v>
      </c>
      <c r="AY19" s="3">
        <f>'Year Over Year'!AZ19</f>
        <v>0</v>
      </c>
      <c r="AZ19" s="16">
        <f t="shared" si="23"/>
        <v>133.33333333333334</v>
      </c>
      <c r="BA19" s="16">
        <f t="shared" si="24"/>
        <v>-133.33333333333334</v>
      </c>
      <c r="BC19" s="3">
        <f>'Year Over Year'!BD19</f>
        <v>0</v>
      </c>
      <c r="BD19" s="16">
        <f t="shared" si="25"/>
        <v>133.33333333333334</v>
      </c>
      <c r="BE19" s="16">
        <f t="shared" si="26"/>
        <v>-133.33333333333334</v>
      </c>
      <c r="BG19" s="3">
        <f>'Year Over Year'!BH19</f>
        <v>0</v>
      </c>
      <c r="BH19" s="16">
        <f t="shared" si="27"/>
        <v>133.33333333333334</v>
      </c>
      <c r="BI19" s="16">
        <f t="shared" si="28"/>
        <v>-133.33333333333334</v>
      </c>
      <c r="BK19" s="3">
        <f t="shared" si="29"/>
        <v>0</v>
      </c>
      <c r="BL19" s="3">
        <f t="shared" si="30"/>
        <v>400</v>
      </c>
      <c r="BM19" s="16">
        <f t="shared" si="31"/>
        <v>-400</v>
      </c>
      <c r="BO19" s="16">
        <f>C19+G19+K19+S19+W19+AA19</f>
        <v>2308</v>
      </c>
      <c r="BP19" s="16">
        <f>D19+H19+L19+T19+X19+AB19+0.3</f>
        <v>800.30000000000007</v>
      </c>
      <c r="BQ19" s="16">
        <f t="shared" si="32"/>
        <v>1507.6999999999998</v>
      </c>
      <c r="BR19" s="17">
        <f t="shared" si="33"/>
        <v>1.8839185305510431</v>
      </c>
      <c r="BT19" s="16">
        <v>1600</v>
      </c>
    </row>
    <row r="20" spans="1:72" x14ac:dyDescent="0.25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5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/>
      <c r="P21" s="3"/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/>
      <c r="AF21" s="16"/>
      <c r="AG21" s="16"/>
      <c r="AI21" s="3">
        <f>'Year Over Year'!AJ21</f>
        <v>0</v>
      </c>
      <c r="AJ21" s="16">
        <f t="shared" si="14"/>
        <v>0</v>
      </c>
      <c r="AK21" s="16"/>
      <c r="AM21" s="3">
        <f>'Year Over Year'!AN21</f>
        <v>0</v>
      </c>
      <c r="AN21" s="16">
        <f t="shared" si="16"/>
        <v>0</v>
      </c>
      <c r="AO21" s="16"/>
      <c r="AQ21" s="3">
        <f>'Year Over Year'!AR21</f>
        <v>0</v>
      </c>
      <c r="AR21" s="16">
        <f t="shared" si="18"/>
        <v>0</v>
      </c>
      <c r="AS21" s="16"/>
      <c r="AU21" s="3">
        <f t="shared" si="20"/>
        <v>0</v>
      </c>
      <c r="AV21" s="3">
        <f t="shared" si="21"/>
        <v>0</v>
      </c>
      <c r="AW21" s="16"/>
      <c r="AY21" s="3">
        <f>'Year Over Year'!AZ21</f>
        <v>0</v>
      </c>
      <c r="AZ21" s="16">
        <f t="shared" si="23"/>
        <v>0</v>
      </c>
      <c r="BA21" s="16"/>
      <c r="BC21" s="3">
        <f>'Year Over Year'!BD21</f>
        <v>0</v>
      </c>
      <c r="BD21" s="16">
        <f t="shared" si="25"/>
        <v>0</v>
      </c>
      <c r="BE21" s="16"/>
      <c r="BG21" s="3">
        <f>'Year Over Year'!BH21</f>
        <v>0</v>
      </c>
      <c r="BH21" s="16">
        <f t="shared" si="27"/>
        <v>0</v>
      </c>
      <c r="BI21" s="16"/>
      <c r="BK21" s="3">
        <f t="shared" si="29"/>
        <v>0</v>
      </c>
      <c r="BL21" s="3">
        <f t="shared" si="30"/>
        <v>0</v>
      </c>
      <c r="BM21" s="16"/>
      <c r="BO21" s="16"/>
      <c r="BP21" s="16"/>
      <c r="BQ21" s="16"/>
      <c r="BR21" s="17"/>
      <c r="BT21" s="16"/>
    </row>
    <row r="22" spans="1:72" x14ac:dyDescent="0.25">
      <c r="A22" s="11" t="s">
        <v>13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4</v>
      </c>
      <c r="H22" s="16">
        <v>4</v>
      </c>
      <c r="I22" s="16">
        <f>-(H22-G22)</f>
        <v>0</v>
      </c>
      <c r="K22" s="3">
        <f>'Year Over Year'!L22</f>
        <v>2</v>
      </c>
      <c r="L22" s="16">
        <v>5</v>
      </c>
      <c r="M22" s="16">
        <f>-(L22-K22)</f>
        <v>-3</v>
      </c>
      <c r="O22" s="3">
        <f t="shared" si="3"/>
        <v>6</v>
      </c>
      <c r="P22" s="3">
        <f t="shared" si="4"/>
        <v>13</v>
      </c>
      <c r="Q22" s="16">
        <f>-(P22-O22)</f>
        <v>-7</v>
      </c>
      <c r="S22" s="3">
        <f>'Year Over Year'!T22</f>
        <v>3</v>
      </c>
      <c r="T22" s="16">
        <f t="shared" si="6"/>
        <v>4.166666666666667</v>
      </c>
      <c r="U22" s="16">
        <f>-(T22-S22)</f>
        <v>-1.166666666666667</v>
      </c>
      <c r="W22" s="3">
        <f>'Year Over Year'!X22</f>
        <v>2</v>
      </c>
      <c r="X22" s="16">
        <f t="shared" si="8"/>
        <v>4.166666666666667</v>
      </c>
      <c r="Y22" s="16">
        <f>-(X22-W22)</f>
        <v>-2.166666666666667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5</v>
      </c>
      <c r="AF22" s="16">
        <f>T22+X22+AB22+0.25</f>
        <v>12.75</v>
      </c>
      <c r="AG22" s="16">
        <f>-(AF22-AE22)</f>
        <v>-7.75</v>
      </c>
      <c r="AI22" s="3">
        <f>'Year Over Year'!AJ22</f>
        <v>0</v>
      </c>
      <c r="AJ22" s="16">
        <f t="shared" si="14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6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8"/>
        <v>4.166666666666667</v>
      </c>
      <c r="AS22" s="16">
        <f>-(AR22-AQ22)</f>
        <v>-4.166666666666667</v>
      </c>
      <c r="AU22" s="3">
        <f t="shared" si="20"/>
        <v>0</v>
      </c>
      <c r="AV22" s="3">
        <f t="shared" si="21"/>
        <v>12.5</v>
      </c>
      <c r="AW22" s="16">
        <f>-(AV22-AU22)</f>
        <v>-12.5</v>
      </c>
      <c r="AY22" s="3">
        <f>'Year Over Year'!AZ22</f>
        <v>0</v>
      </c>
      <c r="AZ22" s="16">
        <f t="shared" si="23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5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7"/>
        <v>4.166666666666667</v>
      </c>
      <c r="BI22" s="16">
        <f>-(BH22-BG22)</f>
        <v>-4.166666666666667</v>
      </c>
      <c r="BK22" s="3">
        <f t="shared" si="29"/>
        <v>0</v>
      </c>
      <c r="BL22" s="3">
        <f t="shared" si="30"/>
        <v>12.5</v>
      </c>
      <c r="BM22" s="16">
        <f>-(BL22-BK22)</f>
        <v>-12.5</v>
      </c>
      <c r="BO22" s="16">
        <f t="shared" ref="BO22:BP25" si="34">C22+G22+K22+S22+W22+AA22</f>
        <v>11</v>
      </c>
      <c r="BP22" s="16">
        <f t="shared" si="34"/>
        <v>25.500000000000004</v>
      </c>
      <c r="BQ22" s="16">
        <f t="shared" si="32"/>
        <v>-14.500000000000004</v>
      </c>
      <c r="BR22" s="17">
        <f t="shared" si="33"/>
        <v>-0.56862745098039225</v>
      </c>
      <c r="BT22" s="16">
        <v>50</v>
      </c>
    </row>
    <row r="23" spans="1:72" x14ac:dyDescent="0.25">
      <c r="A23" s="11" t="s">
        <v>14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3</v>
      </c>
      <c r="H23" s="16">
        <v>8</v>
      </c>
      <c r="I23" s="16">
        <f>-(H23-G23)</f>
        <v>-5</v>
      </c>
      <c r="K23" s="3">
        <f>'Year Over Year'!L23</f>
        <v>3</v>
      </c>
      <c r="L23" s="16">
        <v>8</v>
      </c>
      <c r="M23" s="16">
        <f>-(L23-K23)</f>
        <v>-5</v>
      </c>
      <c r="O23" s="3">
        <f t="shared" si="3"/>
        <v>6</v>
      </c>
      <c r="P23" s="3">
        <f t="shared" si="4"/>
        <v>23</v>
      </c>
      <c r="Q23" s="16">
        <f>-(P23-O23)</f>
        <v>-17</v>
      </c>
      <c r="S23" s="3">
        <f>'Year Over Year'!T23</f>
        <v>5</v>
      </c>
      <c r="T23" s="16">
        <f t="shared" si="6"/>
        <v>8.3333333333333339</v>
      </c>
      <c r="U23" s="16">
        <f>-(T23-S23)</f>
        <v>-3.3333333333333339</v>
      </c>
      <c r="W23" s="3">
        <f>'Year Over Year'!X23</f>
        <v>5</v>
      </c>
      <c r="X23" s="16">
        <f t="shared" si="8"/>
        <v>8.3333333333333339</v>
      </c>
      <c r="Y23" s="16">
        <f>-(X23-W23)</f>
        <v>-3.3333333333333339</v>
      </c>
      <c r="AA23" s="3">
        <f>'Year Over Year'!AB23</f>
        <v>5</v>
      </c>
      <c r="AB23" s="16">
        <f t="shared" si="10"/>
        <v>8.3333333333333339</v>
      </c>
      <c r="AC23" s="16">
        <f>-(AB23-AA23)</f>
        <v>-3.3333333333333339</v>
      </c>
      <c r="AE23" s="3">
        <f t="shared" si="12"/>
        <v>15</v>
      </c>
      <c r="AF23" s="16">
        <f>T23+X23+AB23+0.25</f>
        <v>25.25</v>
      </c>
      <c r="AG23" s="16">
        <f>-(AF23-AE23)</f>
        <v>-10.25</v>
      </c>
      <c r="AI23" s="3">
        <f>'Year Over Year'!AJ23</f>
        <v>0</v>
      </c>
      <c r="AJ23" s="16">
        <f t="shared" si="14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6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8"/>
        <v>8.3333333333333339</v>
      </c>
      <c r="AS23" s="16">
        <f>-(AR23-AQ23)</f>
        <v>-8.3333333333333339</v>
      </c>
      <c r="AU23" s="3">
        <f t="shared" si="20"/>
        <v>0</v>
      </c>
      <c r="AV23" s="3">
        <f t="shared" si="21"/>
        <v>25</v>
      </c>
      <c r="AW23" s="16">
        <f>-(AV23-AU23)</f>
        <v>-25</v>
      </c>
      <c r="AY23" s="3">
        <f>'Year Over Year'!AZ23</f>
        <v>0</v>
      </c>
      <c r="AZ23" s="16">
        <f t="shared" si="23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5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7"/>
        <v>8.3333333333333339</v>
      </c>
      <c r="BI23" s="16">
        <f>-(BH23-BG23)</f>
        <v>-8.3333333333333339</v>
      </c>
      <c r="BK23" s="3">
        <f t="shared" si="29"/>
        <v>0</v>
      </c>
      <c r="BL23" s="3">
        <f t="shared" si="30"/>
        <v>25</v>
      </c>
      <c r="BM23" s="16">
        <f>-(BL23-BK23)</f>
        <v>-25</v>
      </c>
      <c r="BO23" s="16">
        <f t="shared" si="34"/>
        <v>21</v>
      </c>
      <c r="BP23" s="16">
        <f t="shared" si="34"/>
        <v>48.000000000000007</v>
      </c>
      <c r="BQ23" s="16">
        <f t="shared" si="32"/>
        <v>-27.000000000000007</v>
      </c>
      <c r="BR23" s="17">
        <f t="shared" si="33"/>
        <v>-0.56250000000000011</v>
      </c>
      <c r="BT23" s="16">
        <v>100</v>
      </c>
    </row>
    <row r="24" spans="1:72" x14ac:dyDescent="0.25">
      <c r="A24" s="11" t="s">
        <v>15</v>
      </c>
      <c r="C24" s="3">
        <f>'Year Over Year'!D24</f>
        <v>14</v>
      </c>
      <c r="D24" s="16">
        <v>16</v>
      </c>
      <c r="E24" s="16">
        <f>-(D24-C24)</f>
        <v>-2</v>
      </c>
      <c r="F24" s="17"/>
      <c r="G24" s="3">
        <f>'Year Over Year'!H24</f>
        <v>15</v>
      </c>
      <c r="H24" s="16">
        <v>17</v>
      </c>
      <c r="I24" s="16">
        <f>-(H24-G24)</f>
        <v>-2</v>
      </c>
      <c r="K24" s="3">
        <f>'Year Over Year'!L24</f>
        <v>30</v>
      </c>
      <c r="L24" s="16">
        <v>17</v>
      </c>
      <c r="M24" s="16">
        <f>-(L24-K24)</f>
        <v>13</v>
      </c>
      <c r="O24" s="3">
        <f t="shared" si="3"/>
        <v>59</v>
      </c>
      <c r="P24" s="3">
        <f t="shared" si="4"/>
        <v>50</v>
      </c>
      <c r="Q24" s="16">
        <f>-(P24-O24)</f>
        <v>9</v>
      </c>
      <c r="S24" s="3">
        <f>'Year Over Year'!T24</f>
        <v>22</v>
      </c>
      <c r="T24" s="16">
        <f t="shared" si="6"/>
        <v>16.666666666666668</v>
      </c>
      <c r="U24" s="16">
        <f>-(T24-S24)</f>
        <v>5.3333333333333321</v>
      </c>
      <c r="W24" s="3">
        <f>'Year Over Year'!X24</f>
        <v>14</v>
      </c>
      <c r="X24" s="16">
        <f t="shared" si="8"/>
        <v>16.666666666666668</v>
      </c>
      <c r="Y24" s="16">
        <f>-(X24-W24)</f>
        <v>-2.6666666666666679</v>
      </c>
      <c r="AA24" s="3">
        <f>'Year Over Year'!AB24</f>
        <v>18</v>
      </c>
      <c r="AB24" s="16">
        <f t="shared" si="10"/>
        <v>16.666666666666668</v>
      </c>
      <c r="AC24" s="16">
        <f>-(AB24-AA24)</f>
        <v>1.3333333333333321</v>
      </c>
      <c r="AE24" s="3">
        <f t="shared" si="12"/>
        <v>54</v>
      </c>
      <c r="AF24" s="16">
        <f>T24+X24+AB24+0.25</f>
        <v>50.25</v>
      </c>
      <c r="AG24" s="16">
        <f>-(AF24-AE24)</f>
        <v>3.75</v>
      </c>
      <c r="AI24" s="3">
        <f>'Year Over Year'!AJ24</f>
        <v>0</v>
      </c>
      <c r="AJ24" s="16">
        <f t="shared" si="14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6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8"/>
        <v>16.666666666666668</v>
      </c>
      <c r="AS24" s="16">
        <f>-(AR24-AQ24)</f>
        <v>-16.666666666666668</v>
      </c>
      <c r="AU24" s="3">
        <f t="shared" si="20"/>
        <v>0</v>
      </c>
      <c r="AV24" s="3">
        <f t="shared" si="21"/>
        <v>50</v>
      </c>
      <c r="AW24" s="16">
        <f>-(AV24-AU24)</f>
        <v>-50</v>
      </c>
      <c r="AY24" s="3">
        <f>'Year Over Year'!AZ24</f>
        <v>0</v>
      </c>
      <c r="AZ24" s="16">
        <f t="shared" si="23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5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7"/>
        <v>16.666666666666668</v>
      </c>
      <c r="BI24" s="16">
        <f>-(BH24-BG24)</f>
        <v>-16.666666666666668</v>
      </c>
      <c r="BK24" s="3">
        <f t="shared" si="29"/>
        <v>0</v>
      </c>
      <c r="BL24" s="3">
        <f t="shared" si="30"/>
        <v>50</v>
      </c>
      <c r="BM24" s="16">
        <f>-(BL24-BK24)</f>
        <v>-50</v>
      </c>
      <c r="BO24" s="16">
        <f t="shared" si="34"/>
        <v>113</v>
      </c>
      <c r="BP24" s="16">
        <f t="shared" si="34"/>
        <v>100.00000000000001</v>
      </c>
      <c r="BQ24" s="16">
        <f t="shared" si="32"/>
        <v>12.999999999999986</v>
      </c>
      <c r="BR24" s="17">
        <f t="shared" si="33"/>
        <v>0.12999999999999984</v>
      </c>
      <c r="BT24" s="16">
        <v>200</v>
      </c>
    </row>
    <row r="25" spans="1:72" x14ac:dyDescent="0.25">
      <c r="A25" s="11" t="s">
        <v>16</v>
      </c>
      <c r="C25" s="3">
        <f>'Year Over Year'!D25</f>
        <v>13</v>
      </c>
      <c r="D25" s="16">
        <v>12</v>
      </c>
      <c r="E25" s="16">
        <f>-(D25-C25)</f>
        <v>1</v>
      </c>
      <c r="F25" s="17"/>
      <c r="G25" s="3">
        <f>'Year Over Year'!H25</f>
        <v>12</v>
      </c>
      <c r="H25" s="16">
        <v>13</v>
      </c>
      <c r="I25" s="16">
        <f>-(H25-G25)</f>
        <v>-1</v>
      </c>
      <c r="K25" s="3">
        <f>'Year Over Year'!L25</f>
        <v>95</v>
      </c>
      <c r="L25" s="16">
        <v>13</v>
      </c>
      <c r="M25" s="16">
        <f>-(L25-K25)</f>
        <v>82</v>
      </c>
      <c r="O25" s="3">
        <f t="shared" si="3"/>
        <v>120</v>
      </c>
      <c r="P25" s="3">
        <f t="shared" si="4"/>
        <v>38</v>
      </c>
      <c r="Q25" s="16">
        <f>-(P25-O25)</f>
        <v>82</v>
      </c>
      <c r="S25" s="3">
        <f>'Year Over Year'!T25</f>
        <v>2</v>
      </c>
      <c r="T25" s="16">
        <f t="shared" si="6"/>
        <v>12.5</v>
      </c>
      <c r="U25" s="16">
        <f>-(T25-S25)</f>
        <v>-10.5</v>
      </c>
      <c r="W25" s="3">
        <f>'Year Over Year'!X25</f>
        <v>6</v>
      </c>
      <c r="X25" s="16">
        <f t="shared" si="8"/>
        <v>12.5</v>
      </c>
      <c r="Y25" s="16">
        <f>-(X25-W25)</f>
        <v>-6.5</v>
      </c>
      <c r="AA25" s="3">
        <f>'Year Over Year'!AB25</f>
        <v>6</v>
      </c>
      <c r="AB25" s="16">
        <f t="shared" si="10"/>
        <v>12.5</v>
      </c>
      <c r="AC25" s="16">
        <f>-(AB25-AA25)</f>
        <v>-6.5</v>
      </c>
      <c r="AE25" s="3">
        <f t="shared" si="12"/>
        <v>14</v>
      </c>
      <c r="AF25" s="16">
        <f>T25+X25+AB25+0.25</f>
        <v>37.75</v>
      </c>
      <c r="AG25" s="16">
        <f>-(AF25-AE25)</f>
        <v>-23.75</v>
      </c>
      <c r="AI25" s="3">
        <f>'Year Over Year'!AJ25</f>
        <v>0</v>
      </c>
      <c r="AJ25" s="16">
        <f t="shared" si="14"/>
        <v>12.5</v>
      </c>
      <c r="AK25" s="16">
        <f>-(AJ25-AI25)</f>
        <v>-12.5</v>
      </c>
      <c r="AM25" s="3">
        <f>'Year Over Year'!AN25</f>
        <v>0</v>
      </c>
      <c r="AN25" s="16">
        <f t="shared" si="16"/>
        <v>12.5</v>
      </c>
      <c r="AO25" s="16">
        <f>-(AN25-AM25)</f>
        <v>-12.5</v>
      </c>
      <c r="AQ25" s="3">
        <f>'Year Over Year'!AR25</f>
        <v>0</v>
      </c>
      <c r="AR25" s="16">
        <f t="shared" si="18"/>
        <v>12.5</v>
      </c>
      <c r="AS25" s="16">
        <f>-(AR25-AQ25)</f>
        <v>-12.5</v>
      </c>
      <c r="AU25" s="3">
        <f t="shared" si="20"/>
        <v>0</v>
      </c>
      <c r="AV25" s="3">
        <f t="shared" si="21"/>
        <v>37.5</v>
      </c>
      <c r="AW25" s="16">
        <f>-(AV25-AU25)</f>
        <v>-37.5</v>
      </c>
      <c r="AY25" s="3">
        <f>'Year Over Year'!AZ25</f>
        <v>0</v>
      </c>
      <c r="AZ25" s="16">
        <f t="shared" si="23"/>
        <v>12.5</v>
      </c>
      <c r="BA25" s="16">
        <f>-(AZ25-AY25)</f>
        <v>-12.5</v>
      </c>
      <c r="BC25" s="3">
        <f>'Year Over Year'!BD25</f>
        <v>0</v>
      </c>
      <c r="BD25" s="16">
        <f t="shared" si="25"/>
        <v>12.5</v>
      </c>
      <c r="BE25" s="16">
        <f>-(BD25-BC25)</f>
        <v>-12.5</v>
      </c>
      <c r="BG25" s="3">
        <f>'Year Over Year'!BH25</f>
        <v>0</v>
      </c>
      <c r="BH25" s="16">
        <f t="shared" si="27"/>
        <v>12.5</v>
      </c>
      <c r="BI25" s="16">
        <f>-(BH25-BG25)</f>
        <v>-12.5</v>
      </c>
      <c r="BK25" s="3">
        <f t="shared" si="29"/>
        <v>0</v>
      </c>
      <c r="BL25" s="3">
        <f t="shared" si="30"/>
        <v>37.5</v>
      </c>
      <c r="BM25" s="16">
        <f>-(BL25-BK25)</f>
        <v>-37.5</v>
      </c>
      <c r="BO25" s="16">
        <f t="shared" si="34"/>
        <v>134</v>
      </c>
      <c r="BP25" s="16">
        <f t="shared" si="34"/>
        <v>75.5</v>
      </c>
      <c r="BQ25" s="16">
        <f t="shared" si="32"/>
        <v>58.5</v>
      </c>
      <c r="BR25" s="17">
        <f t="shared" si="33"/>
        <v>0.77483443708609268</v>
      </c>
      <c r="BT25" s="16">
        <v>150</v>
      </c>
    </row>
    <row r="26" spans="1:72" x14ac:dyDescent="0.25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5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/>
      <c r="P27" s="3"/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/>
      <c r="AF27" s="16"/>
      <c r="AG27" s="16"/>
      <c r="AI27" s="3">
        <f>'Year Over Year'!AJ27</f>
        <v>0</v>
      </c>
      <c r="AJ27" s="16">
        <f t="shared" si="14"/>
        <v>0</v>
      </c>
      <c r="AK27" s="16"/>
      <c r="AM27" s="3">
        <f>'Year Over Year'!AN27</f>
        <v>0</v>
      </c>
      <c r="AN27" s="16">
        <f t="shared" si="16"/>
        <v>0</v>
      </c>
      <c r="AO27" s="16"/>
      <c r="AQ27" s="3">
        <f>'Year Over Year'!AR27</f>
        <v>0</v>
      </c>
      <c r="AR27" s="16">
        <f t="shared" si="18"/>
        <v>0</v>
      </c>
      <c r="AS27" s="16"/>
      <c r="AU27" s="3">
        <f t="shared" si="20"/>
        <v>0</v>
      </c>
      <c r="AV27" s="3">
        <f t="shared" si="21"/>
        <v>0</v>
      </c>
      <c r="AW27" s="16"/>
      <c r="AY27" s="3">
        <f>'Year Over Year'!AZ27</f>
        <v>0</v>
      </c>
      <c r="AZ27" s="16">
        <f t="shared" si="23"/>
        <v>0</v>
      </c>
      <c r="BA27" s="16"/>
      <c r="BC27" s="3">
        <f>'Year Over Year'!BD27</f>
        <v>0</v>
      </c>
      <c r="BD27" s="16">
        <f t="shared" si="25"/>
        <v>0</v>
      </c>
      <c r="BE27" s="16"/>
      <c r="BG27" s="3">
        <f>'Year Over Year'!BH27</f>
        <v>0</v>
      </c>
      <c r="BH27" s="16">
        <f t="shared" si="27"/>
        <v>0</v>
      </c>
      <c r="BI27" s="16"/>
      <c r="BK27" s="3">
        <f t="shared" si="29"/>
        <v>0</v>
      </c>
      <c r="BL27" s="3">
        <f t="shared" si="30"/>
        <v>0</v>
      </c>
      <c r="BM27" s="16"/>
      <c r="BO27" s="16"/>
      <c r="BP27" s="16"/>
      <c r="BQ27" s="16"/>
      <c r="BR27" s="17"/>
      <c r="BT27" s="16"/>
    </row>
    <row r="28" spans="1:72" hidden="1" x14ac:dyDescent="0.25">
      <c r="A28" t="s">
        <v>93</v>
      </c>
      <c r="C28" s="3">
        <f>'Year Over Year'!D28</f>
        <v>0</v>
      </c>
      <c r="D28" s="16">
        <v>0</v>
      </c>
      <c r="E28" s="16">
        <f t="shared" ref="E28:E37" si="35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7" si="36">-(H28-G28)</f>
        <v>0</v>
      </c>
      <c r="K28" s="3">
        <f>'Year Over Year'!L28</f>
        <v>0</v>
      </c>
      <c r="L28" s="16">
        <f>$BT28/12</f>
        <v>0</v>
      </c>
      <c r="M28" s="16">
        <f t="shared" ref="M28:M37" si="37">-(L28-K28)</f>
        <v>0</v>
      </c>
      <c r="O28" s="3">
        <f t="shared" si="3"/>
        <v>0</v>
      </c>
      <c r="P28" s="3">
        <f t="shared" si="4"/>
        <v>0</v>
      </c>
      <c r="Q28" s="16">
        <f t="shared" ref="Q28:Q37" si="38">-(P28-O28)</f>
        <v>0</v>
      </c>
      <c r="S28" s="3">
        <f>'Year Over Year'!T28</f>
        <v>0</v>
      </c>
      <c r="T28" s="16">
        <f t="shared" si="6"/>
        <v>0</v>
      </c>
      <c r="U28" s="16">
        <f t="shared" ref="U28:U37" si="39">-(T28-S28)</f>
        <v>0</v>
      </c>
      <c r="W28" s="3">
        <f>'Year Over Year'!X28</f>
        <v>0</v>
      </c>
      <c r="X28" s="16">
        <f t="shared" si="8"/>
        <v>0</v>
      </c>
      <c r="Y28" s="16">
        <f t="shared" ref="Y28:Y37" si="40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7" si="41">-(AB28-AA28)</f>
        <v>0</v>
      </c>
      <c r="AE28" s="3">
        <f t="shared" si="12"/>
        <v>0</v>
      </c>
      <c r="AF28" s="16">
        <f>T28+X28+AB28</f>
        <v>0</v>
      </c>
      <c r="AG28" s="16">
        <f t="shared" ref="AG28:AG37" si="42">-(AF28-AE28)</f>
        <v>0</v>
      </c>
      <c r="AI28" s="3">
        <f>'Year Over Year'!AJ28</f>
        <v>0</v>
      </c>
      <c r="AJ28" s="16">
        <f t="shared" si="14"/>
        <v>0</v>
      </c>
      <c r="AK28" s="16">
        <f t="shared" ref="AK28:AK37" si="43">-(AJ28-AI28)</f>
        <v>0</v>
      </c>
      <c r="AM28" s="3">
        <f>'Year Over Year'!AN28</f>
        <v>0</v>
      </c>
      <c r="AN28" s="16">
        <f t="shared" si="16"/>
        <v>0</v>
      </c>
      <c r="AO28" s="16">
        <f t="shared" ref="AO28:AO37" si="44">-(AN28-AM28)</f>
        <v>0</v>
      </c>
      <c r="AQ28" s="3">
        <f>'Year Over Year'!AR28</f>
        <v>0</v>
      </c>
      <c r="AR28" s="16">
        <f t="shared" si="18"/>
        <v>0</v>
      </c>
      <c r="AS28" s="16">
        <f t="shared" ref="AS28:AS37" si="45">-(AR28-AQ28)</f>
        <v>0</v>
      </c>
      <c r="AU28" s="3">
        <f t="shared" si="20"/>
        <v>0</v>
      </c>
      <c r="AV28" s="3">
        <f t="shared" si="21"/>
        <v>0</v>
      </c>
      <c r="AW28" s="16">
        <f t="shared" ref="AW28:AW37" si="46">-(AV28-AU28)</f>
        <v>0</v>
      </c>
      <c r="AY28" s="3">
        <f>'Year Over Year'!AZ28</f>
        <v>0</v>
      </c>
      <c r="AZ28" s="16">
        <f t="shared" si="23"/>
        <v>0</v>
      </c>
      <c r="BA28" s="16">
        <f t="shared" ref="BA28:BA37" si="47">-(AZ28-AY28)</f>
        <v>0</v>
      </c>
      <c r="BC28" s="3">
        <f>'Year Over Year'!BD28</f>
        <v>0</v>
      </c>
      <c r="BD28" s="16">
        <f t="shared" si="25"/>
        <v>0</v>
      </c>
      <c r="BE28" s="16">
        <f t="shared" ref="BE28:BE37" si="48">-(BD28-BC28)</f>
        <v>0</v>
      </c>
      <c r="BG28" s="3">
        <f>'Year Over Year'!BH28</f>
        <v>0</v>
      </c>
      <c r="BH28" s="16">
        <f t="shared" si="27"/>
        <v>0</v>
      </c>
      <c r="BI28" s="16">
        <f t="shared" ref="BI28:BI37" si="49">-(BH28-BG28)</f>
        <v>0</v>
      </c>
      <c r="BK28" s="3">
        <f t="shared" si="29"/>
        <v>0</v>
      </c>
      <c r="BL28" s="3">
        <f t="shared" si="30"/>
        <v>0</v>
      </c>
      <c r="BM28" s="16">
        <f t="shared" ref="BM28:BM37" si="50">-(BL28-BK28)</f>
        <v>0</v>
      </c>
      <c r="BO28" s="16">
        <f>C28+G28+K28+S28+W28</f>
        <v>0</v>
      </c>
      <c r="BP28" s="16">
        <f>D28+H28+L28+T28+X28</f>
        <v>0</v>
      </c>
      <c r="BQ28" s="16">
        <f>-(BP28-BO28)</f>
        <v>0</v>
      </c>
      <c r="BR28" s="17"/>
      <c r="BT28" s="16">
        <v>0</v>
      </c>
    </row>
    <row r="29" spans="1:72" hidden="1" x14ac:dyDescent="0.25">
      <c r="A29" t="s">
        <v>17</v>
      </c>
      <c r="C29" s="3">
        <f>'Year Over Year'!D29</f>
        <v>0</v>
      </c>
      <c r="D29" s="16">
        <v>0</v>
      </c>
      <c r="E29" s="16">
        <f t="shared" si="35"/>
        <v>0</v>
      </c>
      <c r="F29" s="17"/>
      <c r="G29" s="3">
        <f>'Year Over Year'!H29</f>
        <v>0</v>
      </c>
      <c r="H29" s="16">
        <v>0</v>
      </c>
      <c r="I29" s="16">
        <f t="shared" si="36"/>
        <v>0</v>
      </c>
      <c r="K29" s="3">
        <f>'Year Over Year'!L29</f>
        <v>0</v>
      </c>
      <c r="L29" s="16">
        <v>0</v>
      </c>
      <c r="M29" s="16">
        <f t="shared" si="37"/>
        <v>0</v>
      </c>
      <c r="O29" s="3">
        <f t="shared" si="3"/>
        <v>0</v>
      </c>
      <c r="P29" s="3">
        <f t="shared" si="4"/>
        <v>0</v>
      </c>
      <c r="Q29" s="16">
        <f t="shared" si="38"/>
        <v>0</v>
      </c>
      <c r="S29" s="3">
        <f>'Year Over Year'!T29</f>
        <v>0</v>
      </c>
      <c r="T29" s="16">
        <f t="shared" si="6"/>
        <v>0</v>
      </c>
      <c r="U29" s="16">
        <f t="shared" si="39"/>
        <v>0</v>
      </c>
      <c r="W29" s="3">
        <f>'Year Over Year'!X29</f>
        <v>0</v>
      </c>
      <c r="X29" s="16">
        <f t="shared" si="8"/>
        <v>0</v>
      </c>
      <c r="Y29" s="16">
        <f t="shared" si="40"/>
        <v>0</v>
      </c>
      <c r="AA29" s="3">
        <f>'Year Over Year'!AB29</f>
        <v>0</v>
      </c>
      <c r="AB29" s="16">
        <f t="shared" si="10"/>
        <v>0</v>
      </c>
      <c r="AC29" s="16">
        <f t="shared" si="41"/>
        <v>0</v>
      </c>
      <c r="AE29" s="3">
        <f t="shared" si="12"/>
        <v>0</v>
      </c>
      <c r="AF29" s="16">
        <f>T29+X29+AB29</f>
        <v>0</v>
      </c>
      <c r="AG29" s="16">
        <f t="shared" si="42"/>
        <v>0</v>
      </c>
      <c r="AI29" s="3">
        <f>'Year Over Year'!AJ29</f>
        <v>0</v>
      </c>
      <c r="AJ29" s="16">
        <f t="shared" si="14"/>
        <v>0</v>
      </c>
      <c r="AK29" s="16">
        <f t="shared" si="43"/>
        <v>0</v>
      </c>
      <c r="AM29" s="3">
        <f>'Year Over Year'!AN29</f>
        <v>0</v>
      </c>
      <c r="AN29" s="16">
        <f t="shared" si="16"/>
        <v>0</v>
      </c>
      <c r="AO29" s="16">
        <f t="shared" si="44"/>
        <v>0</v>
      </c>
      <c r="AQ29" s="3">
        <f>'Year Over Year'!AR29</f>
        <v>0</v>
      </c>
      <c r="AR29" s="16">
        <f t="shared" si="18"/>
        <v>0</v>
      </c>
      <c r="AS29" s="16">
        <f t="shared" si="45"/>
        <v>0</v>
      </c>
      <c r="AU29" s="3">
        <f t="shared" si="20"/>
        <v>0</v>
      </c>
      <c r="AV29" s="3">
        <f t="shared" si="21"/>
        <v>0</v>
      </c>
      <c r="AW29" s="16">
        <f t="shared" si="46"/>
        <v>0</v>
      </c>
      <c r="AY29" s="3">
        <f>'Year Over Year'!AZ29</f>
        <v>0</v>
      </c>
      <c r="AZ29" s="16">
        <f t="shared" si="23"/>
        <v>0</v>
      </c>
      <c r="BA29" s="16">
        <f t="shared" si="47"/>
        <v>0</v>
      </c>
      <c r="BC29" s="3">
        <f>'Year Over Year'!BD29</f>
        <v>0</v>
      </c>
      <c r="BD29" s="16">
        <f t="shared" si="25"/>
        <v>0</v>
      </c>
      <c r="BE29" s="16">
        <f t="shared" si="48"/>
        <v>0</v>
      </c>
      <c r="BG29" s="3">
        <f>'Year Over Year'!BH29</f>
        <v>0</v>
      </c>
      <c r="BH29" s="16">
        <f t="shared" si="27"/>
        <v>0</v>
      </c>
      <c r="BI29" s="16">
        <f t="shared" si="49"/>
        <v>0</v>
      </c>
      <c r="BK29" s="3">
        <f t="shared" si="29"/>
        <v>0</v>
      </c>
      <c r="BL29" s="3">
        <f t="shared" si="30"/>
        <v>0</v>
      </c>
      <c r="BM29" s="16">
        <f t="shared" si="50"/>
        <v>0</v>
      </c>
      <c r="BO29" s="16">
        <f>C29+G29+K29+S29+W29</f>
        <v>0</v>
      </c>
      <c r="BP29" s="16">
        <f>D29+H29+L29+T29+X29</f>
        <v>0</v>
      </c>
      <c r="BQ29" s="16">
        <f t="shared" si="32"/>
        <v>0</v>
      </c>
      <c r="BR29" s="17" t="e">
        <f t="shared" si="33"/>
        <v>#DIV/0!</v>
      </c>
      <c r="BT29" s="16">
        <v>0</v>
      </c>
    </row>
    <row r="30" spans="1:72" x14ac:dyDescent="0.25">
      <c r="A30" t="s">
        <v>94</v>
      </c>
      <c r="C30" s="3">
        <f>'Year Over Year'!D30</f>
        <v>1</v>
      </c>
      <c r="D30" s="16">
        <v>41</v>
      </c>
      <c r="E30" s="16">
        <f t="shared" si="35"/>
        <v>-40</v>
      </c>
      <c r="F30" s="17"/>
      <c r="G30" s="3">
        <f>'Year Over Year'!H30</f>
        <v>9</v>
      </c>
      <c r="H30" s="16">
        <v>42</v>
      </c>
      <c r="I30" s="16">
        <f t="shared" si="36"/>
        <v>-33</v>
      </c>
      <c r="K30" s="3">
        <f>'Year Over Year'!L30</f>
        <v>6</v>
      </c>
      <c r="L30" s="16">
        <v>42</v>
      </c>
      <c r="M30" s="16">
        <f t="shared" si="37"/>
        <v>-36</v>
      </c>
      <c r="O30" s="3">
        <f t="shared" si="3"/>
        <v>16</v>
      </c>
      <c r="P30" s="3">
        <f t="shared" si="4"/>
        <v>125</v>
      </c>
      <c r="Q30" s="16">
        <f t="shared" si="38"/>
        <v>-109</v>
      </c>
      <c r="S30" s="3">
        <f>'Year Over Year'!T30</f>
        <v>6</v>
      </c>
      <c r="T30" s="16">
        <f>$BT30/12+0.8</f>
        <v>42.466666666666661</v>
      </c>
      <c r="U30" s="16">
        <f t="shared" si="39"/>
        <v>-36.466666666666661</v>
      </c>
      <c r="W30" s="3">
        <f>'Year Over Year'!X30</f>
        <v>19</v>
      </c>
      <c r="X30" s="16">
        <f>$BT30/12+0.8</f>
        <v>42.466666666666661</v>
      </c>
      <c r="Y30" s="16">
        <f t="shared" si="40"/>
        <v>-23.466666666666661</v>
      </c>
      <c r="AA30" s="3">
        <f>'Year Over Year'!AB30</f>
        <v>11</v>
      </c>
      <c r="AB30" s="16">
        <f t="shared" si="10"/>
        <v>41.666666666666664</v>
      </c>
      <c r="AC30" s="16">
        <f t="shared" si="41"/>
        <v>-30.666666666666664</v>
      </c>
      <c r="AE30" s="3">
        <f t="shared" si="12"/>
        <v>36</v>
      </c>
      <c r="AF30" s="16">
        <f>T30+X30+AB30+0.25+0.5</f>
        <v>127.35</v>
      </c>
      <c r="AG30" s="16">
        <f t="shared" si="42"/>
        <v>-91.35</v>
      </c>
      <c r="AI30" s="3">
        <f>'Year Over Year'!AJ30</f>
        <v>0</v>
      </c>
      <c r="AJ30" s="16">
        <f t="shared" si="14"/>
        <v>41.666666666666664</v>
      </c>
      <c r="AK30" s="16">
        <f t="shared" si="43"/>
        <v>-41.666666666666664</v>
      </c>
      <c r="AM30" s="3">
        <f>'Year Over Year'!AN30</f>
        <v>0</v>
      </c>
      <c r="AN30" s="16">
        <f t="shared" si="16"/>
        <v>41.666666666666664</v>
      </c>
      <c r="AO30" s="16">
        <f t="shared" si="44"/>
        <v>-41.666666666666664</v>
      </c>
      <c r="AQ30" s="3">
        <f>'Year Over Year'!AR30</f>
        <v>0</v>
      </c>
      <c r="AR30" s="16">
        <f t="shared" si="18"/>
        <v>41.666666666666664</v>
      </c>
      <c r="AS30" s="16">
        <f t="shared" si="45"/>
        <v>-41.666666666666664</v>
      </c>
      <c r="AU30" s="3">
        <f t="shared" si="20"/>
        <v>0</v>
      </c>
      <c r="AV30" s="3">
        <f t="shared" si="21"/>
        <v>125</v>
      </c>
      <c r="AW30" s="16">
        <f t="shared" si="46"/>
        <v>-125</v>
      </c>
      <c r="AY30" s="3">
        <f>'Year Over Year'!AZ30</f>
        <v>0</v>
      </c>
      <c r="AZ30" s="16">
        <f t="shared" si="23"/>
        <v>41.666666666666664</v>
      </c>
      <c r="BA30" s="16">
        <f t="shared" si="47"/>
        <v>-41.666666666666664</v>
      </c>
      <c r="BC30" s="3">
        <f>'Year Over Year'!BD30</f>
        <v>0</v>
      </c>
      <c r="BD30" s="16">
        <f t="shared" si="25"/>
        <v>41.666666666666664</v>
      </c>
      <c r="BE30" s="16">
        <f t="shared" si="48"/>
        <v>-41.666666666666664</v>
      </c>
      <c r="BG30" s="3">
        <f>'Year Over Year'!BH30</f>
        <v>0</v>
      </c>
      <c r="BH30" s="16">
        <f t="shared" si="27"/>
        <v>41.666666666666664</v>
      </c>
      <c r="BI30" s="16">
        <f t="shared" si="49"/>
        <v>-41.666666666666664</v>
      </c>
      <c r="BK30" s="3">
        <f t="shared" si="29"/>
        <v>0</v>
      </c>
      <c r="BL30" s="3">
        <f t="shared" si="30"/>
        <v>125</v>
      </c>
      <c r="BM30" s="16">
        <f t="shared" si="50"/>
        <v>-125</v>
      </c>
      <c r="BO30" s="16">
        <f>C30+G30+K30+S30+W30+AA30</f>
        <v>52</v>
      </c>
      <c r="BP30" s="16">
        <f>D30+H30+L30+T30+X30+AB30</f>
        <v>251.6</v>
      </c>
      <c r="BQ30" s="16">
        <f t="shared" si="32"/>
        <v>-199.6</v>
      </c>
      <c r="BR30" s="17">
        <v>0</v>
      </c>
      <c r="BT30" s="16">
        <v>500</v>
      </c>
    </row>
    <row r="31" spans="1:72" x14ac:dyDescent="0.25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5">
      <c r="A32" t="s">
        <v>95</v>
      </c>
      <c r="C32" s="3">
        <f>'Year Over Year'!D32</f>
        <v>24</v>
      </c>
      <c r="D32" s="16">
        <f>BT32/12</f>
        <v>0</v>
      </c>
      <c r="E32" s="16">
        <f t="shared" si="35"/>
        <v>24</v>
      </c>
      <c r="F32" s="17"/>
      <c r="G32" s="3">
        <f>'Year Over Year'!H32</f>
        <v>15</v>
      </c>
      <c r="H32" s="16">
        <f>$BT32/12</f>
        <v>0</v>
      </c>
      <c r="I32" s="16">
        <f t="shared" si="36"/>
        <v>15</v>
      </c>
      <c r="K32" s="3">
        <f>'Year Over Year'!L32</f>
        <v>72</v>
      </c>
      <c r="L32" s="16">
        <f>$BT32/12</f>
        <v>0</v>
      </c>
      <c r="M32" s="16">
        <f t="shared" si="37"/>
        <v>72</v>
      </c>
      <c r="O32" s="3">
        <f t="shared" si="3"/>
        <v>111</v>
      </c>
      <c r="P32" s="3">
        <f t="shared" si="4"/>
        <v>0</v>
      </c>
      <c r="Q32" s="16">
        <f t="shared" si="38"/>
        <v>111</v>
      </c>
      <c r="S32" s="3">
        <f>'Year Over Year'!T32</f>
        <v>26</v>
      </c>
      <c r="T32" s="16">
        <f t="shared" si="6"/>
        <v>0</v>
      </c>
      <c r="U32" s="16">
        <f t="shared" si="39"/>
        <v>26</v>
      </c>
      <c r="W32" s="3">
        <f>'Year Over Year'!X32</f>
        <v>7</v>
      </c>
      <c r="X32" s="16">
        <f t="shared" si="8"/>
        <v>0</v>
      </c>
      <c r="Y32" s="16">
        <f t="shared" si="40"/>
        <v>7</v>
      </c>
      <c r="AA32" s="3">
        <f>'Year Over Year'!AB32</f>
        <v>2</v>
      </c>
      <c r="AB32" s="16">
        <f t="shared" si="10"/>
        <v>0</v>
      </c>
      <c r="AC32" s="16">
        <f t="shared" si="41"/>
        <v>2</v>
      </c>
      <c r="AE32" s="3">
        <f t="shared" si="12"/>
        <v>35</v>
      </c>
      <c r="AF32" s="16">
        <f>T32+X32+AB32</f>
        <v>0</v>
      </c>
      <c r="AG32" s="16">
        <f t="shared" si="42"/>
        <v>35</v>
      </c>
      <c r="AI32" s="3">
        <f>'Year Over Year'!AJ32</f>
        <v>0</v>
      </c>
      <c r="AJ32" s="16">
        <f t="shared" si="14"/>
        <v>0</v>
      </c>
      <c r="AK32" s="16">
        <f t="shared" si="43"/>
        <v>0</v>
      </c>
      <c r="AM32" s="3">
        <f>'Year Over Year'!AN32</f>
        <v>0</v>
      </c>
      <c r="AN32" s="16">
        <f t="shared" si="16"/>
        <v>0</v>
      </c>
      <c r="AO32" s="16">
        <f t="shared" si="44"/>
        <v>0</v>
      </c>
      <c r="AQ32" s="3">
        <f>'Year Over Year'!AR32</f>
        <v>0</v>
      </c>
      <c r="AR32" s="16">
        <f t="shared" si="18"/>
        <v>0</v>
      </c>
      <c r="AS32" s="16">
        <f t="shared" si="45"/>
        <v>0</v>
      </c>
      <c r="AU32" s="3">
        <f t="shared" si="20"/>
        <v>0</v>
      </c>
      <c r="AV32" s="3">
        <f t="shared" si="21"/>
        <v>0</v>
      </c>
      <c r="AW32" s="16">
        <f t="shared" si="46"/>
        <v>0</v>
      </c>
      <c r="AY32" s="3">
        <f>'Year Over Year'!AZ32</f>
        <v>0</v>
      </c>
      <c r="AZ32" s="16">
        <f t="shared" si="23"/>
        <v>0</v>
      </c>
      <c r="BA32" s="16">
        <f t="shared" si="47"/>
        <v>0</v>
      </c>
      <c r="BC32" s="3">
        <f>'Year Over Year'!BD32</f>
        <v>0</v>
      </c>
      <c r="BD32" s="16">
        <f t="shared" si="25"/>
        <v>0</v>
      </c>
      <c r="BE32" s="16">
        <f t="shared" si="48"/>
        <v>0</v>
      </c>
      <c r="BG32" s="3">
        <f>'Year Over Year'!BH32</f>
        <v>0</v>
      </c>
      <c r="BH32" s="16">
        <f t="shared" si="27"/>
        <v>0</v>
      </c>
      <c r="BI32" s="16">
        <f t="shared" si="49"/>
        <v>0</v>
      </c>
      <c r="BK32" s="3">
        <f t="shared" si="29"/>
        <v>0</v>
      </c>
      <c r="BL32" s="3">
        <f t="shared" si="30"/>
        <v>0</v>
      </c>
      <c r="BM32" s="16">
        <f t="shared" si="50"/>
        <v>0</v>
      </c>
      <c r="BO32" s="16">
        <f t="shared" ref="BO32:BO37" si="51">C32+G32+K32+S32+W32+AA32</f>
        <v>146</v>
      </c>
      <c r="BP32" s="16">
        <f t="shared" ref="BP32:BP37" si="52">D32+H32+L32+T32+X32+AB32</f>
        <v>0</v>
      </c>
      <c r="BQ32" s="16">
        <f t="shared" si="32"/>
        <v>146</v>
      </c>
      <c r="BR32" s="17">
        <v>0</v>
      </c>
      <c r="BT32" s="16">
        <v>0</v>
      </c>
    </row>
    <row r="33" spans="1:72" x14ac:dyDescent="0.25">
      <c r="A33" t="s">
        <v>5</v>
      </c>
      <c r="C33" s="3">
        <f>'Year Over Year'!D33</f>
        <v>1</v>
      </c>
      <c r="D33" s="16">
        <f>BT33/12</f>
        <v>0</v>
      </c>
      <c r="E33" s="16">
        <f t="shared" si="35"/>
        <v>1</v>
      </c>
      <c r="F33" s="17"/>
      <c r="G33" s="3">
        <f>'Year Over Year'!H33</f>
        <v>1</v>
      </c>
      <c r="H33" s="16">
        <f>$BT33/12</f>
        <v>0</v>
      </c>
      <c r="I33" s="16">
        <f t="shared" si="36"/>
        <v>1</v>
      </c>
      <c r="K33" s="3">
        <f>'Year Over Year'!L33</f>
        <v>0</v>
      </c>
      <c r="L33" s="16">
        <f>$BT33/12</f>
        <v>0</v>
      </c>
      <c r="M33" s="16">
        <f t="shared" si="37"/>
        <v>0</v>
      </c>
      <c r="O33" s="3">
        <f t="shared" si="3"/>
        <v>2</v>
      </c>
      <c r="P33" s="3">
        <f t="shared" si="4"/>
        <v>0</v>
      </c>
      <c r="Q33" s="16">
        <f t="shared" si="38"/>
        <v>2</v>
      </c>
      <c r="S33" s="3">
        <f>'Year Over Year'!T33</f>
        <v>0</v>
      </c>
      <c r="T33" s="16">
        <f t="shared" si="6"/>
        <v>0</v>
      </c>
      <c r="U33" s="16">
        <f t="shared" si="39"/>
        <v>0</v>
      </c>
      <c r="W33" s="3">
        <f>'Year Over Year'!X33</f>
        <v>0</v>
      </c>
      <c r="X33" s="16">
        <f t="shared" si="8"/>
        <v>0</v>
      </c>
      <c r="Y33" s="16">
        <f t="shared" si="40"/>
        <v>0</v>
      </c>
      <c r="AA33" s="3">
        <f>'Year Over Year'!AB33</f>
        <v>0</v>
      </c>
      <c r="AB33" s="16">
        <f t="shared" si="10"/>
        <v>0</v>
      </c>
      <c r="AC33" s="16">
        <f t="shared" si="41"/>
        <v>0</v>
      </c>
      <c r="AE33" s="3">
        <f t="shared" si="12"/>
        <v>0</v>
      </c>
      <c r="AF33" s="16">
        <f>T33+X33+AB33</f>
        <v>0</v>
      </c>
      <c r="AG33" s="16">
        <f t="shared" si="42"/>
        <v>0</v>
      </c>
      <c r="AI33" s="3">
        <f>'Year Over Year'!AJ33</f>
        <v>0</v>
      </c>
      <c r="AJ33" s="16">
        <f t="shared" si="14"/>
        <v>0</v>
      </c>
      <c r="AK33" s="16">
        <f t="shared" si="43"/>
        <v>0</v>
      </c>
      <c r="AM33" s="3">
        <f>'Year Over Year'!AN33</f>
        <v>0</v>
      </c>
      <c r="AN33" s="16">
        <f t="shared" si="16"/>
        <v>0</v>
      </c>
      <c r="AO33" s="16">
        <f t="shared" si="44"/>
        <v>0</v>
      </c>
      <c r="AQ33" s="3">
        <f>'Year Over Year'!AR33</f>
        <v>0</v>
      </c>
      <c r="AR33" s="16">
        <f t="shared" si="18"/>
        <v>0</v>
      </c>
      <c r="AS33" s="16">
        <f t="shared" si="45"/>
        <v>0</v>
      </c>
      <c r="AU33" s="3">
        <f t="shared" si="20"/>
        <v>0</v>
      </c>
      <c r="AV33" s="3">
        <f t="shared" si="21"/>
        <v>0</v>
      </c>
      <c r="AW33" s="16">
        <f t="shared" si="46"/>
        <v>0</v>
      </c>
      <c r="AY33" s="3">
        <f>'Year Over Year'!AZ33</f>
        <v>0</v>
      </c>
      <c r="AZ33" s="16">
        <f t="shared" si="23"/>
        <v>0</v>
      </c>
      <c r="BA33" s="16">
        <f t="shared" si="47"/>
        <v>0</v>
      </c>
      <c r="BC33" s="3">
        <f>'Year Over Year'!BD33</f>
        <v>0</v>
      </c>
      <c r="BD33" s="16">
        <f t="shared" si="25"/>
        <v>0</v>
      </c>
      <c r="BE33" s="16">
        <f t="shared" si="48"/>
        <v>0</v>
      </c>
      <c r="BG33" s="3">
        <f>'Year Over Year'!BH33</f>
        <v>0</v>
      </c>
      <c r="BH33" s="16">
        <f t="shared" si="27"/>
        <v>0</v>
      </c>
      <c r="BI33" s="16">
        <f t="shared" si="49"/>
        <v>0</v>
      </c>
      <c r="BK33" s="3">
        <f t="shared" si="29"/>
        <v>0</v>
      </c>
      <c r="BL33" s="3">
        <f t="shared" si="30"/>
        <v>0</v>
      </c>
      <c r="BM33" s="16">
        <f t="shared" si="50"/>
        <v>0</v>
      </c>
      <c r="BO33" s="16">
        <f t="shared" si="51"/>
        <v>2</v>
      </c>
      <c r="BP33" s="16">
        <f t="shared" si="52"/>
        <v>0</v>
      </c>
      <c r="BQ33" s="16">
        <f t="shared" si="32"/>
        <v>2</v>
      </c>
      <c r="BR33" s="17">
        <v>0</v>
      </c>
      <c r="BT33" s="16">
        <v>0</v>
      </c>
    </row>
    <row r="34" spans="1:72" x14ac:dyDescent="0.25">
      <c r="A34" t="s">
        <v>98</v>
      </c>
      <c r="C34" s="3"/>
      <c r="D34" s="16"/>
      <c r="E34" s="16"/>
      <c r="F34" s="17"/>
      <c r="G34" s="3"/>
      <c r="H34" s="16"/>
      <c r="I34" s="16"/>
      <c r="K34" s="3"/>
      <c r="L34" s="16"/>
      <c r="M34" s="16"/>
      <c r="O34" s="3">
        <f>C34+G34+K34</f>
        <v>0</v>
      </c>
      <c r="P34" s="3">
        <f>D34+H34+L34</f>
        <v>0</v>
      </c>
      <c r="Q34" s="16">
        <f>-(P34-O34)</f>
        <v>0</v>
      </c>
      <c r="S34" s="3">
        <f>'Year Over Year'!T34</f>
        <v>0</v>
      </c>
      <c r="T34" s="16">
        <f t="shared" si="6"/>
        <v>8.3333333333333329E-2</v>
      </c>
      <c r="U34" s="16">
        <f>-(T34-S34)</f>
        <v>-8.3333333333333329E-2</v>
      </c>
      <c r="W34" s="3">
        <f>'Year Over Year'!X34</f>
        <v>0</v>
      </c>
      <c r="X34" s="16">
        <f t="shared" si="8"/>
        <v>8.3333333333333329E-2</v>
      </c>
      <c r="Y34" s="16">
        <f>-(X34-W34)</f>
        <v>-8.3333333333333329E-2</v>
      </c>
      <c r="AA34" s="3">
        <f>'Year Over Year'!AB34</f>
        <v>1</v>
      </c>
      <c r="AB34" s="16">
        <f t="shared" si="10"/>
        <v>8.3333333333333329E-2</v>
      </c>
      <c r="AC34" s="16">
        <f>-(AB34-AA34)</f>
        <v>0.91666666666666663</v>
      </c>
      <c r="AE34" s="3">
        <f>S34+W34+AA34</f>
        <v>1</v>
      </c>
      <c r="AF34" s="16">
        <v>0</v>
      </c>
      <c r="AG34" s="16">
        <f>-(AF34-AE34)</f>
        <v>1</v>
      </c>
      <c r="AI34" s="3">
        <f>'Year Over Year'!AJ34</f>
        <v>0</v>
      </c>
      <c r="AJ34" s="16">
        <f t="shared" si="14"/>
        <v>8.3333333333333329E-2</v>
      </c>
      <c r="AK34" s="16">
        <f>-(AJ34-AI34)</f>
        <v>-8.3333333333333329E-2</v>
      </c>
      <c r="AM34" s="3">
        <f>'Year Over Year'!AN34</f>
        <v>0</v>
      </c>
      <c r="AN34" s="16">
        <f t="shared" si="16"/>
        <v>8.3333333333333329E-2</v>
      </c>
      <c r="AO34" s="16">
        <f>-(AN34-AM34)</f>
        <v>-8.3333333333333329E-2</v>
      </c>
      <c r="AQ34" s="3">
        <f>'Year Over Year'!AR34</f>
        <v>0</v>
      </c>
      <c r="AR34" s="16">
        <f t="shared" si="18"/>
        <v>8.3333333333333329E-2</v>
      </c>
      <c r="AS34" s="16">
        <f>-(AR34-AQ34)</f>
        <v>-8.3333333333333329E-2</v>
      </c>
      <c r="AU34" s="3">
        <f>AI34+AM34+AQ34</f>
        <v>0</v>
      </c>
      <c r="AV34" s="3">
        <f>AJ34+AN34+AR34</f>
        <v>0.25</v>
      </c>
      <c r="AW34" s="16">
        <f>-(AV34-AU34)</f>
        <v>-0.25</v>
      </c>
      <c r="AY34" s="3">
        <f>'Year Over Year'!AZ34</f>
        <v>0</v>
      </c>
      <c r="AZ34" s="16">
        <f t="shared" si="23"/>
        <v>8.3333333333333329E-2</v>
      </c>
      <c r="BA34" s="16">
        <f>-(AZ34-AY34)</f>
        <v>-8.3333333333333329E-2</v>
      </c>
      <c r="BC34" s="3">
        <f>'Year Over Year'!BD34</f>
        <v>0</v>
      </c>
      <c r="BD34" s="16">
        <f t="shared" si="25"/>
        <v>8.3333333333333329E-2</v>
      </c>
      <c r="BE34" s="16">
        <f>-(BD34-BC34)</f>
        <v>-8.3333333333333329E-2</v>
      </c>
      <c r="BG34" s="3">
        <f>'Year Over Year'!BH34</f>
        <v>0</v>
      </c>
      <c r="BH34" s="16">
        <f t="shared" si="27"/>
        <v>8.3333333333333329E-2</v>
      </c>
      <c r="BI34" s="16">
        <f>-(BH34-BG34)</f>
        <v>-8.3333333333333329E-2</v>
      </c>
      <c r="BK34" s="3">
        <f>AY34+BC34+BG34</f>
        <v>0</v>
      </c>
      <c r="BL34" s="3">
        <f>AZ34+BD34+BH34</f>
        <v>0.25</v>
      </c>
      <c r="BM34" s="16">
        <f>-(BL34-BK34)</f>
        <v>-0.25</v>
      </c>
      <c r="BO34" s="16">
        <f>C34+G34+K34+S34+W34+AA34</f>
        <v>1</v>
      </c>
      <c r="BP34" s="16">
        <v>0</v>
      </c>
      <c r="BQ34" s="16">
        <f>-(BP34-BO34)</f>
        <v>1</v>
      </c>
      <c r="BR34" s="17">
        <v>1</v>
      </c>
      <c r="BT34" s="16">
        <v>1</v>
      </c>
    </row>
    <row r="35" spans="1:72" x14ac:dyDescent="0.25">
      <c r="A35" t="s">
        <v>97</v>
      </c>
      <c r="C35" s="3"/>
      <c r="D35" s="16"/>
      <c r="E35" s="16"/>
      <c r="F35" s="17"/>
      <c r="G35" s="3"/>
      <c r="H35" s="16"/>
      <c r="I35" s="16"/>
      <c r="K35" s="3"/>
      <c r="L35" s="16"/>
      <c r="M35" s="16"/>
      <c r="O35" s="3">
        <v>0</v>
      </c>
      <c r="P35" s="3">
        <v>0</v>
      </c>
      <c r="Q35" s="16">
        <f t="shared" si="38"/>
        <v>0</v>
      </c>
      <c r="S35" s="3">
        <f>'Year Over Year'!T35</f>
        <v>0</v>
      </c>
      <c r="T35" s="16">
        <v>0</v>
      </c>
      <c r="U35" s="16">
        <f t="shared" si="39"/>
        <v>0</v>
      </c>
      <c r="W35" s="3">
        <f>'Year Over Year'!X35</f>
        <v>0</v>
      </c>
      <c r="X35" s="16">
        <v>0</v>
      </c>
      <c r="Y35" s="16">
        <f t="shared" si="40"/>
        <v>0</v>
      </c>
      <c r="AA35" s="3">
        <f>'Year Over Year'!AB35</f>
        <v>0</v>
      </c>
      <c r="AB35" s="16">
        <v>0</v>
      </c>
      <c r="AC35" s="16">
        <f t="shared" si="41"/>
        <v>0</v>
      </c>
      <c r="AE35" s="3">
        <f>S35+W35+AA35</f>
        <v>0</v>
      </c>
      <c r="AF35" s="16">
        <f>T35+X35+AB35</f>
        <v>0</v>
      </c>
      <c r="AG35" s="16">
        <f>-(AF35-AE35)</f>
        <v>0</v>
      </c>
      <c r="AI35" s="3"/>
      <c r="AJ35" s="16">
        <f t="shared" si="14"/>
        <v>0</v>
      </c>
      <c r="AK35" s="16"/>
      <c r="AM35" s="3"/>
      <c r="AN35" s="16">
        <f t="shared" si="16"/>
        <v>0</v>
      </c>
      <c r="AO35" s="16"/>
      <c r="AQ35" s="3"/>
      <c r="AR35" s="16">
        <f t="shared" si="18"/>
        <v>0</v>
      </c>
      <c r="AS35" s="16"/>
      <c r="AU35" s="3"/>
      <c r="AV35" s="3">
        <f t="shared" si="21"/>
        <v>0</v>
      </c>
      <c r="AW35" s="16"/>
      <c r="AY35" s="3"/>
      <c r="AZ35" s="16">
        <f t="shared" si="23"/>
        <v>0</v>
      </c>
      <c r="BA35" s="16"/>
      <c r="BC35" s="3"/>
      <c r="BD35" s="16">
        <f t="shared" si="25"/>
        <v>0</v>
      </c>
      <c r="BE35" s="16"/>
      <c r="BG35" s="3"/>
      <c r="BH35" s="16">
        <f t="shared" si="27"/>
        <v>0</v>
      </c>
      <c r="BI35" s="16"/>
      <c r="BK35" s="3"/>
      <c r="BL35" s="3">
        <f t="shared" si="30"/>
        <v>0</v>
      </c>
      <c r="BM35" s="16"/>
      <c r="BO35" s="16">
        <f t="shared" si="51"/>
        <v>0</v>
      </c>
      <c r="BP35" s="16">
        <f t="shared" si="52"/>
        <v>0</v>
      </c>
      <c r="BQ35" s="16">
        <f>-(BP35-BO35)</f>
        <v>0</v>
      </c>
      <c r="BR35" s="17"/>
      <c r="BT35" s="16">
        <v>0</v>
      </c>
    </row>
    <row r="36" spans="1:72" x14ac:dyDescent="0.25">
      <c r="A36" t="s">
        <v>6</v>
      </c>
      <c r="C36" s="3">
        <f>'Year Over Year'!D36</f>
        <v>1</v>
      </c>
      <c r="D36" s="16">
        <f>BT36/12</f>
        <v>0</v>
      </c>
      <c r="E36" s="16">
        <f t="shared" si="35"/>
        <v>1</v>
      </c>
      <c r="F36" s="17"/>
      <c r="G36" s="3">
        <f>'Year Over Year'!H36</f>
        <v>0</v>
      </c>
      <c r="H36" s="16">
        <f>$BT36/12</f>
        <v>0</v>
      </c>
      <c r="I36" s="16">
        <f t="shared" si="36"/>
        <v>0</v>
      </c>
      <c r="K36" s="3">
        <f>'Year Over Year'!L36</f>
        <v>0</v>
      </c>
      <c r="L36" s="16">
        <f>$BT36/12</f>
        <v>0</v>
      </c>
      <c r="M36" s="16">
        <f t="shared" si="37"/>
        <v>0</v>
      </c>
      <c r="O36" s="3">
        <f t="shared" si="3"/>
        <v>1</v>
      </c>
      <c r="P36" s="3">
        <f t="shared" si="4"/>
        <v>0</v>
      </c>
      <c r="Q36" s="16">
        <f t="shared" si="38"/>
        <v>1</v>
      </c>
      <c r="S36" s="3">
        <f>'Year Over Year'!T36</f>
        <v>1</v>
      </c>
      <c r="T36" s="16">
        <f t="shared" si="6"/>
        <v>0</v>
      </c>
      <c r="U36" s="16">
        <f t="shared" si="39"/>
        <v>1</v>
      </c>
      <c r="W36" s="3">
        <f>'Year Over Year'!X36</f>
        <v>1</v>
      </c>
      <c r="X36" s="16">
        <f t="shared" si="8"/>
        <v>0</v>
      </c>
      <c r="Y36" s="16">
        <f t="shared" si="40"/>
        <v>1</v>
      </c>
      <c r="AA36" s="3">
        <f>'Year Over Year'!AB36</f>
        <v>2</v>
      </c>
      <c r="AB36" s="16">
        <f t="shared" si="10"/>
        <v>0</v>
      </c>
      <c r="AC36" s="16">
        <f t="shared" si="41"/>
        <v>2</v>
      </c>
      <c r="AE36" s="3">
        <f t="shared" si="12"/>
        <v>4</v>
      </c>
      <c r="AF36" s="16">
        <f>T36+X36+AB36</f>
        <v>0</v>
      </c>
      <c r="AG36" s="16">
        <f t="shared" si="42"/>
        <v>4</v>
      </c>
      <c r="AI36" s="3">
        <f>'Year Over Year'!AJ36</f>
        <v>0</v>
      </c>
      <c r="AJ36" s="16">
        <f t="shared" si="14"/>
        <v>0</v>
      </c>
      <c r="AK36" s="16">
        <f t="shared" si="43"/>
        <v>0</v>
      </c>
      <c r="AM36" s="3">
        <f>'Year Over Year'!AN36</f>
        <v>0</v>
      </c>
      <c r="AN36" s="16">
        <f t="shared" si="16"/>
        <v>0</v>
      </c>
      <c r="AO36" s="16">
        <f t="shared" si="44"/>
        <v>0</v>
      </c>
      <c r="AQ36" s="3">
        <f>'Year Over Year'!AR36</f>
        <v>0</v>
      </c>
      <c r="AR36" s="16">
        <f t="shared" si="18"/>
        <v>0</v>
      </c>
      <c r="AS36" s="16">
        <f t="shared" si="45"/>
        <v>0</v>
      </c>
      <c r="AU36" s="3">
        <f t="shared" si="20"/>
        <v>0</v>
      </c>
      <c r="AV36" s="3">
        <f t="shared" si="21"/>
        <v>0</v>
      </c>
      <c r="AW36" s="16">
        <f t="shared" si="46"/>
        <v>0</v>
      </c>
      <c r="AY36" s="3">
        <f>'Year Over Year'!AZ36</f>
        <v>0</v>
      </c>
      <c r="AZ36" s="16">
        <f t="shared" si="23"/>
        <v>0</v>
      </c>
      <c r="BA36" s="16">
        <f t="shared" si="47"/>
        <v>0</v>
      </c>
      <c r="BC36" s="3">
        <f>'Year Over Year'!BD36</f>
        <v>0</v>
      </c>
      <c r="BD36" s="16">
        <f t="shared" si="25"/>
        <v>0</v>
      </c>
      <c r="BE36" s="16">
        <f t="shared" si="48"/>
        <v>0</v>
      </c>
      <c r="BG36" s="3">
        <f>'Year Over Year'!BH36</f>
        <v>0</v>
      </c>
      <c r="BH36" s="16">
        <f t="shared" si="27"/>
        <v>0</v>
      </c>
      <c r="BI36" s="16">
        <f t="shared" si="49"/>
        <v>0</v>
      </c>
      <c r="BK36" s="3">
        <f t="shared" si="29"/>
        <v>0</v>
      </c>
      <c r="BL36" s="3">
        <f t="shared" si="30"/>
        <v>0</v>
      </c>
      <c r="BM36" s="16">
        <f t="shared" si="50"/>
        <v>0</v>
      </c>
      <c r="BO36" s="16">
        <f t="shared" si="51"/>
        <v>5</v>
      </c>
      <c r="BP36" s="16">
        <f t="shared" si="52"/>
        <v>0</v>
      </c>
      <c r="BQ36" s="16">
        <f t="shared" si="32"/>
        <v>5</v>
      </c>
      <c r="BR36" s="17">
        <v>0</v>
      </c>
      <c r="BT36" s="16">
        <v>0</v>
      </c>
    </row>
    <row r="37" spans="1:72" x14ac:dyDescent="0.25">
      <c r="A37" t="s">
        <v>9</v>
      </c>
      <c r="C37" s="4">
        <f>'Year Over Year'!D37</f>
        <v>5</v>
      </c>
      <c r="D37" s="18">
        <f>BT37/12</f>
        <v>0</v>
      </c>
      <c r="E37" s="18">
        <f t="shared" si="35"/>
        <v>5</v>
      </c>
      <c r="F37" s="20"/>
      <c r="G37" s="4">
        <f>'Year Over Year'!H37</f>
        <v>6</v>
      </c>
      <c r="H37" s="18">
        <f>$BT37/12</f>
        <v>0</v>
      </c>
      <c r="I37" s="18">
        <f t="shared" si="36"/>
        <v>6</v>
      </c>
      <c r="K37" s="4">
        <f>'Year Over Year'!L37</f>
        <v>9</v>
      </c>
      <c r="L37" s="18">
        <f>$BT37/12</f>
        <v>0</v>
      </c>
      <c r="M37" s="18">
        <f t="shared" si="37"/>
        <v>9</v>
      </c>
      <c r="O37" s="4">
        <f t="shared" si="3"/>
        <v>20</v>
      </c>
      <c r="P37" s="4">
        <f t="shared" si="4"/>
        <v>0</v>
      </c>
      <c r="Q37" s="18">
        <f t="shared" si="38"/>
        <v>20</v>
      </c>
      <c r="S37" s="4">
        <f>'Year Over Year'!T37</f>
        <v>6</v>
      </c>
      <c r="T37" s="18">
        <f t="shared" si="6"/>
        <v>0</v>
      </c>
      <c r="U37" s="18">
        <f t="shared" si="39"/>
        <v>6</v>
      </c>
      <c r="W37" s="4">
        <f>'Year Over Year'!X37</f>
        <v>13</v>
      </c>
      <c r="X37" s="18">
        <f t="shared" si="8"/>
        <v>0</v>
      </c>
      <c r="Y37" s="18">
        <f t="shared" si="40"/>
        <v>13</v>
      </c>
      <c r="AA37" s="4">
        <f>'Year Over Year'!AB37</f>
        <v>48</v>
      </c>
      <c r="AB37" s="18">
        <f t="shared" si="10"/>
        <v>0</v>
      </c>
      <c r="AC37" s="18">
        <f t="shared" si="41"/>
        <v>48</v>
      </c>
      <c r="AE37" s="4">
        <f t="shared" si="12"/>
        <v>67</v>
      </c>
      <c r="AF37" s="18">
        <f>T37+X37+AB37</f>
        <v>0</v>
      </c>
      <c r="AG37" s="18">
        <f t="shared" si="42"/>
        <v>67</v>
      </c>
      <c r="AI37" s="4">
        <f>'Year Over Year'!AJ37</f>
        <v>0</v>
      </c>
      <c r="AJ37" s="18">
        <f t="shared" si="14"/>
        <v>0</v>
      </c>
      <c r="AK37" s="18">
        <f t="shared" si="43"/>
        <v>0</v>
      </c>
      <c r="AM37" s="4">
        <f>'Year Over Year'!AN37</f>
        <v>0</v>
      </c>
      <c r="AN37" s="18">
        <f t="shared" si="16"/>
        <v>0</v>
      </c>
      <c r="AO37" s="18">
        <f t="shared" si="44"/>
        <v>0</v>
      </c>
      <c r="AQ37" s="4">
        <f>'Year Over Year'!AR37</f>
        <v>0</v>
      </c>
      <c r="AR37" s="18">
        <f t="shared" si="18"/>
        <v>0</v>
      </c>
      <c r="AS37" s="18">
        <f t="shared" si="45"/>
        <v>0</v>
      </c>
      <c r="AU37" s="4">
        <f t="shared" si="20"/>
        <v>0</v>
      </c>
      <c r="AV37" s="4">
        <f t="shared" si="21"/>
        <v>0</v>
      </c>
      <c r="AW37" s="18">
        <f t="shared" si="46"/>
        <v>0</v>
      </c>
      <c r="AY37" s="4">
        <f>'Year Over Year'!AZ37</f>
        <v>0</v>
      </c>
      <c r="AZ37" s="18">
        <f t="shared" si="23"/>
        <v>0</v>
      </c>
      <c r="BA37" s="18">
        <f t="shared" si="47"/>
        <v>0</v>
      </c>
      <c r="BC37" s="4">
        <f>'Year Over Year'!BD37</f>
        <v>0</v>
      </c>
      <c r="BD37" s="18">
        <f t="shared" si="25"/>
        <v>0</v>
      </c>
      <c r="BE37" s="18">
        <f t="shared" si="48"/>
        <v>0</v>
      </c>
      <c r="BG37" s="4">
        <f>'Year Over Year'!BH37</f>
        <v>0</v>
      </c>
      <c r="BH37" s="18">
        <f t="shared" si="27"/>
        <v>0</v>
      </c>
      <c r="BI37" s="18">
        <f t="shared" si="49"/>
        <v>0</v>
      </c>
      <c r="BK37" s="4">
        <f t="shared" si="29"/>
        <v>0</v>
      </c>
      <c r="BL37" s="4">
        <f t="shared" si="30"/>
        <v>0</v>
      </c>
      <c r="BM37" s="18">
        <f t="shared" si="50"/>
        <v>0</v>
      </c>
      <c r="BO37" s="18">
        <f t="shared" si="51"/>
        <v>87</v>
      </c>
      <c r="BP37" s="18">
        <f t="shared" si="52"/>
        <v>0</v>
      </c>
      <c r="BQ37" s="18">
        <f t="shared" si="32"/>
        <v>87</v>
      </c>
      <c r="BR37" s="19">
        <v>0</v>
      </c>
      <c r="BT37" s="18">
        <v>0</v>
      </c>
    </row>
    <row r="38" spans="1:72" s="1" customFormat="1" x14ac:dyDescent="0.25">
      <c r="C38" s="12">
        <f>SUM(C9:C37)</f>
        <v>725</v>
      </c>
      <c r="D38" s="12">
        <f>SUM(D9:D37)</f>
        <v>352</v>
      </c>
      <c r="E38" s="12">
        <f>SUM(E9:E37)</f>
        <v>373</v>
      </c>
      <c r="F38" s="13"/>
      <c r="G38" s="12">
        <f>SUM(G9:G37)</f>
        <v>549</v>
      </c>
      <c r="H38" s="12">
        <f>SUM(H9:H37)</f>
        <v>360</v>
      </c>
      <c r="I38" s="12">
        <f>SUM(I9:I37)</f>
        <v>189</v>
      </c>
      <c r="K38" s="12">
        <f>SUM(K9:K37)</f>
        <v>863</v>
      </c>
      <c r="L38" s="12">
        <f>SUM(L9:L37)</f>
        <v>363</v>
      </c>
      <c r="M38" s="12">
        <f>SUM(M9:M37)</f>
        <v>500</v>
      </c>
      <c r="O38" s="12">
        <f>SUM(O9:O37)</f>
        <v>2137</v>
      </c>
      <c r="P38" s="12">
        <f>SUM(P9:P37)</f>
        <v>1075</v>
      </c>
      <c r="Q38" s="12">
        <f>SUM(Q9:Q37)</f>
        <v>1062</v>
      </c>
      <c r="S38" s="12">
        <f>SUM(S9:S37)</f>
        <v>839</v>
      </c>
      <c r="T38" s="12">
        <f>SUM(T9:T37)</f>
        <v>438.63333333333333</v>
      </c>
      <c r="U38" s="12">
        <f>SUM(U9:U37)</f>
        <v>400.36666666666673</v>
      </c>
      <c r="W38" s="12">
        <f>SUM(W9:W37)</f>
        <v>920</v>
      </c>
      <c r="X38" s="12">
        <f>SUM(X9:X37)</f>
        <v>319.63333333333333</v>
      </c>
      <c r="Y38" s="12">
        <f>SUM(Y9:Y37)</f>
        <v>600.36666666666656</v>
      </c>
      <c r="AA38" s="12">
        <f>SUM(AA9:AA37)</f>
        <v>979</v>
      </c>
      <c r="AB38" s="12">
        <f>SUM(AB9:AB37)</f>
        <v>318.83333333333337</v>
      </c>
      <c r="AC38" s="12">
        <f>SUM(AC9:AC37)</f>
        <v>660.16666666666663</v>
      </c>
      <c r="AE38" s="12">
        <f>SUM(AE9:AE37)</f>
        <v>2738</v>
      </c>
      <c r="AF38" s="12">
        <f>SUM(AF9:AF37)</f>
        <v>1079.5</v>
      </c>
      <c r="AG38" s="12">
        <f>SUM(AG9:AG37)</f>
        <v>1658</v>
      </c>
      <c r="AI38" s="12">
        <f>SUM(AI9:AI37)</f>
        <v>0</v>
      </c>
      <c r="AJ38" s="12">
        <f>SUM(AJ9:AJ37)</f>
        <v>318.83333333333337</v>
      </c>
      <c r="AK38" s="12">
        <f>SUM(AK9:AK37)</f>
        <v>-318.83333333333337</v>
      </c>
      <c r="AM38" s="12">
        <f>SUM(AM9:AM37)</f>
        <v>0</v>
      </c>
      <c r="AN38" s="12">
        <f>SUM(AN9:AN37)</f>
        <v>318.83333333333337</v>
      </c>
      <c r="AO38" s="12">
        <f>SUM(AO9:AO37)</f>
        <v>-318.83333333333337</v>
      </c>
      <c r="AQ38" s="12">
        <f>SUM(AQ9:AQ37)</f>
        <v>0</v>
      </c>
      <c r="AR38" s="12">
        <f>SUM(AR9:AR37)</f>
        <v>318.83333333333337</v>
      </c>
      <c r="AS38" s="12">
        <f>SUM(AS9:AS37)</f>
        <v>-318.83333333333337</v>
      </c>
      <c r="AU38" s="12">
        <f>SUM(AU9:AU37)</f>
        <v>0</v>
      </c>
      <c r="AV38" s="12">
        <f>SUM(AV9:AV37)</f>
        <v>956.5</v>
      </c>
      <c r="AW38" s="12">
        <f>SUM(AW9:AW37)</f>
        <v>-956.5</v>
      </c>
      <c r="AY38" s="12">
        <f>SUM(AY9:AY37)</f>
        <v>0</v>
      </c>
      <c r="AZ38" s="12">
        <f>SUM(AZ9:AZ37)</f>
        <v>318.83333333333337</v>
      </c>
      <c r="BA38" s="12">
        <f>SUM(BA9:BA37)</f>
        <v>-318.83333333333337</v>
      </c>
      <c r="BC38" s="12">
        <f>SUM(BC9:BC37)</f>
        <v>0</v>
      </c>
      <c r="BD38" s="12">
        <f>SUM(BD9:BD37)</f>
        <v>318.83333333333337</v>
      </c>
      <c r="BE38" s="12">
        <f>SUM(BE9:BE37)</f>
        <v>-318.83333333333337</v>
      </c>
      <c r="BG38" s="12">
        <f>SUM(BG9:BG37)</f>
        <v>0</v>
      </c>
      <c r="BH38" s="12">
        <f>SUM(BH9:BH37)</f>
        <v>318.83333333333337</v>
      </c>
      <c r="BI38" s="12">
        <f>SUM(BI9:BI37)</f>
        <v>-318.83333333333337</v>
      </c>
      <c r="BK38" s="12">
        <f>SUM(BK9:BK37)</f>
        <v>0</v>
      </c>
      <c r="BL38" s="12">
        <f>SUM(BL9:BL37)</f>
        <v>956.5</v>
      </c>
      <c r="BM38" s="12">
        <f>SUM(BM9:BM37)</f>
        <v>-956.5</v>
      </c>
      <c r="BO38" s="12">
        <f>SUM(BO9:BO37)</f>
        <v>4875</v>
      </c>
      <c r="BP38" s="12">
        <f>SUM(BP9:BP37)</f>
        <v>2154.5499999999997</v>
      </c>
      <c r="BQ38" s="12">
        <f>SUM(BQ9:BQ37)</f>
        <v>2720.4500000000003</v>
      </c>
      <c r="BR38" s="13">
        <f>BQ38/BP38</f>
        <v>1.2626534543176071</v>
      </c>
      <c r="BT38" s="12">
        <f>SUM(BT9:BT37)</f>
        <v>3826</v>
      </c>
    </row>
    <row r="42" spans="1:72" x14ac:dyDescent="0.25">
      <c r="A42" s="14" t="s">
        <v>18</v>
      </c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O42" s="2"/>
      <c r="P42" s="2"/>
      <c r="Q42" s="2"/>
      <c r="S42" s="2"/>
      <c r="T42" s="2"/>
      <c r="U42" s="2"/>
      <c r="W42" s="2"/>
      <c r="X42" s="2"/>
      <c r="Y42" s="2"/>
      <c r="AA42" s="2"/>
      <c r="AB42" s="2"/>
      <c r="AC42" s="2"/>
      <c r="AE42" s="2"/>
      <c r="AF42" s="2"/>
      <c r="AG42" s="2"/>
      <c r="AI42" s="2"/>
      <c r="AJ42" s="2"/>
      <c r="AK42" s="2"/>
      <c r="AM42" s="2"/>
      <c r="AN42" s="2"/>
      <c r="AO42" s="2"/>
      <c r="AQ42" s="2"/>
      <c r="AR42" s="2"/>
      <c r="AS42" s="2"/>
      <c r="AU42" s="2"/>
      <c r="AV42" s="2"/>
      <c r="AW42" s="2"/>
      <c r="AY42" s="2"/>
      <c r="AZ42" s="2"/>
      <c r="BA42" s="2"/>
      <c r="BC42" s="2"/>
      <c r="BD42" s="2"/>
      <c r="BE42" s="2"/>
      <c r="BG42" s="2"/>
      <c r="BH42" s="2"/>
      <c r="BI42" s="2"/>
      <c r="BK42" s="2"/>
      <c r="BL42" s="2"/>
      <c r="BM42" s="2"/>
      <c r="BO42" s="39"/>
      <c r="BP42" s="39"/>
      <c r="BQ42" s="39"/>
      <c r="BR42" s="39"/>
    </row>
    <row r="43" spans="1:72" ht="30.75" customHeight="1" x14ac:dyDescent="0.25">
      <c r="A43" t="s">
        <v>10</v>
      </c>
      <c r="C43" s="15" t="s">
        <v>22</v>
      </c>
      <c r="F43" s="9"/>
      <c r="G43" s="15" t="s">
        <v>24</v>
      </c>
      <c r="H43" s="21"/>
      <c r="I43" s="22"/>
      <c r="J43" s="11"/>
      <c r="K43" s="15" t="str">
        <f>K7</f>
        <v>Mar Actuals</v>
      </c>
      <c r="L43" s="21"/>
      <c r="M43" s="22"/>
      <c r="N43" s="11"/>
      <c r="O43" s="15" t="str">
        <f>O7</f>
        <v>1Q Actuals</v>
      </c>
      <c r="P43" s="21"/>
      <c r="Q43" s="22"/>
      <c r="R43" s="11"/>
      <c r="S43" s="15" t="str">
        <f>S7</f>
        <v>Apr Actuals</v>
      </c>
      <c r="T43" s="21"/>
      <c r="U43" s="22"/>
      <c r="V43" s="11"/>
      <c r="W43" s="15" t="str">
        <f>W7</f>
        <v>May Actuals</v>
      </c>
      <c r="X43" s="21"/>
      <c r="Y43" s="22"/>
      <c r="Z43" s="11"/>
      <c r="AA43" s="15" t="str">
        <f>AA7</f>
        <v>Jun Actuals</v>
      </c>
      <c r="AB43" s="21"/>
      <c r="AC43" s="22"/>
      <c r="AD43" s="11"/>
      <c r="AE43" s="15" t="str">
        <f>AE7</f>
        <v>2Q Actuals</v>
      </c>
      <c r="AF43" s="21"/>
      <c r="AG43" s="22"/>
      <c r="AH43" s="11"/>
      <c r="AI43" s="15" t="str">
        <f>AI7</f>
        <v>Jul Actuals</v>
      </c>
      <c r="AJ43" s="21"/>
      <c r="AK43" s="22"/>
      <c r="AL43" s="11"/>
      <c r="AM43" s="15" t="str">
        <f>AM7</f>
        <v>Aug Actuals</v>
      </c>
      <c r="AN43" s="21"/>
      <c r="AO43" s="22"/>
      <c r="AP43" s="11"/>
      <c r="AQ43" s="15" t="str">
        <f>AQ7</f>
        <v>Sept Actuals</v>
      </c>
      <c r="AR43" s="21"/>
      <c r="AS43" s="22"/>
      <c r="AT43" s="11"/>
      <c r="AU43" s="15" t="str">
        <f>AU7</f>
        <v>3Q Actuals</v>
      </c>
      <c r="AV43" s="21"/>
      <c r="AW43" s="22"/>
      <c r="AX43" s="11"/>
      <c r="AY43" s="15" t="str">
        <f>AY7</f>
        <v>Oct Actuals</v>
      </c>
      <c r="AZ43" s="21"/>
      <c r="BA43" s="22"/>
      <c r="BB43" s="11"/>
      <c r="BC43" s="15" t="str">
        <f>BC7</f>
        <v>Nov Actuals</v>
      </c>
      <c r="BD43" s="21"/>
      <c r="BE43" s="22"/>
      <c r="BF43" s="11"/>
      <c r="BG43" s="15" t="str">
        <f>BG7</f>
        <v>Dec Actuals</v>
      </c>
      <c r="BH43" s="21"/>
      <c r="BI43" s="22"/>
      <c r="BJ43" s="11"/>
      <c r="BK43" s="15" t="str">
        <f>BK7</f>
        <v>4Q Actuals</v>
      </c>
      <c r="BL43" s="21"/>
      <c r="BM43" s="22"/>
      <c r="BN43" s="11"/>
      <c r="BO43" s="15" t="s">
        <v>19</v>
      </c>
      <c r="BP43" s="21"/>
      <c r="BQ43" s="22"/>
      <c r="BR43" s="9"/>
      <c r="BT43" s="9"/>
    </row>
    <row r="44" spans="1:72" ht="12.75" customHeight="1" x14ac:dyDescent="0.25">
      <c r="A44" s="1" t="s">
        <v>84</v>
      </c>
      <c r="C44" s="21"/>
      <c r="F44" s="9"/>
      <c r="G44" s="21"/>
      <c r="H44" s="21"/>
      <c r="I44" s="22"/>
      <c r="J44" s="11"/>
      <c r="K44" s="21"/>
      <c r="L44" s="21"/>
      <c r="M44" s="22"/>
      <c r="N44" s="11"/>
      <c r="O44" s="21"/>
      <c r="P44" s="21"/>
      <c r="Q44" s="22"/>
      <c r="R44" s="11"/>
      <c r="S44" s="21"/>
      <c r="T44" s="21"/>
      <c r="U44" s="22"/>
      <c r="V44" s="11"/>
      <c r="W44" s="21"/>
      <c r="X44" s="21"/>
      <c r="Y44" s="22"/>
      <c r="Z44" s="11"/>
      <c r="AA44" s="21"/>
      <c r="AB44" s="21"/>
      <c r="AC44" s="22"/>
      <c r="AD44" s="11"/>
      <c r="AE44" s="21"/>
      <c r="AF44" s="21"/>
      <c r="AG44" s="22"/>
      <c r="AH44" s="11"/>
      <c r="AI44" s="21"/>
      <c r="AJ44" s="21"/>
      <c r="AK44" s="22"/>
      <c r="AL44" s="11"/>
      <c r="AM44" s="21"/>
      <c r="AN44" s="21"/>
      <c r="AO44" s="22"/>
      <c r="AP44" s="11"/>
      <c r="AQ44" s="21"/>
      <c r="AR44" s="21"/>
      <c r="AS44" s="22"/>
      <c r="AT44" s="11"/>
      <c r="AU44" s="21"/>
      <c r="AV44" s="21"/>
      <c r="AW44" s="22"/>
      <c r="AX44" s="11"/>
      <c r="AY44" s="21"/>
      <c r="AZ44" s="21"/>
      <c r="BA44" s="22"/>
      <c r="BB44" s="11"/>
      <c r="BC44" s="21"/>
      <c r="BD44" s="21"/>
      <c r="BE44" s="22"/>
      <c r="BF44" s="11"/>
      <c r="BG44" s="21"/>
      <c r="BH44" s="21"/>
      <c r="BI44" s="22"/>
      <c r="BJ44" s="11"/>
      <c r="BK44" s="21"/>
      <c r="BL44" s="21"/>
      <c r="BM44" s="22"/>
      <c r="BN44" s="11"/>
      <c r="BO44" s="21"/>
      <c r="BP44" s="21"/>
      <c r="BQ44" s="22"/>
      <c r="BR44" s="9"/>
      <c r="BT44" s="9"/>
    </row>
    <row r="45" spans="1:72" ht="12.75" customHeight="1" x14ac:dyDescent="0.25">
      <c r="A45" t="s">
        <v>88</v>
      </c>
      <c r="C45" s="3">
        <f>'Year Over Year'!D45</f>
        <v>26010</v>
      </c>
      <c r="F45" s="17"/>
      <c r="G45" s="3">
        <f>'Year Over Year'!H45</f>
        <v>0</v>
      </c>
      <c r="H45" s="23"/>
      <c r="I45" s="23"/>
      <c r="K45" s="3">
        <f>'Year Over Year'!L45</f>
        <v>0</v>
      </c>
      <c r="L45" s="23"/>
      <c r="M45" s="23"/>
      <c r="O45" s="3">
        <f>C45+G45+K45</f>
        <v>26010</v>
      </c>
      <c r="P45" s="23"/>
      <c r="Q45" s="23"/>
      <c r="S45" s="3">
        <f>'Year Over Year'!T45</f>
        <v>0</v>
      </c>
      <c r="T45" s="23"/>
      <c r="U45" s="23"/>
      <c r="W45" s="3">
        <f>'Year Over Year'!X45</f>
        <v>2190</v>
      </c>
      <c r="X45" s="23"/>
      <c r="Y45" s="23"/>
      <c r="AA45" s="3">
        <f>'Year Over Year'!AB45</f>
        <v>1149</v>
      </c>
      <c r="AB45" s="23"/>
      <c r="AC45" s="23"/>
      <c r="AE45" s="3">
        <f>S45+W45+AA45</f>
        <v>3339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>AI45+AM45+AQ45</f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>AY45+BC45+BG45</f>
        <v>0</v>
      </c>
      <c r="BL45" s="23"/>
      <c r="BM45" s="23"/>
      <c r="BO45" s="16">
        <f>C45+G45+K45+S45+W45+AA45</f>
        <v>29349</v>
      </c>
      <c r="BP45" s="23"/>
      <c r="BQ45" s="23"/>
      <c r="BR45" s="20"/>
      <c r="BS45" s="24"/>
      <c r="BT45" s="23"/>
    </row>
    <row r="46" spans="1:72" ht="12.75" customHeight="1" x14ac:dyDescent="0.25">
      <c r="A46" t="s">
        <v>89</v>
      </c>
      <c r="C46" s="3">
        <f>'Year Over Year'!D46</f>
        <v>0</v>
      </c>
      <c r="F46" s="17"/>
      <c r="G46" s="3">
        <f>'Year Over Year'!H46</f>
        <v>0</v>
      </c>
      <c r="H46" s="23"/>
      <c r="I46" s="23"/>
      <c r="K46" s="3">
        <f>'Year Over Year'!L46</f>
        <v>0</v>
      </c>
      <c r="L46" s="23"/>
      <c r="M46" s="23"/>
      <c r="O46" s="3">
        <f t="shared" ref="O46:O73" si="53">C46+G46+K46</f>
        <v>0</v>
      </c>
      <c r="P46" s="23"/>
      <c r="Q46" s="23"/>
      <c r="S46" s="3">
        <f>'Year Over Year'!T46</f>
        <v>0</v>
      </c>
      <c r="T46" s="23"/>
      <c r="U46" s="23"/>
      <c r="W46" s="3">
        <f>'Year Over Year'!X46</f>
        <v>500</v>
      </c>
      <c r="X46" s="23"/>
      <c r="Y46" s="23"/>
      <c r="AA46" s="3">
        <f>'Year Over Year'!AB46</f>
        <v>0</v>
      </c>
      <c r="AB46" s="23"/>
      <c r="AC46" s="23"/>
      <c r="AE46" s="3">
        <f t="shared" ref="AE46:AE73" si="54">S46+W46+AA46</f>
        <v>500</v>
      </c>
      <c r="AF46" s="23"/>
      <c r="AG46" s="23"/>
      <c r="AI46" s="3">
        <f>'Year Over Year'!AJ46</f>
        <v>0</v>
      </c>
      <c r="AJ46" s="23"/>
      <c r="AK46" s="23"/>
      <c r="AM46" s="3">
        <f>'Year Over Year'!AN46</f>
        <v>0</v>
      </c>
      <c r="AN46" s="23"/>
      <c r="AO46" s="23"/>
      <c r="AQ46" s="3">
        <f>'Year Over Year'!AR46</f>
        <v>0</v>
      </c>
      <c r="AR46" s="23"/>
      <c r="AS46" s="23"/>
      <c r="AU46" s="3">
        <f t="shared" ref="AU46:AU73" si="55">AI46+AM46+AQ46</f>
        <v>0</v>
      </c>
      <c r="AV46" s="23"/>
      <c r="AW46" s="23"/>
      <c r="AY46" s="3">
        <f>'Year Over Year'!AZ46</f>
        <v>0</v>
      </c>
      <c r="AZ46" s="23"/>
      <c r="BA46" s="23"/>
      <c r="BC46" s="3">
        <f>'Year Over Year'!BD46</f>
        <v>0</v>
      </c>
      <c r="BD46" s="23"/>
      <c r="BE46" s="23"/>
      <c r="BG46" s="3">
        <f>'Year Over Year'!BH46</f>
        <v>0</v>
      </c>
      <c r="BH46" s="23"/>
      <c r="BI46" s="23"/>
      <c r="BK46" s="3">
        <f t="shared" ref="BK46:BK73" si="56">AY46+BC46+BG46</f>
        <v>0</v>
      </c>
      <c r="BL46" s="23"/>
      <c r="BM46" s="23"/>
      <c r="BO46" s="16">
        <f>C46+G46+K46+S46+W46+AA46</f>
        <v>500</v>
      </c>
      <c r="BP46" s="23"/>
      <c r="BQ46" s="23"/>
      <c r="BR46" s="20"/>
      <c r="BS46" s="24"/>
      <c r="BT46" s="23"/>
    </row>
    <row r="47" spans="1:72" x14ac:dyDescent="0.25">
      <c r="A47" t="s">
        <v>87</v>
      </c>
      <c r="C47" s="3">
        <f>'Year Over Year'!D47</f>
        <v>5361.268</v>
      </c>
      <c r="F47" s="17"/>
      <c r="G47" s="3">
        <f>'Year Over Year'!H47</f>
        <v>630</v>
      </c>
      <c r="H47" s="23"/>
      <c r="I47" s="23"/>
      <c r="K47" s="3">
        <f>'Year Over Year'!L47</f>
        <v>881</v>
      </c>
      <c r="L47" s="23"/>
      <c r="M47" s="23"/>
      <c r="O47" s="3">
        <f t="shared" si="53"/>
        <v>6872.268</v>
      </c>
      <c r="P47" s="23"/>
      <c r="Q47" s="23"/>
      <c r="S47" s="3">
        <f>'Year Over Year'!T47</f>
        <v>3271</v>
      </c>
      <c r="T47" s="23"/>
      <c r="U47" s="23"/>
      <c r="W47" s="3">
        <f>'Year Over Year'!X47</f>
        <v>587</v>
      </c>
      <c r="X47" s="23"/>
      <c r="Y47" s="23"/>
      <c r="AA47" s="3">
        <f>'Year Over Year'!AB47</f>
        <v>1493</v>
      </c>
      <c r="AB47" s="23"/>
      <c r="AC47" s="23"/>
      <c r="AE47" s="3">
        <f t="shared" si="54"/>
        <v>5351</v>
      </c>
      <c r="AF47" s="23"/>
      <c r="AG47" s="23"/>
      <c r="AI47" s="3">
        <f>'Year Over Year'!AJ47</f>
        <v>0</v>
      </c>
      <c r="AJ47" s="23"/>
      <c r="AK47" s="23"/>
      <c r="AM47" s="3">
        <f>'Year Over Year'!AN47</f>
        <v>0</v>
      </c>
      <c r="AN47" s="23"/>
      <c r="AO47" s="23"/>
      <c r="AQ47" s="3">
        <f>'Year Over Year'!AR47</f>
        <v>0</v>
      </c>
      <c r="AR47" s="23"/>
      <c r="AS47" s="23"/>
      <c r="AU47" s="3">
        <f t="shared" si="55"/>
        <v>0</v>
      </c>
      <c r="AV47" s="23"/>
      <c r="AW47" s="23"/>
      <c r="AY47" s="3">
        <f>'Year Over Year'!AZ47</f>
        <v>0</v>
      </c>
      <c r="AZ47" s="23"/>
      <c r="BA47" s="23"/>
      <c r="BC47" s="3">
        <f>'Year Over Year'!BD47</f>
        <v>0</v>
      </c>
      <c r="BD47" s="23"/>
      <c r="BE47" s="23"/>
      <c r="BG47" s="3">
        <f>'Year Over Year'!BH47</f>
        <v>0</v>
      </c>
      <c r="BH47" s="23"/>
      <c r="BI47" s="23"/>
      <c r="BK47" s="3">
        <f t="shared" si="56"/>
        <v>0</v>
      </c>
      <c r="BL47" s="23"/>
      <c r="BM47" s="23"/>
      <c r="BO47" s="16">
        <f>C47+G47+K47+S47+W47+AA47</f>
        <v>12223.268</v>
      </c>
      <c r="BP47" s="23"/>
      <c r="BQ47" s="23"/>
      <c r="BR47" s="20"/>
      <c r="BS47" s="24"/>
      <c r="BT47" s="23"/>
    </row>
    <row r="48" spans="1:72" x14ac:dyDescent="0.25">
      <c r="C48" s="3"/>
      <c r="F48" s="17"/>
      <c r="G48" s="3"/>
      <c r="H48" s="23"/>
      <c r="I48" s="23"/>
      <c r="K48" s="3"/>
      <c r="L48" s="23"/>
      <c r="M48" s="23"/>
      <c r="O48" s="3"/>
      <c r="P48" s="23"/>
      <c r="Q48" s="23"/>
      <c r="S48" s="3"/>
      <c r="T48" s="23"/>
      <c r="U48" s="23"/>
      <c r="W48" s="3"/>
      <c r="X48" s="23"/>
      <c r="Y48" s="23"/>
      <c r="AA48" s="3"/>
      <c r="AB48" s="23"/>
      <c r="AC48" s="23"/>
      <c r="AE48" s="3"/>
      <c r="AF48" s="23"/>
      <c r="AG48" s="23"/>
      <c r="AI48" s="3"/>
      <c r="AJ48" s="23"/>
      <c r="AK48" s="23"/>
      <c r="AM48" s="3"/>
      <c r="AN48" s="23"/>
      <c r="AO48" s="23"/>
      <c r="AQ48" s="3"/>
      <c r="AR48" s="23"/>
      <c r="AS48" s="23"/>
      <c r="AU48" s="3"/>
      <c r="AV48" s="23"/>
      <c r="AW48" s="23"/>
      <c r="AY48" s="3"/>
      <c r="AZ48" s="23"/>
      <c r="BA48" s="23"/>
      <c r="BC48" s="3"/>
      <c r="BD48" s="23"/>
      <c r="BE48" s="23"/>
      <c r="BG48" s="3"/>
      <c r="BH48" s="23"/>
      <c r="BI48" s="23"/>
      <c r="BK48" s="3"/>
      <c r="BL48" s="23"/>
      <c r="BM48" s="23"/>
      <c r="BO48" s="16"/>
      <c r="BP48" s="23"/>
      <c r="BQ48" s="23"/>
      <c r="BR48" s="20"/>
      <c r="BS48" s="24"/>
      <c r="BT48" s="23"/>
    </row>
    <row r="49" spans="1:72" x14ac:dyDescent="0.25">
      <c r="A49" s="1" t="s">
        <v>69</v>
      </c>
      <c r="C49" s="3"/>
      <c r="F49" s="17"/>
      <c r="G49" s="3"/>
      <c r="H49" s="23"/>
      <c r="I49" s="23"/>
      <c r="K49" s="3"/>
      <c r="L49" s="23"/>
      <c r="M49" s="23"/>
      <c r="O49" s="3"/>
      <c r="P49" s="23"/>
      <c r="Q49" s="23"/>
      <c r="S49" s="3"/>
      <c r="T49" s="23"/>
      <c r="U49" s="23"/>
      <c r="W49" s="3"/>
      <c r="X49" s="23"/>
      <c r="Y49" s="23"/>
      <c r="AA49" s="3"/>
      <c r="AB49" s="23"/>
      <c r="AC49" s="23"/>
      <c r="AE49" s="3"/>
      <c r="AF49" s="23"/>
      <c r="AG49" s="23"/>
      <c r="AI49" s="3"/>
      <c r="AJ49" s="23"/>
      <c r="AK49" s="23"/>
      <c r="AM49" s="3"/>
      <c r="AN49" s="23"/>
      <c r="AO49" s="23"/>
      <c r="AQ49" s="3"/>
      <c r="AR49" s="23"/>
      <c r="AS49" s="23"/>
      <c r="AU49" s="3"/>
      <c r="AV49" s="23"/>
      <c r="AW49" s="23"/>
      <c r="AY49" s="3"/>
      <c r="AZ49" s="23"/>
      <c r="BA49" s="23"/>
      <c r="BC49" s="3"/>
      <c r="BD49" s="23"/>
      <c r="BE49" s="23"/>
      <c r="BG49" s="3"/>
      <c r="BH49" s="23"/>
      <c r="BI49" s="23"/>
      <c r="BK49" s="3"/>
      <c r="BL49" s="23"/>
      <c r="BM49" s="23"/>
      <c r="BO49" s="16"/>
      <c r="BP49" s="23"/>
      <c r="BQ49" s="23"/>
      <c r="BR49" s="20"/>
      <c r="BS49" s="24"/>
      <c r="BT49" s="23"/>
    </row>
    <row r="50" spans="1:72" x14ac:dyDescent="0.25">
      <c r="A50" t="s">
        <v>70</v>
      </c>
      <c r="C50" s="3">
        <f>'Year Over Year'!D50</f>
        <v>140.542</v>
      </c>
      <c r="F50" s="17"/>
      <c r="G50" s="3">
        <f>'Year Over Year'!H50</f>
        <v>192</v>
      </c>
      <c r="H50" s="23"/>
      <c r="I50" s="23"/>
      <c r="K50" s="3">
        <f>'Year Over Year'!L50</f>
        <v>1154</v>
      </c>
      <c r="L50" s="23"/>
      <c r="M50" s="23"/>
      <c r="O50" s="3">
        <f>C50+G50+K50+0.1</f>
        <v>1486.6419999999998</v>
      </c>
      <c r="P50" s="23"/>
      <c r="Q50" s="23"/>
      <c r="S50" s="3">
        <f>'Year Over Year'!T50</f>
        <v>470</v>
      </c>
      <c r="T50" s="23"/>
      <c r="U50" s="23"/>
      <c r="W50" s="3">
        <f>'Year Over Year'!X50</f>
        <v>327</v>
      </c>
      <c r="X50" s="23"/>
      <c r="Y50" s="23"/>
      <c r="AA50" s="3">
        <f>'Year Over Year'!AB50</f>
        <v>107</v>
      </c>
      <c r="AB50" s="23"/>
      <c r="AC50" s="23"/>
      <c r="AE50" s="3">
        <f t="shared" si="54"/>
        <v>904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5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6"/>
        <v>0</v>
      </c>
      <c r="BL50" s="23"/>
      <c r="BM50" s="23"/>
      <c r="BO50" s="16">
        <f>C50+G50+K50+S50+W50+AA50+0.1</f>
        <v>2390.6419999999998</v>
      </c>
      <c r="BP50" s="23"/>
      <c r="BQ50" s="23"/>
      <c r="BR50" s="20"/>
      <c r="BS50" s="24"/>
      <c r="BT50" s="23"/>
    </row>
    <row r="51" spans="1:72" x14ac:dyDescent="0.25">
      <c r="A51" t="s">
        <v>71</v>
      </c>
      <c r="C51" s="3">
        <f>'Year Over Year'!D51</f>
        <v>1235.021</v>
      </c>
      <c r="F51" s="17"/>
      <c r="G51" s="3">
        <f>'Year Over Year'!H51</f>
        <v>1447</v>
      </c>
      <c r="H51" s="23"/>
      <c r="I51" s="23"/>
      <c r="K51" s="3">
        <f>'Year Over Year'!L51</f>
        <v>2026</v>
      </c>
      <c r="L51" s="23"/>
      <c r="M51" s="23"/>
      <c r="O51" s="3">
        <f t="shared" si="53"/>
        <v>4708.0209999999997</v>
      </c>
      <c r="P51" s="23"/>
      <c r="Q51" s="23"/>
      <c r="S51" s="3">
        <f>'Year Over Year'!T51</f>
        <v>2728</v>
      </c>
      <c r="T51" s="23"/>
      <c r="U51" s="23"/>
      <c r="W51" s="3">
        <f>'Year Over Year'!X51</f>
        <v>869</v>
      </c>
      <c r="X51" s="23"/>
      <c r="Y51" s="23"/>
      <c r="AA51" s="3">
        <f>'Year Over Year'!AB51</f>
        <v>477</v>
      </c>
      <c r="AB51" s="23"/>
      <c r="AC51" s="23"/>
      <c r="AE51" s="3">
        <f t="shared" si="54"/>
        <v>4074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5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6"/>
        <v>0</v>
      </c>
      <c r="BL51" s="23"/>
      <c r="BM51" s="23"/>
      <c r="BO51" s="16">
        <f>C51+G51+K51+S51+W51+AA51</f>
        <v>8782.0210000000006</v>
      </c>
      <c r="BP51" s="23"/>
      <c r="BQ51" s="23"/>
      <c r="BR51" s="20"/>
      <c r="BS51" s="24"/>
      <c r="BT51" s="23"/>
    </row>
    <row r="52" spans="1:72" x14ac:dyDescent="0.25">
      <c r="A52" t="s">
        <v>72</v>
      </c>
      <c r="C52" s="3">
        <f>'Year Over Year'!D52</f>
        <v>3531.0450000000001</v>
      </c>
      <c r="F52" s="17"/>
      <c r="G52" s="3">
        <f>'Year Over Year'!H52</f>
        <v>2972</v>
      </c>
      <c r="H52" s="23"/>
      <c r="I52" s="23"/>
      <c r="K52" s="3">
        <f>'Year Over Year'!L52</f>
        <v>605</v>
      </c>
      <c r="L52" s="23"/>
      <c r="M52" s="23"/>
      <c r="O52" s="3">
        <f t="shared" si="53"/>
        <v>7108.0450000000001</v>
      </c>
      <c r="P52" s="23"/>
      <c r="Q52" s="23"/>
      <c r="S52" s="3">
        <f>'Year Over Year'!T52</f>
        <v>30217</v>
      </c>
      <c r="T52" s="23"/>
      <c r="U52" s="23"/>
      <c r="W52" s="3">
        <f>'Year Over Year'!X52</f>
        <v>851</v>
      </c>
      <c r="X52" s="23"/>
      <c r="Y52" s="23"/>
      <c r="AA52" s="3">
        <f>'Year Over Year'!AB52</f>
        <v>2383</v>
      </c>
      <c r="AB52" s="23"/>
      <c r="AC52" s="23"/>
      <c r="AE52" s="3">
        <f t="shared" si="54"/>
        <v>33451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5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6"/>
        <v>0</v>
      </c>
      <c r="BL52" s="23"/>
      <c r="BM52" s="23"/>
      <c r="BO52" s="16">
        <f>C52+G52+K52+S52+W52+AA52</f>
        <v>40559.044999999998</v>
      </c>
      <c r="BP52" s="23"/>
      <c r="BQ52" s="23"/>
      <c r="BR52" s="20"/>
      <c r="BS52" s="24"/>
      <c r="BT52" s="23"/>
    </row>
    <row r="53" spans="1:72" x14ac:dyDescent="0.25">
      <c r="A53" t="s">
        <v>73</v>
      </c>
      <c r="C53" s="3">
        <f>'Year Over Year'!D53</f>
        <v>0</v>
      </c>
      <c r="F53" s="17"/>
      <c r="G53" s="3">
        <f>'Year Over Year'!H53</f>
        <v>0</v>
      </c>
      <c r="H53" s="23"/>
      <c r="I53" s="23"/>
      <c r="K53" s="3">
        <f>'Year Over Year'!L53</f>
        <v>0</v>
      </c>
      <c r="L53" s="23"/>
      <c r="M53" s="23"/>
      <c r="O53" s="3">
        <f t="shared" si="53"/>
        <v>0</v>
      </c>
      <c r="P53" s="23"/>
      <c r="Q53" s="23"/>
      <c r="S53" s="3">
        <f>'Year Over Year'!T53</f>
        <v>0</v>
      </c>
      <c r="T53" s="23"/>
      <c r="U53" s="23"/>
      <c r="W53" s="3">
        <f>'Year Over Year'!X53</f>
        <v>54</v>
      </c>
      <c r="X53" s="23"/>
      <c r="Y53" s="23"/>
      <c r="AA53" s="3">
        <f>'Year Over Year'!AB53</f>
        <v>0</v>
      </c>
      <c r="AB53" s="23"/>
      <c r="AC53" s="23"/>
      <c r="AE53" s="3">
        <f t="shared" si="54"/>
        <v>54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5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6"/>
        <v>0</v>
      </c>
      <c r="BL53" s="23"/>
      <c r="BM53" s="23"/>
      <c r="BO53" s="16">
        <f>C53+G53+K53+S53+W53+AA53</f>
        <v>54</v>
      </c>
      <c r="BP53" s="23"/>
      <c r="BQ53" s="23"/>
      <c r="BR53" s="20"/>
      <c r="BS53" s="24"/>
      <c r="BT53" s="23"/>
    </row>
    <row r="54" spans="1:72" hidden="1" x14ac:dyDescent="0.25">
      <c r="A54" t="s">
        <v>74</v>
      </c>
      <c r="C54" s="3">
        <f>'Year Over Year'!D54</f>
        <v>0</v>
      </c>
      <c r="F54" s="17"/>
      <c r="G54" s="3">
        <f>'Year Over Year'!H54</f>
        <v>0</v>
      </c>
      <c r="H54" s="23"/>
      <c r="I54" s="23"/>
      <c r="K54" s="3">
        <f>'Year Over Year'!L54</f>
        <v>0</v>
      </c>
      <c r="L54" s="23"/>
      <c r="M54" s="23"/>
      <c r="O54" s="3">
        <f t="shared" si="53"/>
        <v>0</v>
      </c>
      <c r="P54" s="23"/>
      <c r="Q54" s="23"/>
      <c r="S54" s="3">
        <f>'Year Over Year'!T54</f>
        <v>0</v>
      </c>
      <c r="T54" s="23"/>
      <c r="U54" s="23"/>
      <c r="W54" s="3">
        <f>'Year Over Year'!X54</f>
        <v>0</v>
      </c>
      <c r="X54" s="23"/>
      <c r="Y54" s="23"/>
      <c r="AA54" s="3">
        <f>'Year Over Year'!AB54</f>
        <v>0</v>
      </c>
      <c r="AB54" s="23"/>
      <c r="AC54" s="23"/>
      <c r="AE54" s="3">
        <f t="shared" si="54"/>
        <v>0</v>
      </c>
      <c r="AF54" s="23"/>
      <c r="AG54" s="23"/>
      <c r="AI54" s="3">
        <f>'Year Over Year'!AJ54</f>
        <v>0</v>
      </c>
      <c r="AJ54" s="23"/>
      <c r="AK54" s="23"/>
      <c r="AM54" s="3">
        <f>'Year Over Year'!AN54</f>
        <v>0</v>
      </c>
      <c r="AN54" s="23"/>
      <c r="AO54" s="23"/>
      <c r="AQ54" s="3">
        <f>'Year Over Year'!AR54</f>
        <v>0</v>
      </c>
      <c r="AR54" s="23"/>
      <c r="AS54" s="23"/>
      <c r="AU54" s="3">
        <f t="shared" si="55"/>
        <v>0</v>
      </c>
      <c r="AV54" s="23"/>
      <c r="AW54" s="23"/>
      <c r="AY54" s="3">
        <f>'Year Over Year'!AZ54</f>
        <v>0</v>
      </c>
      <c r="AZ54" s="23"/>
      <c r="BA54" s="23"/>
      <c r="BC54" s="3">
        <f>'Year Over Year'!BD54</f>
        <v>0</v>
      </c>
      <c r="BD54" s="23"/>
      <c r="BE54" s="23"/>
      <c r="BG54" s="3">
        <f>'Year Over Year'!BH54</f>
        <v>0</v>
      </c>
      <c r="BH54" s="23"/>
      <c r="BI54" s="23"/>
      <c r="BK54" s="3">
        <f t="shared" si="56"/>
        <v>0</v>
      </c>
      <c r="BL54" s="23"/>
      <c r="BM54" s="23"/>
      <c r="BO54" s="16">
        <f>C54+G54+K54+S54+W54</f>
        <v>0</v>
      </c>
      <c r="BP54" s="23"/>
      <c r="BQ54" s="23"/>
      <c r="BR54" s="20"/>
      <c r="BS54" s="24"/>
      <c r="BT54" s="23"/>
    </row>
    <row r="55" spans="1:72" x14ac:dyDescent="0.25">
      <c r="A55" t="s">
        <v>75</v>
      </c>
      <c r="C55" s="3">
        <f>'Year Over Year'!D55</f>
        <v>6057.058</v>
      </c>
      <c r="F55" s="17"/>
      <c r="G55" s="3">
        <f>'Year Over Year'!H55</f>
        <v>1799</v>
      </c>
      <c r="H55" s="23"/>
      <c r="I55" s="23"/>
      <c r="K55" s="3">
        <f>'Year Over Year'!L55</f>
        <v>1653</v>
      </c>
      <c r="L55" s="23"/>
      <c r="M55" s="23"/>
      <c r="O55" s="3">
        <f t="shared" si="53"/>
        <v>9509.0580000000009</v>
      </c>
      <c r="P55" s="23"/>
      <c r="Q55" s="23"/>
      <c r="S55" s="3">
        <f>'Year Over Year'!T55</f>
        <v>2952</v>
      </c>
      <c r="T55" s="23"/>
      <c r="U55" s="23"/>
      <c r="W55" s="3">
        <f>'Year Over Year'!X55</f>
        <v>4130</v>
      </c>
      <c r="X55" s="23"/>
      <c r="Y55" s="23"/>
      <c r="AA55" s="3">
        <f>'Year Over Year'!AB55</f>
        <v>3837</v>
      </c>
      <c r="AB55" s="23"/>
      <c r="AC55" s="23"/>
      <c r="AE55" s="3">
        <f t="shared" si="54"/>
        <v>10919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5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6"/>
        <v>0</v>
      </c>
      <c r="BL55" s="23"/>
      <c r="BM55" s="23"/>
      <c r="BO55" s="16">
        <f>C55+G55+K55+S55+W55+AA55</f>
        <v>20428.058000000001</v>
      </c>
      <c r="BP55" s="23"/>
      <c r="BQ55" s="23"/>
      <c r="BR55" s="20"/>
      <c r="BS55" s="24"/>
      <c r="BT55" s="23"/>
    </row>
    <row r="56" spans="1:72" x14ac:dyDescent="0.25">
      <c r="C56" s="3"/>
      <c r="F56" s="17"/>
      <c r="G56" s="3"/>
      <c r="H56" s="23"/>
      <c r="I56" s="23"/>
      <c r="K56" s="3"/>
      <c r="L56" s="23"/>
      <c r="M56" s="23"/>
      <c r="O56" s="3"/>
      <c r="P56" s="23"/>
      <c r="Q56" s="23"/>
      <c r="S56" s="3"/>
      <c r="T56" s="23"/>
      <c r="U56" s="23"/>
      <c r="W56" s="3"/>
      <c r="X56" s="23"/>
      <c r="Y56" s="23"/>
      <c r="AA56" s="3"/>
      <c r="AB56" s="23"/>
      <c r="AC56" s="23"/>
      <c r="AE56" s="3"/>
      <c r="AF56" s="23"/>
      <c r="AG56" s="23"/>
      <c r="AI56" s="3"/>
      <c r="AJ56" s="23"/>
      <c r="AK56" s="23"/>
      <c r="AM56" s="3"/>
      <c r="AN56" s="23"/>
      <c r="AO56" s="23"/>
      <c r="AQ56" s="3"/>
      <c r="AR56" s="23"/>
      <c r="AS56" s="23"/>
      <c r="AU56" s="3"/>
      <c r="AV56" s="23"/>
      <c r="AW56" s="23"/>
      <c r="AY56" s="3"/>
      <c r="AZ56" s="23"/>
      <c r="BA56" s="23"/>
      <c r="BC56" s="3"/>
      <c r="BD56" s="23"/>
      <c r="BE56" s="23"/>
      <c r="BG56" s="3"/>
      <c r="BH56" s="23"/>
      <c r="BI56" s="23"/>
      <c r="BK56" s="3"/>
      <c r="BL56" s="23"/>
      <c r="BM56" s="23"/>
      <c r="BO56" s="16"/>
      <c r="BP56" s="23"/>
      <c r="BQ56" s="23"/>
      <c r="BR56" s="20"/>
      <c r="BS56" s="24"/>
      <c r="BT56" s="23"/>
    </row>
    <row r="57" spans="1:72" x14ac:dyDescent="0.25">
      <c r="A57" s="1" t="s">
        <v>3</v>
      </c>
      <c r="C57" s="3"/>
      <c r="F57" s="17"/>
      <c r="G57" s="3"/>
      <c r="H57" s="23"/>
      <c r="I57" s="23"/>
      <c r="K57" s="3">
        <f>'Year Over Year'!L57</f>
        <v>0</v>
      </c>
      <c r="L57" s="23"/>
      <c r="M57" s="23"/>
      <c r="O57" s="3"/>
      <c r="P57" s="23"/>
      <c r="Q57" s="23"/>
      <c r="S57" s="3"/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/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5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6"/>
        <v>0</v>
      </c>
      <c r="BL57" s="23"/>
      <c r="BM57" s="23"/>
      <c r="BO57" s="16"/>
      <c r="BP57" s="23"/>
      <c r="BQ57" s="23"/>
      <c r="BR57" s="20"/>
      <c r="BS57" s="24"/>
      <c r="BT57" s="23"/>
    </row>
    <row r="58" spans="1:72" x14ac:dyDescent="0.25">
      <c r="A58" s="11" t="s">
        <v>13</v>
      </c>
      <c r="C58" s="3">
        <f>'Year Over Year'!D58</f>
        <v>0</v>
      </c>
      <c r="F58" s="17"/>
      <c r="G58" s="3">
        <f>'Year Over Year'!H58</f>
        <v>28</v>
      </c>
      <c r="H58" s="23"/>
      <c r="I58" s="23"/>
      <c r="K58" s="3">
        <f>'Year Over Year'!L58</f>
        <v>175</v>
      </c>
      <c r="L58" s="23"/>
      <c r="M58" s="23"/>
      <c r="O58" s="3">
        <f t="shared" si="53"/>
        <v>203</v>
      </c>
      <c r="P58" s="23"/>
      <c r="Q58" s="23"/>
      <c r="S58" s="3">
        <f>'Year Over Year'!T58</f>
        <v>12</v>
      </c>
      <c r="T58" s="23"/>
      <c r="U58" s="23"/>
      <c r="W58" s="3">
        <f>'Year Over Year'!X58</f>
        <v>2177</v>
      </c>
      <c r="X58" s="23"/>
      <c r="Y58" s="23"/>
      <c r="AA58" s="3">
        <f>'Year Over Year'!AB58</f>
        <v>0</v>
      </c>
      <c r="AB58" s="23"/>
      <c r="AC58" s="23"/>
      <c r="AE58" s="3">
        <f t="shared" si="54"/>
        <v>2189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5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6"/>
        <v>0</v>
      </c>
      <c r="BL58" s="23"/>
      <c r="BM58" s="23"/>
      <c r="BO58" s="16">
        <f>C58+G58+K58+S58+W58+AA58</f>
        <v>2392</v>
      </c>
      <c r="BP58" s="23"/>
      <c r="BQ58" s="23"/>
      <c r="BR58" s="20"/>
      <c r="BS58" s="24"/>
      <c r="BT58" s="23"/>
    </row>
    <row r="59" spans="1:72" x14ac:dyDescent="0.25">
      <c r="A59" s="11" t="s">
        <v>14</v>
      </c>
      <c r="C59" s="3">
        <f>'Year Over Year'!D59</f>
        <v>0</v>
      </c>
      <c r="F59" s="17"/>
      <c r="G59" s="3">
        <f>'Year Over Year'!H59</f>
        <v>313</v>
      </c>
      <c r="H59" s="23"/>
      <c r="I59" s="23"/>
      <c r="K59" s="3">
        <f>'Year Over Year'!L59</f>
        <v>50</v>
      </c>
      <c r="L59" s="23"/>
      <c r="M59" s="23"/>
      <c r="O59" s="3">
        <f t="shared" si="53"/>
        <v>363</v>
      </c>
      <c r="P59" s="23"/>
      <c r="Q59" s="23"/>
      <c r="S59" s="3">
        <f>'Year Over Year'!T59</f>
        <v>117</v>
      </c>
      <c r="T59" s="23"/>
      <c r="U59" s="23"/>
      <c r="W59" s="3">
        <f>'Year Over Year'!X59</f>
        <v>292</v>
      </c>
      <c r="X59" s="23"/>
      <c r="Y59" s="23"/>
      <c r="AA59" s="3">
        <f>'Year Over Year'!AB59</f>
        <v>19</v>
      </c>
      <c r="AB59" s="23"/>
      <c r="AC59" s="23"/>
      <c r="AE59" s="3">
        <f t="shared" si="54"/>
        <v>428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5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6"/>
        <v>0</v>
      </c>
      <c r="BL59" s="23"/>
      <c r="BM59" s="23"/>
      <c r="BO59" s="16">
        <f>C59+G59+K59+S59+W59+AA59</f>
        <v>791</v>
      </c>
      <c r="BP59" s="23"/>
      <c r="BQ59" s="23"/>
      <c r="BR59" s="20"/>
      <c r="BS59" s="24"/>
      <c r="BT59" s="23"/>
    </row>
    <row r="60" spans="1:72" x14ac:dyDescent="0.25">
      <c r="A60" s="11" t="s">
        <v>15</v>
      </c>
      <c r="C60" s="3">
        <f>'Year Over Year'!D60</f>
        <v>435</v>
      </c>
      <c r="F60" s="17"/>
      <c r="G60" s="3">
        <f>'Year Over Year'!H60</f>
        <v>146</v>
      </c>
      <c r="H60" s="23"/>
      <c r="I60" s="23"/>
      <c r="K60" s="3">
        <f>'Year Over Year'!L60</f>
        <v>1048</v>
      </c>
      <c r="L60" s="23"/>
      <c r="M60" s="23"/>
      <c r="O60" s="3">
        <f t="shared" si="53"/>
        <v>1629</v>
      </c>
      <c r="P60" s="23"/>
      <c r="Q60" s="23"/>
      <c r="S60" s="3">
        <f>'Year Over Year'!T60</f>
        <v>551</v>
      </c>
      <c r="T60" s="23"/>
      <c r="U60" s="23"/>
      <c r="W60" s="3">
        <f>'Year Over Year'!X60</f>
        <v>423</v>
      </c>
      <c r="X60" s="23"/>
      <c r="Y60" s="23"/>
      <c r="AA60" s="3">
        <f>'Year Over Year'!AB60</f>
        <v>2279</v>
      </c>
      <c r="AB60" s="23"/>
      <c r="AC60" s="23"/>
      <c r="AE60" s="3">
        <f t="shared" si="54"/>
        <v>3253</v>
      </c>
      <c r="AF60" s="23"/>
      <c r="AG60" s="23"/>
      <c r="AI60" s="3">
        <f>'Year Over Year'!AJ60</f>
        <v>0</v>
      </c>
      <c r="AJ60" s="23"/>
      <c r="AK60" s="23"/>
      <c r="AM60" s="3">
        <f>'Year Over Year'!AN60</f>
        <v>0</v>
      </c>
      <c r="AN60" s="23"/>
      <c r="AO60" s="23"/>
      <c r="AQ60" s="3">
        <f>'Year Over Year'!AR60</f>
        <v>0</v>
      </c>
      <c r="AR60" s="23"/>
      <c r="AS60" s="23"/>
      <c r="AU60" s="3">
        <f t="shared" si="55"/>
        <v>0</v>
      </c>
      <c r="AV60" s="23"/>
      <c r="AW60" s="23"/>
      <c r="AY60" s="3">
        <f>'Year Over Year'!AZ60</f>
        <v>0</v>
      </c>
      <c r="AZ60" s="23"/>
      <c r="BA60" s="23"/>
      <c r="BC60" s="3">
        <f>'Year Over Year'!BD60</f>
        <v>0</v>
      </c>
      <c r="BD60" s="23"/>
      <c r="BE60" s="23"/>
      <c r="BG60" s="3">
        <f>'Year Over Year'!BH60</f>
        <v>0</v>
      </c>
      <c r="BH60" s="23"/>
      <c r="BI60" s="23"/>
      <c r="BK60" s="3">
        <f t="shared" si="56"/>
        <v>0</v>
      </c>
      <c r="BL60" s="23"/>
      <c r="BM60" s="23"/>
      <c r="BO60" s="16">
        <f>C60+G60+K60+S60+W60+AA60</f>
        <v>4882</v>
      </c>
      <c r="BP60" s="23"/>
      <c r="BQ60" s="23"/>
      <c r="BR60" s="20"/>
      <c r="BS60" s="24"/>
      <c r="BT60" s="23"/>
    </row>
    <row r="61" spans="1:72" x14ac:dyDescent="0.25">
      <c r="A61" s="11" t="s">
        <v>16</v>
      </c>
      <c r="C61" s="3">
        <f>'Year Over Year'!D61</f>
        <v>175</v>
      </c>
      <c r="F61" s="17"/>
      <c r="G61" s="3">
        <f>'Year Over Year'!H61</f>
        <v>5281</v>
      </c>
      <c r="H61" s="23"/>
      <c r="I61" s="23"/>
      <c r="K61" s="3">
        <f>'Year Over Year'!L61</f>
        <v>4254</v>
      </c>
      <c r="L61" s="23"/>
      <c r="M61" s="23"/>
      <c r="O61" s="3">
        <f t="shared" si="53"/>
        <v>9710</v>
      </c>
      <c r="P61" s="23"/>
      <c r="Q61" s="23"/>
      <c r="S61" s="3">
        <f>'Year Over Year'!T61</f>
        <v>-701</v>
      </c>
      <c r="T61" s="23"/>
      <c r="U61" s="23"/>
      <c r="W61" s="3">
        <f>'Year Over Year'!X61</f>
        <v>355</v>
      </c>
      <c r="X61" s="23"/>
      <c r="Y61" s="23"/>
      <c r="AA61" s="3">
        <f>'Year Over Year'!AB61</f>
        <v>121</v>
      </c>
      <c r="AB61" s="23"/>
      <c r="AC61" s="23"/>
      <c r="AE61" s="3">
        <f t="shared" si="54"/>
        <v>-225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5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6"/>
        <v>0</v>
      </c>
      <c r="BL61" s="23"/>
      <c r="BM61" s="23"/>
      <c r="BO61" s="16">
        <f>C61+G61+K61+S61+W61+AA61</f>
        <v>9485</v>
      </c>
      <c r="BP61" s="23"/>
      <c r="BQ61" s="23"/>
      <c r="BR61" s="20"/>
      <c r="BS61" s="24"/>
      <c r="BT61" s="23"/>
    </row>
    <row r="62" spans="1:72" x14ac:dyDescent="0.25">
      <c r="A62" s="11"/>
      <c r="C62" s="3"/>
      <c r="F62" s="17"/>
      <c r="G62" s="3"/>
      <c r="H62" s="23"/>
      <c r="I62" s="23"/>
      <c r="K62" s="3"/>
      <c r="L62" s="23"/>
      <c r="M62" s="23"/>
      <c r="O62" s="3"/>
      <c r="P62" s="23"/>
      <c r="Q62" s="23"/>
      <c r="S62" s="3"/>
      <c r="T62" s="23"/>
      <c r="U62" s="23"/>
      <c r="W62" s="3"/>
      <c r="X62" s="23"/>
      <c r="Y62" s="23"/>
      <c r="AA62" s="3"/>
      <c r="AB62" s="23"/>
      <c r="AC62" s="23"/>
      <c r="AE62" s="3"/>
      <c r="AF62" s="23"/>
      <c r="AG62" s="23"/>
      <c r="AI62" s="3"/>
      <c r="AJ62" s="23"/>
      <c r="AK62" s="23"/>
      <c r="AM62" s="3"/>
      <c r="AN62" s="23"/>
      <c r="AO62" s="23"/>
      <c r="AQ62" s="3"/>
      <c r="AR62" s="23"/>
      <c r="AS62" s="23"/>
      <c r="AU62" s="3"/>
      <c r="AV62" s="23"/>
      <c r="AW62" s="23"/>
      <c r="AY62" s="3"/>
      <c r="AZ62" s="23"/>
      <c r="BA62" s="23"/>
      <c r="BC62" s="3"/>
      <c r="BD62" s="23"/>
      <c r="BE62" s="23"/>
      <c r="BG62" s="3"/>
      <c r="BH62" s="23"/>
      <c r="BI62" s="23"/>
      <c r="BK62" s="3"/>
      <c r="BL62" s="23"/>
      <c r="BM62" s="23"/>
      <c r="BO62" s="16"/>
      <c r="BP62" s="23"/>
      <c r="BQ62" s="23"/>
      <c r="BR62" s="20"/>
      <c r="BS62" s="24"/>
      <c r="BT62" s="23"/>
    </row>
    <row r="63" spans="1:72" x14ac:dyDescent="0.25">
      <c r="A63" s="1" t="s">
        <v>4</v>
      </c>
      <c r="C63" s="3"/>
      <c r="F63" s="17"/>
      <c r="G63" s="3"/>
      <c r="H63" s="23"/>
      <c r="I63" s="23"/>
      <c r="K63" s="3">
        <f>'Year Over Year'!L63</f>
        <v>0</v>
      </c>
      <c r="L63" s="23"/>
      <c r="M63" s="23"/>
      <c r="O63" s="3"/>
      <c r="P63" s="23"/>
      <c r="Q63" s="23"/>
      <c r="S63" s="3"/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/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5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6"/>
        <v>0</v>
      </c>
      <c r="BL63" s="23"/>
      <c r="BM63" s="23"/>
      <c r="BO63" s="16"/>
      <c r="BP63" s="23"/>
      <c r="BQ63" s="23"/>
      <c r="BR63" s="20"/>
      <c r="BS63" s="24"/>
      <c r="BT63" s="23"/>
    </row>
    <row r="64" spans="1:72" hidden="1" x14ac:dyDescent="0.25">
      <c r="A64" t="s">
        <v>93</v>
      </c>
      <c r="C64" s="3">
        <f>'Year Over Year'!D64</f>
        <v>0</v>
      </c>
      <c r="F64" s="17"/>
      <c r="G64" s="3">
        <f>'Year Over Year'!H64</f>
        <v>0</v>
      </c>
      <c r="H64" s="23"/>
      <c r="I64" s="23"/>
      <c r="K64" s="3">
        <f>'Year Over Year'!L64</f>
        <v>0</v>
      </c>
      <c r="L64" s="23"/>
      <c r="M64" s="23"/>
      <c r="O64" s="3">
        <f t="shared" si="53"/>
        <v>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4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5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6"/>
        <v>0</v>
      </c>
      <c r="BL64" s="23"/>
      <c r="BM64" s="23"/>
      <c r="BO64" s="16">
        <f>C64+G64+K64+S64+W64</f>
        <v>0</v>
      </c>
      <c r="BP64" s="23"/>
      <c r="BQ64" s="23"/>
      <c r="BR64" s="20"/>
      <c r="BS64" s="24"/>
      <c r="BT64" s="23"/>
    </row>
    <row r="65" spans="1:72" hidden="1" x14ac:dyDescent="0.25">
      <c r="A65" t="s">
        <v>17</v>
      </c>
      <c r="C65" s="3">
        <f>'Year Over Year'!D65</f>
        <v>0</v>
      </c>
      <c r="F65" s="17"/>
      <c r="G65" s="3">
        <f>'Year Over Year'!H65</f>
        <v>0</v>
      </c>
      <c r="H65" s="23"/>
      <c r="I65" s="23"/>
      <c r="K65" s="3">
        <f>'Year Over Year'!L65</f>
        <v>0</v>
      </c>
      <c r="L65" s="23"/>
      <c r="M65" s="23"/>
      <c r="O65" s="3">
        <f t="shared" si="53"/>
        <v>0</v>
      </c>
      <c r="P65" s="23"/>
      <c r="Q65" s="23"/>
      <c r="S65" s="3">
        <f>'Year Over Year'!T65</f>
        <v>0</v>
      </c>
      <c r="T65" s="23"/>
      <c r="U65" s="23"/>
      <c r="W65" s="3">
        <f>'Year Over Year'!X65</f>
        <v>0</v>
      </c>
      <c r="X65" s="23"/>
      <c r="Y65" s="23"/>
      <c r="AA65" s="3">
        <f>'Year Over Year'!AB65</f>
        <v>0</v>
      </c>
      <c r="AB65" s="23"/>
      <c r="AC65" s="23"/>
      <c r="AE65" s="3">
        <f t="shared" si="54"/>
        <v>0</v>
      </c>
      <c r="AF65" s="23"/>
      <c r="AG65" s="23"/>
      <c r="AI65" s="3">
        <f>'Year Over Year'!AJ65</f>
        <v>0</v>
      </c>
      <c r="AJ65" s="23"/>
      <c r="AK65" s="23"/>
      <c r="AM65" s="3">
        <f>'Year Over Year'!AN65</f>
        <v>0</v>
      </c>
      <c r="AN65" s="23"/>
      <c r="AO65" s="23"/>
      <c r="AQ65" s="3">
        <f>'Year Over Year'!AR65</f>
        <v>0</v>
      </c>
      <c r="AR65" s="23"/>
      <c r="AS65" s="23"/>
      <c r="AU65" s="3">
        <f t="shared" si="55"/>
        <v>0</v>
      </c>
      <c r="AV65" s="23"/>
      <c r="AW65" s="23"/>
      <c r="AY65" s="3">
        <f>'Year Over Year'!AZ65</f>
        <v>0</v>
      </c>
      <c r="AZ65" s="23"/>
      <c r="BA65" s="23"/>
      <c r="BC65" s="3">
        <f>'Year Over Year'!BD65</f>
        <v>0</v>
      </c>
      <c r="BD65" s="23"/>
      <c r="BE65" s="23"/>
      <c r="BG65" s="3">
        <f>'Year Over Year'!BH65</f>
        <v>0</v>
      </c>
      <c r="BH65" s="23"/>
      <c r="BI65" s="23"/>
      <c r="BK65" s="3">
        <f t="shared" si="56"/>
        <v>0</v>
      </c>
      <c r="BL65" s="23"/>
      <c r="BM65" s="23"/>
      <c r="BO65" s="16">
        <f>C65+G65+K65+S65+W65</f>
        <v>0</v>
      </c>
      <c r="BP65" s="23"/>
      <c r="BQ65" s="23"/>
      <c r="BR65" s="20"/>
      <c r="BS65" s="24"/>
      <c r="BT65" s="23"/>
    </row>
    <row r="66" spans="1:72" x14ac:dyDescent="0.25">
      <c r="A66" t="s">
        <v>94</v>
      </c>
      <c r="C66" s="3">
        <f>'Year Over Year'!D66</f>
        <v>270</v>
      </c>
      <c r="F66" s="17"/>
      <c r="G66" s="3">
        <f>'Year Over Year'!H66</f>
        <v>5313</v>
      </c>
      <c r="H66" s="23"/>
      <c r="I66" s="23"/>
      <c r="K66" s="3">
        <f>'Year Over Year'!L66</f>
        <v>5297</v>
      </c>
      <c r="L66" s="23"/>
      <c r="M66" s="23"/>
      <c r="O66" s="3">
        <f t="shared" si="53"/>
        <v>10880</v>
      </c>
      <c r="P66" s="23"/>
      <c r="Q66" s="23"/>
      <c r="S66" s="3">
        <f>'Year Over Year'!T66</f>
        <v>16400</v>
      </c>
      <c r="T66" s="23"/>
      <c r="U66" s="23"/>
      <c r="W66" s="3">
        <f>'Year Over Year'!X66</f>
        <v>81177</v>
      </c>
      <c r="X66" s="23"/>
      <c r="Y66" s="23"/>
      <c r="AA66" s="3">
        <f>'Year Over Year'!AB66</f>
        <v>2138</v>
      </c>
      <c r="AB66" s="23"/>
      <c r="AC66" s="23"/>
      <c r="AE66" s="3">
        <f t="shared" si="54"/>
        <v>99715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5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6"/>
        <v>0</v>
      </c>
      <c r="BL66" s="23"/>
      <c r="BM66" s="23"/>
      <c r="BO66" s="16">
        <f>C66+G66+K66+S66+W66+AA66</f>
        <v>110595</v>
      </c>
      <c r="BP66" s="23"/>
      <c r="BQ66" s="23"/>
      <c r="BR66" s="20"/>
      <c r="BS66" s="24"/>
      <c r="BT66" s="23"/>
    </row>
    <row r="67" spans="1:72" x14ac:dyDescent="0.25">
      <c r="C67" s="3"/>
      <c r="F67" s="17"/>
      <c r="G67" s="3"/>
      <c r="H67" s="23"/>
      <c r="I67" s="23"/>
      <c r="K67" s="3"/>
      <c r="L67" s="23"/>
      <c r="M67" s="23"/>
      <c r="O67" s="3"/>
      <c r="P67" s="23"/>
      <c r="Q67" s="23"/>
      <c r="S67" s="3"/>
      <c r="T67" s="23"/>
      <c r="U67" s="23"/>
      <c r="W67" s="3"/>
      <c r="X67" s="23"/>
      <c r="Y67" s="23"/>
      <c r="AA67" s="3"/>
      <c r="AB67" s="23"/>
      <c r="AC67" s="23"/>
      <c r="AE67" s="3"/>
      <c r="AF67" s="23"/>
      <c r="AG67" s="23"/>
      <c r="AI67" s="3"/>
      <c r="AJ67" s="23"/>
      <c r="AK67" s="23"/>
      <c r="AM67" s="3"/>
      <c r="AN67" s="23"/>
      <c r="AO67" s="23"/>
      <c r="AQ67" s="3"/>
      <c r="AR67" s="23"/>
      <c r="AS67" s="23"/>
      <c r="AU67" s="3"/>
      <c r="AV67" s="23"/>
      <c r="AW67" s="23"/>
      <c r="AY67" s="3"/>
      <c r="AZ67" s="23"/>
      <c r="BA67" s="23"/>
      <c r="BC67" s="3"/>
      <c r="BD67" s="23"/>
      <c r="BE67" s="23"/>
      <c r="BG67" s="3"/>
      <c r="BH67" s="23"/>
      <c r="BI67" s="23"/>
      <c r="BK67" s="3"/>
      <c r="BL67" s="23"/>
      <c r="BM67" s="23"/>
      <c r="BO67" s="16"/>
      <c r="BP67" s="23"/>
      <c r="BQ67" s="23"/>
      <c r="BR67" s="20"/>
      <c r="BS67" s="24"/>
      <c r="BT67" s="23"/>
    </row>
    <row r="68" spans="1:72" x14ac:dyDescent="0.25">
      <c r="A68" t="s">
        <v>95</v>
      </c>
      <c r="C68" s="3">
        <f>'Year Over Year'!D68</f>
        <v>2350.7280000000001</v>
      </c>
      <c r="F68" s="17"/>
      <c r="G68" s="3">
        <f>'Year Over Year'!H68</f>
        <v>774</v>
      </c>
      <c r="H68" s="23"/>
      <c r="I68" s="23"/>
      <c r="K68" s="3">
        <f>'Year Over Year'!L68</f>
        <v>-372</v>
      </c>
      <c r="L68" s="23"/>
      <c r="M68" s="23"/>
      <c r="O68" s="3">
        <f t="shared" si="53"/>
        <v>2752.7280000000001</v>
      </c>
      <c r="P68" s="23"/>
      <c r="Q68" s="23"/>
      <c r="S68" s="3">
        <f>'Year Over Year'!T68</f>
        <v>566</v>
      </c>
      <c r="T68" s="23"/>
      <c r="U68" s="23"/>
      <c r="W68" s="3">
        <f>'Year Over Year'!X68</f>
        <v>1676</v>
      </c>
      <c r="X68" s="23"/>
      <c r="Y68" s="23"/>
      <c r="AA68" s="3">
        <f>'Year Over Year'!AB68</f>
        <v>394</v>
      </c>
      <c r="AB68" s="23"/>
      <c r="AC68" s="23"/>
      <c r="AE68" s="3">
        <f t="shared" si="54"/>
        <v>2636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5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6"/>
        <v>0</v>
      </c>
      <c r="BL68" s="23"/>
      <c r="BM68" s="23"/>
      <c r="BO68" s="16">
        <f t="shared" ref="BO68:BO73" si="57">C68+G68+K68+S68+W68+AA68</f>
        <v>5388.7280000000001</v>
      </c>
      <c r="BP68" s="23"/>
      <c r="BQ68" s="23"/>
      <c r="BR68" s="20"/>
      <c r="BS68" s="24"/>
      <c r="BT68" s="23"/>
    </row>
    <row r="69" spans="1:72" x14ac:dyDescent="0.25">
      <c r="A69" t="s">
        <v>5</v>
      </c>
      <c r="C69" s="3">
        <f>'Year Over Year'!D69</f>
        <v>5749.63</v>
      </c>
      <c r="F69" s="17"/>
      <c r="G69" s="3">
        <f>'Year Over Year'!H69</f>
        <v>9</v>
      </c>
      <c r="H69" s="23"/>
      <c r="I69" s="23"/>
      <c r="K69" s="3">
        <f>'Year Over Year'!L69</f>
        <v>0</v>
      </c>
      <c r="L69" s="23"/>
      <c r="M69" s="23"/>
      <c r="O69" s="3">
        <f t="shared" si="53"/>
        <v>5758.63</v>
      </c>
      <c r="P69" s="23"/>
      <c r="Q69" s="23"/>
      <c r="S69" s="3">
        <f>'Year Over Year'!T69</f>
        <v>0</v>
      </c>
      <c r="T69" s="23"/>
      <c r="U69" s="23"/>
      <c r="W69" s="3">
        <f>'Year Over Year'!X69</f>
        <v>0</v>
      </c>
      <c r="X69" s="23"/>
      <c r="Y69" s="23"/>
      <c r="AA69" s="3">
        <f>'Year Over Year'!AB69</f>
        <v>0</v>
      </c>
      <c r="AB69" s="23"/>
      <c r="AC69" s="23"/>
      <c r="AE69" s="3">
        <f t="shared" si="54"/>
        <v>0</v>
      </c>
      <c r="AF69" s="23"/>
      <c r="AG69" s="23"/>
      <c r="AI69" s="3">
        <f>'Year Over Year'!AJ69</f>
        <v>0</v>
      </c>
      <c r="AJ69" s="23"/>
      <c r="AK69" s="23"/>
      <c r="AM69" s="3">
        <f>'Year Over Year'!AN69</f>
        <v>0</v>
      </c>
      <c r="AN69" s="23"/>
      <c r="AO69" s="23"/>
      <c r="AQ69" s="3">
        <f>'Year Over Year'!AR69</f>
        <v>0</v>
      </c>
      <c r="AR69" s="23"/>
      <c r="AS69" s="23"/>
      <c r="AU69" s="3">
        <f t="shared" si="55"/>
        <v>0</v>
      </c>
      <c r="AV69" s="23"/>
      <c r="AW69" s="23"/>
      <c r="AY69" s="3">
        <f>'Year Over Year'!AZ69</f>
        <v>0</v>
      </c>
      <c r="AZ69" s="23"/>
      <c r="BA69" s="23"/>
      <c r="BC69" s="3">
        <f>'Year Over Year'!BD69</f>
        <v>0</v>
      </c>
      <c r="BD69" s="23"/>
      <c r="BE69" s="23"/>
      <c r="BG69" s="3">
        <f>'Year Over Year'!BH69</f>
        <v>0</v>
      </c>
      <c r="BH69" s="23"/>
      <c r="BI69" s="23"/>
      <c r="BK69" s="3">
        <f t="shared" si="56"/>
        <v>0</v>
      </c>
      <c r="BL69" s="23"/>
      <c r="BM69" s="23"/>
      <c r="BO69" s="16">
        <f t="shared" si="57"/>
        <v>5758.63</v>
      </c>
      <c r="BP69" s="23"/>
      <c r="BQ69" s="23"/>
      <c r="BR69" s="20"/>
      <c r="BS69" s="24"/>
      <c r="BT69" s="23"/>
    </row>
    <row r="70" spans="1:72" x14ac:dyDescent="0.25">
      <c r="A70" t="s">
        <v>98</v>
      </c>
      <c r="C70" s="3"/>
      <c r="F70" s="17"/>
      <c r="G70" s="3"/>
      <c r="H70" s="23"/>
      <c r="I70" s="23"/>
      <c r="K70" s="3"/>
      <c r="L70" s="23"/>
      <c r="M70" s="23"/>
      <c r="O70" s="3">
        <f>C70+G70+K70</f>
        <v>0</v>
      </c>
      <c r="P70" s="23"/>
      <c r="Q70" s="23"/>
      <c r="S70" s="3">
        <f>'Year Over Year'!T70</f>
        <v>0</v>
      </c>
      <c r="T70" s="23"/>
      <c r="U70" s="23"/>
      <c r="W70" s="3">
        <f>'Year Over Year'!X70</f>
        <v>0</v>
      </c>
      <c r="X70" s="23"/>
      <c r="Y70" s="23"/>
      <c r="AA70" s="3">
        <f>'Year Over Year'!AB70</f>
        <v>3000</v>
      </c>
      <c r="AB70" s="23"/>
      <c r="AC70" s="23"/>
      <c r="AE70" s="3">
        <f t="shared" si="54"/>
        <v>3000</v>
      </c>
      <c r="AF70" s="23"/>
      <c r="AG70" s="23"/>
      <c r="AI70" s="3"/>
      <c r="AJ70" s="23"/>
      <c r="AK70" s="23"/>
      <c r="AM70" s="3"/>
      <c r="AN70" s="23"/>
      <c r="AO70" s="23"/>
      <c r="AQ70" s="3"/>
      <c r="AR70" s="23"/>
      <c r="AS70" s="23"/>
      <c r="AU70" s="3"/>
      <c r="AV70" s="23"/>
      <c r="AW70" s="23"/>
      <c r="AY70" s="3"/>
      <c r="AZ70" s="23"/>
      <c r="BA70" s="23"/>
      <c r="BC70" s="3"/>
      <c r="BD70" s="23"/>
      <c r="BE70" s="23"/>
      <c r="BG70" s="3"/>
      <c r="BH70" s="23"/>
      <c r="BI70" s="23"/>
      <c r="BK70" s="3"/>
      <c r="BL70" s="23"/>
      <c r="BM70" s="23"/>
      <c r="BO70" s="16">
        <f t="shared" si="57"/>
        <v>3000</v>
      </c>
      <c r="BP70" s="23"/>
      <c r="BQ70" s="23"/>
      <c r="BR70" s="20"/>
      <c r="BS70" s="24"/>
      <c r="BT70" s="23"/>
    </row>
    <row r="71" spans="1:72" x14ac:dyDescent="0.25">
      <c r="A71" t="s">
        <v>96</v>
      </c>
      <c r="C71" s="3"/>
      <c r="F71" s="17"/>
      <c r="G71" s="3"/>
      <c r="H71" s="23"/>
      <c r="I71" s="23"/>
      <c r="K71" s="3"/>
      <c r="L71" s="23"/>
      <c r="M71" s="23"/>
      <c r="O71" s="3">
        <v>0</v>
      </c>
      <c r="P71" s="23"/>
      <c r="Q71" s="23"/>
      <c r="S71" s="3">
        <f>'Year Over Year'!T71</f>
        <v>0</v>
      </c>
      <c r="T71" s="23"/>
      <c r="U71" s="23"/>
      <c r="W71" s="3">
        <f>'Year Over Year'!X71</f>
        <v>0</v>
      </c>
      <c r="X71" s="23"/>
      <c r="Y71" s="23"/>
      <c r="AA71" s="3">
        <f>'Year Over Year'!AB71</f>
        <v>0</v>
      </c>
      <c r="AB71" s="23"/>
      <c r="AC71" s="23"/>
      <c r="AE71" s="3">
        <f t="shared" si="54"/>
        <v>0</v>
      </c>
      <c r="AF71" s="23"/>
      <c r="AG71" s="23"/>
      <c r="AI71" s="3"/>
      <c r="AJ71" s="23"/>
      <c r="AK71" s="23"/>
      <c r="AM71" s="3"/>
      <c r="AN71" s="23"/>
      <c r="AO71" s="23"/>
      <c r="AQ71" s="3"/>
      <c r="AR71" s="23"/>
      <c r="AS71" s="23"/>
      <c r="AU71" s="3"/>
      <c r="AV71" s="23"/>
      <c r="AW71" s="23"/>
      <c r="AY71" s="3"/>
      <c r="AZ71" s="23"/>
      <c r="BA71" s="23"/>
      <c r="BC71" s="3"/>
      <c r="BD71" s="23"/>
      <c r="BE71" s="23"/>
      <c r="BG71" s="3"/>
      <c r="BH71" s="23"/>
      <c r="BI71" s="23"/>
      <c r="BK71" s="3"/>
      <c r="BL71" s="23"/>
      <c r="BM71" s="23"/>
      <c r="BO71" s="16">
        <f t="shared" si="57"/>
        <v>0</v>
      </c>
      <c r="BP71" s="23"/>
      <c r="BQ71" s="23"/>
      <c r="BR71" s="20"/>
      <c r="BS71" s="24"/>
      <c r="BT71" s="23"/>
    </row>
    <row r="72" spans="1:72" x14ac:dyDescent="0.25">
      <c r="A72" t="s">
        <v>6</v>
      </c>
      <c r="C72" s="3">
        <f>'Year Over Year'!D72</f>
        <v>56.213000000000001</v>
      </c>
      <c r="F72" s="17"/>
      <c r="G72" s="3">
        <f>'Year Over Year'!H72</f>
        <v>0</v>
      </c>
      <c r="H72" s="23"/>
      <c r="I72" s="23"/>
      <c r="K72" s="3">
        <f>'Year Over Year'!L72</f>
        <v>0</v>
      </c>
      <c r="L72" s="23"/>
      <c r="M72" s="23"/>
      <c r="O72" s="3">
        <f t="shared" si="53"/>
        <v>56.213000000000001</v>
      </c>
      <c r="P72" s="23"/>
      <c r="Q72" s="23"/>
      <c r="S72" s="3">
        <f>'Year Over Year'!T72</f>
        <v>393</v>
      </c>
      <c r="T72" s="23"/>
      <c r="U72" s="23"/>
      <c r="W72" s="3">
        <f>'Year Over Year'!X72</f>
        <v>50</v>
      </c>
      <c r="X72" s="23"/>
      <c r="Y72" s="23"/>
      <c r="AA72" s="3">
        <f>'Year Over Year'!AB72</f>
        <v>33</v>
      </c>
      <c r="AB72" s="23"/>
      <c r="AC72" s="23"/>
      <c r="AE72" s="3">
        <f t="shared" si="54"/>
        <v>476</v>
      </c>
      <c r="AF72" s="23"/>
      <c r="AG72" s="23"/>
      <c r="AI72" s="3">
        <f>'Year Over Year'!AJ72</f>
        <v>0</v>
      </c>
      <c r="AJ72" s="23"/>
      <c r="AK72" s="23"/>
      <c r="AM72" s="3">
        <f>'Year Over Year'!AN72</f>
        <v>0</v>
      </c>
      <c r="AN72" s="23"/>
      <c r="AO72" s="23"/>
      <c r="AQ72" s="3">
        <f>'Year Over Year'!AR72</f>
        <v>0</v>
      </c>
      <c r="AR72" s="23"/>
      <c r="AS72" s="23"/>
      <c r="AU72" s="3">
        <f t="shared" si="55"/>
        <v>0</v>
      </c>
      <c r="AV72" s="23"/>
      <c r="AW72" s="23"/>
      <c r="AY72" s="3">
        <f>'Year Over Year'!AZ72</f>
        <v>0</v>
      </c>
      <c r="AZ72" s="23"/>
      <c r="BA72" s="23"/>
      <c r="BC72" s="3">
        <f>'Year Over Year'!BD72</f>
        <v>0</v>
      </c>
      <c r="BD72" s="23"/>
      <c r="BE72" s="23"/>
      <c r="BG72" s="3">
        <f>'Year Over Year'!BH72</f>
        <v>0</v>
      </c>
      <c r="BH72" s="23"/>
      <c r="BI72" s="23"/>
      <c r="BK72" s="3">
        <f t="shared" si="56"/>
        <v>0</v>
      </c>
      <c r="BL72" s="23"/>
      <c r="BM72" s="23"/>
      <c r="BO72" s="16">
        <f t="shared" si="57"/>
        <v>532.21299999999997</v>
      </c>
      <c r="BP72" s="23"/>
      <c r="BQ72" s="23"/>
      <c r="BR72" s="20"/>
      <c r="BS72" s="24"/>
      <c r="BT72" s="23"/>
    </row>
    <row r="73" spans="1:72" x14ac:dyDescent="0.25">
      <c r="A73" t="s">
        <v>9</v>
      </c>
      <c r="C73" s="4">
        <f>'Year Over Year'!D73</f>
        <v>39.936999999999998</v>
      </c>
      <c r="F73" s="20"/>
      <c r="G73" s="4">
        <f>'Year Over Year'!H73</f>
        <v>144</v>
      </c>
      <c r="H73" s="23"/>
      <c r="I73" s="23"/>
      <c r="K73" s="4">
        <f>'Year Over Year'!L73</f>
        <v>108</v>
      </c>
      <c r="L73" s="23"/>
      <c r="M73" s="23"/>
      <c r="O73" s="4">
        <f t="shared" si="53"/>
        <v>291.93700000000001</v>
      </c>
      <c r="P73" s="23"/>
      <c r="Q73" s="23"/>
      <c r="S73" s="4">
        <f>'Year Over Year'!T73</f>
        <v>433</v>
      </c>
      <c r="T73" s="23"/>
      <c r="U73" s="23"/>
      <c r="W73" s="4">
        <f>'Year Over Year'!X73</f>
        <v>967</v>
      </c>
      <c r="X73" s="23"/>
      <c r="Y73" s="23"/>
      <c r="AA73" s="4">
        <f>'Year Over Year'!AB73</f>
        <v>873</v>
      </c>
      <c r="AB73" s="23"/>
      <c r="AC73" s="23"/>
      <c r="AE73" s="4">
        <f t="shared" si="54"/>
        <v>2273</v>
      </c>
      <c r="AF73" s="23"/>
      <c r="AG73" s="23"/>
      <c r="AI73" s="4">
        <f>'Year Over Year'!AJ73</f>
        <v>0</v>
      </c>
      <c r="AJ73" s="23"/>
      <c r="AK73" s="23"/>
      <c r="AM73" s="4">
        <f>'Year Over Year'!AN73</f>
        <v>0</v>
      </c>
      <c r="AN73" s="23"/>
      <c r="AO73" s="23"/>
      <c r="AQ73" s="4">
        <f>'Year Over Year'!AR73</f>
        <v>0</v>
      </c>
      <c r="AR73" s="23"/>
      <c r="AS73" s="23"/>
      <c r="AU73" s="4">
        <f t="shared" si="55"/>
        <v>0</v>
      </c>
      <c r="AV73" s="23"/>
      <c r="AW73" s="23"/>
      <c r="AY73" s="4">
        <f>'Year Over Year'!AZ73</f>
        <v>0</v>
      </c>
      <c r="AZ73" s="23"/>
      <c r="BA73" s="23"/>
      <c r="BC73" s="4">
        <f>'Year Over Year'!BD73</f>
        <v>0</v>
      </c>
      <c r="BD73" s="23"/>
      <c r="BE73" s="23"/>
      <c r="BG73" s="4">
        <f>'Year Over Year'!BH73</f>
        <v>0</v>
      </c>
      <c r="BH73" s="23"/>
      <c r="BI73" s="23"/>
      <c r="BK73" s="4">
        <f t="shared" si="56"/>
        <v>0</v>
      </c>
      <c r="BL73" s="23"/>
      <c r="BM73" s="23"/>
      <c r="BO73" s="18">
        <f t="shared" si="57"/>
        <v>2564.9369999999999</v>
      </c>
      <c r="BP73" s="23"/>
      <c r="BQ73" s="23"/>
      <c r="BR73" s="20"/>
      <c r="BS73" s="24"/>
      <c r="BT73" s="23"/>
    </row>
    <row r="74" spans="1:72" s="1" customFormat="1" x14ac:dyDescent="0.25">
      <c r="C74" s="12">
        <f>SUM(C45:C73)</f>
        <v>51411.442000000003</v>
      </c>
      <c r="F74" s="13"/>
      <c r="G74" s="12">
        <f>SUM(G45:G73)</f>
        <v>19048</v>
      </c>
      <c r="H74" s="12"/>
      <c r="I74" s="12"/>
      <c r="K74" s="12">
        <f>SUM(K45:K73)</f>
        <v>16879</v>
      </c>
      <c r="L74" s="12"/>
      <c r="M74" s="12"/>
      <c r="O74" s="12">
        <f>SUM(O45:O73)</f>
        <v>87338.542000000016</v>
      </c>
      <c r="P74" s="12"/>
      <c r="Q74" s="12"/>
      <c r="S74" s="12">
        <f>SUM(S45:S73)</f>
        <v>57409</v>
      </c>
      <c r="T74" s="12"/>
      <c r="U74" s="12"/>
      <c r="W74" s="12">
        <f>SUM(W45:W73)</f>
        <v>96625</v>
      </c>
      <c r="X74" s="12"/>
      <c r="Y74" s="12"/>
      <c r="AA74" s="12">
        <f>SUM(AA45:AA73)</f>
        <v>18303</v>
      </c>
      <c r="AB74" s="12"/>
      <c r="AC74" s="12"/>
      <c r="AE74" s="12">
        <f>SUM(AE45:AE73)</f>
        <v>172337</v>
      </c>
      <c r="AF74" s="12"/>
      <c r="AG74" s="12"/>
      <c r="AI74" s="12">
        <f>SUM(AI45:AI73)</f>
        <v>0</v>
      </c>
      <c r="AJ74" s="12"/>
      <c r="AK74" s="12"/>
      <c r="AM74" s="12">
        <f>SUM(AM45:AM73)</f>
        <v>0</v>
      </c>
      <c r="AN74" s="12"/>
      <c r="AO74" s="12"/>
      <c r="AQ74" s="12">
        <f>SUM(AQ45:AQ73)</f>
        <v>0</v>
      </c>
      <c r="AR74" s="12"/>
      <c r="AS74" s="12"/>
      <c r="AU74" s="12">
        <f>SUM(AU45:AU73)</f>
        <v>0</v>
      </c>
      <c r="AV74" s="12"/>
      <c r="AW74" s="12"/>
      <c r="AY74" s="12">
        <f>SUM(AY45:AY73)</f>
        <v>0</v>
      </c>
      <c r="AZ74" s="12"/>
      <c r="BA74" s="12"/>
      <c r="BC74" s="12">
        <f>SUM(BC45:BC73)</f>
        <v>0</v>
      </c>
      <c r="BD74" s="12"/>
      <c r="BE74" s="12"/>
      <c r="BG74" s="12">
        <f>SUM(BG45:BG73)</f>
        <v>0</v>
      </c>
      <c r="BH74" s="12"/>
      <c r="BI74" s="12"/>
      <c r="BK74" s="12">
        <f>SUM(BK45:BK73)</f>
        <v>0</v>
      </c>
      <c r="BL74" s="12"/>
      <c r="BM74" s="12"/>
      <c r="BO74" s="12">
        <f>SUM(BO45:BO73)</f>
        <v>259675.54199999999</v>
      </c>
      <c r="BP74" s="12"/>
      <c r="BQ74" s="12"/>
      <c r="BR74" s="13"/>
      <c r="BT74" s="12"/>
    </row>
  </sheetData>
  <mergeCells count="2">
    <mergeCell ref="BO6:BR6"/>
    <mergeCell ref="BO42:BR42"/>
  </mergeCells>
  <phoneticPr fontId="0" type="noConversion"/>
  <printOptions horizontalCentered="1" verticalCentered="1"/>
  <pageMargins left="0.27" right="0.2" top="0.21" bottom="0.25" header="0.17" footer="0.19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2001-07-18T14:17:00Z</cp:lastPrinted>
  <dcterms:created xsi:type="dcterms:W3CDTF">2001-02-23T21:22:57Z</dcterms:created>
  <dcterms:modified xsi:type="dcterms:W3CDTF">2023-09-10T15:20:04Z</dcterms:modified>
</cp:coreProperties>
</file>