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57" activeTab="15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<sst xmlns="http://schemas.openxmlformats.org/spreadsheetml/2006/main" count="827" uniqueCount="66">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</sst>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-2563224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-32637730</v>
          </cell>
        </row>
        <row r="22">
          <cell r="J22">
            <v>15320613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917620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10949679</v>
          </cell>
        </row>
        <row r="16">
          <cell r="K16">
            <v>-458168.25999999978</v>
          </cell>
        </row>
        <row r="47">
          <cell r="G47">
            <v>0</v>
          </cell>
          <cell r="I47" t="str">
            <v>Loan Outstanding for VM</v>
          </cell>
        </row>
      </sheetData>
      <sheetData sheetId="14">
        <row r="19">
          <cell r="J19">
            <v>150063397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484191</v>
          </cell>
        </row>
      </sheetData>
      <sheetData sheetId="19"/>
      <sheetData sheetId="20">
        <row r="12">
          <cell r="I12">
            <v>4833283.96</v>
          </cell>
        </row>
      </sheetData>
      <sheetData sheetId="21">
        <row r="16">
          <cell r="K16">
            <v>5882652</v>
          </cell>
        </row>
        <row r="17">
          <cell r="K17">
            <v>5882652</v>
          </cell>
        </row>
        <row r="47">
          <cell r="I47">
            <v>5882652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-5240.7200000000303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-5240.7200000000303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-5240.7200000000303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-5240.7200000000303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-5240.7200000000303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-34161.87000000001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-1198139.8200000059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-1198139.8200000059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-1198139.8200000059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-1198139.8200000059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-1198139.8200000059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217198.71000000046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217198.71000000046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217198.71000000046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217198.71000000046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217198.71000000046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217198.71000000046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74462664.565999806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74462664.565999806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74462664.565999806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74462664.565999806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74462664.565999806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74462664.565999806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163906019.38000005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163906019.38000005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163906019.38000005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163906019.38000005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163906019.38000005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-186433.97399997525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-186433.97399997525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-186433.97399997525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-186433.97399997525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-186433.97399997525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-186433.97399997525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664836.93000000343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664836.93000000343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664836.93000000343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664836.93000000343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664836.93000000343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664836.93000000343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-26121850.060000006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-26121850.060000006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-26121850.060000006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-26121850.060000006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-26121850.060000006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-26121850.060000006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2594487.318591</v>
          </cell>
          <cell r="CG1055">
            <v>101949.5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2594487.318591</v>
          </cell>
          <cell r="CG1097">
            <v>101949.5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2594487.318591</v>
          </cell>
          <cell r="CG1139">
            <v>101949.5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2594487.318591</v>
          </cell>
          <cell r="CG1181">
            <v>101949.5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2594487.318591</v>
          </cell>
          <cell r="CG1223">
            <v>101949.5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2594487.318591</v>
          </cell>
          <cell r="CG1265">
            <v>101949.5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1362127.0599999996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1362127.0599999996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1362127.0599999996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1362127.0599999996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1362127.0599999996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7" sqref="A27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455151.02600002475</v>
      </c>
      <c r="C8" s="68"/>
      <c r="D8" s="68">
        <f t="shared" ref="D8:D26" si="0">B8-C8</f>
        <v>455151.02600002475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SUMIF([15]Statements!$A$5:$A$1305,$A$3,[15]Statements!$FF$5:$FF$1305)+11288</f>
        <v>4619803.9705617065</v>
      </c>
      <c r="C12" s="68"/>
      <c r="D12" s="68">
        <f t="shared" si="0"/>
        <v>4619803.9705617065</v>
      </c>
      <c r="E12" s="68">
        <v>0</v>
      </c>
      <c r="F12" s="68">
        <f>'[1]CARR FUTURES'!$I$12</f>
        <v>4833283.96</v>
      </c>
      <c r="G12" s="68"/>
      <c r="H12" s="68">
        <f t="shared" si="1"/>
        <v>4833283.96</v>
      </c>
      <c r="I12" s="68"/>
      <c r="J12" s="68"/>
      <c r="K12" s="68"/>
      <c r="L12" s="68">
        <f t="shared" si="2"/>
        <v>-213479.9894382935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636229.32000000402</v>
      </c>
      <c r="C13" s="68"/>
      <c r="D13" s="68">
        <f t="shared" si="0"/>
        <v>636229.32000000402</v>
      </c>
      <c r="E13" s="68">
        <v>0</v>
      </c>
      <c r="F13" s="68">
        <f>'[1]CREDIT SUISSE FIRST BOSTON'!$I$12</f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152038.32000000402</v>
      </c>
      <c r="M13" s="12"/>
      <c r="N13" s="46"/>
      <c r="O13" s="46"/>
    </row>
    <row r="14" spans="1:17" x14ac:dyDescent="0.25">
      <c r="A14" t="s">
        <v>9</v>
      </c>
      <c r="B14" s="68">
        <f>SUMIF([16]Statements!$A$5:$A$1305,$A$3,[16]Statements!$CT$5:$CT$1305)-SUMIF([16]Statements!$A$5:$A$1305,$A$3,[16]Statements!$CX$5:$CX$1305)-5-553503</f>
        <v>47407264.895999767</v>
      </c>
      <c r="C14" s="68"/>
      <c r="D14" s="68">
        <f t="shared" si="0"/>
        <v>47407264.895999767</v>
      </c>
      <c r="E14" s="68">
        <f>+'[1]EDF MANN'!$J$20</f>
        <v>-32637730</v>
      </c>
      <c r="F14" s="68">
        <f>'[1]EDF MANN'!$J$22-553503</f>
        <v>14767110</v>
      </c>
      <c r="G14" s="69"/>
      <c r="H14" s="68">
        <f t="shared" si="1"/>
        <v>14767110</v>
      </c>
      <c r="I14" s="69"/>
      <c r="J14" s="69"/>
      <c r="K14" s="69"/>
      <c r="L14" s="68">
        <f t="shared" ref="L14:L20" si="3">B14+E14-F14+J14</f>
        <v>2424.8959997668862</v>
      </c>
      <c r="M14" s="12"/>
      <c r="N14" s="46"/>
      <c r="O14" s="46"/>
    </row>
    <row r="15" spans="1:17" x14ac:dyDescent="0.25">
      <c r="A15" t="s">
        <v>65</v>
      </c>
      <c r="B15" s="70">
        <f>SUMIF([5]Statements!$A$5:$A$1305,$A$3,[5]Statements!$BB$5:$BB$1305)-3</f>
        <v>10491510.499999994</v>
      </c>
      <c r="C15" s="70"/>
      <c r="D15" s="68">
        <f t="shared" si="0"/>
        <v>10491510.499999994</v>
      </c>
      <c r="E15" s="70">
        <v>0</v>
      </c>
      <c r="F15" s="70">
        <f>[1]Fimat!$K$12</f>
        <v>10949679</v>
      </c>
      <c r="G15" s="54">
        <f>[1]Fimat!$G$47</f>
        <v>0</v>
      </c>
      <c r="H15" s="54">
        <f t="shared" si="1"/>
        <v>10949679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504698.81859100005</v>
      </c>
      <c r="C16" s="68"/>
      <c r="D16" s="68">
        <f t="shared" si="0"/>
        <v>504698.81859100005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203589.5</v>
      </c>
      <c r="O17" s="46">
        <f>SUMIF([6]Statements!$BX$5:$BX$1305,$A$3,[6]Statements!$CH$5:$CH$1305)</f>
        <v>199720</v>
      </c>
    </row>
    <row r="18" spans="1:15" x14ac:dyDescent="0.25">
      <c r="A18" t="s">
        <v>35</v>
      </c>
      <c r="B18" s="68">
        <f>SUMIF([7]Statements!$A$5:$A$1305,$A$3,[7]Statements!$BB$5:$BB$1305)-5</f>
        <v>970151.84999999963</v>
      </c>
      <c r="C18" s="68"/>
      <c r="D18" s="68">
        <f t="shared" si="0"/>
        <v>970151.84999999963</v>
      </c>
      <c r="E18" s="68">
        <v>0</v>
      </c>
      <c r="F18" s="68">
        <f>'[1]JP Morgan'!$I$13</f>
        <v>917620</v>
      </c>
      <c r="G18" s="68"/>
      <c r="H18" s="68">
        <f t="shared" si="1"/>
        <v>917620</v>
      </c>
      <c r="I18" s="68"/>
      <c r="J18" s="68"/>
      <c r="K18" s="68"/>
      <c r="L18" s="68">
        <f t="shared" si="3"/>
        <v>52531.849999999627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</f>
        <v>150035197.18000007</v>
      </c>
      <c r="C20" s="69"/>
      <c r="D20" s="68">
        <f t="shared" si="0"/>
        <v>150035197.18000007</v>
      </c>
      <c r="E20" s="69">
        <v>0</v>
      </c>
      <c r="F20" s="69">
        <f>[1]PARIBAS!$J$19</f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3"/>
        <v>-28199.819999933243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</f>
        <v>20939.27999999997</v>
      </c>
      <c r="C23" s="68"/>
      <c r="D23" s="68">
        <f t="shared" si="0"/>
        <v>20939.27999999997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-5060.7200000000303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SUMIF([11]Statements!$A$5:$A$1305,$A$3,[11]Statements!$CK$5:$CK$1305)+22779</f>
        <v>69896.12999999999</v>
      </c>
      <c r="C24" s="68"/>
      <c r="D24" s="68">
        <f t="shared" si="0"/>
        <v>69896.12999999999</v>
      </c>
      <c r="E24" s="68">
        <v>0</v>
      </c>
      <c r="F24" s="68">
        <f>[1]SAUL!$I$13+22779</f>
        <v>81279</v>
      </c>
      <c r="G24" s="68"/>
      <c r="H24" s="68">
        <f t="shared" si="1"/>
        <v>81279</v>
      </c>
      <c r="I24" s="68"/>
      <c r="J24" s="68"/>
      <c r="K24" s="68"/>
      <c r="L24" s="68">
        <f t="shared" si="4"/>
        <v>-11382.87000000001</v>
      </c>
      <c r="M24" s="12"/>
      <c r="N24" s="46"/>
      <c r="O24" s="46"/>
    </row>
    <row r="25" spans="1:15" ht="12" customHeight="1" x14ac:dyDescent="0.25">
      <c r="A25" s="18" t="s">
        <v>62</v>
      </c>
      <c r="B25" s="68">
        <f>SUMIF([12]Statements!$A$5:$A$1305,$A$3,[12]Statements!$CP$5:$CP$1305)-11962</f>
        <v>8812016.3799999934</v>
      </c>
      <c r="C25" s="68"/>
      <c r="D25" s="68">
        <f t="shared" si="0"/>
        <v>8812016.3799999934</v>
      </c>
      <c r="E25" s="69">
        <v>0</v>
      </c>
      <c r="F25" s="69">
        <f>'[1]Smith Barney'!ReqTotal</f>
        <v>5882652</v>
      </c>
      <c r="G25" s="69">
        <f>IF('[1]Smith Barney'!CurrentLoanValue&lt;50000000,IF('[1]Smith Barney'!CurrentLoanValue&gt;'[1]Smith Barney'!Requirements,'[1]Smith Barney'!Requirements,'[1]Smith Barney'!CurrentLoanValue),50000000)</f>
        <v>5882652</v>
      </c>
      <c r="H25" s="69">
        <f t="shared" si="1"/>
        <v>0</v>
      </c>
      <c r="I25" s="69"/>
      <c r="J25" s="69">
        <f>SUMIF('[1]WIRE WORKSHEET'!$B$4:$B$36,A2,'[1]WIRE WORKSHEET'!$BF$4:$BF$36)</f>
        <v>-2563224</v>
      </c>
      <c r="K25" s="69"/>
      <c r="L25" s="68">
        <f t="shared" si="4"/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f>SUMIF([13]Statements!$A$5:$A$1305,$A$3,[13]Statements!$CP$5:$CP$1305)</f>
        <v>329648.71000000043</v>
      </c>
      <c r="C26" s="68"/>
      <c r="D26" s="68">
        <f t="shared" si="0"/>
        <v>329648.71000000043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224352508.35057381</v>
      </c>
      <c r="C28" s="72">
        <f>SUM(C7:C26)</f>
        <v>0</v>
      </c>
      <c r="D28" s="72">
        <f>SUM(D7:D26)</f>
        <v>224352508.35057381</v>
      </c>
      <c r="E28" s="72">
        <f t="shared" ref="E28:L28" si="5">SUM(E7:E26)</f>
        <v>-32637730</v>
      </c>
      <c r="F28" s="72">
        <f t="shared" si="5"/>
        <v>189144522.96000001</v>
      </c>
      <c r="G28" s="72">
        <f t="shared" si="5"/>
        <v>5882652</v>
      </c>
      <c r="H28" s="72">
        <f t="shared" si="5"/>
        <v>183261870.96000001</v>
      </c>
      <c r="I28" s="72"/>
      <c r="J28" s="72">
        <f t="shared" si="5"/>
        <v>-2563224</v>
      </c>
      <c r="K28" s="72"/>
      <c r="L28" s="72">
        <f t="shared" si="5"/>
        <v>7031.3905738069443</v>
      </c>
      <c r="M28" s="40"/>
      <c r="N28" s="39">
        <f>SUM(N7:N27)</f>
        <v>203589.5</v>
      </c>
      <c r="O28" s="39">
        <f>SUM(O7:O27)</f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f>G25</f>
        <v>5882652</v>
      </c>
      <c r="E36" s="68">
        <f>C36+D36</f>
        <v>5882652</v>
      </c>
      <c r="F36" s="70">
        <f>+B36-E36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5882652</v>
      </c>
      <c r="E39" s="83">
        <f>SUM(E36:E38)</f>
        <v>5882652</v>
      </c>
      <c r="F39" s="84">
        <f>SUM(F36:F38)</f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2001-11-26T21:28:02Z</cp:lastPrinted>
  <dcterms:created xsi:type="dcterms:W3CDTF">2000-04-03T19:03:47Z</dcterms:created>
  <dcterms:modified xsi:type="dcterms:W3CDTF">2023-09-10T15:21:00Z</dcterms:modified>
</cp:coreProperties>
</file>