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913" activeTab="20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  <sheet name="1130" sheetId="202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<sst xmlns="http://schemas.openxmlformats.org/spreadsheetml/2006/main" count="1071" uniqueCount="67">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</sst>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0" fontId="3" fillId="0" borderId="0" xfId="0" applyFont="1" applyAlignment="1">
      <alignment horizontal="center"/>
    </xf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6">
          <cell r="K16">
            <v>0</v>
          </cell>
        </row>
      </sheetData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53592.459999991581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3831984.3664085232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3756406.2279982865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  <cell r="DB5">
            <v>-23998749.5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-24152860</v>
          </cell>
          <cell r="CX11">
            <v>4705302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  <cell r="DB47">
            <v>-23011359.5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-23160970</v>
          </cell>
          <cell r="CX53">
            <v>4815817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  <cell r="DB173">
            <v>-18655272.5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-18823250</v>
          </cell>
          <cell r="CX179">
            <v>4898043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  <cell r="DB215">
            <v>-12999928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-13347560</v>
          </cell>
          <cell r="CX221">
            <v>4948547.5999999996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  <cell r="DB257">
            <v>-14363360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-14660160</v>
          </cell>
          <cell r="CX263">
            <v>4964077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  <cell r="DB299">
            <v>-15112322.5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-15396150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  <cell r="DB341">
            <v>-11453552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-11646000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  <cell r="DB467">
            <v>-10702977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-10878250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  <cell r="DB509">
            <v>-14971776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-15172680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  <cell r="DB551">
            <v>-14579767.5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-14858890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  <cell r="DB593">
            <v>-14521792.5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-14911920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  <cell r="DB635">
            <v>-17932575.5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-18246390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  <cell r="DB761">
            <v>-22370953.5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-22673040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  <cell r="DB803">
            <v>-25495562.5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-25774590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  <cell r="DB845">
            <v>-26051380.5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-26329730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  <cell r="DB929">
            <v>-26051440.5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-26329730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  <cell r="DB1055">
            <v>-26561361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-26800360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  <cell r="DB1097">
            <v>-39452580.5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-39740870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  <cell r="DB1139">
            <v>-2572552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-2735610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  <cell r="DB1181">
            <v>5858636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5989480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43136755.165999793</v>
          </cell>
          <cell r="CX1223">
            <v>720451.17000000924</v>
          </cell>
          <cell r="DB1223">
            <v>-2329686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-2187930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-34771900</v>
          </cell>
        </row>
        <row r="1265">
          <cell r="A1265">
            <v>37226</v>
          </cell>
          <cell r="CT1265">
            <v>45466441.165999793</v>
          </cell>
          <cell r="CX1265">
            <v>720451.17000000924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108735058.58000003</v>
          </cell>
        </row>
        <row r="1228">
          <cell r="DB1228" t="str">
            <v>OTE</v>
          </cell>
        </row>
        <row r="1229">
          <cell r="DB1229">
            <v>-7513150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A1223">
            <v>37225</v>
          </cell>
          <cell r="EQ1223">
            <v>-1112541.4885787906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 refreshError="1"/>
      <sheetData sheetId="1" refreshError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 refreshError="1"/>
      <sheetData sheetId="4" refreshError="1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-34771900</v>
          </cell>
        </row>
        <row r="22">
          <cell r="J22">
            <v>9928738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52834137</v>
          </cell>
        </row>
      </sheetData>
      <sheetData sheetId="15"/>
      <sheetData sheetId="16"/>
      <sheetData sheetId="17" refreshError="1"/>
      <sheetData sheetId="18">
        <row r="12">
          <cell r="I12">
            <v>0</v>
          </cell>
        </row>
      </sheetData>
      <sheetData sheetId="19"/>
      <sheetData sheetId="20">
        <row r="12">
          <cell r="I12">
            <v>2162700.19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 refreshError="1"/>
      <sheetData sheetId="23" refreshError="1"/>
      <sheetData sheetId="24" refreshError="1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2257974.6499999962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2257974.6499999962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6" max="16" width="15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37228</v>
      </c>
      <c r="M2" s="3"/>
    </row>
    <row r="3" spans="1:17" ht="17.399999999999999" x14ac:dyDescent="0.3">
      <c r="A3" s="5">
        <v>37225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239387.8660000246</v>
      </c>
      <c r="C8" s="68"/>
      <c r="D8" s="68">
        <f t="shared" ref="D8:D26" si="0">B8-C8</f>
        <v>239387.8660000246</v>
      </c>
      <c r="E8" s="68">
        <v>0</v>
      </c>
      <c r="F8" s="68">
        <f>'[19]ABN-AMRO'!$K$12</f>
        <v>0</v>
      </c>
      <c r="G8" s="69"/>
      <c r="H8" s="68">
        <f t="shared" ref="H8:H26" si="1">F8-G8</f>
        <v>0</v>
      </c>
      <c r="I8" s="68"/>
      <c r="J8" s="68"/>
      <c r="K8" s="68"/>
      <c r="L8" s="68">
        <f t="shared" ref="L8:L13" si="2">B8+E8-F8+J8</f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'[19]ADM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'[19]Bank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'[19]CARR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SUMIF([15]Statements!$A$5:$A$1305,$A$3,[15]Statements!$FF$5:$FF$1305)+11241+71+3390</f>
        <v>3771108.2279982865</v>
      </c>
      <c r="C12" s="68"/>
      <c r="D12" s="68">
        <f t="shared" si="0"/>
        <v>3771108.2279982865</v>
      </c>
      <c r="E12" s="68">
        <v>0</v>
      </c>
      <c r="F12" s="68">
        <f>'[19]CARR FUTURES'!$I$12</f>
        <v>2162700.19</v>
      </c>
      <c r="G12" s="68"/>
      <c r="H12" s="68">
        <f t="shared" si="1"/>
        <v>2162700.19</v>
      </c>
      <c r="I12" s="68"/>
      <c r="J12" s="68"/>
      <c r="K12" s="68"/>
      <c r="L12" s="68">
        <f t="shared" si="2"/>
        <v>1608408.0379982865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29258.320000004023</v>
      </c>
      <c r="C13" s="68"/>
      <c r="D13" s="68">
        <f t="shared" si="0"/>
        <v>29258.320000004023</v>
      </c>
      <c r="E13" s="68">
        <v>0</v>
      </c>
      <c r="F13" s="68">
        <f>'[19]CREDIT SUISSE FIRST BOSTON'!$I$12</f>
        <v>0</v>
      </c>
      <c r="G13" s="68"/>
      <c r="H13" s="68">
        <f t="shared" si="1"/>
        <v>0</v>
      </c>
      <c r="I13" s="68"/>
      <c r="J13" s="68"/>
      <c r="K13" s="68"/>
      <c r="L13" s="68">
        <f t="shared" si="2"/>
        <v>29258.320000004023</v>
      </c>
      <c r="M13" s="12"/>
      <c r="N13" s="46"/>
      <c r="O13" s="46"/>
    </row>
    <row r="14" spans="1:17" x14ac:dyDescent="0.25">
      <c r="A14" t="s">
        <v>66</v>
      </c>
      <c r="B14" s="68">
        <f>SUMIF([16]Statements!$A$5:$A$1305,$A$3,[16]Statements!$CT$5:$CT$1305)-SUMIF([16]Statements!$A$5:$A$1305,$A$3,[16]Statements!$CX$5:$CX$1305)-5</f>
        <v>42416298.995999783</v>
      </c>
      <c r="C14" s="68"/>
      <c r="D14" s="68">
        <f t="shared" si="0"/>
        <v>42416298.995999783</v>
      </c>
      <c r="E14" s="68">
        <f>+'[19]EDF MANN'!$J$20</f>
        <v>-34771900</v>
      </c>
      <c r="F14" s="68">
        <f>'[19]EDF MANN'!$J$22</f>
        <v>9928738</v>
      </c>
      <c r="G14" s="69"/>
      <c r="H14" s="68">
        <f t="shared" si="1"/>
        <v>9928738</v>
      </c>
      <c r="I14" s="69"/>
      <c r="J14" s="69"/>
      <c r="K14" s="69"/>
      <c r="L14" s="68">
        <f t="shared" ref="L14:L20" si="3">B14+E14-F14+J14</f>
        <v>-2284339.0040002167</v>
      </c>
      <c r="M14" s="12"/>
      <c r="N14" s="46"/>
      <c r="O14" s="46"/>
      <c r="P14" s="68">
        <f>SUMIF([16]Statements!$A$5:$A$1305,$A$3,[16]Statements!$DB$5:$DB$1305)</f>
        <v>-2329686</v>
      </c>
    </row>
    <row r="15" spans="1:17" x14ac:dyDescent="0.25">
      <c r="A15" t="s">
        <v>65</v>
      </c>
      <c r="B15" s="70">
        <f>SUMIF([5]Statements!$A$5:$A$1305,$A$3,[5]Statements!$BB$5:$BB$1305)-3</f>
        <v>2257971.6499999962</v>
      </c>
      <c r="C15" s="70"/>
      <c r="D15" s="68">
        <f t="shared" si="0"/>
        <v>2257971.6499999962</v>
      </c>
      <c r="E15" s="70">
        <v>0</v>
      </c>
      <c r="F15" s="70">
        <f>[19]Fimat!$K$12</f>
        <v>0</v>
      </c>
      <c r="G15" s="54"/>
      <c r="H15" s="54">
        <f t="shared" si="1"/>
        <v>0</v>
      </c>
      <c r="I15" s="54">
        <v>1</v>
      </c>
      <c r="J15" s="69">
        <f>SUMIF('[19]WIRE WORKSHEET'!$B$4:$B$36,A2,'[19]WIRE WORKSHEET'!$BB$4:$BB$36)</f>
        <v>0</v>
      </c>
      <c r="K15" s="54"/>
      <c r="L15" s="68">
        <f t="shared" si="3"/>
        <v>2257971.6499999962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-2131.6814089999825</v>
      </c>
      <c r="C16" s="68"/>
      <c r="D16" s="68">
        <f t="shared" si="0"/>
        <v>-2131.6814089999825</v>
      </c>
      <c r="E16" s="68">
        <v>0</v>
      </c>
      <c r="F16" s="68">
        <f>'[19]HSBC-US$'!$J$17</f>
        <v>0</v>
      </c>
      <c r="G16" s="68"/>
      <c r="H16" s="68">
        <f t="shared" si="1"/>
        <v>0</v>
      </c>
      <c r="I16" s="68"/>
      <c r="J16" s="68"/>
      <c r="K16" s="68"/>
      <c r="L16" s="68">
        <f t="shared" si="3"/>
        <v>-2131.6814089999825</v>
      </c>
      <c r="M16" s="12"/>
      <c r="N16" s="46"/>
      <c r="O16" s="46"/>
    </row>
    <row r="17" spans="1:16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64204.5</v>
      </c>
      <c r="O17" s="46">
        <f>SUMIF([6]Statements!$BX$5:$BX$1305,$A$3,[6]Statements!$CH$5:$CH$1305)</f>
        <v>0</v>
      </c>
    </row>
    <row r="18" spans="1:16" x14ac:dyDescent="0.25">
      <c r="A18" t="s">
        <v>35</v>
      </c>
      <c r="B18" s="68">
        <f>SUMIF([7]Statements!$A$5:$A$1305,$A$3,[7]Statements!$BB$5:$BB$1305)-5</f>
        <v>735234.84999999963</v>
      </c>
      <c r="C18" s="68"/>
      <c r="D18" s="68">
        <f t="shared" si="0"/>
        <v>735234.84999999963</v>
      </c>
      <c r="E18" s="68">
        <v>0</v>
      </c>
      <c r="F18" s="68">
        <f>'[19]JP Morgan'!$I$13</f>
        <v>0</v>
      </c>
      <c r="G18" s="68"/>
      <c r="H18" s="68">
        <f t="shared" si="1"/>
        <v>0</v>
      </c>
      <c r="I18" s="68"/>
      <c r="J18" s="68"/>
      <c r="K18" s="68"/>
      <c r="L18" s="68">
        <f t="shared" si="3"/>
        <v>735234.84999999963</v>
      </c>
      <c r="M18" s="12"/>
      <c r="N18" s="46"/>
      <c r="O18" s="46"/>
    </row>
    <row r="19" spans="1:16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'[19]Man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6" x14ac:dyDescent="0.25">
      <c r="A20" s="18" t="s">
        <v>13</v>
      </c>
      <c r="B20" s="68">
        <f>SUMIF([17]Statements!$A$5:$A$1305,$A$3,[17]Statements!$DB$5:$DB$1305)-67725</f>
        <v>108667333.58000003</v>
      </c>
      <c r="C20" s="69"/>
      <c r="D20" s="68">
        <f t="shared" si="0"/>
        <v>108667333.58000003</v>
      </c>
      <c r="E20" s="69">
        <v>0</v>
      </c>
      <c r="F20" s="69">
        <f>[19]PARIBAS!$J$19</f>
        <v>52834137</v>
      </c>
      <c r="G20" s="69"/>
      <c r="H20" s="68">
        <f t="shared" si="1"/>
        <v>52834137</v>
      </c>
      <c r="I20" s="69"/>
      <c r="J20" s="69"/>
      <c r="K20" s="69"/>
      <c r="L20" s="68">
        <f t="shared" si="3"/>
        <v>55833196.580000028</v>
      </c>
      <c r="M20" s="12"/>
      <c r="N20" s="46"/>
      <c r="O20" s="46"/>
    </row>
    <row r="21" spans="1:16" x14ac:dyDescent="0.25">
      <c r="A21" t="s">
        <v>14</v>
      </c>
      <c r="B21" s="68">
        <f>SUMIF([18]Statements!$A$5:$A$1305,$A$3,[18]Statements!$EQ$5:$EQ$1305)+1112536</f>
        <v>-5.4885787905659527</v>
      </c>
      <c r="C21" s="68"/>
      <c r="D21" s="68">
        <f t="shared" si="0"/>
        <v>-5.4885787905659527</v>
      </c>
      <c r="E21" s="68">
        <v>0</v>
      </c>
      <c r="F21" s="68">
        <f>'[19]PRUDENTIAL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-5.4885787905659527</v>
      </c>
      <c r="M21" s="12"/>
      <c r="N21" s="46"/>
      <c r="O21" s="46"/>
    </row>
    <row r="22" spans="1:16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[19]REFCO!$K$12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6" x14ac:dyDescent="0.25">
      <c r="A23" t="s">
        <v>27</v>
      </c>
      <c r="B23" s="68">
        <f>SUMIF([10]Statements!$A$5:$A$1305,$A$3,[10]Statements!$BN$5:$BN$1305)+1</f>
        <v>-0.32000000000698492</v>
      </c>
      <c r="C23" s="68"/>
      <c r="D23" s="68">
        <f t="shared" si="0"/>
        <v>-0.32000000000698492</v>
      </c>
      <c r="E23" s="68">
        <v>0</v>
      </c>
      <c r="F23" s="68">
        <f>'[19]R J O''Brien'!$K$17</f>
        <v>0</v>
      </c>
      <c r="G23" s="68"/>
      <c r="H23" s="68">
        <f t="shared" si="1"/>
        <v>0</v>
      </c>
      <c r="I23" s="68"/>
      <c r="J23" s="68"/>
      <c r="K23" s="68"/>
      <c r="L23" s="68">
        <f t="shared" si="4"/>
        <v>-0.32000000000698492</v>
      </c>
      <c r="M23" s="12"/>
      <c r="N23" s="46"/>
      <c r="O23" s="46"/>
    </row>
    <row r="24" spans="1:16" x14ac:dyDescent="0.25">
      <c r="A24" t="s">
        <v>12</v>
      </c>
      <c r="B24" s="68">
        <f>SUMIF([11]Statements!$A$5:$A$1305,$A$3,[11]Statements!$CK$5:$CK$1305)-39516</f>
        <v>0.17999999999301508</v>
      </c>
      <c r="C24" s="68"/>
      <c r="D24" s="68">
        <f t="shared" si="0"/>
        <v>0.17999999999301508</v>
      </c>
      <c r="E24" s="68">
        <v>0</v>
      </c>
      <c r="F24" s="68">
        <f>[19]SAUL!$I$13</f>
        <v>0</v>
      </c>
      <c r="G24" s="68"/>
      <c r="H24" s="68">
        <f t="shared" si="1"/>
        <v>0</v>
      </c>
      <c r="I24" s="68"/>
      <c r="J24" s="68"/>
      <c r="K24" s="68"/>
      <c r="L24" s="68">
        <f t="shared" si="4"/>
        <v>0.17999999999301508</v>
      </c>
      <c r="M24" s="12"/>
      <c r="N24" s="46"/>
      <c r="O24" s="46"/>
    </row>
    <row r="25" spans="1:16" ht="12" customHeight="1" x14ac:dyDescent="0.25">
      <c r="A25" s="18" t="s">
        <v>62</v>
      </c>
      <c r="B25" s="68">
        <f>SUMIF([12]Statements!$A$5:$A$1305,$A$3,[12]Statements!$CP$5:$CP$1305)</f>
        <v>53592.459999991581</v>
      </c>
      <c r="C25" s="68"/>
      <c r="D25" s="68">
        <f t="shared" si="0"/>
        <v>53592.459999991581</v>
      </c>
      <c r="E25" s="69">
        <v>0</v>
      </c>
      <c r="F25" s="69">
        <f>'[19]Smith Barney'!ReqTotal</f>
        <v>0</v>
      </c>
      <c r="G25" s="69">
        <f>IF('[19]Smith Barney'!CurrentLoanValue&lt;50000000,IF('[19]Smith Barney'!CurrentLoanValue&gt;'[19]Smith Barney'!K16,'[19]Smith Barney'!K16,'[19]Smith Barney'!CurrentLoanValue),50000000)</f>
        <v>0</v>
      </c>
      <c r="H25" s="69">
        <f t="shared" si="1"/>
        <v>0</v>
      </c>
      <c r="I25" s="69"/>
      <c r="J25" s="69">
        <f>SUMIF('[19]WIRE WORKSHEET'!$B$4:$B$36,A2,'[19]WIRE WORKSHEET'!$BF$4:$BF$36)</f>
        <v>0</v>
      </c>
      <c r="K25" s="69"/>
      <c r="L25" s="68">
        <f t="shared" si="4"/>
        <v>53592.459999991581</v>
      </c>
      <c r="M25" s="12"/>
      <c r="N25" s="46"/>
      <c r="O25" s="46"/>
    </row>
    <row r="26" spans="1:16" ht="12" customHeight="1" x14ac:dyDescent="0.25">
      <c r="A26" s="18" t="s">
        <v>63</v>
      </c>
      <c r="B26" s="68">
        <f>SUMIF([13]Statements!$A$5:$A$1305,$A$3,[13]Statements!$CP$5:$CP$1305)-353081</f>
        <v>0.49000000022351742</v>
      </c>
      <c r="C26" s="68"/>
      <c r="D26" s="68">
        <f t="shared" si="0"/>
        <v>0.49000000022351742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>
        <f t="shared" si="4"/>
        <v>0.49000000022351742</v>
      </c>
      <c r="M26" s="12"/>
      <c r="N26" s="46"/>
      <c r="O26" s="46"/>
    </row>
    <row r="27" spans="1:16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5">
      <c r="A28" s="38" t="s">
        <v>32</v>
      </c>
      <c r="B28" s="72">
        <f>SUM(B7:B26)</f>
        <v>158168049.30801037</v>
      </c>
      <c r="C28" s="72">
        <f>SUM(C7:C26)</f>
        <v>0</v>
      </c>
      <c r="D28" s="72">
        <f>SUM(D7:D26)</f>
        <v>158168049.30801037</v>
      </c>
      <c r="E28" s="72">
        <f t="shared" ref="E28:L28" si="5">SUM(E7:E26)</f>
        <v>-34771900</v>
      </c>
      <c r="F28" s="72">
        <f t="shared" si="5"/>
        <v>64925575.189999998</v>
      </c>
      <c r="G28" s="72">
        <f t="shared" si="5"/>
        <v>0</v>
      </c>
      <c r="H28" s="72">
        <f t="shared" si="5"/>
        <v>64925575.189999998</v>
      </c>
      <c r="I28" s="72"/>
      <c r="J28" s="72">
        <f t="shared" si="5"/>
        <v>0</v>
      </c>
      <c r="K28" s="72"/>
      <c r="L28" s="72">
        <f t="shared" si="5"/>
        <v>58470574.118010364</v>
      </c>
      <c r="M28" s="40"/>
      <c r="N28" s="39">
        <f>SUM(N7:N27)</f>
        <v>64204.5</v>
      </c>
      <c r="O28" s="39">
        <f>SUM(O7:O27)</f>
        <v>0</v>
      </c>
      <c r="P28" s="72">
        <f>SUM(P7:P27)</f>
        <v>-2329686</v>
      </c>
    </row>
    <row r="29" spans="1:16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8" hidden="1" thickBot="1" x14ac:dyDescent="0.3">
      <c r="A32" s="14" t="s">
        <v>33</v>
      </c>
      <c r="B32" s="78">
        <f>+B28+SUM(B30:B31)</f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58470574.118010372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f>G25</f>
        <v>0</v>
      </c>
      <c r="E36" s="83">
        <f>C36+D36</f>
        <v>0</v>
      </c>
      <c r="F36" s="84">
        <f>+B36-E36</f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0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37223</v>
      </c>
      <c r="M2" s="3"/>
    </row>
    <row r="3" spans="1:17" ht="17.399999999999999" x14ac:dyDescent="0.3">
      <c r="A3" s="5">
        <v>37222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5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5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5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5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5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6" sqref="B2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37224</v>
      </c>
      <c r="M2" s="3"/>
    </row>
    <row r="3" spans="1:17" ht="17.399999999999999" x14ac:dyDescent="0.3">
      <c r="A3" s="5">
        <v>37223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5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5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5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5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5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5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8" t="s">
        <v>46</v>
      </c>
      <c r="D34" s="88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26" sqref="B2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37225</v>
      </c>
      <c r="M2" s="3"/>
    </row>
    <row r="3" spans="1:17" ht="17.399999999999999" x14ac:dyDescent="0.3">
      <c r="A3" s="5">
        <v>37224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5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5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5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5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5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5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5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6" max="16" width="15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37228</v>
      </c>
      <c r="M2" s="3"/>
    </row>
    <row r="3" spans="1:17" ht="17.399999999999999" x14ac:dyDescent="0.3">
      <c r="A3" s="5">
        <v>37225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  <c r="P5" s="44" t="s">
        <v>1</v>
      </c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  <c r="P6" s="86" t="s">
        <v>4</v>
      </c>
    </row>
    <row r="7" spans="1:17" x14ac:dyDescent="0.25">
      <c r="M7" s="3"/>
    </row>
    <row r="8" spans="1:17" x14ac:dyDescent="0.25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3771108.2279982865</v>
      </c>
      <c r="C12" s="68"/>
      <c r="D12" s="68">
        <v>3771108.2279982865</v>
      </c>
      <c r="E12" s="68">
        <v>0</v>
      </c>
      <c r="F12" s="68">
        <v>2162700.19</v>
      </c>
      <c r="G12" s="68"/>
      <c r="H12" s="68">
        <v>2162700.19</v>
      </c>
      <c r="I12" s="68"/>
      <c r="J12" s="68"/>
      <c r="K12" s="68"/>
      <c r="L12" s="68">
        <v>1608408.0379982865</v>
      </c>
      <c r="M12" s="12"/>
      <c r="N12" s="46"/>
      <c r="O12" s="46"/>
    </row>
    <row r="13" spans="1:17" x14ac:dyDescent="0.25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5">
      <c r="A14" t="s">
        <v>66</v>
      </c>
      <c r="B14" s="68">
        <v>42416298.995999783</v>
      </c>
      <c r="C14" s="68"/>
      <c r="D14" s="68">
        <v>42416298.995999783</v>
      </c>
      <c r="E14" s="68">
        <v>-34771900</v>
      </c>
      <c r="F14" s="68">
        <v>9928738</v>
      </c>
      <c r="G14" s="69"/>
      <c r="H14" s="68">
        <v>9928738</v>
      </c>
      <c r="I14" s="69"/>
      <c r="J14" s="69"/>
      <c r="K14" s="69"/>
      <c r="L14" s="68">
        <v>-2284339.0040002167</v>
      </c>
      <c r="M14" s="12"/>
      <c r="N14" s="46"/>
      <c r="O14" s="46"/>
      <c r="P14" s="68">
        <v>-2329686</v>
      </c>
    </row>
    <row r="15" spans="1:17" x14ac:dyDescent="0.25">
      <c r="A15" t="s">
        <v>65</v>
      </c>
      <c r="B15" s="70">
        <v>2257971.65</v>
      </c>
      <c r="C15" s="70"/>
      <c r="D15" s="68">
        <v>2257971.65</v>
      </c>
      <c r="E15" s="70">
        <v>0</v>
      </c>
      <c r="F15" s="70">
        <v>0</v>
      </c>
      <c r="G15" s="54"/>
      <c r="H15" s="54">
        <v>0</v>
      </c>
      <c r="I15" s="54">
        <v>1</v>
      </c>
      <c r="J15" s="69">
        <v>0</v>
      </c>
      <c r="K15" s="54"/>
      <c r="L15" s="68">
        <v>2257971.65</v>
      </c>
      <c r="M15" s="12"/>
      <c r="N15" s="47"/>
      <c r="O15" s="47"/>
      <c r="Q15" s="47"/>
    </row>
    <row r="16" spans="1:17" x14ac:dyDescent="0.25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6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6" x14ac:dyDescent="0.25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6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6" x14ac:dyDescent="0.25">
      <c r="A20" s="18" t="s">
        <v>13</v>
      </c>
      <c r="B20" s="68">
        <v>108667333.58000003</v>
      </c>
      <c r="C20" s="69"/>
      <c r="D20" s="68">
        <v>108667333.58000003</v>
      </c>
      <c r="E20" s="69">
        <v>0</v>
      </c>
      <c r="F20" s="69">
        <v>52834137</v>
      </c>
      <c r="G20" s="69"/>
      <c r="H20" s="68">
        <v>52834137</v>
      </c>
      <c r="I20" s="69"/>
      <c r="J20" s="69"/>
      <c r="K20" s="69"/>
      <c r="L20" s="68">
        <v>55833196.580000028</v>
      </c>
      <c r="M20" s="12"/>
      <c r="N20" s="46"/>
      <c r="O20" s="46"/>
    </row>
    <row r="21" spans="1:16" x14ac:dyDescent="0.25">
      <c r="A21" t="s">
        <v>14</v>
      </c>
      <c r="B21" s="68">
        <v>-5.4885787905659527</v>
      </c>
      <c r="C21" s="68"/>
      <c r="D21" s="68">
        <v>-5.4885787905659527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-5.4885787905659527</v>
      </c>
      <c r="M21" s="12"/>
      <c r="N21" s="46"/>
      <c r="O21" s="46"/>
    </row>
    <row r="22" spans="1:16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6" x14ac:dyDescent="0.25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6" x14ac:dyDescent="0.25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6" ht="12" customHeight="1" x14ac:dyDescent="0.25">
      <c r="A25" s="18" t="s">
        <v>62</v>
      </c>
      <c r="B25" s="68">
        <v>53592.459999991581</v>
      </c>
      <c r="C25" s="68"/>
      <c r="D25" s="68">
        <v>53592.459999991581</v>
      </c>
      <c r="E25" s="69">
        <v>0</v>
      </c>
      <c r="F25" s="69">
        <v>0</v>
      </c>
      <c r="G25" s="69">
        <v>0</v>
      </c>
      <c r="H25" s="69">
        <v>0</v>
      </c>
      <c r="I25" s="69"/>
      <c r="J25" s="69">
        <v>0</v>
      </c>
      <c r="K25" s="69"/>
      <c r="L25" s="68">
        <v>53592.459999991581</v>
      </c>
      <c r="M25" s="12"/>
      <c r="N25" s="46"/>
      <c r="O25" s="46"/>
    </row>
    <row r="26" spans="1:16" ht="12" customHeight="1" x14ac:dyDescent="0.25">
      <c r="A26" s="18" t="s">
        <v>63</v>
      </c>
      <c r="B26" s="68">
        <v>0.49000000022351742</v>
      </c>
      <c r="C26" s="68"/>
      <c r="D26" s="68">
        <v>0.49000000022351742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0.49000000022351742</v>
      </c>
      <c r="M26" s="12"/>
      <c r="N26" s="46"/>
      <c r="O26" s="46"/>
    </row>
    <row r="27" spans="1:16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6" s="17" customFormat="1" x14ac:dyDescent="0.25">
      <c r="A28" s="38" t="s">
        <v>32</v>
      </c>
      <c r="B28" s="72">
        <v>158168049.30801037</v>
      </c>
      <c r="C28" s="72">
        <v>0</v>
      </c>
      <c r="D28" s="72">
        <v>158168049.30801037</v>
      </c>
      <c r="E28" s="72">
        <v>-34771900</v>
      </c>
      <c r="F28" s="72">
        <v>64925575.189999998</v>
      </c>
      <c r="G28" s="72">
        <v>0</v>
      </c>
      <c r="H28" s="72">
        <v>64925575.189999998</v>
      </c>
      <c r="I28" s="72"/>
      <c r="J28" s="72">
        <v>0</v>
      </c>
      <c r="K28" s="72"/>
      <c r="L28" s="72">
        <v>58470574.118010364</v>
      </c>
      <c r="M28" s="40"/>
      <c r="N28" s="39">
        <v>64204.5</v>
      </c>
      <c r="O28" s="39">
        <v>0</v>
      </c>
      <c r="P28" s="72">
        <v>-2329686</v>
      </c>
    </row>
    <row r="29" spans="1:16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6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6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6" s="17" customFormat="1" ht="13.8" hidden="1" thickBot="1" x14ac:dyDescent="0.3">
      <c r="A32" s="14" t="s">
        <v>33</v>
      </c>
      <c r="B32" s="78">
        <v>158168049.30801037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58470574.118010372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8" thickBot="1" x14ac:dyDescent="0.3">
      <c r="A36" s="18" t="s">
        <v>47</v>
      </c>
      <c r="B36" s="83">
        <v>50000000</v>
      </c>
      <c r="C36" s="83">
        <v>0</v>
      </c>
      <c r="D36" s="83">
        <v>0</v>
      </c>
      <c r="E36" s="83">
        <v>0</v>
      </c>
      <c r="F36" s="84">
        <v>50000000</v>
      </c>
      <c r="G36" s="70"/>
      <c r="H36" s="71"/>
      <c r="I36" s="70"/>
      <c r="J36" s="70"/>
      <c r="K36" s="70"/>
      <c r="L36" s="70"/>
      <c r="M36" s="18"/>
      <c r="N36" s="70"/>
    </row>
    <row r="37" spans="1:14" ht="13.8" thickTop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8" t="s">
        <v>46</v>
      </c>
      <c r="D34" s="88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8" t="s">
        <v>46</v>
      </c>
      <c r="D34" s="88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7" t="s">
        <v>46</v>
      </c>
      <c r="D34" s="87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1130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2001-12-03T21:51:35Z</cp:lastPrinted>
  <dcterms:created xsi:type="dcterms:W3CDTF">2000-04-03T19:03:47Z</dcterms:created>
  <dcterms:modified xsi:type="dcterms:W3CDTF">2023-09-10T15:21:58Z</dcterms:modified>
</cp:coreProperties>
</file>