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456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WEEKEND!$A$1:$Q$54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F2" i="9"/>
  <c r="AG2" i="9"/>
  <c r="AH2" i="9"/>
  <c r="AJ2" i="9"/>
  <c r="AK2" i="9"/>
  <c r="K3" i="9"/>
  <c r="L3" i="9"/>
  <c r="P3" i="9"/>
  <c r="T3" i="9"/>
  <c r="Z3" i="9"/>
  <c r="AF3" i="9"/>
  <c r="AG3" i="9"/>
  <c r="AH3" i="9"/>
  <c r="AJ3" i="9"/>
  <c r="AK3" i="9"/>
  <c r="D4" i="9"/>
  <c r="K4" i="9"/>
  <c r="L4" i="9"/>
  <c r="M4" i="9"/>
  <c r="Z4" i="9"/>
  <c r="AF4" i="9"/>
  <c r="AG4" i="9"/>
  <c r="AH4" i="9"/>
  <c r="AJ4" i="9"/>
  <c r="AK4" i="9"/>
  <c r="M5" i="9"/>
  <c r="X5" i="9"/>
  <c r="Z5" i="9"/>
  <c r="AF5" i="9"/>
  <c r="AG5" i="9"/>
  <c r="AH5" i="9"/>
  <c r="AJ5" i="9"/>
  <c r="AK5" i="9"/>
  <c r="K6" i="9"/>
  <c r="L6" i="9"/>
  <c r="M6" i="9"/>
  <c r="Y6" i="9"/>
  <c r="Z6" i="9"/>
  <c r="AF6" i="9"/>
  <c r="AG6" i="9"/>
  <c r="AH6" i="9"/>
  <c r="AJ6" i="9"/>
  <c r="AK6" i="9"/>
  <c r="X7" i="9"/>
  <c r="Z7" i="9"/>
  <c r="AF7" i="9"/>
  <c r="AG7" i="9"/>
  <c r="AH7" i="9"/>
  <c r="AJ7" i="9"/>
  <c r="AK7" i="9"/>
  <c r="X8" i="9"/>
  <c r="Z8" i="9"/>
  <c r="AF8" i="9"/>
  <c r="AG8" i="9"/>
  <c r="AH8" i="9"/>
  <c r="AJ8" i="9"/>
  <c r="AK8" i="9"/>
  <c r="X9" i="9"/>
  <c r="Z9" i="9"/>
  <c r="AF9" i="9"/>
  <c r="AG9" i="9"/>
  <c r="AH9" i="9"/>
  <c r="AJ9" i="9"/>
  <c r="AK9" i="9"/>
  <c r="Z10" i="9"/>
  <c r="AF10" i="9"/>
  <c r="AG10" i="9"/>
  <c r="AJ10" i="9"/>
  <c r="B11" i="9"/>
  <c r="Z11" i="9"/>
  <c r="AF11" i="9"/>
  <c r="AG11" i="9"/>
  <c r="AJ11" i="9"/>
  <c r="Z12" i="9"/>
  <c r="AF12" i="9"/>
  <c r="AG12" i="9"/>
  <c r="AJ12" i="9"/>
  <c r="B13" i="9"/>
  <c r="Z13" i="9"/>
  <c r="AF13" i="9"/>
  <c r="AG13" i="9"/>
  <c r="AJ13" i="9"/>
  <c r="B14" i="9"/>
  <c r="E14" i="9"/>
  <c r="Z14" i="9"/>
  <c r="AF14" i="9"/>
  <c r="AJ14" i="9"/>
  <c r="F15" i="9"/>
  <c r="Z15" i="9"/>
  <c r="AF15" i="9"/>
  <c r="AJ15" i="9"/>
  <c r="Z16" i="9"/>
  <c r="AF16" i="9"/>
  <c r="AJ16" i="9"/>
  <c r="Z17" i="9"/>
  <c r="AF17" i="9"/>
  <c r="AJ17" i="9"/>
  <c r="Z18" i="9"/>
  <c r="AF18" i="9"/>
  <c r="AJ18" i="9"/>
  <c r="Z19" i="9"/>
  <c r="AF19" i="9"/>
  <c r="AJ19" i="9"/>
  <c r="Z20" i="9"/>
  <c r="AF20" i="9"/>
  <c r="AJ20" i="9"/>
  <c r="Z21" i="9"/>
  <c r="AF21" i="9"/>
  <c r="AJ21" i="9"/>
  <c r="Z22" i="9"/>
  <c r="AF22" i="9"/>
  <c r="AJ22" i="9"/>
  <c r="E23" i="9"/>
  <c r="Z23" i="9"/>
  <c r="AF23" i="9"/>
  <c r="AJ23" i="9"/>
  <c r="Z24" i="9"/>
  <c r="AF24" i="9"/>
  <c r="AJ24" i="9"/>
  <c r="Z25" i="9"/>
  <c r="AF25" i="9"/>
  <c r="AJ25" i="9"/>
  <c r="Z26" i="9"/>
  <c r="AF26" i="9"/>
  <c r="AJ26" i="9"/>
  <c r="B27" i="9"/>
  <c r="C27" i="9"/>
  <c r="Z27" i="9"/>
  <c r="AF27" i="9"/>
  <c r="AJ27" i="9"/>
  <c r="Z28" i="9"/>
  <c r="AF28" i="9"/>
  <c r="AJ28" i="9"/>
  <c r="E29" i="9"/>
  <c r="Z29" i="9"/>
  <c r="AF29" i="9"/>
  <c r="AJ29" i="9"/>
  <c r="Z30" i="9"/>
  <c r="AF30" i="9"/>
  <c r="AJ30" i="9"/>
  <c r="Z31" i="9"/>
  <c r="AF31" i="9"/>
  <c r="AJ31" i="9"/>
  <c r="Z32" i="9"/>
  <c r="AF32" i="9"/>
  <c r="AJ32" i="9"/>
  <c r="B37" i="9"/>
  <c r="B52" i="9"/>
  <c r="B54" i="9"/>
  <c r="B1" i="11"/>
  <c r="H1" i="11"/>
  <c r="B2" i="11"/>
  <c r="H2" i="11"/>
  <c r="D4" i="11"/>
  <c r="J4" i="11"/>
  <c r="O5" i="11"/>
  <c r="P5" i="11"/>
  <c r="O6" i="11"/>
  <c r="P6" i="11"/>
  <c r="Q6" i="11"/>
  <c r="O7" i="11"/>
  <c r="P7" i="11"/>
  <c r="Q7" i="11"/>
  <c r="B8" i="11"/>
  <c r="H8" i="11"/>
  <c r="O8" i="11"/>
  <c r="P8" i="11"/>
  <c r="Q8" i="11"/>
  <c r="B11" i="11"/>
  <c r="H11" i="11"/>
  <c r="B13" i="11"/>
  <c r="H13" i="11"/>
  <c r="B14" i="11"/>
  <c r="E14" i="11"/>
  <c r="H14" i="11"/>
  <c r="K14" i="11"/>
  <c r="F15" i="11"/>
  <c r="L15" i="11"/>
  <c r="E23" i="11"/>
  <c r="K23" i="11"/>
  <c r="B27" i="11"/>
  <c r="C27" i="11"/>
  <c r="H27" i="11"/>
  <c r="I27" i="11"/>
  <c r="E29" i="11"/>
  <c r="K29" i="11"/>
  <c r="B52" i="11"/>
  <c r="H52" i="11"/>
  <c r="B54" i="11"/>
  <c r="H54" i="11"/>
</calcChain>
</file>

<file path=xl/sharedStrings.xml><?xml version="1.0" encoding="utf-8"?>
<sst xmlns="http://schemas.openxmlformats.org/spreadsheetml/2006/main" count="281" uniqueCount="73">
  <si>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</si>
  <si>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</si>
  <si>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</si>
  <si>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</si>
  <si>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</si>
  <si>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</si>
  <si>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</si>
  <si>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</si>
  <si>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</si>
  <si>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</si>
  <si>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</si>
  <si>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</si>
  <si>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</si>
  <si>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</si>
  <si>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</si>
  <si>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</si>
  <si>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</si>
  <si>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</si>
  <si>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</si>
  <si>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</si>
  <si>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</si>
  <si>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</si>
  <si>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</si>
  <si>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</si>
  <si>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</si>
  <si>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</si>
  <si>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</si>
  <si>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</si>
  <si>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</si>
  <si>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</si>
  <si>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</si>
  <si>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</si>
  <si>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</si>
  <si>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</si>
  <si>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</si>
  <si>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</si>
  <si>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</si>
  <si>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</si>
  <si>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LINE PACK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</si>
  <si>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</si>
  <si>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</si>
  <si>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</si>
  <si>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</si>
  <si>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</si>
  <si>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</si>
  <si>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</si>
  <si>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</si>
  <si>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</si>
  <si>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</si>
  <si>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</si>
  <si>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</si>
  <si>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>Chg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</si>
  <si>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</si>
  <si>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</si>
  <si>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</si>
  <si>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</si>
  <si>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</si>
  <si>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>EL PASO BASE</t>
  </si>
  <si>
    <t>TRUNKLINE QNT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</si>
  <si>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</si>
  <si>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</si>
  <si>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</si>
  <si>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</si>
  <si>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</si>
  <si>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NGPL DSS - AMR</t>
  </si>
  <si>
    <t xml:space="preserve">     ANR</t>
  </si>
  <si>
    <t xml:space="preserve">     ENOVATE</t>
  </si>
  <si>
    <t xml:space="preserve">    ENOVATE</t>
  </si>
  <si>
    <t xml:space="preserve">    ELPASO</t>
  </si>
  <si>
    <t xml:space="preserve">    ENA SELL-BACK</t>
  </si>
  <si>
    <t xml:space="preserve">    MISC</t>
  </si>
  <si>
    <t xml:space="preserve">     MISC</t>
  </si>
  <si>
    <t>ENOVATE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</si>
</sst>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1" applyNumberFormat="1" applyFont="1" applyBorder="1"/>
    <xf numFmtId="176" fontId="2" fillId="0" borderId="11" xfId="0" applyNumberFormat="1" applyFont="1" applyBorder="1"/>
    <xf numFmtId="0" fontId="2" fillId="0" borderId="12" xfId="0" applyFont="1" applyBorder="1"/>
    <xf numFmtId="176" fontId="2" fillId="0" borderId="13" xfId="1" applyNumberFormat="1" applyFont="1" applyBorder="1"/>
    <xf numFmtId="176" fontId="2" fillId="0" borderId="14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0" fontId="2" fillId="0" borderId="9" xfId="0" applyFont="1" applyBorder="1"/>
    <xf numFmtId="176" fontId="2" fillId="0" borderId="15" xfId="1" applyNumberFormat="1" applyFont="1" applyBorder="1"/>
    <xf numFmtId="0" fontId="2" fillId="0" borderId="15" xfId="0" applyFont="1" applyBorder="1"/>
    <xf numFmtId="176" fontId="2" fillId="0" borderId="7" xfId="1" applyNumberFormat="1" applyFont="1" applyBorder="1"/>
    <xf numFmtId="176" fontId="2" fillId="0" borderId="11" xfId="1" applyNumberFormat="1" applyFont="1" applyBorder="1"/>
    <xf numFmtId="176" fontId="2" fillId="0" borderId="16" xfId="1" applyNumberFormat="1" applyFont="1" applyBorder="1"/>
    <xf numFmtId="176" fontId="2" fillId="0" borderId="14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176" fontId="2" fillId="0" borderId="17" xfId="1" applyNumberFormat="1" applyFont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4" fillId="0" borderId="5" xfId="0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176" fontId="4" fillId="0" borderId="9" xfId="1" applyNumberFormat="1" applyFont="1" applyFill="1" applyBorder="1"/>
    <xf numFmtId="0" fontId="5" fillId="0" borderId="8" xfId="0" applyFont="1" applyFill="1" applyBorder="1"/>
    <xf numFmtId="0" fontId="4" fillId="0" borderId="9" xfId="0" applyFont="1" applyFill="1" applyBorder="1"/>
    <xf numFmtId="0" fontId="4" fillId="0" borderId="12" xfId="0" applyFont="1" applyFill="1" applyBorder="1"/>
    <xf numFmtId="0" fontId="4" fillId="0" borderId="15" xfId="0" applyFont="1" applyFill="1" applyBorder="1"/>
    <xf numFmtId="0" fontId="2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B-45CE-86DA-A82944D4A082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B-45CE-86DA-A82944D4A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24088"/>
        <c:axId val="1"/>
      </c:lineChart>
      <c:catAx>
        <c:axId val="1808240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2408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A63-4F2F-91F8-9AA236300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51448"/>
        <c:axId val="1"/>
      </c:lineChart>
      <c:catAx>
        <c:axId val="18145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5144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01-46FC-8E20-330D5A4F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56368"/>
        <c:axId val="1"/>
      </c:lineChart>
      <c:catAx>
        <c:axId val="18145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563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0B0-44C4-87F3-D8BA600FF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52432"/>
        <c:axId val="1"/>
      </c:lineChart>
      <c:catAx>
        <c:axId val="18145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524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8-490E-99B6-D363E9461022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8-490E-99B6-D363E9461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57024"/>
        <c:axId val="1"/>
      </c:lineChart>
      <c:catAx>
        <c:axId val="1814570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5702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4-4278-8EF2-CC8F826B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57680"/>
        <c:axId val="1"/>
      </c:lineChart>
      <c:dateAx>
        <c:axId val="1814576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576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3-48B5-A929-206B2A6FF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93720"/>
        <c:axId val="1"/>
      </c:lineChart>
      <c:catAx>
        <c:axId val="181693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9372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373-45DA-B71E-81A4CB94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96344"/>
        <c:axId val="1"/>
      </c:lineChart>
      <c:catAx>
        <c:axId val="18169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9634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C95-40D5-9B5A-B2CB72479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97984"/>
        <c:axId val="1"/>
      </c:lineChart>
      <c:catAx>
        <c:axId val="18169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979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977-47A0-BF9C-93B804426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95360"/>
        <c:axId val="1"/>
      </c:lineChart>
      <c:catAx>
        <c:axId val="1816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953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0-48C5-BFEA-BFC36CD2AEA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0-48C5-BFEA-BFC36CD2A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92080"/>
        <c:axId val="1"/>
      </c:lineChart>
      <c:catAx>
        <c:axId val="1816920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9208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F-45D6-9F79-8D37D0C26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44592"/>
        <c:axId val="1"/>
      </c:lineChart>
      <c:dateAx>
        <c:axId val="1809445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445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2-437F-A3AC-9A266BA9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78216"/>
        <c:axId val="1"/>
      </c:lineChart>
      <c:dateAx>
        <c:axId val="1819782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782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F-4DCF-89D0-C83DB8C18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76248"/>
        <c:axId val="1"/>
      </c:lineChart>
      <c:catAx>
        <c:axId val="1819762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7624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9A3-4096-848C-AB0864F7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79528"/>
        <c:axId val="1"/>
      </c:lineChart>
      <c:catAx>
        <c:axId val="18197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7952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A3-401B-897B-AA677AC2E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76576"/>
        <c:axId val="1"/>
      </c:lineChart>
      <c:catAx>
        <c:axId val="18197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765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C78-488E-902B-9F2707460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80184"/>
        <c:axId val="1"/>
      </c:lineChart>
      <c:catAx>
        <c:axId val="18198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801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B-436C-9A8C-AA4F30ADAB4B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B-436C-9A8C-AA4F30AD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35848"/>
        <c:axId val="1"/>
      </c:lineChart>
      <c:catAx>
        <c:axId val="1822358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3584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8-437E-A9D4-A0A8A44B0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42408"/>
        <c:axId val="1"/>
      </c:lineChart>
      <c:dateAx>
        <c:axId val="1822424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424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0-4918-95EA-913693081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42736"/>
        <c:axId val="1"/>
      </c:lineChart>
      <c:catAx>
        <c:axId val="1822427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4273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876-46D7-B287-A9F2198F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41752"/>
        <c:axId val="1"/>
      </c:lineChart>
      <c:catAx>
        <c:axId val="18224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4175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B8-4AC2-9847-EDED0ED44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87592"/>
        <c:axId val="1"/>
      </c:lineChart>
      <c:catAx>
        <c:axId val="18248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875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4-4B03-93F3-4DBF81EC7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92544"/>
        <c:axId val="1"/>
      </c:lineChart>
      <c:catAx>
        <c:axId val="1809925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9254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72-44B9-A298-6EAE20547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92184"/>
        <c:axId val="1"/>
      </c:lineChart>
      <c:catAx>
        <c:axId val="18249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921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50414985938692"/>
          <c:y val="1.5250564941625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412468448151129E-2"/>
          <c:y val="8.9324737515235536E-2"/>
          <c:w val="0.93354725662621696"/>
          <c:h val="0.58170011991629011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1158000</c:v>
                </c:pt>
                <c:pt idx="1">
                  <c:v>1253000</c:v>
                </c:pt>
                <c:pt idx="2">
                  <c:v>1170000</c:v>
                </c:pt>
                <c:pt idx="3">
                  <c:v>1340000</c:v>
                </c:pt>
                <c:pt idx="4">
                  <c:v>1655000</c:v>
                </c:pt>
                <c:pt idx="5">
                  <c:v>1570000</c:v>
                </c:pt>
                <c:pt idx="6">
                  <c:v>1450000</c:v>
                </c:pt>
                <c:pt idx="7">
                  <c:v>1510000</c:v>
                </c:pt>
                <c:pt idx="8">
                  <c:v>1280000</c:v>
                </c:pt>
                <c:pt idx="9">
                  <c:v>1046000</c:v>
                </c:pt>
                <c:pt idx="10">
                  <c:v>1276000</c:v>
                </c:pt>
                <c:pt idx="11">
                  <c:v>1564000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0-4E91-BC48-D8A8A773F6B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1164438</c:v>
                </c:pt>
                <c:pt idx="1">
                  <c:v>1162572</c:v>
                </c:pt>
                <c:pt idx="2">
                  <c:v>1186205</c:v>
                </c:pt>
                <c:pt idx="3">
                  <c:v>1318243</c:v>
                </c:pt>
                <c:pt idx="4">
                  <c:v>1636584</c:v>
                </c:pt>
                <c:pt idx="5">
                  <c:v>1608793</c:v>
                </c:pt>
                <c:pt idx="6">
                  <c:v>1365000</c:v>
                </c:pt>
                <c:pt idx="7">
                  <c:v>1510000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0-4E91-BC48-D8A8A773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93168"/>
        <c:axId val="1"/>
      </c:lineChart>
      <c:catAx>
        <c:axId val="18249316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750000"/>
          <c:min val="3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93168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546293098668888"/>
          <c:y val="0.85838894100006846"/>
          <c:w val="5.1329058783572065E-2"/>
          <c:h val="0.12636182380204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068163034279063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1670020810326"/>
          <c:y val="9.3827217054408427E-2"/>
          <c:w val="0.82437408237469578"/>
          <c:h val="0.5925929498173163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16080</c:v>
                </c:pt>
                <c:pt idx="4">
                  <c:v>0</c:v>
                </c:pt>
                <c:pt idx="5">
                  <c:v>37000</c:v>
                </c:pt>
                <c:pt idx="6">
                  <c:v>12600</c:v>
                </c:pt>
                <c:pt idx="7">
                  <c:v>50552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2-4654-A024-032148DDB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89232"/>
        <c:axId val="1"/>
      </c:lineChart>
      <c:dateAx>
        <c:axId val="1824892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892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84239676473779"/>
          <c:y val="0.93580303325317882"/>
          <c:w val="0.18160124713181702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72104017852537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15888069207733E-2"/>
          <c:y val="0.10666672453706845"/>
          <c:w val="0.94582227899658822"/>
          <c:h val="0.644444794078121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415907</c:v>
                </c:pt>
                <c:pt idx="1">
                  <c:v>421189</c:v>
                </c:pt>
                <c:pt idx="2">
                  <c:v>421175</c:v>
                </c:pt>
                <c:pt idx="3">
                  <c:v>420667</c:v>
                </c:pt>
                <c:pt idx="4">
                  <c:v>429147</c:v>
                </c:pt>
                <c:pt idx="5">
                  <c:v>404169</c:v>
                </c:pt>
                <c:pt idx="6">
                  <c:v>428391</c:v>
                </c:pt>
                <c:pt idx="7">
                  <c:v>463251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9-42EF-B4AB-337C41D46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90216"/>
        <c:axId val="1"/>
      </c:lineChart>
      <c:catAx>
        <c:axId val="18249021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9021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54588254073147"/>
          <c:y val="0.93111161627149319"/>
          <c:w val="4.0404058520242606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69142104061877"/>
          <c:y val="3.4912813856266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8547692459124"/>
          <c:y val="0.12468862091523761"/>
          <c:w val="0.84937864993309631"/>
          <c:h val="0.5710738837917882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495450.4192</c:v>
                </c:pt>
                <c:pt idx="1">
                  <c:v>495450.4192</c:v>
                </c:pt>
                <c:pt idx="2">
                  <c:v>495450.4192</c:v>
                </c:pt>
                <c:pt idx="3">
                  <c:v>479370.4192</c:v>
                </c:pt>
                <c:pt idx="4">
                  <c:v>499370.4192</c:v>
                </c:pt>
                <c:pt idx="5">
                  <c:v>462370.4192</c:v>
                </c:pt>
                <c:pt idx="6">
                  <c:v>449770.4192</c:v>
                </c:pt>
                <c:pt idx="7">
                  <c:v>399218.4192</c:v>
                </c:pt>
                <c:pt idx="8">
                  <c:v>399218.4192</c:v>
                </c:pt>
                <c:pt idx="9">
                  <c:v>399218.4192</c:v>
                </c:pt>
                <c:pt idx="10">
                  <c:v>399218.4192</c:v>
                </c:pt>
                <c:pt idx="11">
                  <c:v>399218.4192</c:v>
                </c:pt>
                <c:pt idx="12">
                  <c:v>399218.4192</c:v>
                </c:pt>
                <c:pt idx="13">
                  <c:v>399218.4192</c:v>
                </c:pt>
                <c:pt idx="14">
                  <c:v>399218.4192</c:v>
                </c:pt>
                <c:pt idx="15">
                  <c:v>399218.4192</c:v>
                </c:pt>
                <c:pt idx="16">
                  <c:v>399218.4192</c:v>
                </c:pt>
                <c:pt idx="17">
                  <c:v>399218.4192</c:v>
                </c:pt>
                <c:pt idx="18">
                  <c:v>399218.4192</c:v>
                </c:pt>
                <c:pt idx="19">
                  <c:v>399218.4192</c:v>
                </c:pt>
                <c:pt idx="20">
                  <c:v>399218.4192</c:v>
                </c:pt>
                <c:pt idx="21">
                  <c:v>399218.4192</c:v>
                </c:pt>
                <c:pt idx="22">
                  <c:v>399218.4192</c:v>
                </c:pt>
                <c:pt idx="23">
                  <c:v>399218.4192</c:v>
                </c:pt>
                <c:pt idx="24">
                  <c:v>399218.4192</c:v>
                </c:pt>
                <c:pt idx="25">
                  <c:v>399218.4192</c:v>
                </c:pt>
                <c:pt idx="26">
                  <c:v>399218.4192</c:v>
                </c:pt>
                <c:pt idx="27">
                  <c:v>399218.4192</c:v>
                </c:pt>
                <c:pt idx="28">
                  <c:v>399218.4192</c:v>
                </c:pt>
                <c:pt idx="29">
                  <c:v>399218.4192</c:v>
                </c:pt>
                <c:pt idx="30">
                  <c:v>399218.4192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B84-4164-A433-474F4FCB0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17416"/>
        <c:axId val="1"/>
      </c:lineChart>
      <c:catAx>
        <c:axId val="182917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1741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523371806518079"/>
          <c:y val="0.9301771120276725"/>
          <c:w val="0.1211780207237884"/>
          <c:h val="5.7356765621009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38106933043538"/>
          <c:y val="1.96078900694366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0479442917435"/>
          <c:y val="0.10049043660586272"/>
          <c:w val="0.84880977051065221"/>
          <c:h val="0.60539360589385594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C93-4865-9843-48F183073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17744"/>
        <c:axId val="1"/>
      </c:lineChart>
      <c:catAx>
        <c:axId val="182917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177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66692582395313"/>
          <c:y val="0.93137477829824"/>
          <c:w val="9.8809552527887992E-2"/>
          <c:h val="5.63726839496303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238164109529622"/>
          <c:y val="1.95122648351687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4233739815176"/>
          <c:y val="0.10000035728023988"/>
          <c:w val="0.85714416207529809"/>
          <c:h val="0.6024411767858354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D94-454D-AED7-4DC377F09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11184"/>
        <c:axId val="1"/>
      </c:lineChart>
      <c:catAx>
        <c:axId val="182911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111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7795064947177"/>
          <c:y val="0.93658871208810046"/>
          <c:w val="0.13265326317831996"/>
          <c:h val="4.63416289835257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ED3-4A7E-A906-C6B173956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29056"/>
        <c:axId val="1"/>
      </c:lineChart>
      <c:catAx>
        <c:axId val="18042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2905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C5-4CDA-A350-ED73EFCAA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76016"/>
        <c:axId val="1"/>
      </c:lineChart>
      <c:catAx>
        <c:axId val="15317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760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CED-4447-8DB3-E813882A6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71424"/>
        <c:axId val="1"/>
      </c:lineChart>
      <c:catAx>
        <c:axId val="15317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714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A-4C4D-A595-755CAEA7172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A-4C4D-A595-755CAEA7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73720"/>
        <c:axId val="1"/>
      </c:lineChart>
      <c:catAx>
        <c:axId val="153173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7372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6-4AF3-8F80-12CEC7FA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73064"/>
        <c:axId val="1"/>
      </c:lineChart>
      <c:dateAx>
        <c:axId val="1531730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730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0-4EB8-ABDF-791E0E45B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76344"/>
        <c:axId val="1"/>
      </c:lineChart>
      <c:catAx>
        <c:axId val="1531763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7634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0</xdr:col>
      <xdr:colOff>0</xdr:colOff>
      <xdr:row>55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30480</xdr:rowOff>
    </xdr:from>
    <xdr:to>
      <xdr:col>0</xdr:col>
      <xdr:colOff>0</xdr:colOff>
      <xdr:row>73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0</xdr:col>
      <xdr:colOff>0</xdr:colOff>
      <xdr:row>55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30480</xdr:rowOff>
    </xdr:from>
    <xdr:to>
      <xdr:col>0</xdr:col>
      <xdr:colOff>0</xdr:colOff>
      <xdr:row>73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0</xdr:col>
      <xdr:colOff>0</xdr:colOff>
      <xdr:row>55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56</xdr:row>
      <xdr:rowOff>30480</xdr:rowOff>
    </xdr:from>
    <xdr:to>
      <xdr:col>0</xdr:col>
      <xdr:colOff>0</xdr:colOff>
      <xdr:row>73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0</xdr:col>
      <xdr:colOff>0</xdr:colOff>
      <xdr:row>55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56</xdr:row>
      <xdr:rowOff>30480</xdr:rowOff>
    </xdr:from>
    <xdr:to>
      <xdr:col>0</xdr:col>
      <xdr:colOff>0</xdr:colOff>
      <xdr:row>73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25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0</xdr:col>
      <xdr:colOff>0</xdr:colOff>
      <xdr:row>39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0</xdr:col>
      <xdr:colOff>0</xdr:colOff>
      <xdr:row>57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58</xdr:row>
      <xdr:rowOff>30480</xdr:rowOff>
    </xdr:from>
    <xdr:to>
      <xdr:col>0</xdr:col>
      <xdr:colOff>0</xdr:colOff>
      <xdr:row>75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41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41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22860</xdr:rowOff>
    </xdr:from>
    <xdr:to>
      <xdr:col>21</xdr:col>
      <xdr:colOff>7620</xdr:colOff>
      <xdr:row>65</xdr:row>
      <xdr:rowOff>144780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746760</xdr:colOff>
      <xdr:row>66</xdr:row>
      <xdr:rowOff>121920</xdr:rowOff>
    </xdr:from>
    <xdr:to>
      <xdr:col>20</xdr:col>
      <xdr:colOff>662940</xdr:colOff>
      <xdr:row>87</xdr:row>
      <xdr:rowOff>30480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45720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"/>
  <sheetViews>
    <sheetView zoomScale="75" workbookViewId="0"/>
  </sheetViews>
  <sheetFormatPr defaultColWidth="9.109375" defaultRowHeight="13.2" x14ac:dyDescent="0.25"/>
  <cols>
    <col min="1" max="1" width="26.44140625" style="48" bestFit="1" customWidth="1"/>
    <col min="2" max="2" width="11" style="48" bestFit="1" customWidth="1"/>
    <col min="3" max="3" width="11" style="2" bestFit="1" customWidth="1"/>
    <col min="4" max="4" width="26.44140625" style="2" bestFit="1" customWidth="1"/>
    <col min="5" max="6" width="9.33203125" style="2" bestFit="1" customWidth="1"/>
    <col min="7" max="7" width="26.44140625" style="2" bestFit="1" customWidth="1"/>
    <col min="8" max="9" width="11" style="2" bestFit="1" customWidth="1"/>
    <col min="10" max="10" width="26.44140625" style="2" bestFit="1" customWidth="1"/>
    <col min="11" max="12" width="9.33203125" style="2" bestFit="1" customWidth="1"/>
    <col min="13" max="13" width="9.109375" style="2"/>
    <col min="14" max="14" width="14.33203125" style="2" bestFit="1" customWidth="1"/>
    <col min="15" max="17" width="13.6640625" style="2" customWidth="1"/>
    <col min="18" max="22" width="9.109375" style="2"/>
    <col min="23" max="23" width="13.6640625" style="2" customWidth="1"/>
    <col min="24" max="25" width="13.109375" style="2" customWidth="1"/>
    <col min="26" max="16384" width="9.109375" style="2"/>
  </cols>
  <sheetData>
    <row r="1" spans="1:17" ht="27.75" customHeight="1" thickBot="1" x14ac:dyDescent="0.3">
      <c r="A1" s="48" t="s">
        <v>0</v>
      </c>
      <c r="B1" s="49">
        <f ca="1">TODAY()</f>
        <v>36868</v>
      </c>
      <c r="G1" s="2" t="s">
        <v>0</v>
      </c>
      <c r="H1" s="3">
        <f ca="1">TODAY()</f>
        <v>36868</v>
      </c>
    </row>
    <row r="2" spans="1:17" ht="13.8" thickBot="1" x14ac:dyDescent="0.3">
      <c r="A2" s="48" t="s">
        <v>12</v>
      </c>
      <c r="B2" s="49">
        <f ca="1">TODAY()+2</f>
        <v>36870</v>
      </c>
      <c r="G2" s="2" t="s">
        <v>12</v>
      </c>
      <c r="H2" s="3">
        <f ca="1">TODAY()+3</f>
        <v>36871</v>
      </c>
    </row>
    <row r="3" spans="1:17" ht="25.5" customHeight="1" thickBot="1" x14ac:dyDescent="0.3">
      <c r="B3" s="50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7" ht="13.8" thickBot="1" x14ac:dyDescent="0.3">
      <c r="A4" s="48" t="s">
        <v>16</v>
      </c>
      <c r="B4" s="59">
        <v>42</v>
      </c>
      <c r="C4" s="17">
        <v>35</v>
      </c>
      <c r="D4" s="18">
        <f>AVERAGE(B4,C4)</f>
        <v>38.5</v>
      </c>
      <c r="G4" s="2" t="s">
        <v>16</v>
      </c>
      <c r="H4" s="16">
        <v>35</v>
      </c>
      <c r="I4" s="17">
        <v>23</v>
      </c>
      <c r="J4" s="18">
        <f>AVERAGE(H4,I4)</f>
        <v>29</v>
      </c>
    </row>
    <row r="5" spans="1:17" ht="13.8" thickBot="1" x14ac:dyDescent="0.3">
      <c r="A5" s="51"/>
      <c r="B5" s="52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  <c r="N5" s="21" t="s">
        <v>19</v>
      </c>
      <c r="O5" s="22">
        <f ca="1">TODAY()-1</f>
        <v>36867</v>
      </c>
      <c r="P5" s="22">
        <f ca="1">TODAY()</f>
        <v>36868</v>
      </c>
      <c r="Q5" s="22" t="s">
        <v>51</v>
      </c>
    </row>
    <row r="6" spans="1:17" x14ac:dyDescent="0.25">
      <c r="A6" s="53" t="s">
        <v>21</v>
      </c>
      <c r="B6" s="54">
        <v>-900000</v>
      </c>
      <c r="C6" s="12">
        <v>-903000</v>
      </c>
      <c r="D6" s="25" t="s">
        <v>22</v>
      </c>
      <c r="E6" s="26">
        <v>-146000</v>
      </c>
      <c r="F6" s="12">
        <v>-140000</v>
      </c>
      <c r="G6" s="25" t="s">
        <v>21</v>
      </c>
      <c r="H6" s="26">
        <v>-1100000</v>
      </c>
      <c r="I6" s="12">
        <v>-1080000</v>
      </c>
      <c r="J6" s="25" t="s">
        <v>22</v>
      </c>
      <c r="K6" s="26">
        <v>-176000</v>
      </c>
      <c r="L6" s="12">
        <v>-180000</v>
      </c>
      <c r="N6" s="25" t="s">
        <v>23</v>
      </c>
      <c r="O6" s="39">
        <f>6300*2</f>
        <v>12600</v>
      </c>
      <c r="P6" s="46">
        <f>25276*2</f>
        <v>50552</v>
      </c>
      <c r="Q6" s="39">
        <f>+P6-O6</f>
        <v>37952</v>
      </c>
    </row>
    <row r="7" spans="1:17" x14ac:dyDescent="0.25">
      <c r="A7" s="53" t="s">
        <v>62</v>
      </c>
      <c r="B7" s="54"/>
      <c r="D7" s="25" t="s">
        <v>25</v>
      </c>
      <c r="E7" s="26">
        <v>0</v>
      </c>
      <c r="G7" s="25" t="s">
        <v>62</v>
      </c>
      <c r="H7" s="26"/>
      <c r="J7" s="25" t="s">
        <v>25</v>
      </c>
      <c r="K7" s="26">
        <v>0</v>
      </c>
      <c r="N7" s="25" t="s">
        <v>26</v>
      </c>
      <c r="O7" s="40">
        <f>DAILY!K5</f>
        <v>0</v>
      </c>
      <c r="P7" s="29">
        <f>DAILY!L5</f>
        <v>0</v>
      </c>
      <c r="Q7" s="40">
        <f>+P7-O7</f>
        <v>0</v>
      </c>
    </row>
    <row r="8" spans="1:17" ht="13.8" thickBot="1" x14ac:dyDescent="0.3">
      <c r="A8" s="53" t="s">
        <v>67</v>
      </c>
      <c r="B8" s="54">
        <f>-10670-10000</f>
        <v>-20670</v>
      </c>
      <c r="D8" s="25" t="s">
        <v>27</v>
      </c>
      <c r="E8" s="26"/>
      <c r="G8" s="25" t="s">
        <v>67</v>
      </c>
      <c r="H8" s="26">
        <f>-10670-10000</f>
        <v>-20670</v>
      </c>
      <c r="J8" s="25" t="s">
        <v>27</v>
      </c>
      <c r="K8" s="26"/>
      <c r="N8" s="31" t="s">
        <v>28</v>
      </c>
      <c r="O8" s="42">
        <f>+(O6-O7)/2</f>
        <v>6300</v>
      </c>
      <c r="P8" s="41">
        <f>+(P6-P7)/2</f>
        <v>25276</v>
      </c>
      <c r="Q8" s="42">
        <f>+P8-O8</f>
        <v>18976</v>
      </c>
    </row>
    <row r="9" spans="1:17" x14ac:dyDescent="0.25">
      <c r="A9" s="53" t="s">
        <v>68</v>
      </c>
      <c r="B9" s="54">
        <v>0</v>
      </c>
      <c r="D9" s="25" t="s">
        <v>29</v>
      </c>
      <c r="E9" s="26">
        <v>0</v>
      </c>
      <c r="G9" s="45" t="s">
        <v>68</v>
      </c>
      <c r="H9" s="26">
        <v>0</v>
      </c>
      <c r="J9" s="25" t="s">
        <v>29</v>
      </c>
      <c r="K9" s="26">
        <v>0</v>
      </c>
    </row>
    <row r="10" spans="1:17" x14ac:dyDescent="0.25">
      <c r="A10" s="53" t="s">
        <v>69</v>
      </c>
      <c r="B10" s="54">
        <v>-50000</v>
      </c>
      <c r="C10" s="14"/>
      <c r="D10" s="25" t="s">
        <v>54</v>
      </c>
      <c r="E10" s="26">
        <v>0</v>
      </c>
      <c r="G10" s="45" t="s">
        <v>69</v>
      </c>
      <c r="H10" s="26">
        <v>-50000</v>
      </c>
      <c r="I10" s="14"/>
      <c r="J10" s="25" t="s">
        <v>54</v>
      </c>
      <c r="K10" s="26">
        <v>0</v>
      </c>
    </row>
    <row r="11" spans="1:17" x14ac:dyDescent="0.25">
      <c r="A11" s="53" t="s">
        <v>70</v>
      </c>
      <c r="B11" s="26">
        <f>-25720-B8</f>
        <v>-5050</v>
      </c>
      <c r="C11" s="14"/>
      <c r="D11" s="25" t="s">
        <v>31</v>
      </c>
      <c r="E11" s="26">
        <v>0</v>
      </c>
      <c r="G11" s="45" t="s">
        <v>70</v>
      </c>
      <c r="H11" s="26">
        <f>-25720-H8</f>
        <v>-5050</v>
      </c>
      <c r="I11" s="14"/>
      <c r="J11" s="25" t="s">
        <v>31</v>
      </c>
      <c r="K11" s="26">
        <v>0</v>
      </c>
    </row>
    <row r="12" spans="1:17" x14ac:dyDescent="0.25">
      <c r="A12" s="53" t="s">
        <v>24</v>
      </c>
      <c r="B12" s="54">
        <v>0</v>
      </c>
      <c r="D12" s="45" t="s">
        <v>59</v>
      </c>
      <c r="E12" s="43">
        <v>-1000</v>
      </c>
      <c r="G12" s="25" t="s">
        <v>24</v>
      </c>
      <c r="H12" s="26">
        <v>0</v>
      </c>
      <c r="J12" s="45" t="s">
        <v>59</v>
      </c>
      <c r="K12" s="43">
        <v>-1000</v>
      </c>
    </row>
    <row r="13" spans="1:17" ht="13.8" thickBot="1" x14ac:dyDescent="0.3">
      <c r="A13" s="53" t="s">
        <v>29</v>
      </c>
      <c r="B13" s="26">
        <f>(-126746-24000-3730)-B14</f>
        <v>-125294</v>
      </c>
      <c r="D13" s="25" t="s">
        <v>32</v>
      </c>
      <c r="E13" s="26">
        <v>0</v>
      </c>
      <c r="G13" s="25" t="s">
        <v>29</v>
      </c>
      <c r="H13" s="26">
        <f>(-126746-24000-3730)-H14</f>
        <v>-125294</v>
      </c>
      <c r="J13" s="25" t="s">
        <v>32</v>
      </c>
      <c r="K13" s="26">
        <v>0</v>
      </c>
    </row>
    <row r="14" spans="1:17" ht="13.8" thickBot="1" x14ac:dyDescent="0.3">
      <c r="A14" s="53" t="s">
        <v>66</v>
      </c>
      <c r="B14" s="54">
        <f>-1452-24000-3730</f>
        <v>-29182</v>
      </c>
      <c r="C14" s="2" t="s">
        <v>17</v>
      </c>
      <c r="D14" s="34" t="s">
        <v>33</v>
      </c>
      <c r="E14" s="35">
        <f>SUM(E6:E13)</f>
        <v>-147000</v>
      </c>
      <c r="G14" s="25" t="s">
        <v>66</v>
      </c>
      <c r="H14" s="26">
        <f>-1452-24000-3730</f>
        <v>-29182</v>
      </c>
      <c r="I14" s="2" t="s">
        <v>17</v>
      </c>
      <c r="J14" s="34" t="s">
        <v>33</v>
      </c>
      <c r="K14" s="35">
        <f>SUM(K6:K13)</f>
        <v>-177000</v>
      </c>
    </row>
    <row r="15" spans="1:17" x14ac:dyDescent="0.25">
      <c r="A15" s="53" t="s">
        <v>19</v>
      </c>
      <c r="B15" s="54">
        <v>0</v>
      </c>
      <c r="C15" s="14"/>
      <c r="D15" s="25"/>
      <c r="E15" s="26"/>
      <c r="F15" s="14">
        <f>SUM(E29,E14)</f>
        <v>0</v>
      </c>
      <c r="G15" s="25" t="s">
        <v>19</v>
      </c>
      <c r="H15" s="26">
        <v>0</v>
      </c>
      <c r="I15" s="14"/>
      <c r="J15" s="25"/>
      <c r="K15" s="26"/>
      <c r="L15" s="14">
        <f>SUM(K29,K14)</f>
        <v>0</v>
      </c>
    </row>
    <row r="16" spans="1:17" x14ac:dyDescent="0.25">
      <c r="A16" s="53" t="s">
        <v>27</v>
      </c>
      <c r="B16" s="54"/>
      <c r="C16" s="14"/>
      <c r="D16" s="25" t="s">
        <v>39</v>
      </c>
      <c r="E16" s="26">
        <v>49111</v>
      </c>
      <c r="G16" s="25" t="s">
        <v>27</v>
      </c>
      <c r="H16" s="26"/>
      <c r="I16" s="14"/>
      <c r="J16" s="25" t="s">
        <v>39</v>
      </c>
      <c r="K16" s="26">
        <v>49111</v>
      </c>
    </row>
    <row r="17" spans="1:11" x14ac:dyDescent="0.25">
      <c r="A17" s="53" t="s">
        <v>32</v>
      </c>
      <c r="B17" s="54">
        <v>-35000</v>
      </c>
      <c r="C17" s="14"/>
      <c r="D17" s="25" t="s">
        <v>40</v>
      </c>
      <c r="E17" s="26">
        <v>0</v>
      </c>
      <c r="G17" s="25" t="s">
        <v>32</v>
      </c>
      <c r="H17" s="43">
        <v>0</v>
      </c>
      <c r="I17" s="14"/>
      <c r="J17" s="25" t="s">
        <v>40</v>
      </c>
      <c r="K17" s="26">
        <v>0</v>
      </c>
    </row>
    <row r="18" spans="1:11" x14ac:dyDescent="0.25">
      <c r="A18" s="53" t="s">
        <v>34</v>
      </c>
      <c r="B18" s="54">
        <v>0</v>
      </c>
      <c r="C18" s="2" t="s">
        <v>17</v>
      </c>
      <c r="D18" s="25" t="s">
        <v>41</v>
      </c>
      <c r="E18" s="26">
        <v>8933</v>
      </c>
      <c r="F18" s="14" t="s">
        <v>17</v>
      </c>
      <c r="G18" s="25" t="s">
        <v>34</v>
      </c>
      <c r="H18" s="26">
        <v>0</v>
      </c>
      <c r="I18" s="2" t="s">
        <v>17</v>
      </c>
      <c r="J18" s="25" t="s">
        <v>41</v>
      </c>
      <c r="K18" s="26">
        <v>8933</v>
      </c>
    </row>
    <row r="19" spans="1:11" x14ac:dyDescent="0.25">
      <c r="A19" s="53" t="s">
        <v>30</v>
      </c>
      <c r="B19" s="54">
        <v>0</v>
      </c>
      <c r="C19" s="44"/>
      <c r="D19" s="25" t="s">
        <v>42</v>
      </c>
      <c r="E19" s="26">
        <v>38712</v>
      </c>
      <c r="G19" s="25" t="s">
        <v>30</v>
      </c>
      <c r="H19" s="26">
        <v>0</v>
      </c>
      <c r="I19" s="44"/>
      <c r="J19" s="25" t="s">
        <v>42</v>
      </c>
      <c r="K19" s="26">
        <v>38712</v>
      </c>
    </row>
    <row r="20" spans="1:11" x14ac:dyDescent="0.25">
      <c r="A20" s="53" t="s">
        <v>52</v>
      </c>
      <c r="B20" s="54">
        <v>0</v>
      </c>
      <c r="C20" s="14"/>
      <c r="D20" s="25" t="s">
        <v>47</v>
      </c>
      <c r="E20" s="26"/>
      <c r="G20" s="25" t="s">
        <v>52</v>
      </c>
      <c r="H20" s="26">
        <v>0</v>
      </c>
      <c r="I20" s="14"/>
      <c r="J20" s="25" t="s">
        <v>47</v>
      </c>
      <c r="K20" s="26"/>
    </row>
    <row r="21" spans="1:11" x14ac:dyDescent="0.25">
      <c r="A21" s="53" t="s">
        <v>53</v>
      </c>
      <c r="B21" s="54">
        <v>0</v>
      </c>
      <c r="C21" s="14"/>
      <c r="D21" s="25" t="s">
        <v>63</v>
      </c>
      <c r="E21" s="26">
        <v>8000</v>
      </c>
      <c r="G21" s="25" t="s">
        <v>53</v>
      </c>
      <c r="H21" s="26">
        <v>0</v>
      </c>
      <c r="I21" s="14"/>
      <c r="J21" s="25" t="s">
        <v>63</v>
      </c>
      <c r="K21" s="26">
        <v>8000</v>
      </c>
    </row>
    <row r="22" spans="1:11" x14ac:dyDescent="0.25">
      <c r="A22" s="53" t="s">
        <v>35</v>
      </c>
      <c r="B22" s="54">
        <v>-42500</v>
      </c>
      <c r="C22" s="14"/>
      <c r="D22" s="25" t="s">
        <v>64</v>
      </c>
      <c r="E22" s="43">
        <v>7000</v>
      </c>
      <c r="G22" s="25" t="s">
        <v>35</v>
      </c>
      <c r="H22" s="26">
        <v>0</v>
      </c>
      <c r="I22" s="14"/>
      <c r="J22" s="25" t="s">
        <v>64</v>
      </c>
      <c r="K22" s="43">
        <v>7000</v>
      </c>
    </row>
    <row r="23" spans="1:11" x14ac:dyDescent="0.25">
      <c r="A23" s="53" t="s">
        <v>29</v>
      </c>
      <c r="B23" s="54">
        <v>0</v>
      </c>
      <c r="C23" s="14" t="s">
        <v>17</v>
      </c>
      <c r="D23" s="25" t="s">
        <v>65</v>
      </c>
      <c r="E23" s="43">
        <f>25000+1244</f>
        <v>26244</v>
      </c>
      <c r="G23" s="25" t="s">
        <v>29</v>
      </c>
      <c r="H23" s="43">
        <v>0</v>
      </c>
      <c r="I23" s="14" t="s">
        <v>17</v>
      </c>
      <c r="J23" s="25" t="s">
        <v>65</v>
      </c>
      <c r="K23" s="43">
        <f>45000+11244</f>
        <v>56244</v>
      </c>
    </row>
    <row r="24" spans="1:11" x14ac:dyDescent="0.25">
      <c r="A24" s="53" t="s">
        <v>36</v>
      </c>
      <c r="B24" s="54">
        <v>0</v>
      </c>
      <c r="D24" s="25" t="s">
        <v>32</v>
      </c>
      <c r="E24" s="43">
        <v>0</v>
      </c>
      <c r="G24" s="25" t="s">
        <v>36</v>
      </c>
      <c r="H24" s="26">
        <v>0</v>
      </c>
      <c r="J24" s="25" t="s">
        <v>32</v>
      </c>
      <c r="K24" s="43">
        <v>0</v>
      </c>
    </row>
    <row r="25" spans="1:11" x14ac:dyDescent="0.25">
      <c r="A25" s="53" t="s">
        <v>37</v>
      </c>
      <c r="B25" s="54">
        <v>0</v>
      </c>
      <c r="D25" s="25" t="s">
        <v>29</v>
      </c>
      <c r="E25" s="43">
        <v>9000</v>
      </c>
      <c r="G25" s="25" t="s">
        <v>37</v>
      </c>
      <c r="H25" s="26">
        <v>0</v>
      </c>
      <c r="J25" s="25" t="s">
        <v>29</v>
      </c>
      <c r="K25" s="43">
        <v>9000</v>
      </c>
    </row>
    <row r="26" spans="1:11" ht="13.8" thickBot="1" x14ac:dyDescent="0.3">
      <c r="A26" s="53" t="s">
        <v>38</v>
      </c>
      <c r="B26" s="54">
        <v>-22500</v>
      </c>
      <c r="D26" s="25" t="s">
        <v>59</v>
      </c>
      <c r="E26" s="43">
        <v>0</v>
      </c>
      <c r="G26" s="25" t="s">
        <v>38</v>
      </c>
      <c r="H26" s="26">
        <v>0</v>
      </c>
      <c r="J26" s="25" t="s">
        <v>59</v>
      </c>
      <c r="K26" s="43">
        <v>0</v>
      </c>
    </row>
    <row r="27" spans="1:11" ht="13.8" thickBot="1" x14ac:dyDescent="0.3">
      <c r="A27" s="55" t="s">
        <v>33</v>
      </c>
      <c r="B27" s="35">
        <f>SUM(B6:B26)</f>
        <v>-1230196</v>
      </c>
      <c r="C27" s="14">
        <f>SUM(B27,B54)</f>
        <v>0</v>
      </c>
      <c r="D27" s="25" t="s">
        <v>61</v>
      </c>
      <c r="E27" s="43">
        <v>0</v>
      </c>
      <c r="G27" s="34" t="s">
        <v>33</v>
      </c>
      <c r="H27" s="35">
        <f>SUM(H6:H26)</f>
        <v>-1330196</v>
      </c>
      <c r="I27" s="14">
        <f>SUM(H27,H54)</f>
        <v>0</v>
      </c>
      <c r="J27" s="25" t="s">
        <v>61</v>
      </c>
      <c r="K27" s="43">
        <v>0</v>
      </c>
    </row>
    <row r="28" spans="1:11" ht="13.8" thickBot="1" x14ac:dyDescent="0.3">
      <c r="A28" s="53"/>
      <c r="B28" s="54"/>
      <c r="D28" s="25" t="s">
        <v>43</v>
      </c>
      <c r="E28" s="26">
        <v>0</v>
      </c>
      <c r="G28" s="25"/>
      <c r="H28" s="26"/>
      <c r="J28" s="25" t="s">
        <v>43</v>
      </c>
      <c r="K28" s="26">
        <v>0</v>
      </c>
    </row>
    <row r="29" spans="1:11" ht="13.8" thickBot="1" x14ac:dyDescent="0.3">
      <c r="A29" s="53" t="s">
        <v>39</v>
      </c>
      <c r="B29" s="54">
        <v>355784</v>
      </c>
      <c r="C29" s="14" t="s">
        <v>17</v>
      </c>
      <c r="D29" s="34" t="s">
        <v>44</v>
      </c>
      <c r="E29" s="35">
        <f>SUM(E16:E28)</f>
        <v>147000</v>
      </c>
      <c r="G29" s="25" t="s">
        <v>39</v>
      </c>
      <c r="H29" s="26">
        <v>355784</v>
      </c>
      <c r="I29" s="14" t="s">
        <v>17</v>
      </c>
      <c r="J29" s="34" t="s">
        <v>44</v>
      </c>
      <c r="K29" s="35">
        <f>SUM(K16:K28)</f>
        <v>177000</v>
      </c>
    </row>
    <row r="30" spans="1:11" ht="13.8" thickBot="1" x14ac:dyDescent="0.3">
      <c r="A30" s="53" t="s">
        <v>40</v>
      </c>
      <c r="B30" s="54">
        <v>0</v>
      </c>
      <c r="D30" s="31"/>
      <c r="E30" s="37"/>
      <c r="F30" s="14"/>
      <c r="G30" s="25" t="s">
        <v>40</v>
      </c>
      <c r="H30" s="26">
        <v>0</v>
      </c>
      <c r="J30" s="31"/>
      <c r="K30" s="37"/>
    </row>
    <row r="31" spans="1:11" x14ac:dyDescent="0.25">
      <c r="A31" s="53" t="s">
        <v>41</v>
      </c>
      <c r="B31" s="54">
        <v>0</v>
      </c>
      <c r="C31" s="14" t="s">
        <v>17</v>
      </c>
      <c r="D31"/>
      <c r="E31"/>
      <c r="G31" s="25" t="s">
        <v>41</v>
      </c>
      <c r="H31" s="26">
        <v>0</v>
      </c>
      <c r="I31" s="14" t="s">
        <v>17</v>
      </c>
      <c r="J31"/>
      <c r="K31"/>
    </row>
    <row r="32" spans="1:11" x14ac:dyDescent="0.25">
      <c r="A32" s="53" t="s">
        <v>42</v>
      </c>
      <c r="B32" s="54">
        <v>424539</v>
      </c>
      <c r="E32" s="12"/>
      <c r="G32" s="25" t="s">
        <v>42</v>
      </c>
      <c r="H32" s="26">
        <v>424539</v>
      </c>
      <c r="K32" s="12"/>
    </row>
    <row r="33" spans="1:11" x14ac:dyDescent="0.25">
      <c r="A33" s="53" t="s">
        <v>57</v>
      </c>
      <c r="B33" s="54">
        <v>0</v>
      </c>
      <c r="E33" s="12"/>
      <c r="G33" s="25" t="s">
        <v>57</v>
      </c>
      <c r="H33" s="26">
        <v>0</v>
      </c>
      <c r="K33" s="12"/>
    </row>
    <row r="34" spans="1:11" x14ac:dyDescent="0.25">
      <c r="A34" s="53" t="s">
        <v>72</v>
      </c>
      <c r="B34" s="54">
        <v>0</v>
      </c>
      <c r="G34" s="25" t="s">
        <v>72</v>
      </c>
      <c r="H34" s="26">
        <v>0</v>
      </c>
    </row>
    <row r="35" spans="1:11" x14ac:dyDescent="0.25">
      <c r="A35" s="53" t="s">
        <v>58</v>
      </c>
      <c r="B35" s="54">
        <v>47813</v>
      </c>
      <c r="G35" s="25" t="s">
        <v>58</v>
      </c>
      <c r="H35" s="26">
        <v>47813</v>
      </c>
    </row>
    <row r="36" spans="1:11" x14ac:dyDescent="0.25">
      <c r="A36" s="53" t="s">
        <v>60</v>
      </c>
      <c r="B36" s="54">
        <v>0</v>
      </c>
      <c r="G36" s="25" t="s">
        <v>60</v>
      </c>
      <c r="H36" s="43">
        <v>0</v>
      </c>
    </row>
    <row r="37" spans="1:11" x14ac:dyDescent="0.25">
      <c r="A37" s="53" t="s">
        <v>61</v>
      </c>
      <c r="B37" s="54">
        <v>15050</v>
      </c>
      <c r="G37" s="25" t="s">
        <v>61</v>
      </c>
      <c r="H37" s="26">
        <v>15050</v>
      </c>
    </row>
    <row r="38" spans="1:11" x14ac:dyDescent="0.25">
      <c r="A38" s="53" t="s">
        <v>19</v>
      </c>
      <c r="B38" s="54">
        <v>0</v>
      </c>
      <c r="G38" s="25" t="s">
        <v>19</v>
      </c>
      <c r="H38" s="26">
        <v>0</v>
      </c>
    </row>
    <row r="39" spans="1:11" x14ac:dyDescent="0.25">
      <c r="A39" s="53" t="s">
        <v>24</v>
      </c>
      <c r="B39" s="56"/>
      <c r="G39" s="25" t="s">
        <v>24</v>
      </c>
      <c r="H39" s="36"/>
    </row>
    <row r="40" spans="1:11" x14ac:dyDescent="0.25">
      <c r="A40" s="53" t="s">
        <v>71</v>
      </c>
      <c r="B40" s="54">
        <v>0</v>
      </c>
      <c r="G40" s="25" t="s">
        <v>71</v>
      </c>
      <c r="H40" s="26">
        <v>0</v>
      </c>
    </row>
    <row r="41" spans="1:11" x14ac:dyDescent="0.25">
      <c r="A41" s="53" t="s">
        <v>29</v>
      </c>
      <c r="B41" s="54">
        <v>0</v>
      </c>
      <c r="G41" s="25" t="s">
        <v>29</v>
      </c>
      <c r="H41" s="26">
        <v>0</v>
      </c>
    </row>
    <row r="42" spans="1:11" x14ac:dyDescent="0.25">
      <c r="A42" s="53" t="s">
        <v>45</v>
      </c>
      <c r="B42" s="54">
        <v>10</v>
      </c>
      <c r="G42" s="25" t="s">
        <v>45</v>
      </c>
      <c r="H42" s="26">
        <v>10</v>
      </c>
    </row>
    <row r="43" spans="1:11" x14ac:dyDescent="0.25">
      <c r="A43" s="53" t="s">
        <v>46</v>
      </c>
      <c r="B43" s="54">
        <v>1000</v>
      </c>
      <c r="G43" s="25" t="s">
        <v>46</v>
      </c>
      <c r="H43" s="26">
        <v>1000</v>
      </c>
    </row>
    <row r="44" spans="1:11" x14ac:dyDescent="0.25">
      <c r="A44" s="53" t="s">
        <v>47</v>
      </c>
      <c r="B44" s="54"/>
      <c r="E44" s="12"/>
      <c r="G44" s="25" t="s">
        <v>47</v>
      </c>
      <c r="H44" s="26"/>
      <c r="K44" s="12"/>
    </row>
    <row r="45" spans="1:11" x14ac:dyDescent="0.25">
      <c r="A45" s="53" t="s">
        <v>65</v>
      </c>
      <c r="B45" s="54">
        <v>35000</v>
      </c>
      <c r="E45" s="12"/>
      <c r="G45" s="25" t="s">
        <v>65</v>
      </c>
      <c r="H45" s="26">
        <v>35000</v>
      </c>
      <c r="K45" s="12"/>
    </row>
    <row r="46" spans="1:11" x14ac:dyDescent="0.25">
      <c r="A46" s="53" t="s">
        <v>32</v>
      </c>
      <c r="B46" s="54">
        <v>0</v>
      </c>
      <c r="E46" s="12"/>
      <c r="G46" s="25" t="s">
        <v>32</v>
      </c>
      <c r="H46" s="26">
        <v>0</v>
      </c>
      <c r="K46" s="12"/>
    </row>
    <row r="47" spans="1:11" x14ac:dyDescent="0.25">
      <c r="A47" s="53" t="s">
        <v>34</v>
      </c>
      <c r="B47" s="54">
        <v>0</v>
      </c>
      <c r="E47" s="12"/>
      <c r="G47" s="25" t="s">
        <v>34</v>
      </c>
      <c r="H47" s="26">
        <v>0</v>
      </c>
      <c r="K47" s="12"/>
    </row>
    <row r="48" spans="1:11" x14ac:dyDescent="0.25">
      <c r="A48" s="53" t="s">
        <v>48</v>
      </c>
      <c r="B48" s="54">
        <v>0</v>
      </c>
      <c r="E48" s="12"/>
      <c r="G48" s="25" t="s">
        <v>48</v>
      </c>
      <c r="H48" s="26">
        <v>0</v>
      </c>
      <c r="K48" s="12"/>
    </row>
    <row r="49" spans="1:11" x14ac:dyDescent="0.25">
      <c r="A49" s="53" t="s">
        <v>49</v>
      </c>
      <c r="B49" s="54">
        <v>0</v>
      </c>
      <c r="C49" s="14"/>
      <c r="G49" s="25" t="s">
        <v>49</v>
      </c>
      <c r="H49" s="26">
        <v>0</v>
      </c>
      <c r="I49" s="14"/>
    </row>
    <row r="50" spans="1:11" x14ac:dyDescent="0.25">
      <c r="A50" s="53" t="s">
        <v>50</v>
      </c>
      <c r="B50" s="54">
        <v>60000</v>
      </c>
      <c r="E50" s="12"/>
      <c r="G50" s="25" t="s">
        <v>50</v>
      </c>
      <c r="H50" s="26">
        <v>60000</v>
      </c>
      <c r="K50" s="12"/>
    </row>
    <row r="51" spans="1:11" x14ac:dyDescent="0.25">
      <c r="A51" s="53" t="s">
        <v>35</v>
      </c>
      <c r="B51" s="54">
        <v>0</v>
      </c>
      <c r="E51" s="12"/>
      <c r="G51" s="25" t="s">
        <v>35</v>
      </c>
      <c r="H51" s="26">
        <v>0</v>
      </c>
      <c r="K51" s="12"/>
    </row>
    <row r="52" spans="1:11" x14ac:dyDescent="0.25">
      <c r="A52" s="53" t="s">
        <v>29</v>
      </c>
      <c r="B52" s="54">
        <f>163387+137613+66000-67000-9000</f>
        <v>291000</v>
      </c>
      <c r="C52"/>
      <c r="E52" s="12"/>
      <c r="G52" s="25" t="s">
        <v>29</v>
      </c>
      <c r="H52" s="54">
        <f>236524+154476</f>
        <v>391000</v>
      </c>
      <c r="I52"/>
      <c r="K52" s="12"/>
    </row>
    <row r="53" spans="1:11" ht="13.8" thickBot="1" x14ac:dyDescent="0.3">
      <c r="A53" s="53" t="s">
        <v>43</v>
      </c>
      <c r="B53" s="54">
        <v>0</v>
      </c>
      <c r="C53"/>
      <c r="E53" s="12"/>
      <c r="G53" s="25" t="s">
        <v>43</v>
      </c>
      <c r="H53" s="26">
        <v>0</v>
      </c>
      <c r="I53"/>
      <c r="K53" s="12"/>
    </row>
    <row r="54" spans="1:11" ht="13.8" thickBot="1" x14ac:dyDescent="0.3">
      <c r="A54" s="55" t="s">
        <v>44</v>
      </c>
      <c r="B54" s="35">
        <f>SUM(B29:B53)</f>
        <v>1230196</v>
      </c>
      <c r="E54" s="12"/>
      <c r="G54" s="34" t="s">
        <v>44</v>
      </c>
      <c r="H54" s="35">
        <f>SUM(H29:H53)</f>
        <v>1330196</v>
      </c>
      <c r="K54" s="12"/>
    </row>
    <row r="55" spans="1:11" ht="13.8" thickBot="1" x14ac:dyDescent="0.3">
      <c r="A55" s="57"/>
      <c r="B55" s="58"/>
      <c r="E55" s="12"/>
      <c r="G55" s="31"/>
      <c r="H55" s="38"/>
      <c r="K55" s="12"/>
    </row>
    <row r="56" spans="1:11" x14ac:dyDescent="0.25">
      <c r="E56" s="12"/>
      <c r="K56" s="12"/>
    </row>
    <row r="57" spans="1:11" x14ac:dyDescent="0.25">
      <c r="E57" s="12"/>
      <c r="K57" s="12"/>
    </row>
    <row r="58" spans="1:11" x14ac:dyDescent="0.25">
      <c r="E58" s="12"/>
      <c r="K58" s="12"/>
    </row>
    <row r="59" spans="1:11" x14ac:dyDescent="0.25">
      <c r="E59" s="12"/>
      <c r="K59" s="12"/>
    </row>
  </sheetData>
  <phoneticPr fontId="0" type="noConversion"/>
  <pageMargins left="0.55000000000000004" right="0.3" top="1" bottom="0.5" header="0.5" footer="0.5"/>
  <pageSetup scale="52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7"/>
  <sheetViews>
    <sheetView tabSelected="1" zoomScale="75" workbookViewId="0"/>
  </sheetViews>
  <sheetFormatPr defaultColWidth="9.109375" defaultRowHeight="13.2" x14ac:dyDescent="0.25"/>
  <cols>
    <col min="1" max="1" width="26.44140625" style="2" bestFit="1" customWidth="1"/>
    <col min="2" max="3" width="11" style="2" bestFit="1" customWidth="1"/>
    <col min="4" max="4" width="26.44140625" style="2" bestFit="1" customWidth="1"/>
    <col min="5" max="5" width="10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4.55468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109375" style="2" bestFit="1" customWidth="1"/>
    <col min="22" max="22" width="3.109375" style="2" customWidth="1"/>
    <col min="23" max="23" width="11.88671875" style="2" bestFit="1" customWidth="1"/>
    <col min="24" max="25" width="10.33203125" style="2" customWidth="1"/>
    <col min="26" max="26" width="9.33203125" style="2" bestFit="1" customWidth="1"/>
    <col min="27" max="27" width="1.6640625" style="2" customWidth="1"/>
    <col min="28" max="30" width="9.33203125" style="2" bestFit="1" customWidth="1"/>
    <col min="31" max="31" width="9.109375" style="2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40.200000000000003" thickBot="1" x14ac:dyDescent="0.3">
      <c r="A1" s="2" t="s">
        <v>0</v>
      </c>
      <c r="B1" s="3">
        <f ca="1">TODAY()</f>
        <v>36868</v>
      </c>
      <c r="F1" s="4" t="s">
        <v>1</v>
      </c>
      <c r="G1" s="5">
        <v>1300000</v>
      </c>
      <c r="H1" s="6"/>
      <c r="I1" s="7" t="s">
        <v>2</v>
      </c>
      <c r="J1" s="8">
        <v>210000</v>
      </c>
      <c r="O1" s="47" t="s">
        <v>3</v>
      </c>
      <c r="P1" s="11">
        <f ca="1">TODAY()+2</f>
        <v>36870</v>
      </c>
      <c r="Q1" s="12">
        <v>900000</v>
      </c>
      <c r="S1" s="47" t="s">
        <v>4</v>
      </c>
      <c r="T1" s="11">
        <f ca="1">TODAY()+2</f>
        <v>36870</v>
      </c>
      <c r="U1" s="12">
        <v>146000</v>
      </c>
      <c r="X1" s="10" t="s">
        <v>5</v>
      </c>
      <c r="Y1" s="10" t="s">
        <v>55</v>
      </c>
      <c r="Z1" s="10" t="s">
        <v>6</v>
      </c>
      <c r="AA1" s="10"/>
      <c r="AB1" s="10" t="s">
        <v>7</v>
      </c>
      <c r="AC1" s="10" t="s">
        <v>56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8" thickBot="1" x14ac:dyDescent="0.3">
      <c r="A2" s="2" t="s">
        <v>12</v>
      </c>
      <c r="B2" s="3">
        <f ca="1">TODAY()+1</f>
        <v>36869</v>
      </c>
      <c r="D2" s="14"/>
      <c r="P2" s="11">
        <f ca="1">TODAY()+3</f>
        <v>36871</v>
      </c>
      <c r="Q2" s="12">
        <v>1100000</v>
      </c>
      <c r="T2" s="11">
        <f ca="1">TODAY()+3</f>
        <v>36871</v>
      </c>
      <c r="U2" s="12">
        <v>176000</v>
      </c>
      <c r="W2" s="11">
        <v>36861</v>
      </c>
      <c r="X2" s="14">
        <v>0</v>
      </c>
      <c r="Y2" s="14">
        <v>0</v>
      </c>
      <c r="Z2" s="13">
        <f>495450.4192-X2+Y2</f>
        <v>495450.4192</v>
      </c>
      <c r="AA2" s="13"/>
      <c r="AB2" s="14">
        <v>0</v>
      </c>
      <c r="AC2" s="14">
        <v>0</v>
      </c>
      <c r="AD2" s="14">
        <v>1500</v>
      </c>
      <c r="AF2" s="11">
        <f>+W2</f>
        <v>36861</v>
      </c>
      <c r="AG2" s="12">
        <f>1000000+158000</f>
        <v>1158000</v>
      </c>
      <c r="AH2" s="12">
        <f>159611+1004827</f>
        <v>1164438</v>
      </c>
      <c r="AJ2" s="15">
        <f>+AF2</f>
        <v>36861</v>
      </c>
      <c r="AK2" s="12">
        <f>377030+38877</f>
        <v>415907</v>
      </c>
      <c r="AL2" s="12"/>
      <c r="AM2" s="12"/>
    </row>
    <row r="3" spans="1:39" ht="25.5" customHeight="1" thickBot="1" x14ac:dyDescent="0.3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36867</v>
      </c>
      <c r="L3" s="23">
        <f ca="1">TODAY()</f>
        <v>36868</v>
      </c>
      <c r="M3" s="24" t="s">
        <v>20</v>
      </c>
      <c r="P3" s="11">
        <f ca="1">TODAY()+4</f>
        <v>36872</v>
      </c>
      <c r="Q3" s="12">
        <v>1350000</v>
      </c>
      <c r="T3" s="11">
        <f ca="1">TODAY()+4</f>
        <v>36872</v>
      </c>
      <c r="U3" s="12">
        <v>214000</v>
      </c>
      <c r="W3" s="11">
        <v>36862</v>
      </c>
      <c r="X3" s="14">
        <v>0</v>
      </c>
      <c r="Y3" s="14">
        <v>0</v>
      </c>
      <c r="Z3" s="13">
        <f>Z2-X3+Y3</f>
        <v>495450.4192</v>
      </c>
      <c r="AA3" s="13"/>
      <c r="AB3" s="14">
        <v>0</v>
      </c>
      <c r="AC3" s="14">
        <v>0</v>
      </c>
      <c r="AD3" s="14">
        <v>1500</v>
      </c>
      <c r="AF3" s="11">
        <f t="shared" ref="AF3:AF32" si="0">+W3</f>
        <v>36862</v>
      </c>
      <c r="AG3" s="12">
        <f>1080000+173000</f>
        <v>1253000</v>
      </c>
      <c r="AH3" s="12">
        <f>1000790+161782</f>
        <v>1162572</v>
      </c>
      <c r="AJ3" s="15">
        <f t="shared" ref="AJ3:AJ15" si="1">+AF3</f>
        <v>36862</v>
      </c>
      <c r="AK3" s="12">
        <f>382063+39126</f>
        <v>421189</v>
      </c>
      <c r="AL3" s="12"/>
      <c r="AM3" s="12"/>
    </row>
    <row r="4" spans="1:39" ht="13.8" thickBot="1" x14ac:dyDescent="0.3">
      <c r="A4" s="2" t="s">
        <v>16</v>
      </c>
      <c r="B4" s="16">
        <v>30</v>
      </c>
      <c r="C4" s="17">
        <v>27</v>
      </c>
      <c r="D4" s="18">
        <f>AVERAGE(B4,C4)</f>
        <v>28.5</v>
      </c>
      <c r="J4" s="25" t="s">
        <v>23</v>
      </c>
      <c r="K4" s="39">
        <f>6300*2</f>
        <v>12600</v>
      </c>
      <c r="L4" s="9">
        <f>25276*2</f>
        <v>50552</v>
      </c>
      <c r="M4" s="28">
        <f>+L4-K4</f>
        <v>37952</v>
      </c>
      <c r="R4" s="11" t="s">
        <v>17</v>
      </c>
      <c r="W4" s="11">
        <v>36863</v>
      </c>
      <c r="X4" s="14">
        <v>0</v>
      </c>
      <c r="Y4" s="14">
        <v>0</v>
      </c>
      <c r="Z4" s="13">
        <f t="shared" ref="Z4:Z32" si="2">Z3-X4+Y4</f>
        <v>495450.4192</v>
      </c>
      <c r="AA4" s="13"/>
      <c r="AB4" s="14">
        <v>0</v>
      </c>
      <c r="AC4" s="14">
        <v>0</v>
      </c>
      <c r="AD4" s="14">
        <v>1500</v>
      </c>
      <c r="AF4" s="11">
        <f t="shared" si="0"/>
        <v>36863</v>
      </c>
      <c r="AG4" s="12">
        <f>1010000+160000</f>
        <v>1170000</v>
      </c>
      <c r="AH4" s="12">
        <f>1022418+163787</f>
        <v>1186205</v>
      </c>
      <c r="AJ4" s="15">
        <f t="shared" si="1"/>
        <v>36863</v>
      </c>
      <c r="AK4" s="12">
        <f>382049+39126</f>
        <v>421175</v>
      </c>
      <c r="AL4" s="12"/>
      <c r="AM4" s="12"/>
    </row>
    <row r="5" spans="1:39" x14ac:dyDescent="0.25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40">
        <v>0</v>
      </c>
      <c r="L5" s="9">
        <v>0</v>
      </c>
      <c r="M5" s="30">
        <f>+L5-K5</f>
        <v>0</v>
      </c>
      <c r="W5" s="11">
        <v>36864</v>
      </c>
      <c r="X5" s="14">
        <f>8040*2</f>
        <v>16080</v>
      </c>
      <c r="Y5" s="14">
        <v>0</v>
      </c>
      <c r="Z5" s="13">
        <f t="shared" si="2"/>
        <v>479370.4192</v>
      </c>
      <c r="AA5" s="13"/>
      <c r="AB5" s="14">
        <v>0</v>
      </c>
      <c r="AC5" s="14">
        <v>0</v>
      </c>
      <c r="AD5" s="14">
        <v>1500</v>
      </c>
      <c r="AF5" s="11">
        <f t="shared" si="0"/>
        <v>36864</v>
      </c>
      <c r="AG5" s="12">
        <f>1150000+190000</f>
        <v>1340000</v>
      </c>
      <c r="AH5" s="12">
        <f>1130867+187376</f>
        <v>1318243</v>
      </c>
      <c r="AJ5" s="15">
        <f t="shared" si="1"/>
        <v>36864</v>
      </c>
      <c r="AK5" s="12">
        <f>381541+39126</f>
        <v>420667</v>
      </c>
      <c r="AL5" s="12"/>
      <c r="AM5" s="12"/>
    </row>
    <row r="6" spans="1:39" ht="13.8" thickBot="1" x14ac:dyDescent="0.3">
      <c r="A6" s="25" t="s">
        <v>21</v>
      </c>
      <c r="B6" s="26">
        <v>-1100000</v>
      </c>
      <c r="C6" s="12">
        <v>-1082000</v>
      </c>
      <c r="D6" s="25" t="s">
        <v>22</v>
      </c>
      <c r="E6" s="26">
        <v>-180000</v>
      </c>
      <c r="F6" s="12">
        <v>-178000</v>
      </c>
      <c r="H6" s="12"/>
      <c r="J6" s="31" t="s">
        <v>28</v>
      </c>
      <c r="K6" s="42">
        <f>(+K4-K5)/2</f>
        <v>6300</v>
      </c>
      <c r="L6" s="32">
        <f>(+L4-L5)/2</f>
        <v>25276</v>
      </c>
      <c r="M6" s="33">
        <f>+L6-K6</f>
        <v>18976</v>
      </c>
      <c r="W6" s="11">
        <v>36865</v>
      </c>
      <c r="X6" s="14">
        <v>0</v>
      </c>
      <c r="Y6" s="14">
        <f>10000*2</f>
        <v>20000</v>
      </c>
      <c r="Z6" s="13">
        <f t="shared" si="2"/>
        <v>499370.4192</v>
      </c>
      <c r="AA6" s="13"/>
      <c r="AB6" s="14">
        <v>0</v>
      </c>
      <c r="AC6" s="14">
        <v>0</v>
      </c>
      <c r="AD6" s="14">
        <v>1500</v>
      </c>
      <c r="AF6" s="11">
        <f t="shared" si="0"/>
        <v>36865</v>
      </c>
      <c r="AG6" s="12">
        <f>1420000+235000</f>
        <v>1655000</v>
      </c>
      <c r="AH6" s="12">
        <f>1397814+238770</f>
        <v>1636584</v>
      </c>
      <c r="AJ6" s="15">
        <f t="shared" si="1"/>
        <v>36865</v>
      </c>
      <c r="AK6" s="12">
        <f>390021+39126</f>
        <v>429147</v>
      </c>
      <c r="AL6" s="12"/>
      <c r="AM6" s="12"/>
    </row>
    <row r="7" spans="1:39" x14ac:dyDescent="0.25">
      <c r="A7" s="25" t="s">
        <v>62</v>
      </c>
      <c r="B7" s="26"/>
      <c r="D7" s="25" t="s">
        <v>25</v>
      </c>
      <c r="E7" s="26">
        <v>0</v>
      </c>
      <c r="G7" s="12"/>
      <c r="H7" s="12"/>
      <c r="W7" s="11">
        <v>36866</v>
      </c>
      <c r="X7" s="14">
        <f>18500*2</f>
        <v>37000</v>
      </c>
      <c r="Y7" s="14">
        <v>0</v>
      </c>
      <c r="Z7" s="13">
        <f t="shared" si="2"/>
        <v>462370.4192</v>
      </c>
      <c r="AA7" s="13"/>
      <c r="AB7" s="14">
        <v>0</v>
      </c>
      <c r="AC7" s="14">
        <v>0</v>
      </c>
      <c r="AD7" s="14">
        <v>1500</v>
      </c>
      <c r="AF7" s="11">
        <f t="shared" si="0"/>
        <v>36866</v>
      </c>
      <c r="AG7" s="12">
        <f>1340000+230000</f>
        <v>1570000</v>
      </c>
      <c r="AH7" s="12">
        <f>1380129+228664</f>
        <v>1608793</v>
      </c>
      <c r="AJ7" s="15">
        <f t="shared" si="1"/>
        <v>36866</v>
      </c>
      <c r="AK7" s="12">
        <f>365880+38289</f>
        <v>404169</v>
      </c>
      <c r="AL7" s="12"/>
      <c r="AM7" s="12"/>
    </row>
    <row r="8" spans="1:39" x14ac:dyDescent="0.25">
      <c r="A8" s="25" t="s">
        <v>67</v>
      </c>
      <c r="B8" s="26">
        <v>-20670</v>
      </c>
      <c r="D8" s="25" t="s">
        <v>27</v>
      </c>
      <c r="E8" s="26"/>
      <c r="G8" s="12"/>
      <c r="H8" s="12"/>
      <c r="W8" s="11">
        <v>36867</v>
      </c>
      <c r="X8" s="14">
        <f>6300*2</f>
        <v>12600</v>
      </c>
      <c r="Y8" s="14">
        <v>0</v>
      </c>
      <c r="Z8" s="13">
        <f t="shared" si="2"/>
        <v>449770.4192</v>
      </c>
      <c r="AA8" s="13"/>
      <c r="AB8" s="14">
        <v>0</v>
      </c>
      <c r="AC8" s="14">
        <v>0</v>
      </c>
      <c r="AD8" s="14">
        <v>1500</v>
      </c>
      <c r="AF8" s="11">
        <f t="shared" si="0"/>
        <v>36867</v>
      </c>
      <c r="AG8" s="12">
        <f>1250000+200000</f>
        <v>1450000</v>
      </c>
      <c r="AH8" s="12">
        <f>1175000+190000</f>
        <v>1365000</v>
      </c>
      <c r="AJ8" s="15">
        <f t="shared" si="1"/>
        <v>36867</v>
      </c>
      <c r="AK8" s="12">
        <f>389683+38708</f>
        <v>428391</v>
      </c>
      <c r="AL8" s="12"/>
      <c r="AM8" s="12"/>
    </row>
    <row r="9" spans="1:39" x14ac:dyDescent="0.25">
      <c r="A9" s="45" t="s">
        <v>68</v>
      </c>
      <c r="B9" s="26">
        <v>0</v>
      </c>
      <c r="D9" s="25" t="s">
        <v>29</v>
      </c>
      <c r="E9" s="26">
        <v>0</v>
      </c>
      <c r="G9" s="12"/>
      <c r="H9" s="12"/>
      <c r="L9" s="12"/>
      <c r="W9" s="11">
        <v>36868</v>
      </c>
      <c r="X9" s="14">
        <f>25276*2</f>
        <v>50552</v>
      </c>
      <c r="Y9" s="14">
        <v>0</v>
      </c>
      <c r="Z9" s="13">
        <f t="shared" si="2"/>
        <v>399218.4192</v>
      </c>
      <c r="AA9" s="13"/>
      <c r="AB9" s="14">
        <v>0</v>
      </c>
      <c r="AC9" s="14">
        <v>0</v>
      </c>
      <c r="AD9" s="14">
        <v>1500</v>
      </c>
      <c r="AF9" s="11">
        <f t="shared" si="0"/>
        <v>36868</v>
      </c>
      <c r="AG9" s="12">
        <f>1300000+210000</f>
        <v>1510000</v>
      </c>
      <c r="AH9" s="12">
        <f>1300000+210000</f>
        <v>1510000</v>
      </c>
      <c r="AJ9" s="15">
        <f t="shared" si="1"/>
        <v>36868</v>
      </c>
      <c r="AK9" s="12">
        <f>424539+38712</f>
        <v>463251</v>
      </c>
      <c r="AL9" s="12"/>
      <c r="AM9" s="12"/>
    </row>
    <row r="10" spans="1:39" x14ac:dyDescent="0.25">
      <c r="A10" s="45" t="s">
        <v>69</v>
      </c>
      <c r="B10" s="26">
        <v>-50000</v>
      </c>
      <c r="C10" s="14" t="s">
        <v>17</v>
      </c>
      <c r="D10" s="25" t="s">
        <v>54</v>
      </c>
      <c r="E10" s="26">
        <v>0</v>
      </c>
      <c r="G10" s="12"/>
      <c r="H10" s="12"/>
      <c r="W10" s="11">
        <v>36869</v>
      </c>
      <c r="X10" s="14">
        <v>0</v>
      </c>
      <c r="Y10" s="14">
        <v>0</v>
      </c>
      <c r="Z10" s="13">
        <f t="shared" si="2"/>
        <v>399218.4192</v>
      </c>
      <c r="AA10" s="13"/>
      <c r="AB10" s="14">
        <v>0</v>
      </c>
      <c r="AC10" s="14">
        <v>0</v>
      </c>
      <c r="AD10" s="14">
        <v>1500</v>
      </c>
      <c r="AF10" s="11">
        <f t="shared" si="0"/>
        <v>36869</v>
      </c>
      <c r="AG10" s="12">
        <f>1100000+180000</f>
        <v>1280000</v>
      </c>
      <c r="AH10" s="12"/>
      <c r="AJ10" s="15">
        <f t="shared" si="1"/>
        <v>36869</v>
      </c>
      <c r="AK10" s="12"/>
      <c r="AL10" s="12"/>
      <c r="AM10" s="12"/>
    </row>
    <row r="11" spans="1:39" x14ac:dyDescent="0.25">
      <c r="A11" s="45" t="s">
        <v>70</v>
      </c>
      <c r="B11" s="26">
        <f>-25720-B8</f>
        <v>-5050</v>
      </c>
      <c r="C11" s="14"/>
      <c r="D11" s="25" t="s">
        <v>31</v>
      </c>
      <c r="E11" s="26">
        <v>0</v>
      </c>
      <c r="G11" s="12"/>
      <c r="H11" s="12"/>
      <c r="R11" s="13"/>
      <c r="W11" s="11">
        <v>36870</v>
      </c>
      <c r="X11" s="14">
        <v>0</v>
      </c>
      <c r="Y11" s="14">
        <v>0</v>
      </c>
      <c r="Z11" s="13">
        <f t="shared" si="2"/>
        <v>399218.4192</v>
      </c>
      <c r="AA11" s="13"/>
      <c r="AB11" s="14">
        <v>0</v>
      </c>
      <c r="AC11" s="14">
        <v>0</v>
      </c>
      <c r="AD11" s="14">
        <v>1500</v>
      </c>
      <c r="AF11" s="11">
        <f t="shared" si="0"/>
        <v>36870</v>
      </c>
      <c r="AG11" s="12">
        <f>900000+146000</f>
        <v>1046000</v>
      </c>
      <c r="AH11" s="12"/>
      <c r="AJ11" s="15">
        <f t="shared" si="1"/>
        <v>36870</v>
      </c>
      <c r="AK11" s="12"/>
      <c r="AL11" s="12"/>
      <c r="AM11" s="12"/>
    </row>
    <row r="12" spans="1:39" x14ac:dyDescent="0.25">
      <c r="A12" s="25" t="s">
        <v>24</v>
      </c>
      <c r="B12" s="26">
        <v>0</v>
      </c>
      <c r="C12" s="14" t="s">
        <v>17</v>
      </c>
      <c r="D12" s="45" t="s">
        <v>59</v>
      </c>
      <c r="E12" s="43">
        <v>-1000</v>
      </c>
      <c r="G12" s="12" t="s">
        <v>17</v>
      </c>
      <c r="H12" s="12"/>
      <c r="R12" s="13"/>
      <c r="W12" s="11">
        <v>36871</v>
      </c>
      <c r="X12" s="14">
        <v>0</v>
      </c>
      <c r="Y12" s="14">
        <v>0</v>
      </c>
      <c r="Z12" s="13">
        <f t="shared" si="2"/>
        <v>399218.4192</v>
      </c>
      <c r="AA12" s="13"/>
      <c r="AB12" s="14">
        <v>0</v>
      </c>
      <c r="AC12" s="14">
        <v>0</v>
      </c>
      <c r="AD12" s="14">
        <v>1500</v>
      </c>
      <c r="AF12" s="11">
        <f t="shared" si="0"/>
        <v>36871</v>
      </c>
      <c r="AG12" s="12">
        <f>1100000+176000</f>
        <v>1276000</v>
      </c>
      <c r="AH12" s="12"/>
      <c r="AJ12" s="15">
        <f t="shared" si="1"/>
        <v>36871</v>
      </c>
      <c r="AK12" s="12"/>
      <c r="AL12" s="12"/>
      <c r="AM12" s="12"/>
    </row>
    <row r="13" spans="1:39" ht="13.8" thickBot="1" x14ac:dyDescent="0.3">
      <c r="A13" s="25" t="s">
        <v>29</v>
      </c>
      <c r="B13" s="26">
        <f>(-126746-24000-3730)-B14</f>
        <v>-125294</v>
      </c>
      <c r="D13" s="25" t="s">
        <v>32</v>
      </c>
      <c r="E13" s="26">
        <v>0</v>
      </c>
      <c r="G13" s="12"/>
      <c r="H13" s="12"/>
      <c r="R13" s="13"/>
      <c r="W13" s="11">
        <v>36872</v>
      </c>
      <c r="X13" s="14">
        <v>0</v>
      </c>
      <c r="Y13" s="14">
        <v>0</v>
      </c>
      <c r="Z13" s="13">
        <f t="shared" si="2"/>
        <v>399218.4192</v>
      </c>
      <c r="AA13" s="13"/>
      <c r="AB13" s="14">
        <v>0</v>
      </c>
      <c r="AC13" s="14">
        <v>0</v>
      </c>
      <c r="AD13" s="14">
        <v>1500</v>
      </c>
      <c r="AF13" s="11">
        <f t="shared" si="0"/>
        <v>36872</v>
      </c>
      <c r="AG13" s="12">
        <f>1350000+214000</f>
        <v>1564000</v>
      </c>
      <c r="AH13" s="12"/>
      <c r="AJ13" s="15">
        <f t="shared" si="1"/>
        <v>36872</v>
      </c>
      <c r="AK13" s="12"/>
      <c r="AL13" s="12"/>
      <c r="AM13" s="12"/>
    </row>
    <row r="14" spans="1:39" ht="13.8" thickBot="1" x14ac:dyDescent="0.3">
      <c r="A14" s="25" t="s">
        <v>66</v>
      </c>
      <c r="B14" s="26">
        <f>-1452-24000-3730</f>
        <v>-29182</v>
      </c>
      <c r="C14" s="2" t="s">
        <v>17</v>
      </c>
      <c r="D14" s="34" t="s">
        <v>33</v>
      </c>
      <c r="E14" s="35">
        <f>SUM(E6:E13)</f>
        <v>-181000</v>
      </c>
      <c r="G14" s="12"/>
      <c r="H14" s="12"/>
      <c r="L14" s="12"/>
      <c r="R14" s="13"/>
      <c r="W14" s="11">
        <v>36873</v>
      </c>
      <c r="X14" s="14">
        <v>0</v>
      </c>
      <c r="Y14" s="14">
        <v>0</v>
      </c>
      <c r="Z14" s="13">
        <f t="shared" si="2"/>
        <v>399218.4192</v>
      </c>
      <c r="AA14" s="13"/>
      <c r="AB14" s="14">
        <v>0</v>
      </c>
      <c r="AC14" s="14">
        <v>0</v>
      </c>
      <c r="AD14" s="14">
        <v>1500</v>
      </c>
      <c r="AF14" s="11">
        <f t="shared" si="0"/>
        <v>36873</v>
      </c>
      <c r="AG14" s="12"/>
      <c r="AH14" s="12"/>
      <c r="AJ14" s="15">
        <f t="shared" si="1"/>
        <v>36873</v>
      </c>
      <c r="AK14" s="12"/>
      <c r="AL14" s="12"/>
      <c r="AM14" s="12"/>
    </row>
    <row r="15" spans="1:39" x14ac:dyDescent="0.25">
      <c r="A15" s="25" t="s">
        <v>19</v>
      </c>
      <c r="B15" s="26">
        <v>0</v>
      </c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36874</v>
      </c>
      <c r="X15" s="14">
        <v>0</v>
      </c>
      <c r="Y15" s="14">
        <v>0</v>
      </c>
      <c r="Z15" s="13">
        <f t="shared" si="2"/>
        <v>399218.4192</v>
      </c>
      <c r="AA15" s="13"/>
      <c r="AB15" s="14">
        <v>0</v>
      </c>
      <c r="AC15" s="14">
        <v>0</v>
      </c>
      <c r="AD15" s="14">
        <v>1500</v>
      </c>
      <c r="AF15" s="11">
        <f t="shared" si="0"/>
        <v>36874</v>
      </c>
      <c r="AG15" s="12"/>
      <c r="AH15" s="12"/>
      <c r="AJ15" s="15">
        <f t="shared" si="1"/>
        <v>36874</v>
      </c>
      <c r="AK15" s="12"/>
      <c r="AL15" s="12"/>
      <c r="AM15" s="12"/>
    </row>
    <row r="16" spans="1:39" x14ac:dyDescent="0.25">
      <c r="A16" s="25" t="s">
        <v>27</v>
      </c>
      <c r="B16" s="26"/>
      <c r="C16" s="14"/>
      <c r="D16" s="25" t="s">
        <v>39</v>
      </c>
      <c r="E16" s="26">
        <v>49111</v>
      </c>
      <c r="G16" s="12"/>
      <c r="H16" s="12"/>
      <c r="L16" s="12"/>
      <c r="R16" s="13"/>
      <c r="W16" s="11">
        <v>36875</v>
      </c>
      <c r="X16" s="14">
        <v>0</v>
      </c>
      <c r="Y16" s="14">
        <v>0</v>
      </c>
      <c r="Z16" s="13">
        <f t="shared" si="2"/>
        <v>399218.4192</v>
      </c>
      <c r="AA16" s="13"/>
      <c r="AB16" s="14">
        <v>0</v>
      </c>
      <c r="AC16" s="14">
        <v>0</v>
      </c>
      <c r="AD16" s="14">
        <v>1500</v>
      </c>
      <c r="AF16" s="11">
        <f t="shared" si="0"/>
        <v>36875</v>
      </c>
      <c r="AG16" s="12"/>
      <c r="AH16" s="12"/>
      <c r="AJ16" s="15">
        <f t="shared" ref="AJ16:AJ32" si="3">+AF16</f>
        <v>36875</v>
      </c>
      <c r="AK16" s="12"/>
      <c r="AL16" s="12"/>
      <c r="AM16" s="12"/>
    </row>
    <row r="17" spans="1:39" x14ac:dyDescent="0.25">
      <c r="A17" s="25" t="s">
        <v>32</v>
      </c>
      <c r="B17" s="43">
        <v>0</v>
      </c>
      <c r="C17" s="14"/>
      <c r="D17" s="25" t="s">
        <v>40</v>
      </c>
      <c r="E17" s="26">
        <v>0</v>
      </c>
      <c r="G17" s="12"/>
      <c r="H17" s="12"/>
      <c r="L17" s="12"/>
      <c r="R17" s="13"/>
      <c r="W17" s="11">
        <v>36876</v>
      </c>
      <c r="X17" s="14">
        <v>0</v>
      </c>
      <c r="Y17" s="14">
        <v>0</v>
      </c>
      <c r="Z17" s="13">
        <f t="shared" si="2"/>
        <v>399218.4192</v>
      </c>
      <c r="AA17" s="13"/>
      <c r="AB17" s="14">
        <v>0</v>
      </c>
      <c r="AC17" s="14">
        <v>0</v>
      </c>
      <c r="AD17" s="14">
        <v>1500</v>
      </c>
      <c r="AF17" s="11">
        <f t="shared" si="0"/>
        <v>36876</v>
      </c>
      <c r="AG17" s="12"/>
      <c r="AH17" s="12"/>
      <c r="AJ17" s="15">
        <f t="shared" si="3"/>
        <v>36876</v>
      </c>
      <c r="AK17" s="12"/>
      <c r="AL17" s="12"/>
      <c r="AM17" s="12"/>
    </row>
    <row r="18" spans="1:39" x14ac:dyDescent="0.25">
      <c r="A18" s="25" t="s">
        <v>34</v>
      </c>
      <c r="B18" s="26">
        <v>0</v>
      </c>
      <c r="D18" s="25" t="s">
        <v>41</v>
      </c>
      <c r="E18" s="26">
        <v>8933</v>
      </c>
      <c r="F18" s="14" t="s">
        <v>17</v>
      </c>
      <c r="G18" s="12"/>
      <c r="H18" s="12"/>
      <c r="L18" s="12"/>
      <c r="R18" s="13"/>
      <c r="W18" s="11">
        <v>36877</v>
      </c>
      <c r="X18" s="14">
        <v>0</v>
      </c>
      <c r="Y18" s="14">
        <v>0</v>
      </c>
      <c r="Z18" s="13">
        <f t="shared" si="2"/>
        <v>399218.4192</v>
      </c>
      <c r="AA18" s="13"/>
      <c r="AB18" s="14">
        <v>0</v>
      </c>
      <c r="AC18" s="14">
        <v>0</v>
      </c>
      <c r="AD18" s="14">
        <v>1500</v>
      </c>
      <c r="AF18" s="11">
        <f t="shared" si="0"/>
        <v>36877</v>
      </c>
      <c r="AG18" s="12"/>
      <c r="AH18" s="12"/>
      <c r="AJ18" s="15">
        <f t="shared" si="3"/>
        <v>36877</v>
      </c>
      <c r="AK18" s="12"/>
      <c r="AL18" s="12"/>
      <c r="AM18" s="12"/>
    </row>
    <row r="19" spans="1:39" x14ac:dyDescent="0.25">
      <c r="A19" s="25" t="s">
        <v>30</v>
      </c>
      <c r="B19" s="26">
        <v>0</v>
      </c>
      <c r="C19" s="44"/>
      <c r="D19" s="25" t="s">
        <v>42</v>
      </c>
      <c r="E19" s="26">
        <v>38712</v>
      </c>
      <c r="G19" s="12"/>
      <c r="H19" s="12"/>
      <c r="L19" s="12"/>
      <c r="R19" s="13"/>
      <c r="W19" s="11">
        <v>36878</v>
      </c>
      <c r="X19" s="14">
        <v>0</v>
      </c>
      <c r="Y19" s="14">
        <v>0</v>
      </c>
      <c r="Z19" s="13">
        <f t="shared" si="2"/>
        <v>399218.4192</v>
      </c>
      <c r="AA19" s="13"/>
      <c r="AB19" s="14">
        <v>0</v>
      </c>
      <c r="AC19" s="14">
        <v>0</v>
      </c>
      <c r="AD19" s="14">
        <v>1500</v>
      </c>
      <c r="AF19" s="11">
        <f t="shared" si="0"/>
        <v>36878</v>
      </c>
      <c r="AG19" s="12"/>
      <c r="AH19" s="12"/>
      <c r="AJ19" s="15">
        <f t="shared" si="3"/>
        <v>36878</v>
      </c>
      <c r="AK19" s="12"/>
      <c r="AL19" s="12"/>
      <c r="AM19" s="12"/>
    </row>
    <row r="20" spans="1:39" x14ac:dyDescent="0.25">
      <c r="A20" s="25" t="s">
        <v>52</v>
      </c>
      <c r="B20" s="26">
        <v>0</v>
      </c>
      <c r="C20" s="14"/>
      <c r="D20" s="25" t="s">
        <v>47</v>
      </c>
      <c r="E20" s="26"/>
      <c r="G20" s="12"/>
      <c r="H20" s="12"/>
      <c r="R20" s="13"/>
      <c r="W20" s="11">
        <v>36879</v>
      </c>
      <c r="X20" s="14">
        <v>0</v>
      </c>
      <c r="Y20" s="14">
        <v>0</v>
      </c>
      <c r="Z20" s="13">
        <f t="shared" si="2"/>
        <v>399218.4192</v>
      </c>
      <c r="AA20" s="13"/>
      <c r="AB20" s="14">
        <v>0</v>
      </c>
      <c r="AC20" s="14">
        <v>0</v>
      </c>
      <c r="AD20" s="14">
        <v>1500</v>
      </c>
      <c r="AF20" s="11">
        <f t="shared" si="0"/>
        <v>36879</v>
      </c>
      <c r="AG20" s="12"/>
      <c r="AH20" s="12"/>
      <c r="AJ20" s="15">
        <f t="shared" si="3"/>
        <v>36879</v>
      </c>
      <c r="AK20" s="12"/>
      <c r="AL20" s="12"/>
      <c r="AM20" s="12"/>
    </row>
    <row r="21" spans="1:39" x14ac:dyDescent="0.25">
      <c r="A21" s="25" t="s">
        <v>53</v>
      </c>
      <c r="B21" s="26">
        <v>0</v>
      </c>
      <c r="C21" s="14"/>
      <c r="D21" s="25" t="s">
        <v>63</v>
      </c>
      <c r="E21" s="26">
        <v>8000</v>
      </c>
      <c r="G21" s="12"/>
      <c r="H21" s="12"/>
      <c r="R21" s="13"/>
      <c r="W21" s="11">
        <v>36880</v>
      </c>
      <c r="X21" s="14">
        <v>0</v>
      </c>
      <c r="Y21" s="14">
        <v>0</v>
      </c>
      <c r="Z21" s="13">
        <f t="shared" si="2"/>
        <v>399218.4192</v>
      </c>
      <c r="AA21" s="13"/>
      <c r="AB21" s="14">
        <v>0</v>
      </c>
      <c r="AC21" s="14">
        <v>0</v>
      </c>
      <c r="AD21" s="14">
        <v>1500</v>
      </c>
      <c r="AF21" s="11">
        <f t="shared" si="0"/>
        <v>36880</v>
      </c>
      <c r="AG21" s="12"/>
      <c r="AH21" s="12"/>
      <c r="AJ21" s="15">
        <f t="shared" si="3"/>
        <v>36880</v>
      </c>
      <c r="AK21" s="12"/>
      <c r="AL21" s="12"/>
      <c r="AM21" s="12"/>
    </row>
    <row r="22" spans="1:39" x14ac:dyDescent="0.25">
      <c r="A22" s="25" t="s">
        <v>35</v>
      </c>
      <c r="B22" s="26">
        <v>0</v>
      </c>
      <c r="D22" s="25" t="s">
        <v>64</v>
      </c>
      <c r="E22" s="26">
        <v>7000</v>
      </c>
      <c r="G22" s="12"/>
      <c r="H22" s="12"/>
      <c r="R22" s="13"/>
      <c r="W22" s="11">
        <v>36881</v>
      </c>
      <c r="X22" s="14">
        <v>0</v>
      </c>
      <c r="Y22" s="14">
        <v>0</v>
      </c>
      <c r="Z22" s="13">
        <f t="shared" si="2"/>
        <v>399218.4192</v>
      </c>
      <c r="AA22" s="13"/>
      <c r="AB22" s="14">
        <v>0</v>
      </c>
      <c r="AC22" s="14">
        <v>0</v>
      </c>
      <c r="AD22" s="14">
        <v>1500</v>
      </c>
      <c r="AF22" s="11">
        <f t="shared" si="0"/>
        <v>36881</v>
      </c>
      <c r="AG22" s="12"/>
      <c r="AH22" s="12"/>
      <c r="AJ22" s="15">
        <f t="shared" si="3"/>
        <v>36881</v>
      </c>
      <c r="AK22" s="12"/>
      <c r="AL22" s="12"/>
      <c r="AM22" s="12"/>
    </row>
    <row r="23" spans="1:39" x14ac:dyDescent="0.25">
      <c r="A23" s="25" t="s">
        <v>29</v>
      </c>
      <c r="B23" s="43">
        <v>0</v>
      </c>
      <c r="C23" s="14" t="s">
        <v>17</v>
      </c>
      <c r="D23" s="25" t="s">
        <v>65</v>
      </c>
      <c r="E23" s="43">
        <f>45000+10000+5244</f>
        <v>60244</v>
      </c>
      <c r="G23" s="12"/>
      <c r="H23" s="12"/>
      <c r="L23" s="2">
        <v>0.32</v>
      </c>
      <c r="R23" s="13"/>
      <c r="W23" s="11">
        <v>36882</v>
      </c>
      <c r="X23" s="14">
        <v>0</v>
      </c>
      <c r="Y23" s="14">
        <v>0</v>
      </c>
      <c r="Z23" s="13">
        <f t="shared" si="2"/>
        <v>399218.4192</v>
      </c>
      <c r="AA23" s="13"/>
      <c r="AB23" s="14">
        <v>0</v>
      </c>
      <c r="AC23" s="14">
        <v>0</v>
      </c>
      <c r="AD23" s="14">
        <v>1500</v>
      </c>
      <c r="AF23" s="11">
        <f t="shared" si="0"/>
        <v>36882</v>
      </c>
      <c r="AG23" s="12"/>
      <c r="AH23" s="12"/>
      <c r="AJ23" s="15">
        <f t="shared" si="3"/>
        <v>36882</v>
      </c>
      <c r="AK23" s="12"/>
      <c r="AL23" s="12"/>
      <c r="AM23" s="12"/>
    </row>
    <row r="24" spans="1:39" x14ac:dyDescent="0.25">
      <c r="A24" s="25" t="s">
        <v>36</v>
      </c>
      <c r="B24" s="26">
        <v>0</v>
      </c>
      <c r="D24" s="25" t="s">
        <v>32</v>
      </c>
      <c r="E24" s="43">
        <v>0</v>
      </c>
      <c r="G24" s="12"/>
      <c r="H24" s="12"/>
      <c r="R24" s="13"/>
      <c r="W24" s="11">
        <v>36883</v>
      </c>
      <c r="X24" s="14">
        <v>0</v>
      </c>
      <c r="Y24" s="14">
        <v>0</v>
      </c>
      <c r="Z24" s="13">
        <f t="shared" si="2"/>
        <v>399218.4192</v>
      </c>
      <c r="AA24" s="13"/>
      <c r="AB24" s="14">
        <v>0</v>
      </c>
      <c r="AC24" s="14">
        <v>0</v>
      </c>
      <c r="AD24" s="14">
        <v>1500</v>
      </c>
      <c r="AF24" s="11">
        <f t="shared" si="0"/>
        <v>36883</v>
      </c>
      <c r="AG24" s="12"/>
      <c r="AH24" s="12"/>
      <c r="AJ24" s="15">
        <f t="shared" si="3"/>
        <v>36883</v>
      </c>
      <c r="AK24" s="12"/>
      <c r="AL24" s="12"/>
      <c r="AM24" s="12"/>
    </row>
    <row r="25" spans="1:39" x14ac:dyDescent="0.25">
      <c r="A25" s="25" t="s">
        <v>37</v>
      </c>
      <c r="B25" s="26">
        <v>0</v>
      </c>
      <c r="D25" s="25" t="s">
        <v>29</v>
      </c>
      <c r="E25" s="43">
        <v>9000</v>
      </c>
      <c r="G25" s="12"/>
      <c r="H25" s="12"/>
      <c r="R25" s="13"/>
      <c r="W25" s="11">
        <v>36884</v>
      </c>
      <c r="X25" s="14">
        <v>0</v>
      </c>
      <c r="Y25" s="14">
        <v>0</v>
      </c>
      <c r="Z25" s="13">
        <f t="shared" si="2"/>
        <v>399218.4192</v>
      </c>
      <c r="AA25" s="13"/>
      <c r="AB25" s="14">
        <v>0</v>
      </c>
      <c r="AC25" s="14">
        <v>0</v>
      </c>
      <c r="AD25" s="14">
        <v>1500</v>
      </c>
      <c r="AF25" s="11">
        <f t="shared" si="0"/>
        <v>36884</v>
      </c>
      <c r="AG25" s="12"/>
      <c r="AH25" s="12"/>
      <c r="AJ25" s="15">
        <f t="shared" si="3"/>
        <v>36884</v>
      </c>
      <c r="AK25" s="12"/>
      <c r="AL25" s="12"/>
      <c r="AM25" s="12"/>
    </row>
    <row r="26" spans="1:39" ht="13.8" thickBot="1" x14ac:dyDescent="0.3">
      <c r="A26" s="25" t="s">
        <v>38</v>
      </c>
      <c r="B26" s="26">
        <v>0</v>
      </c>
      <c r="D26" s="25" t="s">
        <v>59</v>
      </c>
      <c r="E26" s="43">
        <v>0</v>
      </c>
      <c r="G26" s="12"/>
      <c r="H26" s="12"/>
      <c r="R26" s="13"/>
      <c r="W26" s="11">
        <v>36885</v>
      </c>
      <c r="X26" s="14">
        <v>0</v>
      </c>
      <c r="Y26" s="14">
        <v>0</v>
      </c>
      <c r="Z26" s="13">
        <f t="shared" si="2"/>
        <v>399218.4192</v>
      </c>
      <c r="AA26" s="13"/>
      <c r="AB26" s="14">
        <v>0</v>
      </c>
      <c r="AC26" s="14">
        <v>0</v>
      </c>
      <c r="AD26" s="14">
        <v>1500</v>
      </c>
      <c r="AF26" s="11">
        <f t="shared" si="0"/>
        <v>36885</v>
      </c>
      <c r="AG26" s="12"/>
      <c r="AH26" s="12"/>
      <c r="AJ26" s="15">
        <f t="shared" si="3"/>
        <v>36885</v>
      </c>
      <c r="AK26" s="12"/>
      <c r="AL26" s="12"/>
      <c r="AM26" s="12"/>
    </row>
    <row r="27" spans="1:39" ht="13.8" thickBot="1" x14ac:dyDescent="0.3">
      <c r="A27" s="34" t="s">
        <v>33</v>
      </c>
      <c r="B27" s="35">
        <f>SUM(B6:B26)</f>
        <v>-1330196</v>
      </c>
      <c r="C27" s="14">
        <f>+B27+B54</f>
        <v>0</v>
      </c>
      <c r="D27" s="25" t="s">
        <v>61</v>
      </c>
      <c r="E27" s="43">
        <v>0</v>
      </c>
      <c r="G27" s="12"/>
      <c r="H27" s="12"/>
      <c r="R27" s="13"/>
      <c r="W27" s="11">
        <v>36886</v>
      </c>
      <c r="X27" s="14">
        <v>0</v>
      </c>
      <c r="Y27" s="14">
        <v>0</v>
      </c>
      <c r="Z27" s="13">
        <f t="shared" si="2"/>
        <v>399218.4192</v>
      </c>
      <c r="AA27" s="13"/>
      <c r="AB27" s="14">
        <v>0</v>
      </c>
      <c r="AC27" s="14">
        <v>0</v>
      </c>
      <c r="AD27" s="14">
        <v>1500</v>
      </c>
      <c r="AF27" s="11">
        <f t="shared" si="0"/>
        <v>36886</v>
      </c>
      <c r="AG27" s="12"/>
      <c r="AH27" s="12"/>
      <c r="AJ27" s="15">
        <f t="shared" si="3"/>
        <v>36886</v>
      </c>
      <c r="AK27" s="12"/>
      <c r="AL27" s="12"/>
      <c r="AM27" s="12"/>
    </row>
    <row r="28" spans="1:39" ht="13.8" thickBot="1" x14ac:dyDescent="0.3">
      <c r="A28" s="25"/>
      <c r="B28" s="43"/>
      <c r="D28" s="25" t="s">
        <v>43</v>
      </c>
      <c r="E28" s="26">
        <v>0</v>
      </c>
      <c r="G28" s="12"/>
      <c r="H28" s="12"/>
      <c r="R28" s="13"/>
      <c r="W28" s="11">
        <v>36887</v>
      </c>
      <c r="X28" s="14">
        <v>0</v>
      </c>
      <c r="Y28" s="14">
        <v>0</v>
      </c>
      <c r="Z28" s="13">
        <f t="shared" si="2"/>
        <v>399218.4192</v>
      </c>
      <c r="AA28" s="13"/>
      <c r="AB28" s="14">
        <v>0</v>
      </c>
      <c r="AC28" s="14">
        <v>0</v>
      </c>
      <c r="AD28" s="14">
        <v>1500</v>
      </c>
      <c r="AF28" s="11">
        <f t="shared" si="0"/>
        <v>36887</v>
      </c>
      <c r="AG28" s="12"/>
      <c r="AH28" s="12"/>
      <c r="AJ28" s="15">
        <f t="shared" si="3"/>
        <v>36887</v>
      </c>
      <c r="AK28" s="12"/>
      <c r="AL28" s="12"/>
      <c r="AM28" s="12"/>
    </row>
    <row r="29" spans="1:39" ht="13.8" thickBot="1" x14ac:dyDescent="0.3">
      <c r="A29" s="25" t="s">
        <v>39</v>
      </c>
      <c r="B29" s="43">
        <v>355784</v>
      </c>
      <c r="C29" s="14"/>
      <c r="D29" s="34" t="s">
        <v>44</v>
      </c>
      <c r="E29" s="35">
        <f>SUM(E16:E28)</f>
        <v>181000</v>
      </c>
      <c r="G29" s="12"/>
      <c r="H29" s="12"/>
      <c r="R29" s="13"/>
      <c r="W29" s="11">
        <v>36888</v>
      </c>
      <c r="X29" s="14">
        <v>0</v>
      </c>
      <c r="Y29" s="14">
        <v>0</v>
      </c>
      <c r="Z29" s="13">
        <f t="shared" si="2"/>
        <v>399218.4192</v>
      </c>
      <c r="AA29" s="13"/>
      <c r="AB29" s="14">
        <v>0</v>
      </c>
      <c r="AC29" s="14">
        <v>0</v>
      </c>
      <c r="AD29" s="14">
        <v>1500</v>
      </c>
      <c r="AF29" s="11">
        <f t="shared" si="0"/>
        <v>36888</v>
      </c>
      <c r="AG29" s="12"/>
      <c r="AH29" s="12"/>
      <c r="AJ29" s="15">
        <f t="shared" si="3"/>
        <v>36888</v>
      </c>
      <c r="AK29" s="12"/>
      <c r="AL29" s="12"/>
      <c r="AM29" s="12"/>
    </row>
    <row r="30" spans="1:39" ht="13.8" thickBot="1" x14ac:dyDescent="0.3">
      <c r="A30" s="25" t="s">
        <v>40</v>
      </c>
      <c r="B30" s="43">
        <v>0</v>
      </c>
      <c r="D30" s="31"/>
      <c r="E30" s="37"/>
      <c r="F30" s="14"/>
      <c r="G30" s="12"/>
      <c r="H30" s="12"/>
      <c r="W30" s="11">
        <v>36889</v>
      </c>
      <c r="X30" s="14">
        <v>0</v>
      </c>
      <c r="Y30" s="14">
        <v>0</v>
      </c>
      <c r="Z30" s="13">
        <f t="shared" si="2"/>
        <v>399218.4192</v>
      </c>
      <c r="AA30" s="13"/>
      <c r="AB30" s="14">
        <v>0</v>
      </c>
      <c r="AC30" s="14">
        <v>0</v>
      </c>
      <c r="AD30" s="14">
        <v>1500</v>
      </c>
      <c r="AF30" s="11">
        <f t="shared" si="0"/>
        <v>36889</v>
      </c>
      <c r="AG30" s="12"/>
      <c r="AH30" s="12"/>
      <c r="AJ30" s="15">
        <f t="shared" si="3"/>
        <v>36889</v>
      </c>
      <c r="AK30" s="12"/>
      <c r="AL30" s="12"/>
      <c r="AM30" s="12"/>
    </row>
    <row r="31" spans="1:39" x14ac:dyDescent="0.25">
      <c r="A31" s="25" t="s">
        <v>41</v>
      </c>
      <c r="B31" s="43">
        <v>0</v>
      </c>
      <c r="C31" s="14"/>
      <c r="E31" s="12"/>
      <c r="G31" s="12"/>
      <c r="H31" s="12"/>
      <c r="W31" s="11">
        <v>36890</v>
      </c>
      <c r="X31" s="14">
        <v>0</v>
      </c>
      <c r="Y31" s="14">
        <v>0</v>
      </c>
      <c r="Z31" s="13">
        <f t="shared" si="2"/>
        <v>399218.4192</v>
      </c>
      <c r="AA31" s="13"/>
      <c r="AB31" s="14">
        <v>0</v>
      </c>
      <c r="AC31" s="14">
        <v>0</v>
      </c>
      <c r="AD31" s="14">
        <v>1500</v>
      </c>
      <c r="AF31" s="11">
        <f t="shared" si="0"/>
        <v>36890</v>
      </c>
      <c r="AG31" s="12"/>
      <c r="AH31" s="12"/>
      <c r="AJ31" s="15">
        <f t="shared" si="3"/>
        <v>36890</v>
      </c>
      <c r="AK31" s="12"/>
      <c r="AL31" s="12"/>
      <c r="AM31" s="12"/>
    </row>
    <row r="32" spans="1:39" x14ac:dyDescent="0.25">
      <c r="A32" s="25" t="s">
        <v>42</v>
      </c>
      <c r="B32" s="43">
        <v>424539</v>
      </c>
      <c r="E32" s="12"/>
      <c r="G32" s="12"/>
      <c r="H32" s="12"/>
      <c r="W32" s="11">
        <v>36891</v>
      </c>
      <c r="X32" s="14">
        <v>0</v>
      </c>
      <c r="Y32" s="14">
        <v>0</v>
      </c>
      <c r="Z32" s="13">
        <f t="shared" si="2"/>
        <v>399218.4192</v>
      </c>
      <c r="AA32" s="13"/>
      <c r="AB32" s="14">
        <v>0</v>
      </c>
      <c r="AC32" s="14">
        <v>0</v>
      </c>
      <c r="AD32" s="14">
        <v>1500</v>
      </c>
      <c r="AF32" s="11">
        <f t="shared" si="0"/>
        <v>36891</v>
      </c>
      <c r="AG32" s="12"/>
      <c r="AH32" s="12"/>
      <c r="AJ32" s="15">
        <f t="shared" si="3"/>
        <v>36891</v>
      </c>
      <c r="AK32" s="12"/>
      <c r="AL32" s="12"/>
      <c r="AM32" s="12"/>
    </row>
    <row r="33" spans="1:39" x14ac:dyDescent="0.25">
      <c r="A33" s="25" t="s">
        <v>57</v>
      </c>
      <c r="B33" s="43">
        <v>0</v>
      </c>
      <c r="G33" s="12"/>
      <c r="H33" s="12"/>
      <c r="AF33" s="11"/>
      <c r="AG33" s="12"/>
      <c r="AJ33" s="15"/>
      <c r="AK33" s="12"/>
      <c r="AL33" s="12"/>
      <c r="AM33" s="12"/>
    </row>
    <row r="34" spans="1:39" x14ac:dyDescent="0.25">
      <c r="A34" s="25" t="s">
        <v>72</v>
      </c>
      <c r="B34" s="43">
        <v>0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5">
      <c r="A35" s="25" t="s">
        <v>58</v>
      </c>
      <c r="B35" s="43">
        <v>47813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5">
      <c r="A36" s="25" t="s">
        <v>60</v>
      </c>
      <c r="B36" s="43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5">
      <c r="A37" s="25" t="s">
        <v>61</v>
      </c>
      <c r="B37" s="43">
        <f>5050+10000</f>
        <v>15050</v>
      </c>
      <c r="C37" s="2" t="s">
        <v>17</v>
      </c>
      <c r="G37" s="12"/>
      <c r="H37" s="12"/>
      <c r="W37" s="11"/>
      <c r="AL37" s="12"/>
      <c r="AM37" s="12"/>
    </row>
    <row r="38" spans="1:39" x14ac:dyDescent="0.25">
      <c r="A38" s="25" t="s">
        <v>19</v>
      </c>
      <c r="B38" s="26">
        <v>0</v>
      </c>
      <c r="D38" s="12"/>
      <c r="E38" s="14"/>
      <c r="G38" s="12"/>
      <c r="H38" s="12"/>
      <c r="AL38" s="12"/>
      <c r="AM38" s="12"/>
    </row>
    <row r="39" spans="1:39" x14ac:dyDescent="0.25">
      <c r="A39" s="25" t="s">
        <v>24</v>
      </c>
      <c r="B39" s="36"/>
      <c r="G39" s="12"/>
      <c r="H39" s="12"/>
      <c r="AJ39" s="12"/>
      <c r="AK39" s="12"/>
      <c r="AL39" s="12"/>
      <c r="AM39" s="12"/>
    </row>
    <row r="40" spans="1:39" x14ac:dyDescent="0.25">
      <c r="A40" s="25" t="s">
        <v>71</v>
      </c>
      <c r="B40" s="26">
        <v>0</v>
      </c>
      <c r="G40" s="12"/>
      <c r="H40" s="12"/>
      <c r="AJ40" s="12"/>
      <c r="AK40" s="12"/>
      <c r="AL40" s="12"/>
      <c r="AM40" s="12"/>
    </row>
    <row r="41" spans="1:39" x14ac:dyDescent="0.25">
      <c r="A41" s="25" t="s">
        <v>29</v>
      </c>
      <c r="B41" s="26">
        <v>0</v>
      </c>
      <c r="G41" s="12"/>
      <c r="H41" s="12"/>
      <c r="AJ41" s="12"/>
      <c r="AK41" s="12"/>
      <c r="AL41" s="12"/>
      <c r="AM41" s="12"/>
    </row>
    <row r="42" spans="1:39" x14ac:dyDescent="0.25">
      <c r="A42" s="25" t="s">
        <v>45</v>
      </c>
      <c r="B42" s="26">
        <v>10</v>
      </c>
      <c r="AJ42" s="12"/>
      <c r="AK42" s="12"/>
      <c r="AL42" s="12"/>
      <c r="AM42" s="12"/>
    </row>
    <row r="43" spans="1:39" x14ac:dyDescent="0.25">
      <c r="A43" s="25" t="s">
        <v>46</v>
      </c>
      <c r="B43" s="26">
        <v>1000</v>
      </c>
      <c r="E43" s="12"/>
      <c r="AJ43" s="12"/>
      <c r="AK43" s="12"/>
      <c r="AL43" s="12"/>
      <c r="AM43" s="12"/>
    </row>
    <row r="44" spans="1:39" x14ac:dyDescent="0.25">
      <c r="A44" s="25" t="s">
        <v>47</v>
      </c>
      <c r="B44" s="26"/>
      <c r="C44" s="14"/>
      <c r="E44" s="12"/>
    </row>
    <row r="45" spans="1:39" x14ac:dyDescent="0.25">
      <c r="A45" s="25" t="s">
        <v>65</v>
      </c>
      <c r="B45" s="26">
        <v>35000</v>
      </c>
      <c r="E45" s="12"/>
    </row>
    <row r="46" spans="1:39" x14ac:dyDescent="0.25">
      <c r="A46" s="25" t="s">
        <v>32</v>
      </c>
      <c r="B46" s="26">
        <v>0</v>
      </c>
      <c r="C46" s="14"/>
      <c r="E46" s="12"/>
    </row>
    <row r="47" spans="1:39" x14ac:dyDescent="0.25">
      <c r="A47" s="25" t="s">
        <v>34</v>
      </c>
      <c r="B47" s="26">
        <v>0</v>
      </c>
    </row>
    <row r="48" spans="1:39" x14ac:dyDescent="0.25">
      <c r="A48" s="25" t="s">
        <v>48</v>
      </c>
      <c r="B48" s="26">
        <v>0</v>
      </c>
      <c r="C48" s="2" t="s">
        <v>17</v>
      </c>
      <c r="E48" s="12"/>
    </row>
    <row r="49" spans="1:5" x14ac:dyDescent="0.25">
      <c r="A49" s="25" t="s">
        <v>49</v>
      </c>
      <c r="B49" s="26">
        <v>0</v>
      </c>
      <c r="C49" s="14" t="s">
        <v>17</v>
      </c>
      <c r="E49" s="12"/>
    </row>
    <row r="50" spans="1:5" x14ac:dyDescent="0.25">
      <c r="A50" s="25" t="s">
        <v>50</v>
      </c>
      <c r="B50" s="26">
        <v>60000</v>
      </c>
      <c r="E50" s="12"/>
    </row>
    <row r="51" spans="1:5" x14ac:dyDescent="0.25">
      <c r="A51" s="25" t="s">
        <v>35</v>
      </c>
      <c r="B51" s="43">
        <v>0</v>
      </c>
      <c r="E51" s="12"/>
    </row>
    <row r="52" spans="1:5" x14ac:dyDescent="0.25">
      <c r="A52" s="25" t="s">
        <v>29</v>
      </c>
      <c r="B52" s="43">
        <f>240254+150746</f>
        <v>391000</v>
      </c>
      <c r="C52" s="14"/>
      <c r="E52" s="12"/>
    </row>
    <row r="53" spans="1:5" ht="13.8" thickBot="1" x14ac:dyDescent="0.3">
      <c r="A53" s="25" t="s">
        <v>43</v>
      </c>
      <c r="B53" s="43">
        <v>0</v>
      </c>
      <c r="E53" s="12"/>
    </row>
    <row r="54" spans="1:5" ht="13.8" thickBot="1" x14ac:dyDescent="0.3">
      <c r="A54" s="34" t="s">
        <v>44</v>
      </c>
      <c r="B54" s="35">
        <f>SUM(B29:B53)</f>
        <v>1330196</v>
      </c>
      <c r="C54" s="14"/>
      <c r="E54" s="12"/>
    </row>
    <row r="55" spans="1:5" ht="13.8" thickBot="1" x14ac:dyDescent="0.3">
      <c r="A55" s="31"/>
      <c r="B55" s="38"/>
      <c r="E55" s="12"/>
    </row>
    <row r="56" spans="1:5" x14ac:dyDescent="0.25">
      <c r="A56" s="27"/>
      <c r="B56" s="27"/>
      <c r="E56" s="12"/>
    </row>
    <row r="57" spans="1:5" x14ac:dyDescent="0.25">
      <c r="E57" s="12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2000-11-30T23:59:26Z</cp:lastPrinted>
  <dcterms:created xsi:type="dcterms:W3CDTF">2000-09-26T13:26:15Z</dcterms:created>
  <dcterms:modified xsi:type="dcterms:W3CDTF">2023-09-10T15:23:06Z</dcterms:modified>
</cp:coreProperties>
</file>