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3828" windowHeight="8328" activeTab="1"/>
  </bookViews>
  <sheets>
    <sheet name="WEEKEND" sheetId="11" r:id="rId1"/>
    <sheet name="DAILY" sheetId="9" r:id="rId2"/>
  </sheets>
  <externalReferences>
    <externalReference r:id="rId3"/>
  </externalReferences>
  <definedNames>
    <definedName name="_xlnm.Print_Area" localSheetId="1">DAILY!$A$1:$Z$71</definedName>
    <definedName name="_xlnm.Print_Area" localSheetId="0">WEEKEND!$A$1:$O$54</definedName>
  </definedNames>
  <calcPr calcId="92512"/>
</workbook>
</file>

<file path=xl/calcChain.xml><?xml version="1.0" encoding="utf-8"?>
<calcChain xmlns="http://schemas.openxmlformats.org/spreadsheetml/2006/main">
  <c r="B1" i="9" l="1"/>
  <c r="S1" i="9"/>
  <c r="W1" i="9"/>
  <c r="B2" i="9"/>
  <c r="S2" i="9"/>
  <c r="W2" i="9"/>
  <c r="AK2" i="9"/>
  <c r="AL2" i="9"/>
  <c r="AM2" i="9"/>
  <c r="AO2" i="9"/>
  <c r="AP2" i="9"/>
  <c r="S3" i="9"/>
  <c r="W3" i="9"/>
  <c r="AE3" i="9"/>
  <c r="AI3" i="9"/>
  <c r="AK3" i="9"/>
  <c r="AL3" i="9"/>
  <c r="AM3" i="9"/>
  <c r="AO3" i="9"/>
  <c r="AP3" i="9"/>
  <c r="D4" i="9"/>
  <c r="AE4" i="9"/>
  <c r="AI4" i="9"/>
  <c r="AK4" i="9"/>
  <c r="AL4" i="9"/>
  <c r="AM4" i="9"/>
  <c r="AO4" i="9"/>
  <c r="AP4" i="9"/>
  <c r="L5" i="9"/>
  <c r="M5" i="9"/>
  <c r="AE5" i="9"/>
  <c r="AI5" i="9"/>
  <c r="AK5" i="9"/>
  <c r="AL5" i="9"/>
  <c r="AM5" i="9"/>
  <c r="AO5" i="9"/>
  <c r="AP5" i="9"/>
  <c r="L6" i="9"/>
  <c r="M6" i="9"/>
  <c r="N6" i="9"/>
  <c r="AE6" i="9"/>
  <c r="AI6" i="9"/>
  <c r="AK6" i="9"/>
  <c r="AL6" i="9"/>
  <c r="AM6" i="9"/>
  <c r="AO6" i="9"/>
  <c r="AP6" i="9"/>
  <c r="N7" i="9"/>
  <c r="AE7" i="9"/>
  <c r="AI7" i="9"/>
  <c r="AK7" i="9"/>
  <c r="AL7" i="9"/>
  <c r="AM7" i="9"/>
  <c r="AO7" i="9"/>
  <c r="AP7" i="9"/>
  <c r="L8" i="9"/>
  <c r="M8" i="9"/>
  <c r="N8" i="9"/>
  <c r="AE8" i="9"/>
  <c r="AI8" i="9"/>
  <c r="AK8" i="9"/>
  <c r="AL8" i="9"/>
  <c r="AM8" i="9"/>
  <c r="AO8" i="9"/>
  <c r="AP8" i="9"/>
  <c r="AE9" i="9"/>
  <c r="AI9" i="9"/>
  <c r="AK9" i="9"/>
  <c r="AL9" i="9"/>
  <c r="AM9" i="9"/>
  <c r="AO9" i="9"/>
  <c r="AP9" i="9"/>
  <c r="B10" i="9"/>
  <c r="AC10" i="9"/>
  <c r="AE10" i="9"/>
  <c r="AI10" i="9"/>
  <c r="AK10" i="9"/>
  <c r="AL10" i="9"/>
  <c r="AM10" i="9"/>
  <c r="AO10" i="9"/>
  <c r="AP10" i="9"/>
  <c r="AE11" i="9"/>
  <c r="AI11" i="9"/>
  <c r="AK11" i="9"/>
  <c r="AL11" i="9"/>
  <c r="AM11" i="9"/>
  <c r="AO11" i="9"/>
  <c r="AP11" i="9"/>
  <c r="B12" i="9"/>
  <c r="AE12" i="9"/>
  <c r="AI12" i="9"/>
  <c r="AK12" i="9"/>
  <c r="AL12" i="9"/>
  <c r="AM12" i="9"/>
  <c r="AO12" i="9"/>
  <c r="AP12" i="9"/>
  <c r="AE13" i="9"/>
  <c r="AI13" i="9"/>
  <c r="AK13" i="9"/>
  <c r="AL13" i="9"/>
  <c r="AM13" i="9"/>
  <c r="AO13" i="9"/>
  <c r="AP13" i="9"/>
  <c r="F14" i="9"/>
  <c r="AE14" i="9"/>
  <c r="AI14" i="9"/>
  <c r="AK14" i="9"/>
  <c r="AL14" i="9"/>
  <c r="AM14" i="9"/>
  <c r="AO14" i="9"/>
  <c r="AP14" i="9"/>
  <c r="AE15" i="9"/>
  <c r="AI15" i="9"/>
  <c r="AK15" i="9"/>
  <c r="AL15" i="9"/>
  <c r="AM15" i="9"/>
  <c r="AO15" i="9"/>
  <c r="AP15" i="9"/>
  <c r="AE16" i="9"/>
  <c r="AI16" i="9"/>
  <c r="AK16" i="9"/>
  <c r="AL16" i="9"/>
  <c r="AM16" i="9"/>
  <c r="AO16" i="9"/>
  <c r="AP16" i="9"/>
  <c r="AE17" i="9"/>
  <c r="AI17" i="9"/>
  <c r="AK17" i="9"/>
  <c r="AL17" i="9"/>
  <c r="AM17" i="9"/>
  <c r="AO17" i="9"/>
  <c r="AP17" i="9"/>
  <c r="AE18" i="9"/>
  <c r="AI18" i="9"/>
  <c r="AK18" i="9"/>
  <c r="AL18" i="9"/>
  <c r="AM18" i="9"/>
  <c r="AO18" i="9"/>
  <c r="AP18" i="9"/>
  <c r="AC19" i="9"/>
  <c r="AE19" i="9"/>
  <c r="AI19" i="9"/>
  <c r="AK19" i="9"/>
  <c r="AL19" i="9"/>
  <c r="AM19" i="9"/>
  <c r="AO19" i="9"/>
  <c r="AP19" i="9"/>
  <c r="AC20" i="9"/>
  <c r="AE20" i="9"/>
  <c r="AI20" i="9"/>
  <c r="AK20" i="9"/>
  <c r="AL20" i="9"/>
  <c r="AM20" i="9"/>
  <c r="AO20" i="9"/>
  <c r="AP20" i="9"/>
  <c r="AC21" i="9"/>
  <c r="AE21" i="9"/>
  <c r="AI21" i="9"/>
  <c r="AK21" i="9"/>
  <c r="AL21" i="9"/>
  <c r="AO21" i="9"/>
  <c r="AP21" i="9"/>
  <c r="C22" i="9"/>
  <c r="AC22" i="9"/>
  <c r="AE22" i="9"/>
  <c r="AI22" i="9"/>
  <c r="AK22" i="9"/>
  <c r="AL22" i="9"/>
  <c r="AO22" i="9"/>
  <c r="AP22" i="9"/>
  <c r="AE23" i="9"/>
  <c r="AI23" i="9"/>
  <c r="AK23" i="9"/>
  <c r="AL23" i="9"/>
  <c r="AO23" i="9"/>
  <c r="AE24" i="9"/>
  <c r="AI24" i="9"/>
  <c r="AK24" i="9"/>
  <c r="AL24" i="9"/>
  <c r="AO24" i="9"/>
  <c r="AE25" i="9"/>
  <c r="AI25" i="9"/>
  <c r="AK25" i="9"/>
  <c r="AL25" i="9"/>
  <c r="AO25" i="9"/>
  <c r="B26" i="9"/>
  <c r="AE26" i="9"/>
  <c r="AI26" i="9"/>
  <c r="AK26" i="9"/>
  <c r="AL26" i="9"/>
  <c r="AO26" i="9"/>
  <c r="AE27" i="9"/>
  <c r="AI27" i="9"/>
  <c r="AK27" i="9"/>
  <c r="AO27" i="9"/>
  <c r="AE28" i="9"/>
  <c r="AI28" i="9"/>
  <c r="AK28" i="9"/>
  <c r="AO28" i="9"/>
  <c r="F29" i="9"/>
  <c r="AE29" i="9"/>
  <c r="AI29" i="9"/>
  <c r="AK29" i="9"/>
  <c r="AO29" i="9"/>
  <c r="AE30" i="9"/>
  <c r="AI30" i="9"/>
  <c r="AK30" i="9"/>
  <c r="AO30" i="9"/>
  <c r="AE31" i="9"/>
  <c r="AI31" i="9"/>
  <c r="AK31" i="9"/>
  <c r="AO31" i="9"/>
  <c r="G32" i="9"/>
  <c r="F33" i="9"/>
  <c r="B43" i="9"/>
  <c r="C44" i="9"/>
  <c r="B52" i="9"/>
  <c r="B54" i="9"/>
  <c r="B1" i="11"/>
  <c r="I1" i="11"/>
  <c r="B2" i="11"/>
  <c r="I2" i="11"/>
  <c r="D4" i="11"/>
  <c r="K4" i="11"/>
  <c r="R5" i="11"/>
  <c r="S5" i="11"/>
  <c r="R6" i="11"/>
  <c r="S6" i="11"/>
  <c r="T6" i="11"/>
  <c r="R7" i="11"/>
  <c r="S7" i="11"/>
  <c r="T7" i="11"/>
  <c r="R8" i="11"/>
  <c r="S8" i="11"/>
  <c r="T8" i="11"/>
  <c r="F14" i="11"/>
  <c r="M14" i="11"/>
  <c r="B22" i="11"/>
  <c r="B26" i="11"/>
  <c r="C26" i="11"/>
  <c r="I26" i="11"/>
  <c r="J26" i="11"/>
  <c r="N31" i="11"/>
  <c r="G32" i="11"/>
  <c r="I34" i="11"/>
  <c r="F35" i="11"/>
  <c r="M35" i="11"/>
  <c r="B42" i="11"/>
  <c r="I42" i="11"/>
  <c r="C49" i="11"/>
  <c r="J49" i="11"/>
  <c r="I53" i="11"/>
  <c r="B54" i="11"/>
</calcChain>
</file>

<file path=xl/sharedStrings.xml><?xml version="1.0" encoding="utf-8"?>
<sst xmlns="http://schemas.openxmlformats.org/spreadsheetml/2006/main" count="274" uniqueCount="78">
  <si>
    <t>TODAY'S DATE:</t>
  </si>
  <si>
    <t>TODAY'S SENDOUT FOR PGL:</t>
  </si>
  <si>
    <t>TODAY'S SENDOUT FOR NS:</t>
  </si>
  <si>
    <t xml:space="preserve">ESTIMATED PGL SENDOUT FOR: </t>
  </si>
  <si>
    <t xml:space="preserve">ESTIMATED NORTH SHORE SENDOUT FOR: </t>
  </si>
  <si>
    <t>Elwood Burn</t>
  </si>
  <si>
    <t>Elwood Bank Balance</t>
  </si>
  <si>
    <t>Wilton Burn</t>
  </si>
  <si>
    <t>Wilton OBA</t>
  </si>
  <si>
    <t>Gas Control Estimate</t>
  </si>
  <si>
    <t>Gas Control Actual</t>
  </si>
  <si>
    <t>Rider Gas</t>
  </si>
  <si>
    <t>SENDOUT FOR:</t>
  </si>
  <si>
    <t>HI</t>
  </si>
  <si>
    <t>LOW</t>
  </si>
  <si>
    <t>MEAN</t>
  </si>
  <si>
    <t>WEATHER</t>
  </si>
  <si>
    <t xml:space="preserve"> </t>
  </si>
  <si>
    <t>Ketra</t>
  </si>
  <si>
    <t>ELWOOD</t>
  </si>
  <si>
    <t>Change</t>
  </si>
  <si>
    <t>PGL SENDOUT</t>
  </si>
  <si>
    <t>NS SENDOUT</t>
  </si>
  <si>
    <t>Total Burn:</t>
  </si>
  <si>
    <t>HUB:</t>
  </si>
  <si>
    <t>OFF SYSTEM SALES</t>
  </si>
  <si>
    <t>KN Nomination:</t>
  </si>
  <si>
    <t xml:space="preserve">   MANLOVE</t>
  </si>
  <si>
    <t>INJECTIONS:</t>
  </si>
  <si>
    <t>PGL Balancing:</t>
  </si>
  <si>
    <t xml:space="preserve">     MANLOVE</t>
  </si>
  <si>
    <t xml:space="preserve">   EL PASO</t>
  </si>
  <si>
    <t xml:space="preserve">     NGPL</t>
  </si>
  <si>
    <t xml:space="preserve">     ANR </t>
  </si>
  <si>
    <t xml:space="preserve">     ANR (NO-NOTICE)</t>
  </si>
  <si>
    <t>TOTAL REQUIREMENTS</t>
  </si>
  <si>
    <t xml:space="preserve">     NGPL (NO-NOTICE)</t>
  </si>
  <si>
    <t xml:space="preserve">     PANHANDLE</t>
  </si>
  <si>
    <t xml:space="preserve">     FUEL</t>
  </si>
  <si>
    <t>LNG LIQUIFACTION</t>
  </si>
  <si>
    <t>LINE PACK</t>
  </si>
  <si>
    <t>ENA BASELOAD</t>
  </si>
  <si>
    <t>ENA SIQ</t>
  </si>
  <si>
    <t>ENA DIQ</t>
  </si>
  <si>
    <t>RIDER GAS</t>
  </si>
  <si>
    <t>NGPL DSS - AMR</t>
  </si>
  <si>
    <t>IMBALANCES</t>
  </si>
  <si>
    <t>TOTAL SOURCES</t>
  </si>
  <si>
    <t>NGPL NSS1</t>
  </si>
  <si>
    <t>NGPL NSS2</t>
  </si>
  <si>
    <t xml:space="preserve">   MISC</t>
  </si>
  <si>
    <t>RFG</t>
  </si>
  <si>
    <t>LNG VAPORIZE</t>
  </si>
  <si>
    <t>WITHDRAWALS:</t>
  </si>
  <si>
    <t xml:space="preserve">     NGPL:  NSS1</t>
  </si>
  <si>
    <t xml:space="preserve">     NGPL:  NSS2</t>
  </si>
  <si>
    <t xml:space="preserve">     NGPL:  DSS</t>
  </si>
  <si>
    <t>Chg</t>
  </si>
  <si>
    <t xml:space="preserve">     COENERGY</t>
  </si>
  <si>
    <t xml:space="preserve">     ENGAGE</t>
  </si>
  <si>
    <t xml:space="preserve">     NGPL (DSS)</t>
  </si>
  <si>
    <t>CITYGATE</t>
  </si>
  <si>
    <t>ALLIANCE</t>
  </si>
  <si>
    <t>Elwood Injection</t>
  </si>
  <si>
    <t>Wilton Injection</t>
  </si>
  <si>
    <t>EL PASO BASE</t>
  </si>
  <si>
    <t>NICOR BALANCING</t>
  </si>
  <si>
    <t xml:space="preserve">  ELPASO</t>
  </si>
  <si>
    <t xml:space="preserve">  ENA SELL-BACK</t>
  </si>
  <si>
    <t xml:space="preserve">  MISC</t>
  </si>
  <si>
    <t>NGPL DSS</t>
  </si>
  <si>
    <t>NGPL - AMR</t>
  </si>
  <si>
    <t>TRUNKLINE QNT</t>
  </si>
  <si>
    <t>ANR</t>
  </si>
  <si>
    <t xml:space="preserve">     ANR</t>
  </si>
  <si>
    <t>Nicor Storage</t>
  </si>
  <si>
    <t xml:space="preserve">     NICOR BALANCING</t>
  </si>
  <si>
    <t>TRUNKLINE IMBALANCE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</si>
</sst>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76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1" xfId="0" applyNumberFormat="1" applyFont="1" applyBorder="1"/>
    <xf numFmtId="0" fontId="3" fillId="0" borderId="2" xfId="0" applyFont="1" applyBorder="1" applyAlignment="1">
      <alignment wrapText="1"/>
    </xf>
    <xf numFmtId="176" fontId="3" fillId="0" borderId="3" xfId="1" applyNumberFormat="1" applyFont="1" applyBorder="1"/>
    <xf numFmtId="0" fontId="2" fillId="0" borderId="3" xfId="0" applyFont="1" applyBorder="1"/>
    <xf numFmtId="0" fontId="3" fillId="0" borderId="3" xfId="0" applyFont="1" applyBorder="1" applyAlignment="1">
      <alignment wrapText="1"/>
    </xf>
    <xf numFmtId="176" fontId="3" fillId="0" borderId="4" xfId="1" applyNumberFormat="1" applyFont="1" applyBorder="1"/>
    <xf numFmtId="176" fontId="2" fillId="0" borderId="0" xfId="1" applyNumberFormat="1" applyFont="1" applyBorder="1"/>
    <xf numFmtId="0" fontId="2" fillId="0" borderId="0" xfId="0" applyFont="1" applyAlignment="1">
      <alignment wrapText="1"/>
    </xf>
    <xf numFmtId="14" fontId="2" fillId="0" borderId="0" xfId="0" applyNumberFormat="1" applyFont="1"/>
    <xf numFmtId="176" fontId="2" fillId="0" borderId="0" xfId="1" applyNumberFormat="1" applyFont="1"/>
    <xf numFmtId="1" fontId="2" fillId="0" borderId="0" xfId="0" applyNumberFormat="1" applyFont="1" applyAlignment="1">
      <alignment horizontal="center"/>
    </xf>
    <xf numFmtId="176" fontId="2" fillId="0" borderId="0" xfId="0" applyNumberFormat="1" applyFont="1"/>
    <xf numFmtId="14" fontId="2" fillId="0" borderId="0" xfId="1" applyNumberFormat="1" applyFont="1"/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1" fontId="2" fillId="3" borderId="0" xfId="0" applyNumberFormat="1" applyFont="1" applyFill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3" fillId="0" borderId="2" xfId="0" applyFont="1" applyBorder="1"/>
    <xf numFmtId="14" fontId="2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176" fontId="2" fillId="0" borderId="10" xfId="1" applyNumberFormat="1" applyFont="1" applyBorder="1"/>
    <xf numFmtId="0" fontId="2" fillId="0" borderId="0" xfId="0" applyFont="1" applyBorder="1"/>
    <xf numFmtId="176" fontId="2" fillId="0" borderId="11" xfId="1" applyNumberFormat="1" applyFont="1" applyBorder="1"/>
    <xf numFmtId="176" fontId="2" fillId="0" borderId="8" xfId="0" applyNumberFormat="1" applyFont="1" applyBorder="1"/>
    <xf numFmtId="176" fontId="2" fillId="0" borderId="12" xfId="1" applyNumberFormat="1" applyFont="1" applyBorder="1"/>
    <xf numFmtId="176" fontId="2" fillId="0" borderId="13" xfId="0" applyNumberFormat="1" applyFont="1" applyBorder="1"/>
    <xf numFmtId="0" fontId="2" fillId="0" borderId="14" xfId="0" applyFont="1" applyBorder="1"/>
    <xf numFmtId="0" fontId="2" fillId="0" borderId="15" xfId="0" applyFont="1" applyBorder="1"/>
    <xf numFmtId="176" fontId="2" fillId="0" borderId="16" xfId="1" applyNumberFormat="1" applyFont="1" applyBorder="1"/>
    <xf numFmtId="176" fontId="2" fillId="0" borderId="17" xfId="0" applyNumberFormat="1" applyFont="1" applyBorder="1"/>
    <xf numFmtId="0" fontId="3" fillId="0" borderId="9" xfId="0" applyFont="1" applyBorder="1"/>
    <xf numFmtId="0" fontId="3" fillId="0" borderId="0" xfId="0" applyFont="1" applyBorder="1"/>
    <xf numFmtId="176" fontId="2" fillId="4" borderId="1" xfId="1" applyNumberFormat="1" applyFont="1" applyFill="1" applyBorder="1"/>
    <xf numFmtId="0" fontId="2" fillId="0" borderId="10" xfId="0" applyFont="1" applyBorder="1"/>
    <xf numFmtId="176" fontId="2" fillId="0" borderId="18" xfId="1" applyNumberFormat="1" applyFont="1" applyBorder="1"/>
    <xf numFmtId="0" fontId="2" fillId="0" borderId="18" xfId="0" applyFont="1" applyBorder="1"/>
    <xf numFmtId="176" fontId="2" fillId="0" borderId="8" xfId="1" applyNumberFormat="1" applyFont="1" applyBorder="1"/>
    <xf numFmtId="176" fontId="2" fillId="0" borderId="13" xfId="1" applyNumberFormat="1" applyFont="1" applyBorder="1"/>
    <xf numFmtId="176" fontId="2" fillId="0" borderId="15" xfId="1" applyNumberFormat="1" applyFont="1" applyBorder="1"/>
    <xf numFmtId="176" fontId="2" fillId="0" borderId="17" xfId="1" applyNumberFormat="1" applyFont="1" applyBorder="1"/>
    <xf numFmtId="176" fontId="2" fillId="0" borderId="10" xfId="1" applyNumberFormat="1" applyFont="1" applyFill="1" applyBorder="1"/>
    <xf numFmtId="176" fontId="2" fillId="0" borderId="19" xfId="1" applyNumberFormat="1" applyFont="1" applyBorder="1"/>
    <xf numFmtId="0" fontId="2" fillId="0" borderId="0" xfId="0" quotePrefix="1" applyFont="1"/>
    <xf numFmtId="0" fontId="2" fillId="0" borderId="9" xfId="0" applyFont="1" applyFill="1" applyBorder="1"/>
    <xf numFmtId="0" fontId="2" fillId="0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1-4CFA-8C80-3B5F2486D97F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E1-4CFA-8C80-3B5F2486D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24504"/>
        <c:axId val="1"/>
      </c:lineChart>
      <c:catAx>
        <c:axId val="17942450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24504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443-4033-89DD-65BDC0820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00480"/>
        <c:axId val="1"/>
      </c:lineChart>
      <c:catAx>
        <c:axId val="18010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00480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3C3-46A6-BD5D-DDFA87ACF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97528"/>
        <c:axId val="1"/>
      </c:lineChart>
      <c:catAx>
        <c:axId val="180097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09752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F59-4376-BF1A-0D718DCBB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99168"/>
        <c:axId val="1"/>
      </c:lineChart>
      <c:catAx>
        <c:axId val="18009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09916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C-42B7-9E78-01B68ACBF9BF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FC-42B7-9E78-01B68ACBF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96544"/>
        <c:axId val="1"/>
      </c:lineChart>
      <c:catAx>
        <c:axId val="1800965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096544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4-42DE-8BC2-411E10F7E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00152"/>
        <c:axId val="1"/>
      </c:lineChart>
      <c:dateAx>
        <c:axId val="1801001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0015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1-45ED-879D-C62B4151B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38224"/>
        <c:axId val="1"/>
      </c:lineChart>
      <c:catAx>
        <c:axId val="1803382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338224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3E2-4725-BD89-566DD06B4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35600"/>
        <c:axId val="1"/>
      </c:lineChart>
      <c:catAx>
        <c:axId val="18033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335600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662-41D5-8C7D-5F67211C0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40848"/>
        <c:axId val="1"/>
      </c:lineChart>
      <c:catAx>
        <c:axId val="18034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34084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C1D-4D8D-A5FC-2F6D3EC0C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36912"/>
        <c:axId val="1"/>
      </c:lineChart>
      <c:catAx>
        <c:axId val="18033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33691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8-4642-9472-19FCB87B966F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8-4642-9472-19FCB87B9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648320"/>
        <c:axId val="1"/>
      </c:lineChart>
      <c:catAx>
        <c:axId val="1806483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48320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3-441B-8EFC-C5749DB61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89904"/>
        <c:axId val="1"/>
      </c:lineChart>
      <c:dateAx>
        <c:axId val="1795899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58990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2-4405-A527-9B8122775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651272"/>
        <c:axId val="1"/>
      </c:lineChart>
      <c:dateAx>
        <c:axId val="1806512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5127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4-4E6D-ABAD-07CF91A18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647664"/>
        <c:axId val="1"/>
      </c:lineChart>
      <c:catAx>
        <c:axId val="1806476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47664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2F1-49BE-B376-C0798B304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649304"/>
        <c:axId val="1"/>
      </c:lineChart>
      <c:catAx>
        <c:axId val="180649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49304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52E-4C83-ADE0-F2889A8A4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645040"/>
        <c:axId val="1"/>
      </c:lineChart>
      <c:catAx>
        <c:axId val="18064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4504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891-4323-B6CD-EFFE8BF85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37536"/>
        <c:axId val="1"/>
      </c:lineChart>
      <c:catAx>
        <c:axId val="18083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3753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1-48F9-B27F-6B0AD180A5CD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1-48F9-B27F-6B0AD180A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31632"/>
        <c:axId val="1"/>
      </c:lineChart>
      <c:catAx>
        <c:axId val="1808316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31632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2-42C0-A2C3-83982DD74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31960"/>
        <c:axId val="1"/>
      </c:lineChart>
      <c:dateAx>
        <c:axId val="1808319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3196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93-4498-9DAB-4A5544576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33928"/>
        <c:axId val="1"/>
      </c:lineChart>
      <c:catAx>
        <c:axId val="1808339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33928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570-4B47-AEDB-92867B8CE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38848"/>
        <c:axId val="1"/>
      </c:lineChart>
      <c:catAx>
        <c:axId val="18083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38848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811-4825-9210-2CF7095D7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96192"/>
        <c:axId val="1"/>
      </c:lineChart>
      <c:catAx>
        <c:axId val="18119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9619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0-428B-A466-0F9D44DB8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35800"/>
        <c:axId val="1"/>
      </c:lineChart>
      <c:catAx>
        <c:axId val="1796358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35800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F82-4A9E-A2DE-4D4FEA64C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96848"/>
        <c:axId val="1"/>
      </c:lineChart>
      <c:catAx>
        <c:axId val="18119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9684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layout>
        <c:manualLayout>
          <c:xMode val="edge"/>
          <c:yMode val="edge"/>
          <c:x val="0.45243019648397104"/>
          <c:y val="1.71569038107570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359875904860378E-2"/>
          <c:y val="7.8431560277746518E-2"/>
          <c:w val="0.92709410548086857"/>
          <c:h val="0.63970741351537008"/>
        </c:manualLayout>
      </c:layout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DAILY!$AK$2:$AK$32</c:f>
              <c:numCache>
                <c:formatCode>m/d/yyyy</c:formatCode>
                <c:ptCount val="31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</c:numCache>
            </c:numRef>
          </c:cat>
          <c:val>
            <c:numRef>
              <c:f>DAILY!$AL$2:$AL$32</c:f>
              <c:numCache>
                <c:formatCode>_(* #,##0_);_(* \(#,##0\);_(* "-"??_);_(@_)</c:formatCode>
                <c:ptCount val="31"/>
                <c:pt idx="0">
                  <c:v>334000</c:v>
                </c:pt>
                <c:pt idx="1">
                  <c:v>383000</c:v>
                </c:pt>
                <c:pt idx="2">
                  <c:v>561000</c:v>
                </c:pt>
                <c:pt idx="3">
                  <c:v>558000</c:v>
                </c:pt>
                <c:pt idx="4">
                  <c:v>556000</c:v>
                </c:pt>
                <c:pt idx="5">
                  <c:v>514000</c:v>
                </c:pt>
                <c:pt idx="6">
                  <c:v>617000</c:v>
                </c:pt>
                <c:pt idx="7">
                  <c:v>771000</c:v>
                </c:pt>
                <c:pt idx="8">
                  <c:v>844000</c:v>
                </c:pt>
                <c:pt idx="9">
                  <c:v>940000</c:v>
                </c:pt>
                <c:pt idx="10">
                  <c:v>795000</c:v>
                </c:pt>
                <c:pt idx="11">
                  <c:v>910000</c:v>
                </c:pt>
                <c:pt idx="12">
                  <c:v>1055000</c:v>
                </c:pt>
                <c:pt idx="13">
                  <c:v>1000000</c:v>
                </c:pt>
                <c:pt idx="14">
                  <c:v>957000</c:v>
                </c:pt>
                <c:pt idx="15">
                  <c:v>1275000</c:v>
                </c:pt>
                <c:pt idx="16">
                  <c:v>1250000</c:v>
                </c:pt>
                <c:pt idx="17">
                  <c:v>1145000</c:v>
                </c:pt>
                <c:pt idx="18">
                  <c:v>1170000</c:v>
                </c:pt>
                <c:pt idx="19">
                  <c:v>1510000</c:v>
                </c:pt>
                <c:pt idx="20">
                  <c:v>1505000</c:v>
                </c:pt>
                <c:pt idx="21">
                  <c:v>1443000</c:v>
                </c:pt>
                <c:pt idx="22">
                  <c:v>1134000</c:v>
                </c:pt>
                <c:pt idx="23">
                  <c:v>1045000</c:v>
                </c:pt>
                <c:pt idx="24">
                  <c:v>1010000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FC-4B04-8378-AF18AAF010C7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DAILY!$AK$2:$AK$32</c:f>
              <c:numCache>
                <c:formatCode>m/d/yyyy</c:formatCode>
                <c:ptCount val="31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</c:numCache>
            </c:numRef>
          </c:cat>
          <c:val>
            <c:numRef>
              <c:f>DAILY!$AM$2:$AM$32</c:f>
              <c:numCache>
                <c:formatCode>_(* #,##0_);_(* \(#,##0\);_(* "-"??_);_(@_)</c:formatCode>
                <c:ptCount val="31"/>
                <c:pt idx="0">
                  <c:v>327038</c:v>
                </c:pt>
                <c:pt idx="1">
                  <c:v>411838</c:v>
                </c:pt>
                <c:pt idx="2">
                  <c:v>534470</c:v>
                </c:pt>
                <c:pt idx="3">
                  <c:v>574849</c:v>
                </c:pt>
                <c:pt idx="4">
                  <c:v>535641</c:v>
                </c:pt>
                <c:pt idx="5">
                  <c:v>644268</c:v>
                </c:pt>
                <c:pt idx="6">
                  <c:v>709307</c:v>
                </c:pt>
                <c:pt idx="7">
                  <c:v>730685</c:v>
                </c:pt>
                <c:pt idx="8">
                  <c:v>954137</c:v>
                </c:pt>
                <c:pt idx="9">
                  <c:v>922300</c:v>
                </c:pt>
                <c:pt idx="10">
                  <c:v>765312</c:v>
                </c:pt>
                <c:pt idx="11">
                  <c:v>749654</c:v>
                </c:pt>
                <c:pt idx="12">
                  <c:v>1107168</c:v>
                </c:pt>
                <c:pt idx="13">
                  <c:v>1208897</c:v>
                </c:pt>
                <c:pt idx="14">
                  <c:v>1066667</c:v>
                </c:pt>
                <c:pt idx="15">
                  <c:v>1174676</c:v>
                </c:pt>
                <c:pt idx="16">
                  <c:v>1239216</c:v>
                </c:pt>
                <c:pt idx="17">
                  <c:v>1264450</c:v>
                </c:pt>
                <c:pt idx="18">
                  <c:v>1241095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FC-4B04-8378-AF18AAF01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92912"/>
        <c:axId val="1"/>
      </c:lineChart>
      <c:catAx>
        <c:axId val="181192912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600000"/>
          <c:min val="3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92912"/>
        <c:crosses val="autoZero"/>
        <c:crossBetween val="between"/>
        <c:majorUnit val="100000"/>
        <c:minorUnit val="10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002068252326776"/>
          <c:y val="0.84559025924445474"/>
          <c:w val="5.6876938986556352E-2"/>
          <c:h val="0.1421572030034155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layout>
        <c:manualLayout>
          <c:xMode val="edge"/>
          <c:yMode val="edge"/>
          <c:x val="0.42134869988140428"/>
          <c:y val="2.16049789710884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505705306451638E-2"/>
          <c:y val="0.11419774599003919"/>
          <c:w val="0.82677978221173321"/>
          <c:h val="0.55555660211370417"/>
        </c:manualLayout>
      </c:layout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DAILY!$AB$2:$AB$32</c:f>
              <c:numCache>
                <c:formatCode>m/d/yyyy</c:formatCode>
                <c:ptCount val="31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</c:numCache>
            </c:numRef>
          </c:cat>
          <c:val>
            <c:numRef>
              <c:f>DAILY!$AC$2:$AC$32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15280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10050</c:v>
                </c:pt>
                <c:pt idx="18">
                  <c:v>2750</c:v>
                </c:pt>
                <c:pt idx="19">
                  <c:v>36600</c:v>
                </c:pt>
                <c:pt idx="20">
                  <c:v>33200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02-4E1F-A2CB-7D3D5579E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95536"/>
        <c:axId val="1"/>
      </c:lineChart>
      <c:dateAx>
        <c:axId val="1811955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20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9553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988840843026591"/>
          <c:y val="5.8642085778668779E-2"/>
          <c:w val="9.0824053085547141E-2"/>
          <c:h val="0.1790126829033046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layout>
        <c:manualLayout>
          <c:xMode val="edge"/>
          <c:yMode val="edge"/>
          <c:x val="0.43820806050061523"/>
          <c:y val="3.6939432960636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403710560584998E-2"/>
          <c:y val="0.12137242258494865"/>
          <c:w val="0.93872302502070692"/>
          <c:h val="0.62269329847930177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DAILY!$AO$2:$AO$32</c:f>
              <c:numCache>
                <c:formatCode>m/d/yyyy</c:formatCode>
                <c:ptCount val="31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</c:numCache>
            </c:numRef>
          </c:cat>
          <c:val>
            <c:numRef>
              <c:f>DAILY!$AP$2:$AP$32</c:f>
              <c:numCache>
                <c:formatCode>_(* #,##0_);_(* \(#,##0\);_(* "-"??_);_(@_)</c:formatCode>
                <c:ptCount val="31"/>
                <c:pt idx="0">
                  <c:v>278861</c:v>
                </c:pt>
                <c:pt idx="1">
                  <c:v>271986</c:v>
                </c:pt>
                <c:pt idx="2">
                  <c:v>268476</c:v>
                </c:pt>
                <c:pt idx="3">
                  <c:v>266245</c:v>
                </c:pt>
                <c:pt idx="4">
                  <c:v>266245</c:v>
                </c:pt>
                <c:pt idx="5">
                  <c:v>266245</c:v>
                </c:pt>
                <c:pt idx="6">
                  <c:v>264002</c:v>
                </c:pt>
                <c:pt idx="7">
                  <c:v>255627</c:v>
                </c:pt>
                <c:pt idx="8">
                  <c:v>265566</c:v>
                </c:pt>
                <c:pt idx="9">
                  <c:v>246958</c:v>
                </c:pt>
                <c:pt idx="10">
                  <c:v>286931</c:v>
                </c:pt>
                <c:pt idx="11">
                  <c:v>286931</c:v>
                </c:pt>
                <c:pt idx="12">
                  <c:v>266036</c:v>
                </c:pt>
                <c:pt idx="13">
                  <c:v>255030</c:v>
                </c:pt>
                <c:pt idx="14">
                  <c:v>303959</c:v>
                </c:pt>
                <c:pt idx="15">
                  <c:v>274934</c:v>
                </c:pt>
                <c:pt idx="16">
                  <c:v>310830</c:v>
                </c:pt>
                <c:pt idx="17">
                  <c:v>313178</c:v>
                </c:pt>
                <c:pt idx="18">
                  <c:v>313178</c:v>
                </c:pt>
                <c:pt idx="19">
                  <c:v>332833</c:v>
                </c:pt>
                <c:pt idx="20">
                  <c:v>338794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4-45DA-8DC0-0C9A069CD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95208"/>
        <c:axId val="1"/>
      </c:lineChart>
      <c:catAx>
        <c:axId val="181195208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50000"/>
          <c:min val="1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95208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696195447782783"/>
          <c:y val="0.3430090203487679"/>
          <c:w val="4.994850983379516E-2"/>
          <c:h val="6.860180406975359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layout>
        <c:manualLayout>
          <c:xMode val="edge"/>
          <c:yMode val="edge"/>
          <c:x val="0.30112409112330657"/>
          <c:y val="3.65855428600989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74174871908255"/>
          <c:y val="0.10365903810361363"/>
          <c:w val="0.79438332994096172"/>
          <c:h val="0.56707591433153348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DAILY!$AB$2:$AB$32</c:f>
              <c:numCache>
                <c:formatCode>m/d/yyyy</c:formatCode>
                <c:ptCount val="31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</c:numCache>
            </c:numRef>
          </c:cat>
          <c:val>
            <c:numRef>
              <c:f>DAILY!$AE$2:$AE$32</c:f>
              <c:numCache>
                <c:formatCode>0</c:formatCode>
                <c:ptCount val="31"/>
                <c:pt idx="0">
                  <c:v>495450.4192</c:v>
                </c:pt>
                <c:pt idx="1">
                  <c:v>495450.4192</c:v>
                </c:pt>
                <c:pt idx="2">
                  <c:v>495450.4192</c:v>
                </c:pt>
                <c:pt idx="3">
                  <c:v>495450.4192</c:v>
                </c:pt>
                <c:pt idx="4">
                  <c:v>495450.4192</c:v>
                </c:pt>
                <c:pt idx="5">
                  <c:v>495450.4192</c:v>
                </c:pt>
                <c:pt idx="6">
                  <c:v>495450.4192</c:v>
                </c:pt>
                <c:pt idx="7">
                  <c:v>495450.4192</c:v>
                </c:pt>
                <c:pt idx="8">
                  <c:v>480170.4192</c:v>
                </c:pt>
                <c:pt idx="9">
                  <c:v>480170.4192</c:v>
                </c:pt>
                <c:pt idx="10">
                  <c:v>480170.4192</c:v>
                </c:pt>
                <c:pt idx="11">
                  <c:v>480170.4192</c:v>
                </c:pt>
                <c:pt idx="12">
                  <c:v>480170.4192</c:v>
                </c:pt>
                <c:pt idx="13">
                  <c:v>480170.4192</c:v>
                </c:pt>
                <c:pt idx="14">
                  <c:v>480170.4192</c:v>
                </c:pt>
                <c:pt idx="15">
                  <c:v>480170.4192</c:v>
                </c:pt>
                <c:pt idx="16">
                  <c:v>480170.4192</c:v>
                </c:pt>
                <c:pt idx="17">
                  <c:v>470120.4192</c:v>
                </c:pt>
                <c:pt idx="18">
                  <c:v>467370.4192</c:v>
                </c:pt>
                <c:pt idx="19">
                  <c:v>430770.4192</c:v>
                </c:pt>
                <c:pt idx="20">
                  <c:v>397570.4192</c:v>
                </c:pt>
                <c:pt idx="21">
                  <c:v>397570.4192</c:v>
                </c:pt>
                <c:pt idx="22">
                  <c:v>397570.4192</c:v>
                </c:pt>
                <c:pt idx="23">
                  <c:v>397570.4192</c:v>
                </c:pt>
                <c:pt idx="24">
                  <c:v>397570.4192</c:v>
                </c:pt>
                <c:pt idx="25">
                  <c:v>397570.4192</c:v>
                </c:pt>
                <c:pt idx="26">
                  <c:v>397570.4192</c:v>
                </c:pt>
                <c:pt idx="27">
                  <c:v>397570.4192</c:v>
                </c:pt>
                <c:pt idx="28">
                  <c:v>397570.4192</c:v>
                </c:pt>
                <c:pt idx="29">
                  <c:v>397570.4192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908-4A58-8C7E-FACDEC611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28632"/>
        <c:axId val="1"/>
      </c:lineChart>
      <c:catAx>
        <c:axId val="181528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28632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854075536685071"/>
          <c:y val="0.6219542286216817"/>
          <c:w val="0.12471930639808596"/>
          <c:h val="7.92686761968810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layout>
        <c:manualLayout>
          <c:xMode val="edge"/>
          <c:yMode val="edge"/>
          <c:x val="0.41056533827618169"/>
          <c:y val="2.56411173632002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165894346617239E-2"/>
          <c:y val="0.11721653651748697"/>
          <c:w val="0.87488415199258573"/>
          <c:h val="0.44322502870674757"/>
        </c:manualLayout>
      </c:layout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DAILY!$AB$2:$AB$32</c:f>
              <c:numCache>
                <c:formatCode>m/d/yyyy</c:formatCode>
                <c:ptCount val="31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</c:numCache>
            </c:numRef>
          </c:cat>
          <c:val>
            <c:numRef>
              <c:f>DAILY!$AG$2:$AG$32</c:f>
              <c:numCache>
                <c:formatCode>_(* #,##0_);_(* \(#,##0\);_(* "-"??_);_(@_)</c:formatCode>
                <c:ptCount val="3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845-4C29-831E-2E395478E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29944"/>
        <c:axId val="1"/>
      </c:lineChart>
      <c:catAx>
        <c:axId val="1815299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2994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380908248378134"/>
          <c:y val="0.47252916283611929"/>
          <c:w val="8.0630213160333641E-2"/>
          <c:h val="9.52384359204581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layout>
        <c:manualLayout>
          <c:xMode val="edge"/>
          <c:yMode val="edge"/>
          <c:x val="0.43714687849890016"/>
          <c:y val="2.57353634159673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58796232485886"/>
          <c:y val="0.11397089512785553"/>
          <c:w val="0.80068094067026541"/>
          <c:h val="0.50000134636736615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DAILY!$AB$2:$AB$32</c:f>
              <c:numCache>
                <c:formatCode>m/d/yyyy</c:formatCode>
                <c:ptCount val="31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</c:numCache>
            </c:numRef>
          </c:cat>
          <c:val>
            <c:numRef>
              <c:f>DAILY!$AI$2:$AI$32</c:f>
              <c:numCache>
                <c:formatCode>_(* #,##0_);_(* \(#,##0\);_(* "-"??_);_(@_)</c:formatCode>
                <c:ptCount val="31"/>
                <c:pt idx="0">
                  <c:v>230</c:v>
                </c:pt>
                <c:pt idx="1">
                  <c:v>220</c:v>
                </c:pt>
                <c:pt idx="2">
                  <c:v>210</c:v>
                </c:pt>
                <c:pt idx="3">
                  <c:v>200</c:v>
                </c:pt>
                <c:pt idx="4">
                  <c:v>190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7AC-4DBD-A3DB-34976CCA5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28304"/>
        <c:axId val="1"/>
      </c:lineChart>
      <c:catAx>
        <c:axId val="1815283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2830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74987277983357"/>
          <c:y val="0.49264838539137557"/>
          <c:w val="0.12570804019009826"/>
          <c:h val="9.55884926878788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A6D-4544-9C33-D06D06EEC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15072"/>
        <c:axId val="1"/>
      </c:lineChart>
      <c:catAx>
        <c:axId val="17911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115072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029-48D1-8377-0FF9DCA15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64808"/>
        <c:axId val="1"/>
      </c:lineChart>
      <c:catAx>
        <c:axId val="179764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76480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008-4B68-BF0D-A0C4B15EA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67760"/>
        <c:axId val="1"/>
      </c:lineChart>
      <c:catAx>
        <c:axId val="17976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76776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4B-41EC-8162-97FDFB394931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4B-41EC-8162-97FDFB394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68416"/>
        <c:axId val="1"/>
      </c:lineChart>
      <c:catAx>
        <c:axId val="17976841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768416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A5-45A3-955A-6F87EA34B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66776"/>
        <c:axId val="1"/>
      </c:lineChart>
      <c:dateAx>
        <c:axId val="1797667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76677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46-4C38-8440-EA98DFC0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71040"/>
        <c:axId val="1"/>
      </c:lineChart>
      <c:catAx>
        <c:axId val="1797710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771040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0</xdr:rowOff>
    </xdr:from>
    <xdr:to>
      <xdr:col>0</xdr:col>
      <xdr:colOff>0</xdr:colOff>
      <xdr:row>55</xdr:row>
      <xdr:rowOff>99060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60960</xdr:rowOff>
    </xdr:from>
    <xdr:to>
      <xdr:col>0</xdr:col>
      <xdr:colOff>0</xdr:colOff>
      <xdr:row>24</xdr:row>
      <xdr:rowOff>220980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30480</xdr:rowOff>
    </xdr:from>
    <xdr:to>
      <xdr:col>0</xdr:col>
      <xdr:colOff>0</xdr:colOff>
      <xdr:row>73</xdr:row>
      <xdr:rowOff>45720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</xdr:row>
      <xdr:rowOff>30480</xdr:rowOff>
    </xdr:from>
    <xdr:to>
      <xdr:col>0</xdr:col>
      <xdr:colOff>0</xdr:colOff>
      <xdr:row>24</xdr:row>
      <xdr:rowOff>220980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0</xdr:col>
      <xdr:colOff>0</xdr:colOff>
      <xdr:row>40</xdr:row>
      <xdr:rowOff>30480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55</xdr:row>
      <xdr:rowOff>99060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12</xdr:row>
      <xdr:rowOff>60960</xdr:rowOff>
    </xdr:from>
    <xdr:to>
      <xdr:col>0</xdr:col>
      <xdr:colOff>0</xdr:colOff>
      <xdr:row>24</xdr:row>
      <xdr:rowOff>220980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30480</xdr:rowOff>
    </xdr:from>
    <xdr:to>
      <xdr:col>0</xdr:col>
      <xdr:colOff>0</xdr:colOff>
      <xdr:row>73</xdr:row>
      <xdr:rowOff>45720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12</xdr:row>
      <xdr:rowOff>30480</xdr:rowOff>
    </xdr:from>
    <xdr:to>
      <xdr:col>0</xdr:col>
      <xdr:colOff>0</xdr:colOff>
      <xdr:row>24</xdr:row>
      <xdr:rowOff>220980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0</xdr:col>
      <xdr:colOff>0</xdr:colOff>
      <xdr:row>40</xdr:row>
      <xdr:rowOff>30480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55</xdr:row>
      <xdr:rowOff>99060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12</xdr:row>
      <xdr:rowOff>60960</xdr:rowOff>
    </xdr:from>
    <xdr:to>
      <xdr:col>0</xdr:col>
      <xdr:colOff>0</xdr:colOff>
      <xdr:row>24</xdr:row>
      <xdr:rowOff>220980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56</xdr:row>
      <xdr:rowOff>30480</xdr:rowOff>
    </xdr:from>
    <xdr:to>
      <xdr:col>0</xdr:col>
      <xdr:colOff>0</xdr:colOff>
      <xdr:row>73</xdr:row>
      <xdr:rowOff>45720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12</xdr:row>
      <xdr:rowOff>30480</xdr:rowOff>
    </xdr:from>
    <xdr:to>
      <xdr:col>0</xdr:col>
      <xdr:colOff>0</xdr:colOff>
      <xdr:row>24</xdr:row>
      <xdr:rowOff>220980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0</xdr:col>
      <xdr:colOff>0</xdr:colOff>
      <xdr:row>40</xdr:row>
      <xdr:rowOff>30480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55</xdr:row>
      <xdr:rowOff>99060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12</xdr:row>
      <xdr:rowOff>60960</xdr:rowOff>
    </xdr:from>
    <xdr:to>
      <xdr:col>0</xdr:col>
      <xdr:colOff>0</xdr:colOff>
      <xdr:row>24</xdr:row>
      <xdr:rowOff>220980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56</xdr:row>
      <xdr:rowOff>30480</xdr:rowOff>
    </xdr:from>
    <xdr:to>
      <xdr:col>0</xdr:col>
      <xdr:colOff>0</xdr:colOff>
      <xdr:row>73</xdr:row>
      <xdr:rowOff>45720</xdr:rowOff>
    </xdr:to>
    <xdr:graphicFrame macro="">
      <xdr:nvGraphicFramePr>
        <xdr:cNvPr id="104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12</xdr:row>
      <xdr:rowOff>30480</xdr:rowOff>
    </xdr:from>
    <xdr:to>
      <xdr:col>0</xdr:col>
      <xdr:colOff>0</xdr:colOff>
      <xdr:row>24</xdr:row>
      <xdr:rowOff>220980</xdr:rowOff>
    </xdr:to>
    <xdr:graphicFrame macro="">
      <xdr:nvGraphicFramePr>
        <xdr:cNvPr id="104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4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0</xdr:col>
      <xdr:colOff>0</xdr:colOff>
      <xdr:row>40</xdr:row>
      <xdr:rowOff>30480</xdr:rowOff>
    </xdr:to>
    <xdr:graphicFrame macro="">
      <xdr:nvGraphicFramePr>
        <xdr:cNvPr id="1048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57</xdr:row>
      <xdr:rowOff>99060</xdr:rowOff>
    </xdr:to>
    <xdr:graphicFrame macro="">
      <xdr:nvGraphicFramePr>
        <xdr:cNvPr id="104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12</xdr:row>
      <xdr:rowOff>60960</xdr:rowOff>
    </xdr:from>
    <xdr:to>
      <xdr:col>0</xdr:col>
      <xdr:colOff>0</xdr:colOff>
      <xdr:row>26</xdr:row>
      <xdr:rowOff>228600</xdr:rowOff>
    </xdr:to>
    <xdr:graphicFrame macro="">
      <xdr:nvGraphicFramePr>
        <xdr:cNvPr id="105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58</xdr:row>
      <xdr:rowOff>30480</xdr:rowOff>
    </xdr:from>
    <xdr:to>
      <xdr:col>0</xdr:col>
      <xdr:colOff>0</xdr:colOff>
      <xdr:row>75</xdr:row>
      <xdr:rowOff>45720</xdr:rowOff>
    </xdr:to>
    <xdr:graphicFrame macro="">
      <xdr:nvGraphicFramePr>
        <xdr:cNvPr id="105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12</xdr:row>
      <xdr:rowOff>30480</xdr:rowOff>
    </xdr:from>
    <xdr:to>
      <xdr:col>0</xdr:col>
      <xdr:colOff>0</xdr:colOff>
      <xdr:row>26</xdr:row>
      <xdr:rowOff>228600</xdr:rowOff>
    </xdr:to>
    <xdr:graphicFrame macro="">
      <xdr:nvGraphicFramePr>
        <xdr:cNvPr id="105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5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42</xdr:row>
      <xdr:rowOff>30480</xdr:rowOff>
    </xdr:to>
    <xdr:graphicFrame macro="">
      <xdr:nvGraphicFramePr>
        <xdr:cNvPr id="105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76200</xdr:colOff>
      <xdr:row>38</xdr:row>
      <xdr:rowOff>0</xdr:rowOff>
    </xdr:from>
    <xdr:to>
      <xdr:col>19</xdr:col>
      <xdr:colOff>563880</xdr:colOff>
      <xdr:row>56</xdr:row>
      <xdr:rowOff>68580</xdr:rowOff>
    </xdr:to>
    <xdr:graphicFrame macro="">
      <xdr:nvGraphicFramePr>
        <xdr:cNvPr id="105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22860</xdr:colOff>
      <xdr:row>9</xdr:row>
      <xdr:rowOff>60960</xdr:rowOff>
    </xdr:from>
    <xdr:to>
      <xdr:col>16</xdr:col>
      <xdr:colOff>617220</xdr:colOff>
      <xdr:row>23</xdr:row>
      <xdr:rowOff>228600</xdr:rowOff>
    </xdr:to>
    <xdr:graphicFrame macro="">
      <xdr:nvGraphicFramePr>
        <xdr:cNvPr id="1056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</xdr:col>
      <xdr:colOff>68580</xdr:colOff>
      <xdr:row>57</xdr:row>
      <xdr:rowOff>30480</xdr:rowOff>
    </xdr:from>
    <xdr:to>
      <xdr:col>19</xdr:col>
      <xdr:colOff>617220</xdr:colOff>
      <xdr:row>74</xdr:row>
      <xdr:rowOff>68580</xdr:rowOff>
    </xdr:to>
    <xdr:graphicFrame macro="">
      <xdr:nvGraphicFramePr>
        <xdr:cNvPr id="1057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16</xdr:col>
      <xdr:colOff>708660</xdr:colOff>
      <xdr:row>9</xdr:row>
      <xdr:rowOff>30480</xdr:rowOff>
    </xdr:from>
    <xdr:to>
      <xdr:col>25</xdr:col>
      <xdr:colOff>457200</xdr:colOff>
      <xdr:row>23</xdr:row>
      <xdr:rowOff>228600</xdr:rowOff>
    </xdr:to>
    <xdr:graphicFrame macro="">
      <xdr:nvGraphicFramePr>
        <xdr:cNvPr id="1058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25</xdr:row>
      <xdr:rowOff>0</xdr:rowOff>
    </xdr:from>
    <xdr:to>
      <xdr:col>16</xdr:col>
      <xdr:colOff>678180</xdr:colOff>
      <xdr:row>37</xdr:row>
      <xdr:rowOff>38100</xdr:rowOff>
    </xdr:to>
    <xdr:graphicFrame macro="">
      <xdr:nvGraphicFramePr>
        <xdr:cNvPr id="1059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17</xdr:col>
      <xdr:colOff>0</xdr:colOff>
      <xdr:row>25</xdr:row>
      <xdr:rowOff>0</xdr:rowOff>
    </xdr:from>
    <xdr:to>
      <xdr:col>25</xdr:col>
      <xdr:colOff>472440</xdr:colOff>
      <xdr:row>37</xdr:row>
      <xdr:rowOff>30480</xdr:rowOff>
    </xdr:to>
    <xdr:graphicFrame macro="">
      <xdr:nvGraphicFramePr>
        <xdr:cNvPr id="1060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NATTS\ARUBA\Alcatraz\qu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eolquote"/>
      <sheetName val="gas supply deal"/>
      <sheetName val="WKEND SENDOUT"/>
      <sheetName val="Sheet2"/>
      <sheetName val="nng ventura"/>
      <sheetName val="SENDOUT"/>
      <sheetName val="ngpl dss deal"/>
      <sheetName val="gage (sept)"/>
      <sheetName val="ANR"/>
      <sheetName val="Cary"/>
      <sheetName val="Richie"/>
      <sheetName val="CHICAGO PRICES"/>
      <sheetName val="gage ga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B2">
            <v>36770</v>
          </cell>
          <cell r="AC2">
            <v>66453</v>
          </cell>
          <cell r="AD2">
            <v>190431</v>
          </cell>
          <cell r="AE2">
            <v>70212</v>
          </cell>
          <cell r="AF2">
            <v>-66665</v>
          </cell>
          <cell r="AH2">
            <v>36770</v>
          </cell>
          <cell r="AI2">
            <v>271986</v>
          </cell>
          <cell r="AJ2">
            <v>271986</v>
          </cell>
          <cell r="AL2">
            <v>36770</v>
          </cell>
          <cell r="AM2">
            <v>145517</v>
          </cell>
        </row>
        <row r="3">
          <cell r="AB3">
            <v>36771</v>
          </cell>
          <cell r="AC3">
            <v>21735</v>
          </cell>
          <cell r="AD3">
            <v>188696</v>
          </cell>
          <cell r="AE3">
            <v>10</v>
          </cell>
          <cell r="AF3">
            <v>-51703</v>
          </cell>
          <cell r="AH3">
            <v>36771</v>
          </cell>
          <cell r="AI3">
            <v>215041</v>
          </cell>
          <cell r="AJ3">
            <v>215041</v>
          </cell>
          <cell r="AL3">
            <v>36771</v>
          </cell>
          <cell r="AM3">
            <v>175311</v>
          </cell>
        </row>
        <row r="4">
          <cell r="AB4">
            <v>36772</v>
          </cell>
          <cell r="AC4">
            <v>0</v>
          </cell>
          <cell r="AD4">
            <v>208354</v>
          </cell>
          <cell r="AE4">
            <v>10</v>
          </cell>
          <cell r="AF4">
            <v>-26758</v>
          </cell>
          <cell r="AH4">
            <v>36772</v>
          </cell>
          <cell r="AI4">
            <v>190000</v>
          </cell>
          <cell r="AJ4">
            <v>190000</v>
          </cell>
          <cell r="AL4">
            <v>36772</v>
          </cell>
          <cell r="AM4">
            <v>169521</v>
          </cell>
        </row>
        <row r="5">
          <cell r="AB5">
            <v>36773</v>
          </cell>
          <cell r="AC5">
            <v>0</v>
          </cell>
          <cell r="AD5">
            <v>228012</v>
          </cell>
          <cell r="AE5">
            <v>10</v>
          </cell>
          <cell r="AF5">
            <v>-6768</v>
          </cell>
          <cell r="AH5">
            <v>36773</v>
          </cell>
          <cell r="AI5">
            <v>223000</v>
          </cell>
          <cell r="AJ5">
            <v>223000</v>
          </cell>
          <cell r="AL5">
            <v>36773</v>
          </cell>
          <cell r="AM5">
            <v>175636</v>
          </cell>
        </row>
        <row r="6">
          <cell r="AB6">
            <v>36774</v>
          </cell>
          <cell r="AC6">
            <v>0</v>
          </cell>
          <cell r="AD6">
            <v>247670</v>
          </cell>
          <cell r="AE6">
            <v>10</v>
          </cell>
          <cell r="AF6">
            <v>-6778</v>
          </cell>
          <cell r="AH6">
            <v>36774</v>
          </cell>
          <cell r="AI6">
            <v>253395</v>
          </cell>
          <cell r="AJ6">
            <v>253395</v>
          </cell>
          <cell r="AL6">
            <v>36774</v>
          </cell>
          <cell r="AM6">
            <v>174951</v>
          </cell>
        </row>
        <row r="7">
          <cell r="AB7">
            <v>36775</v>
          </cell>
          <cell r="AC7">
            <v>0</v>
          </cell>
          <cell r="AD7">
            <v>267328</v>
          </cell>
          <cell r="AE7">
            <v>10</v>
          </cell>
          <cell r="AF7">
            <v>-6788</v>
          </cell>
          <cell r="AH7">
            <v>36775</v>
          </cell>
          <cell r="AI7">
            <v>253852</v>
          </cell>
          <cell r="AJ7">
            <v>253852</v>
          </cell>
          <cell r="AL7">
            <v>36775</v>
          </cell>
          <cell r="AM7">
            <v>151882</v>
          </cell>
        </row>
        <row r="8">
          <cell r="AB8">
            <v>36776</v>
          </cell>
          <cell r="AC8">
            <v>60449</v>
          </cell>
          <cell r="AD8">
            <v>226879</v>
          </cell>
          <cell r="AE8">
            <v>10</v>
          </cell>
          <cell r="AF8">
            <v>-6798</v>
          </cell>
          <cell r="AH8">
            <v>36776</v>
          </cell>
          <cell r="AI8">
            <v>252690</v>
          </cell>
          <cell r="AJ8">
            <v>252690</v>
          </cell>
          <cell r="AL8">
            <v>36776</v>
          </cell>
          <cell r="AM8">
            <v>149644</v>
          </cell>
        </row>
        <row r="9">
          <cell r="AB9">
            <v>36777</v>
          </cell>
          <cell r="AC9">
            <v>59968</v>
          </cell>
          <cell r="AD9">
            <v>166911</v>
          </cell>
          <cell r="AE9">
            <v>10</v>
          </cell>
          <cell r="AF9">
            <v>-6808</v>
          </cell>
          <cell r="AH9">
            <v>36777</v>
          </cell>
          <cell r="AI9">
            <v>234709</v>
          </cell>
          <cell r="AJ9">
            <v>234709</v>
          </cell>
          <cell r="AL9">
            <v>36777</v>
          </cell>
          <cell r="AM9">
            <v>141843</v>
          </cell>
        </row>
        <row r="10">
          <cell r="AB10">
            <v>36778</v>
          </cell>
          <cell r="AC10">
            <v>26249</v>
          </cell>
          <cell r="AD10">
            <v>190255.8579</v>
          </cell>
          <cell r="AE10">
            <v>10</v>
          </cell>
          <cell r="AF10">
            <v>-4568</v>
          </cell>
          <cell r="AH10">
            <v>36778</v>
          </cell>
          <cell r="AI10">
            <v>206740</v>
          </cell>
          <cell r="AJ10">
            <v>206740</v>
          </cell>
          <cell r="AL10">
            <v>36778</v>
          </cell>
          <cell r="AM10">
            <v>152372</v>
          </cell>
        </row>
        <row r="11">
          <cell r="AB11">
            <v>36779</v>
          </cell>
          <cell r="AC11">
            <v>3220</v>
          </cell>
          <cell r="AD11">
            <v>236235.91990000001</v>
          </cell>
          <cell r="AE11">
            <v>10</v>
          </cell>
          <cell r="AF11">
            <v>-2328</v>
          </cell>
          <cell r="AH11">
            <v>36779</v>
          </cell>
          <cell r="AI11">
            <v>219834</v>
          </cell>
          <cell r="AJ11">
            <v>219834</v>
          </cell>
          <cell r="AL11">
            <v>36779</v>
          </cell>
          <cell r="AM11">
            <v>152322</v>
          </cell>
        </row>
        <row r="12">
          <cell r="AB12">
            <v>36780</v>
          </cell>
          <cell r="AC12">
            <v>33982</v>
          </cell>
          <cell r="AD12">
            <v>251980.01209999999</v>
          </cell>
          <cell r="AE12">
            <v>17041</v>
          </cell>
          <cell r="AF12">
            <v>2881</v>
          </cell>
          <cell r="AH12">
            <v>36780</v>
          </cell>
          <cell r="AI12">
            <v>257926</v>
          </cell>
          <cell r="AJ12">
            <v>257926</v>
          </cell>
          <cell r="AL12">
            <v>36780</v>
          </cell>
          <cell r="AM12">
            <v>151972</v>
          </cell>
        </row>
        <row r="13">
          <cell r="AB13">
            <v>36781</v>
          </cell>
          <cell r="AC13">
            <v>24286</v>
          </cell>
          <cell r="AD13">
            <v>277254.3027</v>
          </cell>
          <cell r="AE13">
            <v>10</v>
          </cell>
          <cell r="AF13">
            <v>2871</v>
          </cell>
          <cell r="AH13">
            <v>36781</v>
          </cell>
          <cell r="AI13">
            <v>251589</v>
          </cell>
          <cell r="AJ13">
            <v>251589</v>
          </cell>
          <cell r="AL13">
            <v>36781</v>
          </cell>
          <cell r="AM13">
            <v>154619</v>
          </cell>
        </row>
        <row r="14">
          <cell r="AB14">
            <v>36782</v>
          </cell>
          <cell r="AC14">
            <v>28430</v>
          </cell>
          <cell r="AD14">
            <v>298455.45569999999</v>
          </cell>
          <cell r="AE14">
            <v>10</v>
          </cell>
          <cell r="AF14">
            <v>2861</v>
          </cell>
          <cell r="AH14">
            <v>36782</v>
          </cell>
          <cell r="AI14">
            <v>246443</v>
          </cell>
          <cell r="AJ14">
            <v>246443</v>
          </cell>
          <cell r="AL14">
            <v>36782</v>
          </cell>
          <cell r="AM14">
            <v>138783</v>
          </cell>
        </row>
        <row r="15">
          <cell r="AB15">
            <v>36783</v>
          </cell>
          <cell r="AC15">
            <v>21687</v>
          </cell>
          <cell r="AD15">
            <v>276768.45569999999</v>
          </cell>
          <cell r="AE15">
            <v>10</v>
          </cell>
          <cell r="AF15">
            <v>2851</v>
          </cell>
          <cell r="AH15">
            <v>36783</v>
          </cell>
          <cell r="AI15">
            <v>251946</v>
          </cell>
          <cell r="AJ15">
            <v>251946</v>
          </cell>
          <cell r="AL15">
            <v>36783</v>
          </cell>
          <cell r="AM15">
            <v>151157</v>
          </cell>
        </row>
        <row r="16">
          <cell r="AB16">
            <v>36784</v>
          </cell>
          <cell r="AC16">
            <v>0</v>
          </cell>
          <cell r="AD16">
            <v>296426.45569999999</v>
          </cell>
          <cell r="AE16">
            <v>498</v>
          </cell>
          <cell r="AF16">
            <v>2353</v>
          </cell>
          <cell r="AH16">
            <v>36784</v>
          </cell>
          <cell r="AI16">
            <v>271866</v>
          </cell>
          <cell r="AJ16">
            <v>271866</v>
          </cell>
          <cell r="AL16">
            <v>36784</v>
          </cell>
          <cell r="AM16">
            <v>150550</v>
          </cell>
        </row>
        <row r="17">
          <cell r="AB17">
            <v>36785</v>
          </cell>
          <cell r="AC17">
            <v>0</v>
          </cell>
          <cell r="AD17">
            <v>316084.45569999999</v>
          </cell>
          <cell r="AE17">
            <v>10</v>
          </cell>
          <cell r="AF17">
            <v>2343</v>
          </cell>
          <cell r="AH17">
            <v>36785</v>
          </cell>
          <cell r="AI17">
            <v>243751</v>
          </cell>
          <cell r="AJ17">
            <v>243751</v>
          </cell>
          <cell r="AL17">
            <v>36785</v>
          </cell>
          <cell r="AM17">
            <v>147765</v>
          </cell>
        </row>
        <row r="18">
          <cell r="AB18">
            <v>36786</v>
          </cell>
          <cell r="AC18">
            <v>0</v>
          </cell>
          <cell r="AD18">
            <v>335742.45569999999</v>
          </cell>
          <cell r="AE18">
            <v>10</v>
          </cell>
          <cell r="AF18">
            <v>2333</v>
          </cell>
          <cell r="AH18">
            <v>36786</v>
          </cell>
          <cell r="AI18">
            <v>237705</v>
          </cell>
          <cell r="AJ18">
            <v>237705</v>
          </cell>
          <cell r="AL18">
            <v>36786</v>
          </cell>
          <cell r="AM18">
            <v>147792</v>
          </cell>
        </row>
        <row r="19">
          <cell r="AB19">
            <v>36787</v>
          </cell>
          <cell r="AC19">
            <v>81658</v>
          </cell>
          <cell r="AD19">
            <v>274084.45569999999</v>
          </cell>
          <cell r="AE19">
            <v>10</v>
          </cell>
          <cell r="AF19">
            <v>2323</v>
          </cell>
          <cell r="AH19">
            <v>36787</v>
          </cell>
          <cell r="AI19">
            <v>250000</v>
          </cell>
          <cell r="AJ19">
            <v>251462</v>
          </cell>
          <cell r="AL19">
            <v>36787</v>
          </cell>
          <cell r="AM19">
            <v>147092</v>
          </cell>
        </row>
        <row r="20">
          <cell r="AB20">
            <v>36788</v>
          </cell>
          <cell r="AC20">
            <v>38400</v>
          </cell>
          <cell r="AD20">
            <v>255684.45569999999</v>
          </cell>
          <cell r="AE20">
            <v>10</v>
          </cell>
          <cell r="AF20">
            <v>2313</v>
          </cell>
          <cell r="AH20">
            <v>36788</v>
          </cell>
          <cell r="AI20">
            <v>252000</v>
          </cell>
          <cell r="AJ20">
            <v>238627</v>
          </cell>
          <cell r="AL20">
            <v>36788</v>
          </cell>
          <cell r="AM20">
            <v>172170</v>
          </cell>
        </row>
        <row r="21">
          <cell r="AB21">
            <v>36789</v>
          </cell>
          <cell r="AC21">
            <v>0</v>
          </cell>
          <cell r="AD21">
            <v>305684.45569999999</v>
          </cell>
          <cell r="AE21">
            <v>10</v>
          </cell>
          <cell r="AF21">
            <v>2303</v>
          </cell>
          <cell r="AH21">
            <v>36789</v>
          </cell>
          <cell r="AI21">
            <v>258000</v>
          </cell>
          <cell r="AJ21">
            <v>293010</v>
          </cell>
          <cell r="AL21">
            <v>36789</v>
          </cell>
          <cell r="AM21">
            <v>150209</v>
          </cell>
        </row>
        <row r="22">
          <cell r="AB22">
            <v>36790</v>
          </cell>
          <cell r="AC22">
            <v>0</v>
          </cell>
          <cell r="AD22">
            <v>305684.45569999999</v>
          </cell>
          <cell r="AE22">
            <v>10</v>
          </cell>
          <cell r="AF22">
            <v>2293</v>
          </cell>
          <cell r="AH22">
            <v>36790</v>
          </cell>
          <cell r="AI22">
            <v>305000</v>
          </cell>
          <cell r="AJ22">
            <v>297613</v>
          </cell>
          <cell r="AL22">
            <v>36790</v>
          </cell>
          <cell r="AM22">
            <v>157505</v>
          </cell>
        </row>
        <row r="23">
          <cell r="AB23">
            <v>36791</v>
          </cell>
          <cell r="AC23">
            <v>0</v>
          </cell>
          <cell r="AD23">
            <v>305684.45569999999</v>
          </cell>
          <cell r="AE23">
            <v>10</v>
          </cell>
          <cell r="AF23">
            <v>2283</v>
          </cell>
          <cell r="AH23">
            <v>36791</v>
          </cell>
          <cell r="AI23">
            <v>279000</v>
          </cell>
          <cell r="AJ23">
            <v>279524</v>
          </cell>
          <cell r="AL23">
            <v>36791</v>
          </cell>
          <cell r="AM23">
            <v>160398</v>
          </cell>
        </row>
        <row r="24">
          <cell r="AB24">
            <v>36792</v>
          </cell>
          <cell r="AC24">
            <v>0</v>
          </cell>
          <cell r="AD24">
            <v>305684.45569999999</v>
          </cell>
          <cell r="AE24">
            <v>10</v>
          </cell>
          <cell r="AF24">
            <v>2273</v>
          </cell>
          <cell r="AH24">
            <v>36792</v>
          </cell>
          <cell r="AI24">
            <v>250000</v>
          </cell>
          <cell r="AJ24">
            <v>259718</v>
          </cell>
          <cell r="AL24">
            <v>36792</v>
          </cell>
          <cell r="AM24">
            <v>149216</v>
          </cell>
        </row>
        <row r="25">
          <cell r="AB25">
            <v>36793</v>
          </cell>
          <cell r="AC25">
            <v>0</v>
          </cell>
          <cell r="AD25">
            <v>305684.45569999999</v>
          </cell>
          <cell r="AE25">
            <v>10</v>
          </cell>
          <cell r="AF25">
            <v>2263</v>
          </cell>
          <cell r="AH25">
            <v>36793</v>
          </cell>
          <cell r="AI25">
            <v>463000</v>
          </cell>
          <cell r="AJ25">
            <v>361520</v>
          </cell>
          <cell r="AL25">
            <v>36793</v>
          </cell>
          <cell r="AM25">
            <v>149106</v>
          </cell>
        </row>
        <row r="26">
          <cell r="AB26">
            <v>36794</v>
          </cell>
          <cell r="AC26">
            <v>0</v>
          </cell>
          <cell r="AD26">
            <v>305684.45569999999</v>
          </cell>
          <cell r="AE26">
            <v>10</v>
          </cell>
          <cell r="AF26">
            <v>2253</v>
          </cell>
          <cell r="AH26">
            <v>36794</v>
          </cell>
          <cell r="AI26">
            <v>476000</v>
          </cell>
          <cell r="AJ26">
            <v>474825</v>
          </cell>
          <cell r="AL26">
            <v>36794</v>
          </cell>
          <cell r="AM26">
            <v>148256</v>
          </cell>
        </row>
        <row r="27">
          <cell r="AB27">
            <v>36795</v>
          </cell>
          <cell r="AC27">
            <v>0</v>
          </cell>
          <cell r="AD27">
            <v>305684.45569999999</v>
          </cell>
          <cell r="AE27">
            <v>10</v>
          </cell>
          <cell r="AF27">
            <v>2243</v>
          </cell>
          <cell r="AH27">
            <v>36795</v>
          </cell>
          <cell r="AI27">
            <v>376000</v>
          </cell>
          <cell r="AJ27">
            <v>364951</v>
          </cell>
          <cell r="AL27">
            <v>36795</v>
          </cell>
          <cell r="AM27">
            <v>154560</v>
          </cell>
        </row>
        <row r="28">
          <cell r="AB28">
            <v>36796</v>
          </cell>
          <cell r="AC28">
            <v>0</v>
          </cell>
          <cell r="AD28">
            <v>305684.45569999999</v>
          </cell>
          <cell r="AE28">
            <v>10</v>
          </cell>
          <cell r="AF28">
            <v>2233</v>
          </cell>
          <cell r="AH28">
            <v>36796</v>
          </cell>
          <cell r="AI28">
            <v>388000</v>
          </cell>
          <cell r="AJ28">
            <v>365702</v>
          </cell>
          <cell r="AL28">
            <v>36796</v>
          </cell>
          <cell r="AM28">
            <v>148298</v>
          </cell>
        </row>
        <row r="29">
          <cell r="AB29">
            <v>36797</v>
          </cell>
          <cell r="AC29">
            <v>0</v>
          </cell>
          <cell r="AD29">
            <v>305684.45569999999</v>
          </cell>
          <cell r="AE29">
            <v>10</v>
          </cell>
          <cell r="AF29">
            <v>2223</v>
          </cell>
          <cell r="AH29">
            <v>36797</v>
          </cell>
          <cell r="AI29">
            <v>372000</v>
          </cell>
          <cell r="AL29">
            <v>36797</v>
          </cell>
          <cell r="AM29">
            <v>152983</v>
          </cell>
        </row>
        <row r="30">
          <cell r="AB30">
            <v>36798</v>
          </cell>
          <cell r="AC30">
            <v>0</v>
          </cell>
          <cell r="AD30">
            <v>305684.45569999999</v>
          </cell>
          <cell r="AE30">
            <v>10</v>
          </cell>
          <cell r="AF30">
            <v>2213</v>
          </cell>
          <cell r="AH30">
            <v>36798</v>
          </cell>
          <cell r="AI30">
            <v>292000</v>
          </cell>
          <cell r="AL30">
            <v>36798</v>
          </cell>
          <cell r="AM30">
            <v>180458</v>
          </cell>
        </row>
        <row r="31">
          <cell r="AB31">
            <v>36799</v>
          </cell>
          <cell r="AC31">
            <v>0</v>
          </cell>
          <cell r="AD31">
            <v>305684.45569999999</v>
          </cell>
          <cell r="AE31">
            <v>10</v>
          </cell>
          <cell r="AF31">
            <v>2203</v>
          </cell>
          <cell r="AH31">
            <v>36799</v>
          </cell>
          <cell r="AI31">
            <v>233000</v>
          </cell>
          <cell r="AL31">
            <v>36799</v>
          </cell>
          <cell r="AM31">
            <v>180458</v>
          </cell>
        </row>
        <row r="32">
          <cell r="AB32">
            <v>36800</v>
          </cell>
          <cell r="AC32">
            <v>0</v>
          </cell>
          <cell r="AD32">
            <v>305684.45569999999</v>
          </cell>
          <cell r="AE32">
            <v>10</v>
          </cell>
          <cell r="AF32">
            <v>2193</v>
          </cell>
          <cell r="AH32">
            <v>36800</v>
          </cell>
          <cell r="AI32">
            <v>258000</v>
          </cell>
          <cell r="AL32">
            <v>36800</v>
          </cell>
          <cell r="AM32">
            <v>218710</v>
          </cell>
        </row>
        <row r="33">
          <cell r="AH33">
            <v>36801</v>
          </cell>
          <cell r="AI33">
            <v>282000</v>
          </cell>
          <cell r="AL33">
            <v>36801</v>
          </cell>
          <cell r="AM33">
            <v>218240</v>
          </cell>
        </row>
        <row r="34">
          <cell r="AH34">
            <v>36802</v>
          </cell>
          <cell r="AI34">
            <v>266000</v>
          </cell>
          <cell r="AL34">
            <v>36802</v>
          </cell>
          <cell r="AM34">
            <v>218240</v>
          </cell>
        </row>
        <row r="35">
          <cell r="AH35">
            <v>36803</v>
          </cell>
          <cell r="AI35">
            <v>352000</v>
          </cell>
          <cell r="AL35">
            <v>36803</v>
          </cell>
        </row>
        <row r="36">
          <cell r="AH36">
            <v>36804</v>
          </cell>
          <cell r="AI36">
            <v>517000</v>
          </cell>
          <cell r="AL36">
            <v>36804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zoomScale="75" workbookViewId="0">
      <selection activeCell="B8" sqref="B8"/>
    </sheetView>
  </sheetViews>
  <sheetFormatPr defaultColWidth="9.109375" defaultRowHeight="13.2" x14ac:dyDescent="0.25"/>
  <cols>
    <col min="1" max="1" width="33.44140625" style="2" customWidth="1"/>
    <col min="2" max="2" width="14" style="2" customWidth="1"/>
    <col min="3" max="3" width="15.109375" style="2" customWidth="1"/>
    <col min="4" max="5" width="16.88671875" style="2" customWidth="1"/>
    <col min="6" max="6" width="13.109375" style="2" customWidth="1"/>
    <col min="7" max="7" width="12.109375" style="2" customWidth="1"/>
    <col min="8" max="8" width="33.44140625" style="2" customWidth="1"/>
    <col min="9" max="10" width="14" style="2" customWidth="1"/>
    <col min="11" max="12" width="16.88671875" style="2" customWidth="1"/>
    <col min="13" max="13" width="13.109375" style="2" customWidth="1"/>
    <col min="14" max="14" width="12.109375" style="2" customWidth="1"/>
    <col min="15" max="16" width="9.109375" style="2"/>
    <col min="17" max="17" width="12.44140625" style="2" customWidth="1"/>
    <col min="18" max="19" width="13.6640625" style="2" customWidth="1"/>
    <col min="20" max="20" width="12.44140625" style="2" customWidth="1"/>
    <col min="21" max="25" width="9.109375" style="2"/>
    <col min="26" max="26" width="13.6640625" style="2" customWidth="1"/>
    <col min="27" max="28" width="13.109375" style="2" customWidth="1"/>
    <col min="29" max="16384" width="9.109375" style="2"/>
  </cols>
  <sheetData>
    <row r="1" spans="1:20" ht="27.75" customHeight="1" thickBot="1" x14ac:dyDescent="0.3">
      <c r="A1" s="2" t="s">
        <v>0</v>
      </c>
      <c r="B1" s="3">
        <f ca="1">TODAY()</f>
        <v>36851</v>
      </c>
      <c r="H1" s="2" t="s">
        <v>0</v>
      </c>
      <c r="I1" s="3">
        <f ca="1">TODAY()</f>
        <v>36851</v>
      </c>
    </row>
    <row r="2" spans="1:20" ht="13.8" thickBot="1" x14ac:dyDescent="0.3">
      <c r="A2" s="2" t="s">
        <v>12</v>
      </c>
      <c r="B2" s="3">
        <f ca="1">TODAY()+2</f>
        <v>36853</v>
      </c>
      <c r="H2" s="2" t="s">
        <v>12</v>
      </c>
      <c r="I2" s="3">
        <f ca="1">TODAY()+3</f>
        <v>36854</v>
      </c>
    </row>
    <row r="3" spans="1:20" ht="25.5" customHeight="1" thickBot="1" x14ac:dyDescent="0.3">
      <c r="B3" s="1" t="s">
        <v>13</v>
      </c>
      <c r="C3" s="1" t="s">
        <v>14</v>
      </c>
      <c r="D3" s="1" t="s">
        <v>15</v>
      </c>
      <c r="E3" s="1"/>
      <c r="I3" s="1" t="s">
        <v>13</v>
      </c>
      <c r="J3" s="1" t="s">
        <v>14</v>
      </c>
      <c r="K3" s="1" t="s">
        <v>15</v>
      </c>
      <c r="L3" s="1"/>
    </row>
    <row r="4" spans="1:20" ht="13.8" thickBot="1" x14ac:dyDescent="0.3">
      <c r="A4" s="2" t="s">
        <v>16</v>
      </c>
      <c r="B4" s="16">
        <v>27</v>
      </c>
      <c r="C4" s="17">
        <v>15</v>
      </c>
      <c r="D4" s="18">
        <f>AVERAGE(B4,C4)</f>
        <v>21</v>
      </c>
      <c r="E4" s="19"/>
      <c r="H4" s="2" t="s">
        <v>16</v>
      </c>
      <c r="I4" s="16">
        <v>32</v>
      </c>
      <c r="J4" s="17">
        <v>24</v>
      </c>
      <c r="K4" s="18">
        <f>AVERAGE(I4,J4)</f>
        <v>28</v>
      </c>
      <c r="L4" s="19"/>
    </row>
    <row r="5" spans="1:20" ht="13.8" thickBot="1" x14ac:dyDescent="0.3">
      <c r="A5" s="20"/>
      <c r="B5" s="21"/>
      <c r="C5" s="1" t="s">
        <v>18</v>
      </c>
      <c r="D5" s="20"/>
      <c r="E5" s="22"/>
      <c r="F5" s="21"/>
      <c r="G5" s="1" t="s">
        <v>18</v>
      </c>
      <c r="H5" s="20"/>
      <c r="I5" s="21"/>
      <c r="J5" s="1" t="s">
        <v>18</v>
      </c>
      <c r="K5" s="20"/>
      <c r="L5" s="22"/>
      <c r="M5" s="21"/>
      <c r="N5" s="1" t="s">
        <v>18</v>
      </c>
      <c r="P5" s="23" t="s">
        <v>19</v>
      </c>
      <c r="Q5" s="6"/>
      <c r="R5" s="24">
        <f ca="1">TODAY()-1</f>
        <v>36850</v>
      </c>
      <c r="S5" s="24">
        <f ca="1">TODAY()</f>
        <v>36851</v>
      </c>
      <c r="T5" s="24" t="s">
        <v>57</v>
      </c>
    </row>
    <row r="6" spans="1:20" x14ac:dyDescent="0.25">
      <c r="A6" s="27" t="s">
        <v>21</v>
      </c>
      <c r="B6" s="28">
        <v>-1300000</v>
      </c>
      <c r="C6" s="12">
        <v>-1270000</v>
      </c>
      <c r="D6" s="27" t="s">
        <v>22</v>
      </c>
      <c r="E6" s="29"/>
      <c r="F6" s="28">
        <v>-160000</v>
      </c>
      <c r="G6" s="12">
        <v>-176000</v>
      </c>
      <c r="H6" s="27" t="s">
        <v>21</v>
      </c>
      <c r="I6" s="28">
        <v>-1040000</v>
      </c>
      <c r="J6" s="12">
        <v>-1060000</v>
      </c>
      <c r="K6" s="27" t="s">
        <v>22</v>
      </c>
      <c r="L6" s="29"/>
      <c r="M6" s="28">
        <v>-175000</v>
      </c>
      <c r="N6" s="12">
        <v>-178000</v>
      </c>
      <c r="P6" s="27" t="s">
        <v>23</v>
      </c>
      <c r="Q6" s="29"/>
      <c r="R6" s="9">
        <f>DAILY!L6</f>
        <v>36600</v>
      </c>
      <c r="S6" s="49">
        <f>DAILY!M6</f>
        <v>33200</v>
      </c>
      <c r="T6" s="44">
        <f>+S6-R6</f>
        <v>-3400</v>
      </c>
    </row>
    <row r="7" spans="1:20" x14ac:dyDescent="0.25">
      <c r="A7" s="27" t="s">
        <v>25</v>
      </c>
      <c r="B7" s="28"/>
      <c r="D7" s="27" t="s">
        <v>25</v>
      </c>
      <c r="E7" s="29"/>
      <c r="F7" s="28">
        <v>0</v>
      </c>
      <c r="H7" s="27" t="s">
        <v>25</v>
      </c>
      <c r="I7" s="28"/>
      <c r="K7" s="27" t="s">
        <v>25</v>
      </c>
      <c r="L7" s="29"/>
      <c r="M7" s="28">
        <v>0</v>
      </c>
      <c r="P7" s="27" t="s">
        <v>26</v>
      </c>
      <c r="Q7" s="29"/>
      <c r="R7" s="32">
        <f>DAILY!L7</f>
        <v>0</v>
      </c>
      <c r="S7" s="32">
        <f>DAILY!M7</f>
        <v>0</v>
      </c>
      <c r="T7" s="45">
        <f>+S7-R7</f>
        <v>0</v>
      </c>
    </row>
    <row r="8" spans="1:20" ht="13.8" thickBot="1" x14ac:dyDescent="0.3">
      <c r="A8" s="52" t="s">
        <v>67</v>
      </c>
      <c r="B8" s="28">
        <v>-25000</v>
      </c>
      <c r="D8" s="27" t="s">
        <v>28</v>
      </c>
      <c r="E8" s="29"/>
      <c r="F8" s="28"/>
      <c r="H8" s="51" t="s">
        <v>67</v>
      </c>
      <c r="I8" s="28">
        <v>-25000</v>
      </c>
      <c r="K8" s="27" t="s">
        <v>28</v>
      </c>
      <c r="L8" s="29"/>
      <c r="M8" s="28"/>
      <c r="P8" s="34" t="s">
        <v>29</v>
      </c>
      <c r="Q8" s="35"/>
      <c r="R8" s="36">
        <f>+(R6-R7)/2</f>
        <v>18300</v>
      </c>
      <c r="S8" s="46">
        <f>+(S6-S7)/2</f>
        <v>16600</v>
      </c>
      <c r="T8" s="47">
        <f>+S8-R8</f>
        <v>-1700</v>
      </c>
    </row>
    <row r="9" spans="1:20" x14ac:dyDescent="0.25">
      <c r="A9" s="52" t="s">
        <v>68</v>
      </c>
      <c r="B9" s="28">
        <v>0</v>
      </c>
      <c r="D9" s="27" t="s">
        <v>30</v>
      </c>
      <c r="E9" s="29"/>
      <c r="F9" s="28">
        <v>-13000</v>
      </c>
      <c r="H9" s="51" t="s">
        <v>68</v>
      </c>
      <c r="I9" s="28">
        <v>0</v>
      </c>
      <c r="K9" s="27" t="s">
        <v>30</v>
      </c>
      <c r="L9" s="29"/>
      <c r="M9" s="28">
        <v>-13000</v>
      </c>
    </row>
    <row r="10" spans="1:20" x14ac:dyDescent="0.25">
      <c r="A10" s="52" t="s">
        <v>69</v>
      </c>
      <c r="B10" s="28">
        <v>-16667</v>
      </c>
      <c r="C10" s="14"/>
      <c r="D10" s="27" t="s">
        <v>60</v>
      </c>
      <c r="E10" s="29"/>
      <c r="F10" s="28">
        <v>0</v>
      </c>
      <c r="H10" s="51" t="s">
        <v>69</v>
      </c>
      <c r="I10" s="28">
        <v>-16667</v>
      </c>
      <c r="J10" s="14"/>
      <c r="K10" s="27" t="s">
        <v>60</v>
      </c>
      <c r="L10" s="29"/>
      <c r="M10" s="28">
        <v>0</v>
      </c>
    </row>
    <row r="11" spans="1:20" x14ac:dyDescent="0.25">
      <c r="A11" s="27" t="s">
        <v>24</v>
      </c>
      <c r="B11" s="28">
        <v>0</v>
      </c>
      <c r="C11" s="14"/>
      <c r="D11" s="27" t="s">
        <v>33</v>
      </c>
      <c r="E11" s="29"/>
      <c r="F11" s="28">
        <v>0</v>
      </c>
      <c r="H11" s="27" t="s">
        <v>24</v>
      </c>
      <c r="I11" s="28">
        <v>0</v>
      </c>
      <c r="J11" s="14"/>
      <c r="K11" s="27" t="s">
        <v>33</v>
      </c>
      <c r="L11" s="29"/>
      <c r="M11" s="28">
        <v>0</v>
      </c>
    </row>
    <row r="12" spans="1:20" x14ac:dyDescent="0.25">
      <c r="A12" s="27" t="s">
        <v>27</v>
      </c>
      <c r="B12" s="28">
        <v>-11757</v>
      </c>
      <c r="D12" s="51" t="s">
        <v>66</v>
      </c>
      <c r="F12" s="48">
        <v>0</v>
      </c>
      <c r="H12" s="27" t="s">
        <v>27</v>
      </c>
      <c r="I12" s="28">
        <v>-11757</v>
      </c>
      <c r="K12" s="51" t="s">
        <v>66</v>
      </c>
      <c r="M12" s="48">
        <v>0</v>
      </c>
    </row>
    <row r="13" spans="1:20" ht="13.8" thickBot="1" x14ac:dyDescent="0.3">
      <c r="A13" s="27" t="s">
        <v>31</v>
      </c>
      <c r="B13" s="28">
        <v>0</v>
      </c>
      <c r="D13" s="27" t="s">
        <v>34</v>
      </c>
      <c r="E13" s="29"/>
      <c r="F13" s="28">
        <v>0</v>
      </c>
      <c r="H13" s="27" t="s">
        <v>31</v>
      </c>
      <c r="I13" s="28">
        <v>0</v>
      </c>
      <c r="K13" s="27" t="s">
        <v>34</v>
      </c>
      <c r="L13" s="29"/>
      <c r="M13" s="28">
        <v>0</v>
      </c>
    </row>
    <row r="14" spans="1:20" ht="13.8" thickBot="1" x14ac:dyDescent="0.3">
      <c r="A14" s="27" t="s">
        <v>19</v>
      </c>
      <c r="B14" s="28">
        <v>0</v>
      </c>
      <c r="C14" s="2" t="s">
        <v>17</v>
      </c>
      <c r="D14" s="38" t="s">
        <v>35</v>
      </c>
      <c r="E14" s="39"/>
      <c r="F14" s="40">
        <f>SUM(F6:F13)</f>
        <v>-173000</v>
      </c>
      <c r="H14" s="27" t="s">
        <v>19</v>
      </c>
      <c r="I14" s="28">
        <v>0</v>
      </c>
      <c r="J14" s="2" t="s">
        <v>17</v>
      </c>
      <c r="K14" s="38" t="s">
        <v>35</v>
      </c>
      <c r="L14" s="39"/>
      <c r="M14" s="40">
        <f>SUM(M6:M13)</f>
        <v>-188000</v>
      </c>
    </row>
    <row r="15" spans="1:20" x14ac:dyDescent="0.25">
      <c r="A15" s="27" t="s">
        <v>28</v>
      </c>
      <c r="B15" s="28"/>
      <c r="C15" s="14"/>
      <c r="D15" s="27"/>
      <c r="E15" s="29"/>
      <c r="F15" s="28"/>
      <c r="H15" s="27" t="s">
        <v>28</v>
      </c>
      <c r="I15" s="28"/>
      <c r="J15" s="14"/>
      <c r="K15" s="27"/>
      <c r="L15" s="29"/>
      <c r="M15" s="28"/>
    </row>
    <row r="16" spans="1:20" x14ac:dyDescent="0.25">
      <c r="A16" s="27" t="s">
        <v>34</v>
      </c>
      <c r="B16" s="48">
        <v>0</v>
      </c>
      <c r="C16" s="14"/>
      <c r="D16" s="27"/>
      <c r="E16" s="29"/>
      <c r="F16" s="28"/>
      <c r="H16" s="27" t="s">
        <v>34</v>
      </c>
      <c r="I16" s="48">
        <v>0</v>
      </c>
      <c r="J16" s="14"/>
      <c r="K16" s="27"/>
      <c r="L16" s="29"/>
      <c r="M16" s="28"/>
    </row>
    <row r="17" spans="1:14" x14ac:dyDescent="0.25">
      <c r="A17" s="27" t="s">
        <v>36</v>
      </c>
      <c r="B17" s="28">
        <v>0</v>
      </c>
      <c r="C17" s="14"/>
      <c r="D17" s="27"/>
      <c r="E17" s="29"/>
      <c r="F17" s="28"/>
      <c r="H17" s="27" t="s">
        <v>36</v>
      </c>
      <c r="I17" s="28">
        <v>0</v>
      </c>
      <c r="J17" s="14"/>
      <c r="K17" s="27"/>
      <c r="L17" s="29"/>
      <c r="M17" s="28"/>
    </row>
    <row r="18" spans="1:14" x14ac:dyDescent="0.25">
      <c r="A18" s="27" t="s">
        <v>32</v>
      </c>
      <c r="B18" s="28">
        <v>0</v>
      </c>
      <c r="C18" s="2" t="s">
        <v>17</v>
      </c>
      <c r="D18" s="27"/>
      <c r="E18" s="29"/>
      <c r="F18" s="28"/>
      <c r="G18" s="14" t="s">
        <v>17</v>
      </c>
      <c r="H18" s="27" t="s">
        <v>32</v>
      </c>
      <c r="I18" s="28">
        <v>0</v>
      </c>
      <c r="J18" s="2" t="s">
        <v>17</v>
      </c>
      <c r="K18" s="27"/>
      <c r="L18" s="29"/>
      <c r="M18" s="28"/>
    </row>
    <row r="19" spans="1:14" x14ac:dyDescent="0.25">
      <c r="A19" s="27" t="s">
        <v>58</v>
      </c>
      <c r="B19" s="28">
        <v>-10000</v>
      </c>
      <c r="C19" s="50"/>
      <c r="D19" s="27"/>
      <c r="E19" s="29"/>
      <c r="F19" s="28"/>
      <c r="H19" s="27" t="s">
        <v>58</v>
      </c>
      <c r="I19" s="28">
        <v>-10000</v>
      </c>
      <c r="J19" s="50"/>
      <c r="K19" s="27"/>
      <c r="L19" s="29"/>
      <c r="M19" s="28"/>
    </row>
    <row r="20" spans="1:14" x14ac:dyDescent="0.25">
      <c r="A20" s="27" t="s">
        <v>59</v>
      </c>
      <c r="B20" s="28">
        <v>0</v>
      </c>
      <c r="C20" s="14"/>
      <c r="D20" s="27"/>
      <c r="E20" s="29"/>
      <c r="F20" s="28"/>
      <c r="H20" s="27" t="s">
        <v>59</v>
      </c>
      <c r="I20" s="28">
        <v>0</v>
      </c>
      <c r="J20" s="14"/>
      <c r="K20" s="27"/>
      <c r="L20" s="29"/>
      <c r="M20" s="28"/>
    </row>
    <row r="21" spans="1:14" x14ac:dyDescent="0.25">
      <c r="A21" s="27" t="s">
        <v>37</v>
      </c>
      <c r="B21" s="28">
        <v>0</v>
      </c>
      <c r="C21" s="14"/>
      <c r="D21" s="27"/>
      <c r="E21" s="29"/>
      <c r="F21" s="41"/>
      <c r="H21" s="27" t="s">
        <v>37</v>
      </c>
      <c r="I21" s="28">
        <v>0</v>
      </c>
      <c r="J21" s="14"/>
      <c r="K21" s="27"/>
      <c r="L21" s="29"/>
      <c r="M21" s="41"/>
    </row>
    <row r="22" spans="1:14" x14ac:dyDescent="0.25">
      <c r="A22" s="27" t="s">
        <v>30</v>
      </c>
      <c r="B22" s="48">
        <f>-119591-833+28424</f>
        <v>-92000</v>
      </c>
      <c r="C22" s="14"/>
      <c r="D22" s="27"/>
      <c r="E22" s="29"/>
      <c r="F22" s="41"/>
      <c r="H22" s="27" t="s">
        <v>30</v>
      </c>
      <c r="I22" s="48">
        <v>-833</v>
      </c>
      <c r="J22" s="14"/>
      <c r="K22" s="27"/>
      <c r="L22" s="29"/>
      <c r="M22" s="41"/>
    </row>
    <row r="23" spans="1:14" x14ac:dyDescent="0.25">
      <c r="A23" s="27" t="s">
        <v>38</v>
      </c>
      <c r="B23" s="28">
        <v>-1380</v>
      </c>
      <c r="C23" s="14" t="s">
        <v>17</v>
      </c>
      <c r="D23" s="27"/>
      <c r="E23" s="29"/>
      <c r="F23" s="41"/>
      <c r="H23" s="27" t="s">
        <v>38</v>
      </c>
      <c r="I23" s="28">
        <v>414</v>
      </c>
      <c r="J23" s="14" t="s">
        <v>17</v>
      </c>
      <c r="K23" s="27"/>
      <c r="L23" s="29"/>
      <c r="M23" s="41"/>
    </row>
    <row r="24" spans="1:14" x14ac:dyDescent="0.25">
      <c r="A24" s="27" t="s">
        <v>39</v>
      </c>
      <c r="B24" s="28">
        <v>0</v>
      </c>
      <c r="D24" s="27" t="s">
        <v>41</v>
      </c>
      <c r="E24" s="29"/>
      <c r="F24" s="28">
        <v>39111</v>
      </c>
      <c r="H24" s="27" t="s">
        <v>39</v>
      </c>
      <c r="I24" s="28">
        <v>0</v>
      </c>
      <c r="K24" s="27" t="s">
        <v>41</v>
      </c>
      <c r="L24" s="29"/>
      <c r="M24" s="28">
        <v>39111</v>
      </c>
    </row>
    <row r="25" spans="1:14" ht="13.8" thickBot="1" x14ac:dyDescent="0.3">
      <c r="A25" s="27" t="s">
        <v>40</v>
      </c>
      <c r="B25" s="28">
        <v>0</v>
      </c>
      <c r="D25" s="27" t="s">
        <v>42</v>
      </c>
      <c r="E25" s="29"/>
      <c r="F25" s="28">
        <v>5000</v>
      </c>
      <c r="H25" s="27" t="s">
        <v>40</v>
      </c>
      <c r="I25" s="28">
        <v>-51565</v>
      </c>
      <c r="K25" s="27" t="s">
        <v>42</v>
      </c>
      <c r="L25" s="29"/>
      <c r="M25" s="28">
        <v>5000</v>
      </c>
    </row>
    <row r="26" spans="1:14" ht="13.8" thickBot="1" x14ac:dyDescent="0.3">
      <c r="A26" s="38" t="s">
        <v>35</v>
      </c>
      <c r="B26" s="40">
        <f>SUM(B6:B25)</f>
        <v>-1456804</v>
      </c>
      <c r="C26" s="14">
        <f>SUM(B26,B54)</f>
        <v>-290000</v>
      </c>
      <c r="D26" s="27" t="s">
        <v>43</v>
      </c>
      <c r="E26" s="29"/>
      <c r="F26" s="28">
        <v>14135</v>
      </c>
      <c r="H26" s="38" t="s">
        <v>35</v>
      </c>
      <c r="I26" s="40">
        <f>SUM(I6:I25)</f>
        <v>-1155408</v>
      </c>
      <c r="J26" s="14">
        <f>SUM(I26,I53)</f>
        <v>0</v>
      </c>
      <c r="K26" s="27" t="s">
        <v>43</v>
      </c>
      <c r="L26" s="29"/>
      <c r="M26" s="28">
        <v>14135</v>
      </c>
    </row>
    <row r="27" spans="1:14" x14ac:dyDescent="0.25">
      <c r="A27" s="27"/>
      <c r="B27" s="28"/>
      <c r="D27" s="27" t="s">
        <v>44</v>
      </c>
      <c r="E27" s="29"/>
      <c r="F27" s="28">
        <v>33302</v>
      </c>
      <c r="H27" s="27"/>
      <c r="I27" s="28"/>
      <c r="K27" s="27" t="s">
        <v>44</v>
      </c>
      <c r="L27" s="29"/>
      <c r="M27" s="28">
        <v>33302</v>
      </c>
    </row>
    <row r="28" spans="1:14" x14ac:dyDescent="0.25">
      <c r="A28" s="27" t="s">
        <v>41</v>
      </c>
      <c r="B28" s="28">
        <v>234599</v>
      </c>
      <c r="D28" s="27" t="s">
        <v>70</v>
      </c>
      <c r="E28" s="29"/>
      <c r="F28" s="28">
        <v>6000</v>
      </c>
      <c r="H28" s="27" t="s">
        <v>41</v>
      </c>
      <c r="I28" s="28">
        <v>234599</v>
      </c>
      <c r="K28" s="27" t="s">
        <v>70</v>
      </c>
      <c r="L28" s="29"/>
      <c r="M28" s="28">
        <v>6000</v>
      </c>
    </row>
    <row r="29" spans="1:14" x14ac:dyDescent="0.25">
      <c r="A29" s="27" t="s">
        <v>42</v>
      </c>
      <c r="B29" s="28">
        <v>45000</v>
      </c>
      <c r="C29" s="14" t="s">
        <v>17</v>
      </c>
      <c r="D29" s="27" t="s">
        <v>45</v>
      </c>
      <c r="E29" s="29"/>
      <c r="F29" s="28">
        <v>7000</v>
      </c>
      <c r="H29" s="27" t="s">
        <v>42</v>
      </c>
      <c r="I29" s="28">
        <v>45000</v>
      </c>
      <c r="J29" s="14" t="s">
        <v>17</v>
      </c>
      <c r="K29" s="27" t="s">
        <v>45</v>
      </c>
      <c r="L29" s="29"/>
      <c r="M29" s="28">
        <v>7000</v>
      </c>
    </row>
    <row r="30" spans="1:14" x14ac:dyDescent="0.25">
      <c r="A30" s="27" t="s">
        <v>43</v>
      </c>
      <c r="B30" s="28">
        <v>88114</v>
      </c>
      <c r="D30" s="27" t="s">
        <v>61</v>
      </c>
      <c r="E30" s="29"/>
      <c r="F30" s="48">
        <v>13000</v>
      </c>
      <c r="G30" s="14"/>
      <c r="H30" s="27" t="s">
        <v>43</v>
      </c>
      <c r="I30" s="28">
        <v>88114</v>
      </c>
      <c r="K30" s="27" t="s">
        <v>61</v>
      </c>
      <c r="L30" s="29"/>
      <c r="M30" s="48">
        <v>13000</v>
      </c>
    </row>
    <row r="31" spans="1:14" x14ac:dyDescent="0.25">
      <c r="A31" s="27" t="s">
        <v>44</v>
      </c>
      <c r="B31" s="28">
        <v>277528</v>
      </c>
      <c r="C31" s="14" t="s">
        <v>17</v>
      </c>
      <c r="D31" s="27" t="s">
        <v>73</v>
      </c>
      <c r="E31" s="29"/>
      <c r="F31" s="48">
        <v>35000</v>
      </c>
      <c r="H31" s="27" t="s">
        <v>44</v>
      </c>
      <c r="I31" s="28">
        <v>277528</v>
      </c>
      <c r="J31" s="14" t="s">
        <v>17</v>
      </c>
      <c r="K31" s="27" t="s">
        <v>73</v>
      </c>
      <c r="L31" s="29"/>
      <c r="M31" s="48">
        <v>35000</v>
      </c>
      <c r="N31" s="14">
        <f>SUM(M35,M14)</f>
        <v>0</v>
      </c>
    </row>
    <row r="32" spans="1:14" x14ac:dyDescent="0.25">
      <c r="A32" s="27" t="s">
        <v>65</v>
      </c>
      <c r="B32" s="28">
        <v>25000</v>
      </c>
      <c r="D32" s="27" t="s">
        <v>34</v>
      </c>
      <c r="E32" s="29"/>
      <c r="F32" s="48">
        <v>0</v>
      </c>
      <c r="G32" s="14">
        <f>SUM(F35,F14)</f>
        <v>0</v>
      </c>
      <c r="H32" s="27" t="s">
        <v>65</v>
      </c>
      <c r="I32" s="28">
        <v>25000</v>
      </c>
      <c r="K32" s="27" t="s">
        <v>34</v>
      </c>
      <c r="L32" s="29"/>
      <c r="M32" s="48">
        <v>0</v>
      </c>
    </row>
    <row r="33" spans="1:13" x14ac:dyDescent="0.25">
      <c r="A33" s="27" t="s">
        <v>72</v>
      </c>
      <c r="B33" s="28">
        <v>57377</v>
      </c>
      <c r="D33" s="27" t="s">
        <v>66</v>
      </c>
      <c r="E33" s="29"/>
      <c r="F33" s="48">
        <v>20000</v>
      </c>
      <c r="H33" s="27" t="s">
        <v>72</v>
      </c>
      <c r="I33" s="28">
        <v>57377</v>
      </c>
      <c r="K33" s="27" t="s">
        <v>66</v>
      </c>
      <c r="L33" s="29"/>
      <c r="M33" s="48">
        <v>20000</v>
      </c>
    </row>
    <row r="34" spans="1:13" ht="13.8" thickBot="1" x14ac:dyDescent="0.3">
      <c r="A34" s="27" t="s">
        <v>61</v>
      </c>
      <c r="B34" s="48">
        <v>330000</v>
      </c>
      <c r="D34" s="27" t="s">
        <v>46</v>
      </c>
      <c r="E34" s="29"/>
      <c r="F34" s="28">
        <v>452</v>
      </c>
      <c r="H34" s="27" t="s">
        <v>61</v>
      </c>
      <c r="I34" s="48">
        <f>80000+250000</f>
        <v>330000</v>
      </c>
      <c r="K34" s="27" t="s">
        <v>46</v>
      </c>
      <c r="L34" s="29"/>
      <c r="M34" s="28">
        <v>15452</v>
      </c>
    </row>
    <row r="35" spans="1:13" ht="13.8" thickBot="1" x14ac:dyDescent="0.3">
      <c r="A35" s="27" t="s">
        <v>19</v>
      </c>
      <c r="B35" s="28">
        <v>0</v>
      </c>
      <c r="D35" s="38" t="s">
        <v>47</v>
      </c>
      <c r="E35" s="39"/>
      <c r="F35" s="40">
        <f>SUM(F24:F34)</f>
        <v>173000</v>
      </c>
      <c r="H35" s="27" t="s">
        <v>19</v>
      </c>
      <c r="I35" s="28">
        <v>0</v>
      </c>
      <c r="K35" s="38" t="s">
        <v>47</v>
      </c>
      <c r="L35" s="39"/>
      <c r="M35" s="40">
        <f>SUM(M24:M34)</f>
        <v>188000</v>
      </c>
    </row>
    <row r="36" spans="1:13" ht="13.8" thickBot="1" x14ac:dyDescent="0.3">
      <c r="A36" s="27" t="s">
        <v>48</v>
      </c>
      <c r="B36" s="28">
        <v>0</v>
      </c>
      <c r="D36" s="34"/>
      <c r="E36" s="35"/>
      <c r="F36" s="42"/>
      <c r="H36" s="27" t="s">
        <v>48</v>
      </c>
      <c r="I36" s="28">
        <v>0</v>
      </c>
      <c r="K36" s="34"/>
      <c r="L36" s="35"/>
      <c r="M36" s="42"/>
    </row>
    <row r="37" spans="1:13" x14ac:dyDescent="0.25">
      <c r="A37" s="27" t="s">
        <v>49</v>
      </c>
      <c r="B37" s="28">
        <v>0</v>
      </c>
      <c r="D37"/>
      <c r="E37"/>
      <c r="F37"/>
      <c r="H37" s="27" t="s">
        <v>49</v>
      </c>
      <c r="I37" s="28">
        <v>0</v>
      </c>
      <c r="K37"/>
      <c r="L37"/>
      <c r="M37"/>
    </row>
    <row r="38" spans="1:13" x14ac:dyDescent="0.25">
      <c r="A38" s="27" t="s">
        <v>62</v>
      </c>
      <c r="B38" s="28">
        <v>0</v>
      </c>
      <c r="F38" s="12"/>
      <c r="H38" s="27" t="s">
        <v>62</v>
      </c>
      <c r="I38" s="28">
        <v>0</v>
      </c>
      <c r="M38" s="12"/>
    </row>
    <row r="39" spans="1:13" x14ac:dyDescent="0.25">
      <c r="A39" s="27" t="s">
        <v>24</v>
      </c>
      <c r="B39" s="41"/>
      <c r="F39" s="12"/>
      <c r="H39" s="27" t="s">
        <v>24</v>
      </c>
      <c r="I39" s="41"/>
      <c r="M39" s="12"/>
    </row>
    <row r="40" spans="1:13" x14ac:dyDescent="0.25">
      <c r="A40" s="27" t="s">
        <v>50</v>
      </c>
      <c r="B40" s="28">
        <v>833</v>
      </c>
      <c r="H40" s="27" t="s">
        <v>50</v>
      </c>
      <c r="I40" s="28">
        <v>833</v>
      </c>
    </row>
    <row r="41" spans="1:13" x14ac:dyDescent="0.25">
      <c r="A41" s="27" t="s">
        <v>27</v>
      </c>
      <c r="B41" s="28">
        <v>0</v>
      </c>
      <c r="H41" s="27" t="s">
        <v>27</v>
      </c>
      <c r="I41" s="28">
        <v>28424</v>
      </c>
    </row>
    <row r="42" spans="1:13" x14ac:dyDescent="0.25">
      <c r="A42" s="27" t="s">
        <v>51</v>
      </c>
      <c r="B42" s="28">
        <f>1500+1033</f>
        <v>2533</v>
      </c>
      <c r="H42" s="27" t="s">
        <v>51</v>
      </c>
      <c r="I42" s="28">
        <f>1500+1033</f>
        <v>2533</v>
      </c>
    </row>
    <row r="43" spans="1:13" x14ac:dyDescent="0.25">
      <c r="A43" s="27" t="s">
        <v>52</v>
      </c>
      <c r="B43" s="28">
        <v>1000</v>
      </c>
      <c r="H43" s="27" t="s">
        <v>52</v>
      </c>
      <c r="I43" s="28">
        <v>1000</v>
      </c>
    </row>
    <row r="44" spans="1:13" x14ac:dyDescent="0.25">
      <c r="A44" s="27" t="s">
        <v>53</v>
      </c>
      <c r="B44" s="28"/>
      <c r="H44" s="27" t="s">
        <v>53</v>
      </c>
      <c r="I44" s="28"/>
    </row>
    <row r="45" spans="1:13" x14ac:dyDescent="0.25">
      <c r="A45" s="27" t="s">
        <v>74</v>
      </c>
      <c r="B45" s="28">
        <v>0</v>
      </c>
      <c r="H45" s="27" t="s">
        <v>74</v>
      </c>
      <c r="I45" s="28">
        <v>0</v>
      </c>
    </row>
    <row r="46" spans="1:13" x14ac:dyDescent="0.25">
      <c r="A46" s="27" t="s">
        <v>34</v>
      </c>
      <c r="B46" s="28">
        <v>0</v>
      </c>
      <c r="H46" s="27" t="s">
        <v>34</v>
      </c>
      <c r="I46" s="28">
        <v>0</v>
      </c>
    </row>
    <row r="47" spans="1:13" x14ac:dyDescent="0.25">
      <c r="A47" s="27" t="s">
        <v>36</v>
      </c>
      <c r="B47" s="28">
        <v>0</v>
      </c>
      <c r="H47" s="27" t="s">
        <v>36</v>
      </c>
      <c r="I47" s="28">
        <v>0</v>
      </c>
    </row>
    <row r="48" spans="1:13" x14ac:dyDescent="0.25">
      <c r="A48" s="27" t="s">
        <v>54</v>
      </c>
      <c r="B48" s="28">
        <v>0</v>
      </c>
      <c r="H48" s="27" t="s">
        <v>54</v>
      </c>
      <c r="I48" s="28">
        <v>0</v>
      </c>
    </row>
    <row r="49" spans="1:13" x14ac:dyDescent="0.25">
      <c r="A49" s="27" t="s">
        <v>55</v>
      </c>
      <c r="B49" s="28">
        <v>65000</v>
      </c>
      <c r="C49" s="14">
        <f>SUM(B54,B26)</f>
        <v>-290000</v>
      </c>
      <c r="H49" s="27" t="s">
        <v>55</v>
      </c>
      <c r="I49" s="28">
        <v>65000</v>
      </c>
      <c r="J49" s="14">
        <f>SUM(I53,I26)</f>
        <v>0</v>
      </c>
    </row>
    <row r="50" spans="1:13" x14ac:dyDescent="0.25">
      <c r="A50" s="27" t="s">
        <v>56</v>
      </c>
      <c r="B50" s="28">
        <v>0</v>
      </c>
      <c r="F50" s="12"/>
      <c r="H50" s="27" t="s">
        <v>56</v>
      </c>
      <c r="I50" s="28">
        <v>0</v>
      </c>
      <c r="M50" s="12"/>
    </row>
    <row r="51" spans="1:13" x14ac:dyDescent="0.25">
      <c r="A51" s="27" t="s">
        <v>37</v>
      </c>
      <c r="B51" s="28">
        <v>0</v>
      </c>
      <c r="F51" s="12"/>
      <c r="H51" s="27" t="s">
        <v>37</v>
      </c>
      <c r="I51" s="28">
        <v>0</v>
      </c>
      <c r="M51" s="12"/>
    </row>
    <row r="52" spans="1:13" ht="13.8" thickBot="1" x14ac:dyDescent="0.3">
      <c r="A52" s="27" t="s">
        <v>30</v>
      </c>
      <c r="B52" s="28">
        <v>0</v>
      </c>
      <c r="C52"/>
      <c r="F52" s="12"/>
      <c r="H52" s="27" t="s">
        <v>30</v>
      </c>
      <c r="I52" s="28">
        <v>0</v>
      </c>
      <c r="J52"/>
      <c r="M52" s="12"/>
    </row>
    <row r="53" spans="1:13" ht="13.8" thickBot="1" x14ac:dyDescent="0.3">
      <c r="A53" s="27" t="s">
        <v>46</v>
      </c>
      <c r="B53" s="28">
        <v>39820</v>
      </c>
      <c r="C53"/>
      <c r="F53" s="12"/>
      <c r="H53" s="38" t="s">
        <v>47</v>
      </c>
      <c r="I53" s="40">
        <f>SUM(I28:I52)</f>
        <v>1155408</v>
      </c>
      <c r="J53"/>
      <c r="M53" s="12"/>
    </row>
    <row r="54" spans="1:13" ht="13.8" thickBot="1" x14ac:dyDescent="0.3">
      <c r="A54" s="38" t="s">
        <v>47</v>
      </c>
      <c r="B54" s="40">
        <f>SUM(B28:B53)</f>
        <v>1166804</v>
      </c>
      <c r="F54" s="12"/>
      <c r="H54" s="34"/>
      <c r="I54" s="43"/>
      <c r="M54" s="12"/>
    </row>
    <row r="55" spans="1:13" ht="13.8" thickBot="1" x14ac:dyDescent="0.3">
      <c r="A55" s="34"/>
      <c r="B55" s="43"/>
    </row>
    <row r="56" spans="1:13" x14ac:dyDescent="0.25">
      <c r="F56" s="12"/>
      <c r="M56" s="12"/>
    </row>
    <row r="57" spans="1:13" x14ac:dyDescent="0.25">
      <c r="F57" s="12"/>
      <c r="M57" s="12"/>
    </row>
    <row r="58" spans="1:13" x14ac:dyDescent="0.25">
      <c r="F58" s="12"/>
      <c r="M58" s="12"/>
    </row>
    <row r="59" spans="1:13" x14ac:dyDescent="0.25">
      <c r="F59" s="12"/>
      <c r="M59" s="12"/>
    </row>
    <row r="60" spans="1:13" x14ac:dyDescent="0.25">
      <c r="F60" s="12"/>
      <c r="M60" s="12"/>
    </row>
    <row r="61" spans="1:13" x14ac:dyDescent="0.25">
      <c r="F61" s="12"/>
      <c r="M61" s="12"/>
    </row>
    <row r="62" spans="1:13" x14ac:dyDescent="0.25">
      <c r="F62" s="12"/>
      <c r="M62" s="12"/>
    </row>
    <row r="63" spans="1:13" x14ac:dyDescent="0.25">
      <c r="F63" s="12"/>
      <c r="M63" s="12"/>
    </row>
    <row r="64" spans="1:13" x14ac:dyDescent="0.25">
      <c r="F64" s="12"/>
      <c r="M64" s="12"/>
    </row>
    <row r="65" spans="6:13" x14ac:dyDescent="0.25">
      <c r="F65" s="12"/>
      <c r="M65" s="12"/>
    </row>
  </sheetData>
  <phoneticPr fontId="0" type="noConversion"/>
  <pageMargins left="0.75" right="0.75" top="1" bottom="1" header="0.5" footer="0.5"/>
  <pageSetup scale="49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61"/>
  <sheetViews>
    <sheetView tabSelected="1" zoomScale="75" workbookViewId="0">
      <selection activeCell="B1" sqref="B1"/>
    </sheetView>
  </sheetViews>
  <sheetFormatPr defaultColWidth="9.109375" defaultRowHeight="13.2" x14ac:dyDescent="0.25"/>
  <cols>
    <col min="1" max="1" width="33.44140625" style="2" customWidth="1"/>
    <col min="2" max="2" width="17" style="2" customWidth="1"/>
    <col min="3" max="3" width="14" style="2" customWidth="1"/>
    <col min="4" max="5" width="16.88671875" style="2" customWidth="1"/>
    <col min="6" max="6" width="13.109375" style="2" customWidth="1"/>
    <col min="7" max="7" width="12.109375" style="2" customWidth="1"/>
    <col min="8" max="8" width="13.6640625" style="2" customWidth="1"/>
    <col min="9" max="9" width="11.5546875" style="2" customWidth="1"/>
    <col min="10" max="10" width="13.6640625" style="2" customWidth="1"/>
    <col min="11" max="11" width="13.109375" style="2" customWidth="1"/>
    <col min="12" max="13" width="13.6640625" style="2" customWidth="1"/>
    <col min="14" max="14" width="12.44140625" style="2" customWidth="1"/>
    <col min="15" max="16" width="9.109375" style="2"/>
    <col min="17" max="17" width="11.33203125" style="2" customWidth="1"/>
    <col min="18" max="18" width="14.33203125" style="2" customWidth="1"/>
    <col min="19" max="20" width="13.109375" style="2" customWidth="1"/>
    <col min="21" max="21" width="9.109375" style="2"/>
    <col min="22" max="22" width="13" style="2" customWidth="1"/>
    <col min="23" max="23" width="10.33203125" style="2" bestFit="1" customWidth="1"/>
    <col min="24" max="27" width="9.109375" style="2"/>
    <col min="28" max="28" width="10.33203125" style="2" bestFit="1" customWidth="1"/>
    <col min="29" max="30" width="10.33203125" style="2" customWidth="1"/>
    <col min="31" max="31" width="9.109375" style="2"/>
    <col min="32" max="32" width="1.6640625" style="2" customWidth="1"/>
    <col min="33" max="36" width="9.109375" style="2"/>
    <col min="37" max="37" width="13.6640625" style="2" customWidth="1"/>
    <col min="38" max="38" width="17" style="2" customWidth="1"/>
    <col min="39" max="39" width="20.109375" style="2" customWidth="1"/>
    <col min="40" max="40" width="9.109375" style="2"/>
    <col min="41" max="41" width="15.44140625" style="2" customWidth="1"/>
    <col min="42" max="42" width="14.6640625" style="2" customWidth="1"/>
    <col min="43" max="43" width="16.5546875" style="2" customWidth="1"/>
    <col min="44" max="16384" width="9.109375" style="2"/>
  </cols>
  <sheetData>
    <row r="1" spans="1:44" ht="48.75" customHeight="1" thickBot="1" x14ac:dyDescent="0.3">
      <c r="A1" s="2" t="s">
        <v>0</v>
      </c>
      <c r="B1" s="3">
        <f ca="1">TODAY()</f>
        <v>36851</v>
      </c>
      <c r="E1" s="4" t="s">
        <v>1</v>
      </c>
      <c r="F1" s="5">
        <v>1300000</v>
      </c>
      <c r="G1" s="6"/>
      <c r="H1" s="7" t="s">
        <v>2</v>
      </c>
      <c r="I1" s="8">
        <v>213000</v>
      </c>
      <c r="K1" s="9"/>
      <c r="R1" s="10" t="s">
        <v>3</v>
      </c>
      <c r="S1" s="11">
        <f ca="1">TODAY()+2</f>
        <v>36853</v>
      </c>
      <c r="T1" s="12">
        <v>985000</v>
      </c>
      <c r="V1" s="10" t="s">
        <v>4</v>
      </c>
      <c r="W1" s="11">
        <f ca="1">TODAY()+2</f>
        <v>36853</v>
      </c>
      <c r="X1" s="12">
        <v>149000</v>
      </c>
      <c r="AC1" s="10" t="s">
        <v>5</v>
      </c>
      <c r="AD1" s="10" t="s">
        <v>63</v>
      </c>
      <c r="AE1" s="10" t="s">
        <v>6</v>
      </c>
      <c r="AF1" s="10"/>
      <c r="AG1" s="10" t="s">
        <v>7</v>
      </c>
      <c r="AH1" s="10" t="s">
        <v>64</v>
      </c>
      <c r="AI1" s="10" t="s">
        <v>8</v>
      </c>
      <c r="AL1" s="10" t="s">
        <v>9</v>
      </c>
      <c r="AM1" s="10" t="s">
        <v>10</v>
      </c>
      <c r="AP1" s="1" t="s">
        <v>11</v>
      </c>
    </row>
    <row r="2" spans="1:44" ht="13.8" thickBot="1" x14ac:dyDescent="0.3">
      <c r="A2" s="2" t="s">
        <v>12</v>
      </c>
      <c r="B2" s="3">
        <f ca="1">TODAY()+1</f>
        <v>36852</v>
      </c>
      <c r="D2" s="14"/>
      <c r="S2" s="11">
        <f ca="1">TODAY()+3</f>
        <v>36854</v>
      </c>
      <c r="T2" s="12">
        <v>910000</v>
      </c>
      <c r="W2" s="11">
        <f ca="1">TODAY()+3</f>
        <v>36854</v>
      </c>
      <c r="X2" s="12">
        <v>135000</v>
      </c>
      <c r="AB2" s="11">
        <v>36831</v>
      </c>
      <c r="AC2" s="14">
        <v>0</v>
      </c>
      <c r="AD2" s="14">
        <v>0</v>
      </c>
      <c r="AE2" s="13">
        <v>495450.4192</v>
      </c>
      <c r="AF2" s="13"/>
      <c r="AG2" s="14">
        <v>10</v>
      </c>
      <c r="AH2" s="14">
        <v>0</v>
      </c>
      <c r="AI2" s="14">
        <v>230</v>
      </c>
      <c r="AK2" s="11">
        <f>+AB2</f>
        <v>36831</v>
      </c>
      <c r="AL2" s="12">
        <f>290000+44000</f>
        <v>334000</v>
      </c>
      <c r="AM2" s="12">
        <f>286192+40846</f>
        <v>327038</v>
      </c>
      <c r="AO2" s="15">
        <f>+AK2</f>
        <v>36831</v>
      </c>
      <c r="AP2" s="12">
        <f>32467+246394</f>
        <v>278861</v>
      </c>
      <c r="AQ2" s="12"/>
      <c r="AR2" s="12"/>
    </row>
    <row r="3" spans="1:44" ht="25.5" customHeight="1" thickBot="1" x14ac:dyDescent="0.3">
      <c r="B3" s="1" t="s">
        <v>13</v>
      </c>
      <c r="C3" s="1" t="s">
        <v>14</v>
      </c>
      <c r="D3" s="1" t="s">
        <v>15</v>
      </c>
      <c r="E3" s="1"/>
      <c r="S3" s="11">
        <f ca="1">TODAY()+4</f>
        <v>36855</v>
      </c>
      <c r="T3" s="12">
        <v>880000</v>
      </c>
      <c r="W3" s="11">
        <f ca="1">TODAY()+4</f>
        <v>36855</v>
      </c>
      <c r="X3" s="12">
        <v>130000</v>
      </c>
      <c r="AB3" s="11">
        <v>36832</v>
      </c>
      <c r="AC3" s="14">
        <v>0</v>
      </c>
      <c r="AD3" s="14">
        <v>0</v>
      </c>
      <c r="AE3" s="13">
        <f>AE2-AC3+AD3</f>
        <v>495450.4192</v>
      </c>
      <c r="AF3" s="13"/>
      <c r="AG3" s="14">
        <v>10</v>
      </c>
      <c r="AH3" s="14">
        <v>0</v>
      </c>
      <c r="AI3" s="14">
        <f>AI2-AG3+AH3</f>
        <v>220</v>
      </c>
      <c r="AK3" s="11">
        <f t="shared" ref="AK3:AK31" si="0">+AB3</f>
        <v>36832</v>
      </c>
      <c r="AL3" s="12">
        <f>330000+53000</f>
        <v>383000</v>
      </c>
      <c r="AM3" s="12">
        <f>352480+59358</f>
        <v>411838</v>
      </c>
      <c r="AO3" s="15">
        <f t="shared" ref="AO3:AO15" si="1">+AK3</f>
        <v>36832</v>
      </c>
      <c r="AP3" s="12">
        <f>34446+237540</f>
        <v>271986</v>
      </c>
      <c r="AQ3" s="12"/>
      <c r="AR3" s="12"/>
    </row>
    <row r="4" spans="1:44" ht="13.8" thickBot="1" x14ac:dyDescent="0.3">
      <c r="A4" s="2" t="s">
        <v>16</v>
      </c>
      <c r="B4" s="16">
        <v>27</v>
      </c>
      <c r="C4" s="17">
        <v>15</v>
      </c>
      <c r="D4" s="18">
        <f>AVERAGE(B4,C4)</f>
        <v>21</v>
      </c>
      <c r="E4" s="19"/>
      <c r="S4" s="11" t="s">
        <v>17</v>
      </c>
      <c r="AB4" s="11">
        <v>36833</v>
      </c>
      <c r="AC4" s="14">
        <v>0</v>
      </c>
      <c r="AD4" s="14">
        <v>0</v>
      </c>
      <c r="AE4" s="13">
        <f>AE3-AC4+AD4</f>
        <v>495450.4192</v>
      </c>
      <c r="AF4" s="13"/>
      <c r="AG4" s="14">
        <v>10</v>
      </c>
      <c r="AH4" s="14">
        <v>0</v>
      </c>
      <c r="AI4" s="14">
        <f t="shared" ref="AI4:AI31" si="2">AI3-AG4+AH4</f>
        <v>210</v>
      </c>
      <c r="AK4" s="11">
        <f t="shared" si="0"/>
        <v>36833</v>
      </c>
      <c r="AL4" s="12">
        <f>480000+81000</f>
        <v>561000</v>
      </c>
      <c r="AM4" s="12">
        <f>454135+80335</f>
        <v>534470</v>
      </c>
      <c r="AO4" s="15">
        <f t="shared" si="1"/>
        <v>36833</v>
      </c>
      <c r="AP4" s="12">
        <f>235605+32871</f>
        <v>268476</v>
      </c>
      <c r="AQ4" s="12"/>
      <c r="AR4" s="12"/>
    </row>
    <row r="5" spans="1:44" ht="13.8" thickBot="1" x14ac:dyDescent="0.3">
      <c r="A5" s="20"/>
      <c r="B5" s="21"/>
      <c r="C5" s="1" t="s">
        <v>18</v>
      </c>
      <c r="D5" s="20"/>
      <c r="E5" s="22"/>
      <c r="F5" s="21"/>
      <c r="G5" s="1" t="s">
        <v>18</v>
      </c>
      <c r="I5" s="1"/>
      <c r="J5" s="23" t="s">
        <v>19</v>
      </c>
      <c r="K5" s="6"/>
      <c r="L5" s="24">
        <f ca="1">TODAY()-1</f>
        <v>36850</v>
      </c>
      <c r="M5" s="25">
        <f ca="1">TODAY()</f>
        <v>36851</v>
      </c>
      <c r="N5" s="26" t="s">
        <v>20</v>
      </c>
      <c r="AB5" s="11">
        <v>36834</v>
      </c>
      <c r="AC5" s="14">
        <v>0</v>
      </c>
      <c r="AD5" s="14">
        <v>0</v>
      </c>
      <c r="AE5" s="13">
        <f>AE4-AC5+AD5</f>
        <v>495450.4192</v>
      </c>
      <c r="AF5" s="13"/>
      <c r="AG5" s="14">
        <v>10</v>
      </c>
      <c r="AH5" s="14">
        <v>0</v>
      </c>
      <c r="AI5" s="14">
        <f t="shared" si="2"/>
        <v>200</v>
      </c>
      <c r="AK5" s="11">
        <f t="shared" si="0"/>
        <v>36834</v>
      </c>
      <c r="AL5" s="12">
        <f>480000+78000</f>
        <v>558000</v>
      </c>
      <c r="AM5" s="12">
        <f>488357+86492</f>
        <v>574849</v>
      </c>
      <c r="AO5" s="15">
        <f t="shared" si="1"/>
        <v>36834</v>
      </c>
      <c r="AP5" s="12">
        <f>232006+34239</f>
        <v>266245</v>
      </c>
      <c r="AQ5" s="12"/>
      <c r="AR5" s="12"/>
    </row>
    <row r="6" spans="1:44" x14ac:dyDescent="0.25">
      <c r="A6" s="27" t="s">
        <v>21</v>
      </c>
      <c r="B6" s="28">
        <v>-1240000</v>
      </c>
      <c r="C6" s="12">
        <v>-1240000</v>
      </c>
      <c r="D6" s="27" t="s">
        <v>22</v>
      </c>
      <c r="E6" s="29"/>
      <c r="F6" s="28">
        <v>-203000</v>
      </c>
      <c r="G6" s="12">
        <v>-203000</v>
      </c>
      <c r="I6" s="12"/>
      <c r="J6" s="27" t="s">
        <v>23</v>
      </c>
      <c r="K6" s="29"/>
      <c r="L6" s="30">
        <f>18300*2</f>
        <v>36600</v>
      </c>
      <c r="M6" s="9">
        <f>16600*2</f>
        <v>33200</v>
      </c>
      <c r="N6" s="31">
        <f>+M6-L6</f>
        <v>-3400</v>
      </c>
      <c r="AB6" s="11">
        <v>36835</v>
      </c>
      <c r="AC6" s="14">
        <v>0</v>
      </c>
      <c r="AD6" s="14">
        <v>0</v>
      </c>
      <c r="AE6" s="13">
        <f>AE5-AC6+AD6</f>
        <v>495450.4192</v>
      </c>
      <c r="AF6" s="13"/>
      <c r="AG6" s="14">
        <v>10</v>
      </c>
      <c r="AH6" s="14">
        <v>0</v>
      </c>
      <c r="AI6" s="14">
        <f t="shared" si="2"/>
        <v>190</v>
      </c>
      <c r="AK6" s="11">
        <f t="shared" si="0"/>
        <v>36835</v>
      </c>
      <c r="AL6" s="12">
        <f>480000+76000</f>
        <v>556000</v>
      </c>
      <c r="AM6" s="12">
        <f>462731+72910</f>
        <v>535641</v>
      </c>
      <c r="AO6" s="15">
        <f t="shared" si="1"/>
        <v>36835</v>
      </c>
      <c r="AP6" s="12">
        <f>34239+232006</f>
        <v>266245</v>
      </c>
      <c r="AQ6" s="12"/>
      <c r="AR6" s="12"/>
    </row>
    <row r="7" spans="1:44" x14ac:dyDescent="0.25">
      <c r="A7" s="27" t="s">
        <v>25</v>
      </c>
      <c r="B7" s="28"/>
      <c r="D7" s="27" t="s">
        <v>25</v>
      </c>
      <c r="E7" s="29"/>
      <c r="F7" s="28">
        <v>0</v>
      </c>
      <c r="H7" s="12"/>
      <c r="I7" s="12"/>
      <c r="J7" s="27" t="s">
        <v>26</v>
      </c>
      <c r="K7" s="29"/>
      <c r="L7" s="32">
        <v>0</v>
      </c>
      <c r="M7" s="9">
        <v>0</v>
      </c>
      <c r="N7" s="33">
        <f>+M7-L7</f>
        <v>0</v>
      </c>
      <c r="AB7" s="11">
        <v>36836</v>
      </c>
      <c r="AC7" s="14">
        <v>0</v>
      </c>
      <c r="AD7" s="14">
        <v>0</v>
      </c>
      <c r="AE7" s="13">
        <f>AE6-AC7+AD7</f>
        <v>495450.4192</v>
      </c>
      <c r="AF7" s="13"/>
      <c r="AG7" s="14">
        <v>200</v>
      </c>
      <c r="AH7" s="14">
        <v>10</v>
      </c>
      <c r="AI7" s="14">
        <f t="shared" si="2"/>
        <v>0</v>
      </c>
      <c r="AK7" s="11">
        <f t="shared" si="0"/>
        <v>36836</v>
      </c>
      <c r="AL7" s="12">
        <f>445000+69000</f>
        <v>514000</v>
      </c>
      <c r="AM7" s="12">
        <f>556513+87755</f>
        <v>644268</v>
      </c>
      <c r="AO7" s="15">
        <f t="shared" si="1"/>
        <v>36836</v>
      </c>
      <c r="AP7" s="12">
        <f>34239+232006</f>
        <v>266245</v>
      </c>
      <c r="AQ7" s="12"/>
      <c r="AR7" s="12"/>
    </row>
    <row r="8" spans="1:44" ht="13.8" thickBot="1" x14ac:dyDescent="0.3">
      <c r="A8" s="52" t="s">
        <v>67</v>
      </c>
      <c r="B8" s="28">
        <v>-25000</v>
      </c>
      <c r="D8" s="27" t="s">
        <v>28</v>
      </c>
      <c r="E8" s="29"/>
      <c r="F8" s="28"/>
      <c r="H8" s="12"/>
      <c r="I8" s="12"/>
      <c r="J8" s="34" t="s">
        <v>29</v>
      </c>
      <c r="K8" s="35"/>
      <c r="L8" s="36">
        <f>(+L6-L7)/2</f>
        <v>18300</v>
      </c>
      <c r="M8" s="36">
        <f>(+M6-M7)/2</f>
        <v>16600</v>
      </c>
      <c r="N8" s="37">
        <f>+M8-L8</f>
        <v>-1700</v>
      </c>
      <c r="AB8" s="11">
        <v>36837</v>
      </c>
      <c r="AC8" s="14">
        <v>0</v>
      </c>
      <c r="AD8" s="14">
        <v>0</v>
      </c>
      <c r="AE8" s="13">
        <f t="shared" ref="AE8:AE31" si="3">AE7-AC8+AD8</f>
        <v>495450.4192</v>
      </c>
      <c r="AF8" s="13"/>
      <c r="AG8" s="14">
        <v>10</v>
      </c>
      <c r="AH8" s="14">
        <v>10</v>
      </c>
      <c r="AI8" s="14">
        <f t="shared" si="2"/>
        <v>0</v>
      </c>
      <c r="AK8" s="11">
        <f t="shared" si="0"/>
        <v>36837</v>
      </c>
      <c r="AL8" s="12">
        <f>530000+87000</f>
        <v>617000</v>
      </c>
      <c r="AM8" s="12">
        <f>108959+600348</f>
        <v>709307</v>
      </c>
      <c r="AO8" s="15">
        <f t="shared" si="1"/>
        <v>36837</v>
      </c>
      <c r="AP8" s="12">
        <f>231393+32609</f>
        <v>264002</v>
      </c>
      <c r="AQ8" s="12"/>
      <c r="AR8" s="12"/>
    </row>
    <row r="9" spans="1:44" x14ac:dyDescent="0.25">
      <c r="A9" s="52" t="s">
        <v>68</v>
      </c>
      <c r="B9" s="28">
        <v>0</v>
      </c>
      <c r="D9" s="27" t="s">
        <v>30</v>
      </c>
      <c r="E9" s="29"/>
      <c r="F9" s="28">
        <v>-13000</v>
      </c>
      <c r="H9" s="12"/>
      <c r="I9" s="12"/>
      <c r="M9" s="12"/>
      <c r="AB9" s="11">
        <v>36838</v>
      </c>
      <c r="AC9" s="14">
        <v>0</v>
      </c>
      <c r="AD9" s="14">
        <v>0</v>
      </c>
      <c r="AE9" s="13">
        <f t="shared" si="3"/>
        <v>495450.4192</v>
      </c>
      <c r="AF9" s="13"/>
      <c r="AG9" s="14">
        <v>10</v>
      </c>
      <c r="AH9" s="14">
        <v>10</v>
      </c>
      <c r="AI9" s="14">
        <f t="shared" si="2"/>
        <v>0</v>
      </c>
      <c r="AK9" s="11">
        <f t="shared" si="0"/>
        <v>36838</v>
      </c>
      <c r="AL9" s="12">
        <f>660000+111000</f>
        <v>771000</v>
      </c>
      <c r="AM9" s="12">
        <f>106254+624431</f>
        <v>730685</v>
      </c>
      <c r="AO9" s="15">
        <f t="shared" si="1"/>
        <v>36838</v>
      </c>
      <c r="AP9" s="12">
        <f>223066+32561</f>
        <v>255627</v>
      </c>
      <c r="AQ9" s="12"/>
      <c r="AR9" s="12"/>
    </row>
    <row r="10" spans="1:44" x14ac:dyDescent="0.25">
      <c r="A10" s="52" t="s">
        <v>69</v>
      </c>
      <c r="B10" s="28">
        <f>-16667-110000</f>
        <v>-126667</v>
      </c>
      <c r="C10" s="14"/>
      <c r="D10" s="27" t="s">
        <v>60</v>
      </c>
      <c r="E10" s="29"/>
      <c r="F10" s="28">
        <v>0</v>
      </c>
      <c r="H10" s="12"/>
      <c r="I10" s="12"/>
      <c r="AB10" s="11">
        <v>36839</v>
      </c>
      <c r="AC10" s="14">
        <f>7640*2</f>
        <v>15280</v>
      </c>
      <c r="AD10" s="14">
        <v>0</v>
      </c>
      <c r="AE10" s="13">
        <f t="shared" si="3"/>
        <v>480170.4192</v>
      </c>
      <c r="AF10" s="13"/>
      <c r="AG10" s="14">
        <v>10</v>
      </c>
      <c r="AH10" s="14">
        <v>10</v>
      </c>
      <c r="AI10" s="14">
        <f t="shared" si="2"/>
        <v>0</v>
      </c>
      <c r="AK10" s="11">
        <f t="shared" si="0"/>
        <v>36839</v>
      </c>
      <c r="AL10" s="12">
        <f>720000+124000</f>
        <v>844000</v>
      </c>
      <c r="AM10" s="12">
        <f>141779+812358</f>
        <v>954137</v>
      </c>
      <c r="AO10" s="15">
        <f t="shared" si="1"/>
        <v>36839</v>
      </c>
      <c r="AP10" s="12">
        <f>232855+32711</f>
        <v>265566</v>
      </c>
      <c r="AQ10" s="12"/>
      <c r="AR10" s="12"/>
    </row>
    <row r="11" spans="1:44" x14ac:dyDescent="0.25">
      <c r="A11" s="27" t="s">
        <v>24</v>
      </c>
      <c r="B11" s="28">
        <v>0</v>
      </c>
      <c r="C11" s="14"/>
      <c r="D11" s="27" t="s">
        <v>33</v>
      </c>
      <c r="E11" s="29"/>
      <c r="F11" s="28">
        <v>0</v>
      </c>
      <c r="H11" s="12"/>
      <c r="I11" s="12"/>
      <c r="S11" s="13"/>
      <c r="AB11" s="11">
        <v>36840</v>
      </c>
      <c r="AC11" s="14">
        <v>0</v>
      </c>
      <c r="AD11" s="14">
        <v>0</v>
      </c>
      <c r="AE11" s="13">
        <f t="shared" si="3"/>
        <v>480170.4192</v>
      </c>
      <c r="AF11" s="13"/>
      <c r="AG11" s="14">
        <v>10</v>
      </c>
      <c r="AH11" s="14">
        <v>10</v>
      </c>
      <c r="AI11" s="14">
        <f t="shared" si="2"/>
        <v>0</v>
      </c>
      <c r="AK11" s="11">
        <f t="shared" si="0"/>
        <v>36840</v>
      </c>
      <c r="AL11" s="12">
        <f>800000+140000</f>
        <v>940000</v>
      </c>
      <c r="AM11" s="12">
        <f>138497+783803</f>
        <v>922300</v>
      </c>
      <c r="AO11" s="15">
        <f t="shared" si="1"/>
        <v>36840</v>
      </c>
      <c r="AP11" s="12">
        <f>214247+32711</f>
        <v>246958</v>
      </c>
      <c r="AQ11" s="12"/>
      <c r="AR11" s="12"/>
    </row>
    <row r="12" spans="1:44" x14ac:dyDescent="0.25">
      <c r="A12" s="27" t="s">
        <v>27</v>
      </c>
      <c r="B12" s="28">
        <f>-11757</f>
        <v>-11757</v>
      </c>
      <c r="D12" s="51" t="s">
        <v>76</v>
      </c>
      <c r="F12" s="48">
        <v>0</v>
      </c>
      <c r="H12" s="12" t="s">
        <v>17</v>
      </c>
      <c r="I12" s="12"/>
      <c r="S12" s="13"/>
      <c r="AB12" s="11">
        <v>36841</v>
      </c>
      <c r="AC12" s="14">
        <v>0</v>
      </c>
      <c r="AD12" s="14">
        <v>0</v>
      </c>
      <c r="AE12" s="13">
        <f t="shared" si="3"/>
        <v>480170.4192</v>
      </c>
      <c r="AF12" s="13"/>
      <c r="AG12" s="14">
        <v>10</v>
      </c>
      <c r="AH12" s="14">
        <v>10</v>
      </c>
      <c r="AI12" s="14">
        <f t="shared" si="2"/>
        <v>0</v>
      </c>
      <c r="AK12" s="11">
        <f t="shared" si="0"/>
        <v>36841</v>
      </c>
      <c r="AL12" s="12">
        <f>670000+125000</f>
        <v>795000</v>
      </c>
      <c r="AM12" s="12">
        <f>103844+661468</f>
        <v>765312</v>
      </c>
      <c r="AO12" s="15">
        <f t="shared" si="1"/>
        <v>36841</v>
      </c>
      <c r="AP12" s="12">
        <f>254628+32303</f>
        <v>286931</v>
      </c>
      <c r="AQ12" s="12"/>
      <c r="AR12" s="12"/>
    </row>
    <row r="13" spans="1:44" ht="13.8" thickBot="1" x14ac:dyDescent="0.3">
      <c r="A13" s="27" t="s">
        <v>31</v>
      </c>
      <c r="B13" s="28">
        <v>0</v>
      </c>
      <c r="D13" s="27" t="s">
        <v>34</v>
      </c>
      <c r="E13" s="29"/>
      <c r="F13" s="28">
        <v>0</v>
      </c>
      <c r="H13" s="12"/>
      <c r="I13" s="12"/>
      <c r="S13" s="13"/>
      <c r="AB13" s="11">
        <v>36842</v>
      </c>
      <c r="AC13" s="14">
        <v>0</v>
      </c>
      <c r="AD13" s="14">
        <v>0</v>
      </c>
      <c r="AE13" s="13">
        <f t="shared" si="3"/>
        <v>480170.4192</v>
      </c>
      <c r="AF13" s="13"/>
      <c r="AG13" s="14">
        <v>10</v>
      </c>
      <c r="AH13" s="14">
        <v>10</v>
      </c>
      <c r="AI13" s="14">
        <f t="shared" si="2"/>
        <v>0</v>
      </c>
      <c r="AK13" s="11">
        <f t="shared" si="0"/>
        <v>36842</v>
      </c>
      <c r="AL13" s="12">
        <f>770000+140000</f>
        <v>910000</v>
      </c>
      <c r="AM13" s="12">
        <f>646820+102834</f>
        <v>749654</v>
      </c>
      <c r="AO13" s="15">
        <f t="shared" si="1"/>
        <v>36842</v>
      </c>
      <c r="AP13" s="12">
        <f>254628+32303</f>
        <v>286931</v>
      </c>
      <c r="AQ13" s="12"/>
      <c r="AR13" s="12"/>
    </row>
    <row r="14" spans="1:44" ht="13.8" thickBot="1" x14ac:dyDescent="0.3">
      <c r="A14" s="27" t="s">
        <v>19</v>
      </c>
      <c r="B14" s="28">
        <v>0</v>
      </c>
      <c r="C14" s="2" t="s">
        <v>17</v>
      </c>
      <c r="D14" s="38" t="s">
        <v>35</v>
      </c>
      <c r="E14" s="39"/>
      <c r="F14" s="40">
        <f>SUM(F6:F13)</f>
        <v>-216000</v>
      </c>
      <c r="H14" s="12"/>
      <c r="I14" s="12"/>
      <c r="M14" s="12"/>
      <c r="S14" s="13"/>
      <c r="AB14" s="11">
        <v>36843</v>
      </c>
      <c r="AC14" s="14">
        <v>0</v>
      </c>
      <c r="AD14" s="14">
        <v>0</v>
      </c>
      <c r="AE14" s="13">
        <f t="shared" si="3"/>
        <v>480170.4192</v>
      </c>
      <c r="AF14" s="13"/>
      <c r="AG14" s="14">
        <v>10</v>
      </c>
      <c r="AH14" s="14">
        <v>10</v>
      </c>
      <c r="AI14" s="14">
        <f t="shared" si="2"/>
        <v>0</v>
      </c>
      <c r="AK14" s="11">
        <f t="shared" si="0"/>
        <v>36843</v>
      </c>
      <c r="AL14" s="12">
        <f>895000+160000</f>
        <v>1055000</v>
      </c>
      <c r="AM14" s="12">
        <f>946013+161155</f>
        <v>1107168</v>
      </c>
      <c r="AO14" s="15">
        <f t="shared" si="1"/>
        <v>36843</v>
      </c>
      <c r="AP14" s="12">
        <f>233733+32303</f>
        <v>266036</v>
      </c>
      <c r="AQ14" s="12"/>
      <c r="AR14" s="12"/>
    </row>
    <row r="15" spans="1:44" x14ac:dyDescent="0.25">
      <c r="A15" s="27" t="s">
        <v>28</v>
      </c>
      <c r="B15" s="28"/>
      <c r="C15" s="14"/>
      <c r="D15" s="27"/>
      <c r="E15" s="29"/>
      <c r="F15" s="28"/>
      <c r="H15" s="12"/>
      <c r="I15" s="12"/>
      <c r="M15" s="12"/>
      <c r="S15" s="13"/>
      <c r="AB15" s="11">
        <v>36844</v>
      </c>
      <c r="AC15" s="14">
        <v>0</v>
      </c>
      <c r="AD15" s="14">
        <v>0</v>
      </c>
      <c r="AE15" s="13">
        <f t="shared" si="3"/>
        <v>480170.4192</v>
      </c>
      <c r="AF15" s="13"/>
      <c r="AG15" s="14">
        <v>10</v>
      </c>
      <c r="AH15" s="14">
        <v>10</v>
      </c>
      <c r="AI15" s="14">
        <f t="shared" si="2"/>
        <v>0</v>
      </c>
      <c r="AK15" s="11">
        <f t="shared" si="0"/>
        <v>36844</v>
      </c>
      <c r="AL15" s="12">
        <f>855000+145000</f>
        <v>1000000</v>
      </c>
      <c r="AM15" s="12">
        <f>172328+1036569</f>
        <v>1208897</v>
      </c>
      <c r="AO15" s="15">
        <f t="shared" si="1"/>
        <v>36844</v>
      </c>
      <c r="AP15" s="12">
        <f>32811+222219</f>
        <v>255030</v>
      </c>
      <c r="AQ15" s="12"/>
      <c r="AR15" s="12"/>
    </row>
    <row r="16" spans="1:44" x14ac:dyDescent="0.25">
      <c r="A16" s="27" t="s">
        <v>34</v>
      </c>
      <c r="B16" s="48">
        <v>0</v>
      </c>
      <c r="C16" s="14"/>
      <c r="D16" s="27"/>
      <c r="E16" s="29"/>
      <c r="F16" s="28"/>
      <c r="H16" s="12"/>
      <c r="I16" s="12"/>
      <c r="M16" s="12"/>
      <c r="S16" s="13"/>
      <c r="AB16" s="11">
        <v>36845</v>
      </c>
      <c r="AC16" s="14">
        <v>0</v>
      </c>
      <c r="AD16" s="14">
        <v>0</v>
      </c>
      <c r="AE16" s="13">
        <f t="shared" si="3"/>
        <v>480170.4192</v>
      </c>
      <c r="AF16" s="13"/>
      <c r="AG16" s="14">
        <v>10</v>
      </c>
      <c r="AH16" s="14">
        <v>10</v>
      </c>
      <c r="AI16" s="14">
        <f t="shared" si="2"/>
        <v>0</v>
      </c>
      <c r="AK16" s="11">
        <f t="shared" si="0"/>
        <v>36845</v>
      </c>
      <c r="AL16" s="12">
        <f>820000+137000</f>
        <v>957000</v>
      </c>
      <c r="AM16" s="12">
        <f>145306+921361</f>
        <v>1066667</v>
      </c>
      <c r="AO16" s="15">
        <f t="shared" ref="AO16:AO31" si="4">+AK16</f>
        <v>36845</v>
      </c>
      <c r="AP16" s="12">
        <f>32862+271097</f>
        <v>303959</v>
      </c>
      <c r="AQ16" s="12"/>
      <c r="AR16" s="12"/>
    </row>
    <row r="17" spans="1:44" x14ac:dyDescent="0.25">
      <c r="A17" s="27" t="s">
        <v>36</v>
      </c>
      <c r="B17" s="28">
        <v>0</v>
      </c>
      <c r="C17" s="14"/>
      <c r="D17" s="27"/>
      <c r="E17" s="29"/>
      <c r="F17" s="28"/>
      <c r="H17" s="12"/>
      <c r="I17" s="12"/>
      <c r="M17" s="12"/>
      <c r="S17" s="13"/>
      <c r="AB17" s="11">
        <v>36846</v>
      </c>
      <c r="AC17" s="14">
        <v>0</v>
      </c>
      <c r="AD17" s="14">
        <v>0</v>
      </c>
      <c r="AE17" s="13">
        <f t="shared" si="3"/>
        <v>480170.4192</v>
      </c>
      <c r="AF17" s="13"/>
      <c r="AG17" s="14">
        <v>10</v>
      </c>
      <c r="AH17" s="14">
        <v>10</v>
      </c>
      <c r="AI17" s="14">
        <f t="shared" si="2"/>
        <v>0</v>
      </c>
      <c r="AK17" s="11">
        <f t="shared" si="0"/>
        <v>36846</v>
      </c>
      <c r="AL17" s="12">
        <f>1100000+175000</f>
        <v>1275000</v>
      </c>
      <c r="AM17" s="12">
        <f>158809+1015867</f>
        <v>1174676</v>
      </c>
      <c r="AO17" s="15">
        <f t="shared" si="4"/>
        <v>36846</v>
      </c>
      <c r="AP17" s="12">
        <f>242072+32862</f>
        <v>274934</v>
      </c>
      <c r="AQ17" s="12"/>
      <c r="AR17" s="12"/>
    </row>
    <row r="18" spans="1:44" x14ac:dyDescent="0.25">
      <c r="A18" s="27" t="s">
        <v>32</v>
      </c>
      <c r="B18" s="28">
        <v>0</v>
      </c>
      <c r="C18" s="2" t="s">
        <v>17</v>
      </c>
      <c r="D18" s="27"/>
      <c r="E18" s="29"/>
      <c r="F18" s="28"/>
      <c r="G18" s="14" t="s">
        <v>17</v>
      </c>
      <c r="H18" s="12"/>
      <c r="I18" s="12"/>
      <c r="M18" s="12"/>
      <c r="S18" s="13"/>
      <c r="AB18" s="11">
        <v>36847</v>
      </c>
      <c r="AC18" s="14">
        <v>0</v>
      </c>
      <c r="AD18" s="14">
        <v>0</v>
      </c>
      <c r="AE18" s="13">
        <f t="shared" si="3"/>
        <v>480170.4192</v>
      </c>
      <c r="AF18" s="13"/>
      <c r="AG18" s="14">
        <v>10</v>
      </c>
      <c r="AH18" s="14">
        <v>10</v>
      </c>
      <c r="AI18" s="14">
        <f t="shared" si="2"/>
        <v>0</v>
      </c>
      <c r="AK18" s="11">
        <f t="shared" si="0"/>
        <v>36847</v>
      </c>
      <c r="AL18" s="12">
        <f>1075000+175000</f>
        <v>1250000</v>
      </c>
      <c r="AM18" s="12">
        <f>1064797+174419</f>
        <v>1239216</v>
      </c>
      <c r="AO18" s="15">
        <f t="shared" si="4"/>
        <v>36847</v>
      </c>
      <c r="AP18" s="12">
        <f>277528+33302</f>
        <v>310830</v>
      </c>
      <c r="AQ18" s="12"/>
      <c r="AR18" s="12"/>
    </row>
    <row r="19" spans="1:44" x14ac:dyDescent="0.25">
      <c r="A19" s="27" t="s">
        <v>58</v>
      </c>
      <c r="B19" s="28">
        <v>-10000</v>
      </c>
      <c r="C19" s="50"/>
      <c r="D19" s="27"/>
      <c r="E19" s="29"/>
      <c r="F19" s="28"/>
      <c r="H19" s="12"/>
      <c r="I19" s="12"/>
      <c r="M19" s="12"/>
      <c r="S19" s="13"/>
      <c r="AB19" s="11">
        <v>36848</v>
      </c>
      <c r="AC19" s="14">
        <f>5025*2</f>
        <v>10050</v>
      </c>
      <c r="AD19" s="14">
        <v>0</v>
      </c>
      <c r="AE19" s="13">
        <f t="shared" si="3"/>
        <v>470120.4192</v>
      </c>
      <c r="AF19" s="13"/>
      <c r="AG19" s="14">
        <v>10</v>
      </c>
      <c r="AH19" s="14">
        <v>10</v>
      </c>
      <c r="AI19" s="14">
        <f t="shared" si="2"/>
        <v>0</v>
      </c>
      <c r="AK19" s="11">
        <f t="shared" si="0"/>
        <v>36848</v>
      </c>
      <c r="AL19" s="12">
        <f>990000+155000</f>
        <v>1145000</v>
      </c>
      <c r="AM19" s="12">
        <f>1084182+180268</f>
        <v>1264450</v>
      </c>
      <c r="AO19" s="15">
        <f t="shared" si="4"/>
        <v>36848</v>
      </c>
      <c r="AP19" s="12">
        <f>280122+33056</f>
        <v>313178</v>
      </c>
      <c r="AQ19" s="12"/>
      <c r="AR19" s="12"/>
    </row>
    <row r="20" spans="1:44" x14ac:dyDescent="0.25">
      <c r="A20" s="27" t="s">
        <v>59</v>
      </c>
      <c r="B20" s="28">
        <v>0</v>
      </c>
      <c r="C20" s="14"/>
      <c r="D20" s="27"/>
      <c r="E20" s="29"/>
      <c r="F20" s="28"/>
      <c r="H20" s="12"/>
      <c r="I20" s="12"/>
      <c r="S20" s="13"/>
      <c r="AB20" s="11">
        <v>36849</v>
      </c>
      <c r="AC20" s="14">
        <f>1375*2</f>
        <v>2750</v>
      </c>
      <c r="AD20" s="14">
        <v>0</v>
      </c>
      <c r="AE20" s="13">
        <f t="shared" si="3"/>
        <v>467370.4192</v>
      </c>
      <c r="AF20" s="13"/>
      <c r="AG20" s="14">
        <v>10</v>
      </c>
      <c r="AH20" s="14">
        <v>10</v>
      </c>
      <c r="AI20" s="14">
        <f t="shared" si="2"/>
        <v>0</v>
      </c>
      <c r="AK20" s="11">
        <f t="shared" si="0"/>
        <v>36849</v>
      </c>
      <c r="AL20" s="12">
        <f>1010000+160000</f>
        <v>1170000</v>
      </c>
      <c r="AM20" s="12">
        <f>1070824+170271</f>
        <v>1241095</v>
      </c>
      <c r="AO20" s="15">
        <f t="shared" si="4"/>
        <v>36849</v>
      </c>
      <c r="AP20" s="12">
        <f>280122+33056</f>
        <v>313178</v>
      </c>
      <c r="AQ20" s="12"/>
      <c r="AR20" s="12"/>
    </row>
    <row r="21" spans="1:44" x14ac:dyDescent="0.25">
      <c r="A21" s="27" t="s">
        <v>37</v>
      </c>
      <c r="B21" s="28">
        <v>0</v>
      </c>
      <c r="C21" s="14"/>
      <c r="D21" s="27"/>
      <c r="E21" s="29"/>
      <c r="F21" s="41"/>
      <c r="H21" s="12"/>
      <c r="I21" s="12"/>
      <c r="S21" s="13"/>
      <c r="AB21" s="11">
        <v>36850</v>
      </c>
      <c r="AC21" s="14">
        <f>18300*2</f>
        <v>36600</v>
      </c>
      <c r="AD21" s="14">
        <v>0</v>
      </c>
      <c r="AE21" s="13">
        <f t="shared" si="3"/>
        <v>430770.4192</v>
      </c>
      <c r="AF21" s="13"/>
      <c r="AG21" s="14">
        <v>10</v>
      </c>
      <c r="AH21" s="14">
        <v>10</v>
      </c>
      <c r="AI21" s="14">
        <f t="shared" si="2"/>
        <v>0</v>
      </c>
      <c r="AK21" s="11">
        <f t="shared" si="0"/>
        <v>36850</v>
      </c>
      <c r="AL21" s="12">
        <f>1300000+210000</f>
        <v>1510000</v>
      </c>
      <c r="AM21" s="12"/>
      <c r="AO21" s="15">
        <f t="shared" si="4"/>
        <v>36850</v>
      </c>
      <c r="AP21" s="12">
        <f>299777+33056</f>
        <v>332833</v>
      </c>
      <c r="AQ21" s="12"/>
      <c r="AR21" s="12"/>
    </row>
    <row r="22" spans="1:44" x14ac:dyDescent="0.25">
      <c r="A22" s="27" t="s">
        <v>30</v>
      </c>
      <c r="B22" s="48">
        <v>-833</v>
      </c>
      <c r="C22" s="14">
        <f>+B26+B54</f>
        <v>0</v>
      </c>
      <c r="D22" s="27"/>
      <c r="E22" s="29"/>
      <c r="F22" s="41"/>
      <c r="H22" s="12"/>
      <c r="I22" s="12"/>
      <c r="S22" s="13"/>
      <c r="AB22" s="11">
        <v>36851</v>
      </c>
      <c r="AC22" s="14">
        <f>16600*2</f>
        <v>33200</v>
      </c>
      <c r="AD22" s="14">
        <v>0</v>
      </c>
      <c r="AE22" s="13">
        <f t="shared" si="3"/>
        <v>397570.4192</v>
      </c>
      <c r="AF22" s="13"/>
      <c r="AG22" s="14">
        <v>10</v>
      </c>
      <c r="AH22" s="14">
        <v>10</v>
      </c>
      <c r="AI22" s="14">
        <f t="shared" si="2"/>
        <v>0</v>
      </c>
      <c r="AK22" s="11">
        <f t="shared" si="0"/>
        <v>36851</v>
      </c>
      <c r="AL22" s="12">
        <f>1300000+205000</f>
        <v>1505000</v>
      </c>
      <c r="AM22" s="12"/>
      <c r="AO22" s="15">
        <f t="shared" si="4"/>
        <v>36851</v>
      </c>
      <c r="AP22" s="12">
        <f>305514+33280</f>
        <v>338794</v>
      </c>
      <c r="AQ22" s="12"/>
      <c r="AR22" s="12"/>
    </row>
    <row r="23" spans="1:44" x14ac:dyDescent="0.25">
      <c r="A23" s="27" t="s">
        <v>38</v>
      </c>
      <c r="B23" s="28">
        <v>414</v>
      </c>
      <c r="C23" s="14" t="s">
        <v>17</v>
      </c>
      <c r="D23" s="27" t="s">
        <v>41</v>
      </c>
      <c r="E23" s="29"/>
      <c r="F23" s="28">
        <v>39111</v>
      </c>
      <c r="H23" s="12"/>
      <c r="I23" s="12"/>
      <c r="M23" s="2">
        <v>0.32</v>
      </c>
      <c r="S23" s="13"/>
      <c r="AB23" s="11">
        <v>36852</v>
      </c>
      <c r="AC23" s="14">
        <v>0</v>
      </c>
      <c r="AD23" s="14">
        <v>0</v>
      </c>
      <c r="AE23" s="13">
        <f t="shared" si="3"/>
        <v>397570.4192</v>
      </c>
      <c r="AF23" s="13"/>
      <c r="AG23" s="14">
        <v>10</v>
      </c>
      <c r="AH23" s="14">
        <v>10</v>
      </c>
      <c r="AI23" s="14">
        <f t="shared" si="2"/>
        <v>0</v>
      </c>
      <c r="AK23" s="11">
        <f t="shared" si="0"/>
        <v>36852</v>
      </c>
      <c r="AL23" s="12">
        <f>1240000+203000</f>
        <v>1443000</v>
      </c>
      <c r="AM23" s="12"/>
      <c r="AO23" s="15">
        <f t="shared" si="4"/>
        <v>36852</v>
      </c>
      <c r="AP23" s="12"/>
      <c r="AQ23" s="12"/>
      <c r="AR23" s="12"/>
    </row>
    <row r="24" spans="1:44" x14ac:dyDescent="0.25">
      <c r="A24" s="27" t="s">
        <v>39</v>
      </c>
      <c r="B24" s="28">
        <v>0</v>
      </c>
      <c r="D24" s="27" t="s">
        <v>42</v>
      </c>
      <c r="E24" s="29"/>
      <c r="F24" s="28">
        <v>5000</v>
      </c>
      <c r="H24" s="12"/>
      <c r="I24" s="12"/>
      <c r="S24" s="13"/>
      <c r="AB24" s="11">
        <v>36853</v>
      </c>
      <c r="AC24" s="14">
        <v>0</v>
      </c>
      <c r="AD24" s="14">
        <v>0</v>
      </c>
      <c r="AE24" s="13">
        <f t="shared" si="3"/>
        <v>397570.4192</v>
      </c>
      <c r="AF24" s="13"/>
      <c r="AG24" s="14">
        <v>0</v>
      </c>
      <c r="AH24" s="14">
        <v>0</v>
      </c>
      <c r="AI24" s="14">
        <f t="shared" si="2"/>
        <v>0</v>
      </c>
      <c r="AK24" s="11">
        <f t="shared" si="0"/>
        <v>36853</v>
      </c>
      <c r="AL24" s="12">
        <f>985000+149000</f>
        <v>1134000</v>
      </c>
      <c r="AM24" s="12"/>
      <c r="AO24" s="15">
        <f t="shared" si="4"/>
        <v>36853</v>
      </c>
      <c r="AP24" s="12"/>
      <c r="AQ24" s="12"/>
      <c r="AR24" s="12"/>
    </row>
    <row r="25" spans="1:44" ht="13.8" thickBot="1" x14ac:dyDescent="0.3">
      <c r="A25" s="27" t="s">
        <v>40</v>
      </c>
      <c r="B25" s="28">
        <v>0</v>
      </c>
      <c r="D25" s="27" t="s">
        <v>43</v>
      </c>
      <c r="E25" s="29"/>
      <c r="F25" s="28">
        <v>14135</v>
      </c>
      <c r="H25" s="12"/>
      <c r="I25" s="12"/>
      <c r="S25" s="13"/>
      <c r="AB25" s="11">
        <v>36854</v>
      </c>
      <c r="AC25" s="14">
        <v>0</v>
      </c>
      <c r="AD25" s="14">
        <v>0</v>
      </c>
      <c r="AE25" s="13">
        <f t="shared" si="3"/>
        <v>397570.4192</v>
      </c>
      <c r="AF25" s="13"/>
      <c r="AG25" s="14">
        <v>0</v>
      </c>
      <c r="AH25" s="14">
        <v>0</v>
      </c>
      <c r="AI25" s="14">
        <f t="shared" si="2"/>
        <v>0</v>
      </c>
      <c r="AK25" s="11">
        <f t="shared" si="0"/>
        <v>36854</v>
      </c>
      <c r="AL25" s="12">
        <f>910000+135000</f>
        <v>1045000</v>
      </c>
      <c r="AM25" s="12"/>
      <c r="AO25" s="15">
        <f t="shared" si="4"/>
        <v>36854</v>
      </c>
      <c r="AP25" s="12"/>
      <c r="AQ25" s="12"/>
      <c r="AR25" s="12"/>
    </row>
    <row r="26" spans="1:44" ht="13.8" thickBot="1" x14ac:dyDescent="0.3">
      <c r="A26" s="38" t="s">
        <v>35</v>
      </c>
      <c r="B26" s="40">
        <f>SUM(B6:B25)</f>
        <v>-1413843</v>
      </c>
      <c r="D26" s="27" t="s">
        <v>44</v>
      </c>
      <c r="E26" s="29"/>
      <c r="F26" s="28">
        <v>33280</v>
      </c>
      <c r="H26" s="12"/>
      <c r="I26" s="12"/>
      <c r="S26" s="13"/>
      <c r="AB26" s="11">
        <v>36855</v>
      </c>
      <c r="AC26" s="14">
        <v>0</v>
      </c>
      <c r="AD26" s="14">
        <v>0</v>
      </c>
      <c r="AE26" s="13">
        <f t="shared" si="3"/>
        <v>397570.4192</v>
      </c>
      <c r="AF26" s="13"/>
      <c r="AG26" s="14">
        <v>0</v>
      </c>
      <c r="AH26" s="14">
        <v>0</v>
      </c>
      <c r="AI26" s="14">
        <f t="shared" si="2"/>
        <v>0</v>
      </c>
      <c r="AK26" s="11">
        <f t="shared" si="0"/>
        <v>36855</v>
      </c>
      <c r="AL26" s="12">
        <f>880000+130000</f>
        <v>1010000</v>
      </c>
      <c r="AM26" s="12"/>
      <c r="AO26" s="15">
        <f t="shared" si="4"/>
        <v>36855</v>
      </c>
      <c r="AP26" s="12"/>
      <c r="AQ26" s="12"/>
      <c r="AR26" s="12"/>
    </row>
    <row r="27" spans="1:44" x14ac:dyDescent="0.25">
      <c r="A27" s="27"/>
      <c r="B27" s="28"/>
      <c r="D27" s="27" t="s">
        <v>70</v>
      </c>
      <c r="E27" s="29"/>
      <c r="F27" s="28">
        <v>6000</v>
      </c>
      <c r="H27" s="12"/>
      <c r="I27" s="12"/>
      <c r="S27" s="13"/>
      <c r="AB27" s="11">
        <v>36856</v>
      </c>
      <c r="AC27" s="14">
        <v>0</v>
      </c>
      <c r="AD27" s="14">
        <v>0</v>
      </c>
      <c r="AE27" s="13">
        <f t="shared" si="3"/>
        <v>397570.4192</v>
      </c>
      <c r="AF27" s="13"/>
      <c r="AG27" s="14">
        <v>0</v>
      </c>
      <c r="AH27" s="14">
        <v>0</v>
      </c>
      <c r="AI27" s="14">
        <f t="shared" si="2"/>
        <v>0</v>
      </c>
      <c r="AK27" s="11">
        <f t="shared" si="0"/>
        <v>36856</v>
      </c>
      <c r="AL27" s="12"/>
      <c r="AM27" s="12"/>
      <c r="AO27" s="15">
        <f t="shared" si="4"/>
        <v>36856</v>
      </c>
      <c r="AP27" s="12"/>
      <c r="AQ27" s="12"/>
      <c r="AR27" s="12"/>
    </row>
    <row r="28" spans="1:44" x14ac:dyDescent="0.25">
      <c r="A28" s="27" t="s">
        <v>41</v>
      </c>
      <c r="B28" s="28">
        <v>234599</v>
      </c>
      <c r="D28" s="27" t="s">
        <v>71</v>
      </c>
      <c r="E28" s="29"/>
      <c r="F28" s="28">
        <v>7000</v>
      </c>
      <c r="H28" s="12"/>
      <c r="I28" s="12"/>
      <c r="S28" s="13"/>
      <c r="AB28" s="11">
        <v>36857</v>
      </c>
      <c r="AC28" s="14">
        <v>0</v>
      </c>
      <c r="AD28" s="14">
        <v>0</v>
      </c>
      <c r="AE28" s="13">
        <f t="shared" si="3"/>
        <v>397570.4192</v>
      </c>
      <c r="AF28" s="13"/>
      <c r="AG28" s="14">
        <v>0</v>
      </c>
      <c r="AH28" s="14">
        <v>0</v>
      </c>
      <c r="AI28" s="14">
        <f t="shared" si="2"/>
        <v>0</v>
      </c>
      <c r="AK28" s="11">
        <f t="shared" si="0"/>
        <v>36857</v>
      </c>
      <c r="AL28" s="12"/>
      <c r="AM28" s="12"/>
      <c r="AO28" s="15">
        <f t="shared" si="4"/>
        <v>36857</v>
      </c>
      <c r="AP28" s="12"/>
      <c r="AQ28" s="12"/>
      <c r="AR28" s="12"/>
    </row>
    <row r="29" spans="1:44" x14ac:dyDescent="0.25">
      <c r="A29" s="27" t="s">
        <v>42</v>
      </c>
      <c r="B29" s="28">
        <v>45000</v>
      </c>
      <c r="C29" s="14" t="s">
        <v>17</v>
      </c>
      <c r="D29" s="27" t="s">
        <v>61</v>
      </c>
      <c r="E29" s="29"/>
      <c r="F29" s="48">
        <f>53000+13000</f>
        <v>66000</v>
      </c>
      <c r="H29" s="12"/>
      <c r="I29" s="12"/>
      <c r="S29" s="13"/>
      <c r="AB29" s="11">
        <v>36858</v>
      </c>
      <c r="AC29" s="14">
        <v>0</v>
      </c>
      <c r="AD29" s="14">
        <v>0</v>
      </c>
      <c r="AE29" s="13">
        <f t="shared" si="3"/>
        <v>397570.4192</v>
      </c>
      <c r="AF29" s="13"/>
      <c r="AG29" s="14">
        <v>0</v>
      </c>
      <c r="AH29" s="14">
        <v>0</v>
      </c>
      <c r="AI29" s="14">
        <f t="shared" si="2"/>
        <v>0</v>
      </c>
      <c r="AK29" s="11">
        <f t="shared" si="0"/>
        <v>36858</v>
      </c>
      <c r="AL29" s="12"/>
      <c r="AM29" s="12"/>
      <c r="AO29" s="15">
        <f t="shared" si="4"/>
        <v>36858</v>
      </c>
      <c r="AP29" s="12"/>
      <c r="AQ29" s="12"/>
      <c r="AR29" s="12"/>
    </row>
    <row r="30" spans="1:44" x14ac:dyDescent="0.25">
      <c r="A30" s="27" t="s">
        <v>43</v>
      </c>
      <c r="B30" s="28">
        <v>88114</v>
      </c>
      <c r="D30" s="27" t="s">
        <v>73</v>
      </c>
      <c r="E30" s="29"/>
      <c r="F30" s="48">
        <v>45000</v>
      </c>
      <c r="G30" s="14"/>
      <c r="H30" s="12"/>
      <c r="I30" s="12"/>
      <c r="AB30" s="11">
        <v>36859</v>
      </c>
      <c r="AC30" s="14">
        <v>0</v>
      </c>
      <c r="AD30" s="14">
        <v>0</v>
      </c>
      <c r="AE30" s="13">
        <f t="shared" si="3"/>
        <v>397570.4192</v>
      </c>
      <c r="AF30" s="13"/>
      <c r="AG30" s="14">
        <v>0</v>
      </c>
      <c r="AH30" s="14">
        <v>0</v>
      </c>
      <c r="AI30" s="14">
        <f t="shared" si="2"/>
        <v>0</v>
      </c>
      <c r="AK30" s="11">
        <f t="shared" si="0"/>
        <v>36859</v>
      </c>
      <c r="AL30" s="12"/>
      <c r="AM30" s="12"/>
      <c r="AO30" s="15">
        <f t="shared" si="4"/>
        <v>36859</v>
      </c>
      <c r="AP30" s="12"/>
      <c r="AQ30" s="12"/>
      <c r="AR30" s="12"/>
    </row>
    <row r="31" spans="1:44" x14ac:dyDescent="0.25">
      <c r="A31" s="27" t="s">
        <v>44</v>
      </c>
      <c r="B31" s="28">
        <v>305514</v>
      </c>
      <c r="C31" s="14" t="s">
        <v>17</v>
      </c>
      <c r="D31" s="27" t="s">
        <v>75</v>
      </c>
      <c r="E31" s="29"/>
      <c r="F31" s="48">
        <v>0</v>
      </c>
      <c r="H31" s="12"/>
      <c r="I31" s="12"/>
      <c r="AB31" s="11">
        <v>36860</v>
      </c>
      <c r="AC31" s="14">
        <v>0</v>
      </c>
      <c r="AD31" s="14">
        <v>0</v>
      </c>
      <c r="AE31" s="13">
        <f t="shared" si="3"/>
        <v>397570.4192</v>
      </c>
      <c r="AF31" s="13"/>
      <c r="AG31" s="14">
        <v>0</v>
      </c>
      <c r="AH31" s="14">
        <v>0</v>
      </c>
      <c r="AI31" s="14">
        <f t="shared" si="2"/>
        <v>0</v>
      </c>
      <c r="AK31" s="11">
        <f t="shared" si="0"/>
        <v>36860</v>
      </c>
      <c r="AL31" s="12"/>
      <c r="AM31" s="12"/>
      <c r="AO31" s="15">
        <f t="shared" si="4"/>
        <v>36860</v>
      </c>
      <c r="AP31" s="12"/>
      <c r="AQ31" s="12"/>
      <c r="AR31" s="12"/>
    </row>
    <row r="32" spans="1:44" ht="13.8" thickBot="1" x14ac:dyDescent="0.3">
      <c r="A32" s="27" t="s">
        <v>65</v>
      </c>
      <c r="B32" s="28">
        <v>25000</v>
      </c>
      <c r="D32" s="27" t="s">
        <v>46</v>
      </c>
      <c r="E32" s="29"/>
      <c r="F32" s="28">
        <v>474</v>
      </c>
      <c r="G32" s="14">
        <f>+F14+F33</f>
        <v>0</v>
      </c>
      <c r="H32" s="12"/>
      <c r="I32" s="12"/>
      <c r="AB32" s="11"/>
      <c r="AC32" s="14"/>
      <c r="AD32" s="14"/>
      <c r="AE32" s="13"/>
      <c r="AF32" s="13"/>
      <c r="AG32" s="14"/>
      <c r="AH32" s="14"/>
      <c r="AI32" s="14"/>
      <c r="AK32" s="11"/>
      <c r="AL32" s="12"/>
      <c r="AM32" s="12"/>
      <c r="AO32" s="15"/>
      <c r="AP32" s="12"/>
      <c r="AQ32" s="12"/>
      <c r="AR32" s="12"/>
    </row>
    <row r="33" spans="1:44" ht="13.8" thickBot="1" x14ac:dyDescent="0.3">
      <c r="A33" s="27" t="s">
        <v>72</v>
      </c>
      <c r="B33" s="28">
        <v>57377</v>
      </c>
      <c r="D33" s="38" t="s">
        <v>47</v>
      </c>
      <c r="E33" s="39"/>
      <c r="F33" s="40">
        <f>SUM(F23:F32)</f>
        <v>216000</v>
      </c>
      <c r="H33" s="12"/>
      <c r="I33" s="12"/>
      <c r="AK33" s="11"/>
      <c r="AL33" s="12"/>
      <c r="AO33" s="15"/>
      <c r="AP33" s="12"/>
      <c r="AQ33" s="12"/>
      <c r="AR33" s="12"/>
    </row>
    <row r="34" spans="1:44" ht="13.8" thickBot="1" x14ac:dyDescent="0.3">
      <c r="A34" s="27" t="s">
        <v>77</v>
      </c>
      <c r="B34" s="28">
        <v>5000</v>
      </c>
      <c r="C34" s="14"/>
      <c r="D34" s="34"/>
      <c r="E34" s="35"/>
      <c r="F34" s="42"/>
      <c r="H34" s="12"/>
      <c r="I34" s="12"/>
      <c r="AK34" s="11"/>
      <c r="AL34" s="12"/>
      <c r="AO34" s="15"/>
      <c r="AP34" s="12"/>
      <c r="AQ34" s="12"/>
      <c r="AR34" s="12"/>
    </row>
    <row r="35" spans="1:44" x14ac:dyDescent="0.25">
      <c r="A35" s="27" t="s">
        <v>61</v>
      </c>
      <c r="B35" s="48">
        <v>180000</v>
      </c>
      <c r="F35" s="12"/>
      <c r="H35" s="12"/>
      <c r="I35" s="12"/>
      <c r="AK35" s="11"/>
      <c r="AO35" s="15"/>
      <c r="AP35" s="12"/>
      <c r="AQ35" s="12"/>
      <c r="AR35" s="12"/>
    </row>
    <row r="36" spans="1:44" x14ac:dyDescent="0.25">
      <c r="A36" s="27" t="s">
        <v>19</v>
      </c>
      <c r="B36" s="28">
        <v>0</v>
      </c>
      <c r="F36" s="12"/>
      <c r="H36" s="12"/>
      <c r="I36" s="12"/>
      <c r="AK36" s="11"/>
      <c r="AO36" s="15"/>
      <c r="AP36" s="12"/>
      <c r="AQ36" s="12"/>
      <c r="AR36" s="12"/>
    </row>
    <row r="37" spans="1:44" x14ac:dyDescent="0.25">
      <c r="A37" s="27" t="s">
        <v>48</v>
      </c>
      <c r="B37" s="28">
        <v>0</v>
      </c>
      <c r="C37" s="2" t="s">
        <v>17</v>
      </c>
      <c r="H37" s="12"/>
      <c r="I37" s="12"/>
      <c r="AQ37" s="12"/>
      <c r="AR37" s="12"/>
    </row>
    <row r="38" spans="1:44" x14ac:dyDescent="0.25">
      <c r="A38" s="27" t="s">
        <v>49</v>
      </c>
      <c r="B38" s="28">
        <v>0</v>
      </c>
      <c r="H38" s="12"/>
      <c r="I38" s="12"/>
      <c r="AQ38" s="12"/>
      <c r="AR38" s="12"/>
    </row>
    <row r="39" spans="1:44" x14ac:dyDescent="0.25">
      <c r="A39" s="27" t="s">
        <v>62</v>
      </c>
      <c r="B39" s="28">
        <v>0</v>
      </c>
      <c r="H39" s="12"/>
      <c r="I39" s="12"/>
      <c r="AO39" s="12"/>
      <c r="AP39" s="12"/>
      <c r="AQ39" s="12"/>
      <c r="AR39" s="12"/>
    </row>
    <row r="40" spans="1:44" x14ac:dyDescent="0.25">
      <c r="A40" s="27" t="s">
        <v>24</v>
      </c>
      <c r="B40" s="41"/>
      <c r="H40" s="12"/>
      <c r="I40" s="12"/>
      <c r="AO40" s="12"/>
      <c r="AP40" s="12"/>
      <c r="AQ40" s="12"/>
      <c r="AR40" s="12"/>
    </row>
    <row r="41" spans="1:44" x14ac:dyDescent="0.25">
      <c r="A41" s="27" t="s">
        <v>50</v>
      </c>
      <c r="B41" s="28">
        <v>833</v>
      </c>
      <c r="H41" s="12"/>
      <c r="I41" s="12"/>
      <c r="AO41" s="12"/>
      <c r="AP41" s="12"/>
      <c r="AQ41" s="12"/>
      <c r="AR41" s="12"/>
    </row>
    <row r="42" spans="1:44" x14ac:dyDescent="0.25">
      <c r="A42" s="27" t="s">
        <v>27</v>
      </c>
      <c r="B42" s="28">
        <v>0</v>
      </c>
      <c r="AO42" s="12"/>
      <c r="AP42" s="12"/>
      <c r="AQ42" s="12"/>
      <c r="AR42" s="12"/>
    </row>
    <row r="43" spans="1:44" x14ac:dyDescent="0.25">
      <c r="A43" s="27" t="s">
        <v>51</v>
      </c>
      <c r="B43" s="28">
        <f>1500</f>
        <v>1500</v>
      </c>
      <c r="AO43" s="12"/>
      <c r="AP43" s="12"/>
      <c r="AQ43" s="12"/>
      <c r="AR43" s="12"/>
    </row>
    <row r="44" spans="1:44" x14ac:dyDescent="0.25">
      <c r="A44" s="27" t="s">
        <v>52</v>
      </c>
      <c r="B44" s="28">
        <v>1000</v>
      </c>
      <c r="C44" s="14">
        <f>+B54+B26</f>
        <v>0</v>
      </c>
    </row>
    <row r="45" spans="1:44" x14ac:dyDescent="0.25">
      <c r="A45" s="27" t="s">
        <v>53</v>
      </c>
      <c r="B45" s="28"/>
    </row>
    <row r="46" spans="1:44" x14ac:dyDescent="0.25">
      <c r="A46" s="27" t="s">
        <v>34</v>
      </c>
      <c r="B46" s="28">
        <v>0</v>
      </c>
    </row>
    <row r="47" spans="1:44" x14ac:dyDescent="0.25">
      <c r="A47" s="27" t="s">
        <v>36</v>
      </c>
      <c r="B47" s="28">
        <v>0</v>
      </c>
      <c r="F47" s="12"/>
    </row>
    <row r="48" spans="1:44" x14ac:dyDescent="0.25">
      <c r="A48" s="27" t="s">
        <v>54</v>
      </c>
      <c r="B48" s="28">
        <v>0</v>
      </c>
      <c r="C48" s="2" t="s">
        <v>17</v>
      </c>
      <c r="F48" s="12"/>
    </row>
    <row r="49" spans="1:6" x14ac:dyDescent="0.25">
      <c r="A49" s="27" t="s">
        <v>55</v>
      </c>
      <c r="B49" s="28">
        <v>0</v>
      </c>
      <c r="C49" s="14" t="s">
        <v>17</v>
      </c>
      <c r="F49" s="12"/>
    </row>
    <row r="50" spans="1:6" x14ac:dyDescent="0.25">
      <c r="A50" s="27" t="s">
        <v>56</v>
      </c>
      <c r="B50" s="28">
        <v>0</v>
      </c>
      <c r="F50" s="12"/>
    </row>
    <row r="51" spans="1:6" x14ac:dyDescent="0.25">
      <c r="A51" s="27" t="s">
        <v>37</v>
      </c>
      <c r="B51" s="28">
        <v>0</v>
      </c>
    </row>
    <row r="52" spans="1:6" x14ac:dyDescent="0.25">
      <c r="A52" s="27" t="s">
        <v>30</v>
      </c>
      <c r="B52" s="28">
        <f>285409+28424+155957</f>
        <v>469790</v>
      </c>
      <c r="F52" s="12"/>
    </row>
    <row r="53" spans="1:6" ht="13.8" thickBot="1" x14ac:dyDescent="0.3">
      <c r="A53" s="27" t="s">
        <v>46</v>
      </c>
      <c r="B53" s="28">
        <v>116</v>
      </c>
      <c r="F53" s="12"/>
    </row>
    <row r="54" spans="1:6" ht="13.8" thickBot="1" x14ac:dyDescent="0.3">
      <c r="A54" s="38" t="s">
        <v>47</v>
      </c>
      <c r="B54" s="40">
        <f>SUM(B28:B53)</f>
        <v>1413843</v>
      </c>
      <c r="F54" s="12"/>
    </row>
    <row r="55" spans="1:6" ht="13.8" thickBot="1" x14ac:dyDescent="0.3">
      <c r="A55" s="34"/>
      <c r="B55" s="43"/>
      <c r="F55" s="12"/>
    </row>
    <row r="56" spans="1:6" x14ac:dyDescent="0.25">
      <c r="A56" s="29"/>
      <c r="B56" s="29"/>
      <c r="F56" s="12"/>
    </row>
    <row r="57" spans="1:6" x14ac:dyDescent="0.25">
      <c r="F57" s="12"/>
    </row>
    <row r="58" spans="1:6" x14ac:dyDescent="0.25">
      <c r="F58" s="12"/>
    </row>
    <row r="59" spans="1:6" x14ac:dyDescent="0.25">
      <c r="F59" s="12"/>
    </row>
    <row r="60" spans="1:6" x14ac:dyDescent="0.25">
      <c r="F60" s="12"/>
    </row>
    <row r="61" spans="1:6" x14ac:dyDescent="0.25">
      <c r="F61" s="12"/>
    </row>
  </sheetData>
  <phoneticPr fontId="0" type="noConversion"/>
  <pageMargins left="0.75" right="0.75" top="1" bottom="1" header="0.5" footer="0.5"/>
  <pageSetup scale="3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WEEKEND</vt:lpstr>
      <vt:lpstr>DAILY</vt:lpstr>
      <vt:lpstr>DAILY!Print_Area</vt:lpstr>
      <vt:lpstr>WEEKEND!Print_Area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Havlíček Jan</cp:lastModifiedBy>
  <cp:lastPrinted>2000-10-31T15:05:26Z</cp:lastPrinted>
  <dcterms:created xsi:type="dcterms:W3CDTF">2000-09-26T13:26:15Z</dcterms:created>
  <dcterms:modified xsi:type="dcterms:W3CDTF">2023-09-10T15:23:09Z</dcterms:modified>
</cp:coreProperties>
</file>