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G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<sst xmlns="http://schemas.openxmlformats.org/spreadsheetml/2006/main" count="425" uniqueCount="130">
  <si>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</si>
  <si>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</si>
  <si>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</si>
  <si>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</si>
  <si>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</si>
  <si>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</si>
  <si>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</si>
  <si>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</si>
  <si>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</si>
  <si>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</si>
  <si>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</si>
  <si>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</si>
  <si>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</si>
  <si>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</si>
  <si>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</si>
  <si>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</si>
  <si>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</si>
  <si>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</si>
  <si>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</si>
  <si>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</si>
  <si>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</si>
  <si>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</si>
  <si>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</si>
  <si>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</si>
  <si>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</si>
  <si>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</si>
  <si>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</si>
  <si>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</si>
  <si>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</si>
  <si>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</si>
  <si>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</si>
  <si>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</si>
  <si>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</si>
  <si>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</si>
  <si>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</si>
  <si>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</si>
  <si>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</si>
  <si>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</si>
  <si>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</si>
  <si>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</si>
  <si>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</si>
  <si>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</si>
  <si>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</si>
  <si>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</si>
  <si>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</si>
  <si>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</si>
  <si>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</si>
  <si>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</si>
  <si>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</si>
  <si>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</si>
  <si>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</si>
  <si>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</si>
  <si>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</si>
  <si>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</si>
  <si>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</si>
  <si>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</si>
  <si>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</si>
  <si>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</si>
  <si>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</si>
  <si>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</si>
  <si>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</si>
  <si>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</si>
  <si>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</si>
  <si>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</si>
  <si>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</si>
  <si>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</si>
  <si>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</si>
  <si>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</si>
  <si>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</si>
  <si>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</si>
  <si>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</si>
  <si>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</si>
  <si>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</si>
  <si>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</si>
  <si>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</si>
  <si>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</si>
  <si>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</si>
  <si>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</si>
  <si>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</si>
  <si>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</si>
  <si>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</si>
  <si>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</si>
  <si>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</si>
  <si>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</si>
  <si>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</si>
  <si>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</si>
  <si>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</si>
  <si>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</si>
  <si>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</si>
  <si>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</si>
  <si>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</si>
  <si>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</si>
  <si>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</si>
  <si>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</si>
  <si>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</si>
  <si>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</si>
  <si>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</si>
  <si>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</si>
  <si>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</si>
  <si>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</si>
  <si>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</si>
  <si>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</si>
  <si>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</si>
  <si>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</si>
  <si>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</si>
  <si>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</si>
  <si>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</si>
  <si>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</si>
  <si>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</si>
  <si>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</si>
  <si>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</si>
  <si>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</si>
  <si>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</si>
  <si>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</si>
  <si>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</si>
  <si>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</si>
  <si>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</si>
  <si>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</si>
  <si>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</si>
  <si>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</si>
  <si>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</si>
  <si>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</si>
  <si>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</si>
  <si>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</si>
  <si>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</si>
  <si>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</si>
  <si>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</si>
  <si>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</si>
  <si>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</si>
  <si>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Results based on activity through January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</si>
</sst>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-7115</v>
          </cell>
          <cell r="G8">
            <v>17128.77</v>
          </cell>
        </row>
        <row r="9">
          <cell r="C9">
            <v>4977.7972399999999</v>
          </cell>
          <cell r="G9">
            <v>7821.5169999999998</v>
          </cell>
        </row>
        <row r="10">
          <cell r="C10">
            <v>-2191</v>
          </cell>
          <cell r="G10">
            <v>2056.681</v>
          </cell>
        </row>
        <row r="11">
          <cell r="C11">
            <v>628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1751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-859</v>
          </cell>
          <cell r="G17">
            <v>1177.3579999999999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27654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-7115</v>
          </cell>
          <cell r="H9">
            <v>0</v>
          </cell>
          <cell r="I9">
            <v>0</v>
          </cell>
          <cell r="J9">
            <v>-7115</v>
          </cell>
          <cell r="L9">
            <v>0</v>
          </cell>
          <cell r="M9">
            <v>6767.77</v>
          </cell>
          <cell r="N9">
            <v>10361</v>
          </cell>
          <cell r="O9">
            <v>-24243.77</v>
          </cell>
          <cell r="Q9">
            <v>-47115</v>
          </cell>
          <cell r="S9">
            <v>0</v>
          </cell>
          <cell r="T9">
            <v>0</v>
          </cell>
          <cell r="U9">
            <v>0</v>
          </cell>
          <cell r="V9">
            <v>-47115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4977.7972399999999</v>
          </cell>
          <cell r="H10">
            <v>0</v>
          </cell>
          <cell r="I10">
            <v>0</v>
          </cell>
          <cell r="J10">
            <v>4977.7972399999999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-2843.71976</v>
          </cell>
          <cell r="Q10">
            <v>-8772.2027600000001</v>
          </cell>
          <cell r="S10">
            <v>0</v>
          </cell>
          <cell r="T10">
            <v>0</v>
          </cell>
          <cell r="U10">
            <v>0</v>
          </cell>
          <cell r="V10">
            <v>-8772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-2191</v>
          </cell>
          <cell r="H11">
            <v>0</v>
          </cell>
          <cell r="I11">
            <v>0</v>
          </cell>
          <cell r="J11">
            <v>-2191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-4247.6810000000005</v>
          </cell>
          <cell r="Q11">
            <v>-7191</v>
          </cell>
          <cell r="S11">
            <v>0</v>
          </cell>
          <cell r="T11">
            <v>0</v>
          </cell>
          <cell r="U11">
            <v>0</v>
          </cell>
          <cell r="V11">
            <v>-7191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628</v>
          </cell>
          <cell r="H12">
            <v>0</v>
          </cell>
          <cell r="I12">
            <v>0</v>
          </cell>
          <cell r="J12">
            <v>628</v>
          </cell>
          <cell r="L12">
            <v>0</v>
          </cell>
          <cell r="M12">
            <v>1808.5229999999999</v>
          </cell>
          <cell r="N12">
            <v>1923</v>
          </cell>
          <cell r="O12">
            <v>-3103.5230000000001</v>
          </cell>
          <cell r="Q12">
            <v>-7881.2510000000002</v>
          </cell>
          <cell r="S12">
            <v>0</v>
          </cell>
          <cell r="T12">
            <v>0</v>
          </cell>
          <cell r="U12">
            <v>0</v>
          </cell>
          <cell r="V12">
            <v>-7881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1751</v>
          </cell>
          <cell r="H14">
            <v>0</v>
          </cell>
          <cell r="I14">
            <v>0</v>
          </cell>
          <cell r="J14">
            <v>1751</v>
          </cell>
          <cell r="L14">
            <v>0</v>
          </cell>
          <cell r="M14">
            <v>3467.386</v>
          </cell>
          <cell r="N14">
            <v>2315</v>
          </cell>
          <cell r="O14">
            <v>-4031.386</v>
          </cell>
          <cell r="Q14">
            <v>-18249</v>
          </cell>
          <cell r="S14">
            <v>0</v>
          </cell>
          <cell r="T14">
            <v>0</v>
          </cell>
          <cell r="U14">
            <v>0</v>
          </cell>
          <cell r="V14">
            <v>-18249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1177.3579999999999</v>
          </cell>
          <cell r="E18">
            <v>-2035.8590000000002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25.358000000000004</v>
          </cell>
          <cell r="N18">
            <v>561</v>
          </cell>
          <cell r="O18">
            <v>-2036.3579999999999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46776.732000000004</v>
          </cell>
          <cell r="E22">
            <v>49412.018000000004</v>
          </cell>
          <cell r="G22">
            <v>-2842.2027600000001</v>
          </cell>
          <cell r="H22">
            <v>0</v>
          </cell>
          <cell r="I22">
            <v>0</v>
          </cell>
          <cell r="J22">
            <v>-2842.2027600000001</v>
          </cell>
          <cell r="K22">
            <v>0</v>
          </cell>
          <cell r="L22">
            <v>1383.4870000000001</v>
          </cell>
          <cell r="M22">
            <v>23295.391999999996</v>
          </cell>
          <cell r="N22">
            <v>22347.853000000003</v>
          </cell>
          <cell r="O22">
            <v>-49868.934760000004</v>
          </cell>
          <cell r="Q22">
            <v>-99030.95276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-99280</v>
          </cell>
        </row>
        <row r="24">
          <cell r="A24" t="str">
            <v>Group Support Cost</v>
          </cell>
          <cell r="C24">
            <v>0</v>
          </cell>
          <cell r="D24">
            <v>27654</v>
          </cell>
          <cell r="E24">
            <v>-27654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27654</v>
          </cell>
          <cell r="N24">
            <v>0</v>
          </cell>
          <cell r="O24">
            <v>-27654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-3342.2027600000001</v>
          </cell>
          <cell r="H29">
            <v>0</v>
          </cell>
          <cell r="I29">
            <v>0</v>
          </cell>
          <cell r="J29">
            <v>-3342.2027600000001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-54291.59476</v>
          </cell>
          <cell r="Q29">
            <v>-99030.95276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-99280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-3342.2027600000001</v>
          </cell>
          <cell r="H33">
            <v>0</v>
          </cell>
          <cell r="I33">
            <v>0</v>
          </cell>
          <cell r="J33">
            <v>-3342.2027600000001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-54599.594759999993</v>
          </cell>
          <cell r="Q33">
            <v>-99030.95276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-99280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-7115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4953</v>
          </cell>
          <cell r="E11">
            <v>24.797240000000002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-2191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-858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1206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1402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25.358000000000004</v>
          </cell>
          <cell r="E18">
            <v>25.358000000000004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27654</v>
          </cell>
          <cell r="E24">
            <v>27654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122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4.4">
      <c r="A3" s="308" t="s">
        <v>123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-11805</v>
      </c>
      <c r="H9" s="36">
        <f>GrossMargin!J10</f>
        <v>0</v>
      </c>
      <c r="I9" s="36">
        <f>+'Mgmt Summary'!I9</f>
        <v>0</v>
      </c>
      <c r="J9" s="136">
        <f>SUM(G9:I9)</f>
        <v>-11805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-28933.77</v>
      </c>
      <c r="P9" s="37"/>
      <c r="Q9" s="133">
        <f>+'Mgmt Summary'!Q9</f>
        <v>-51805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6876.4954699999998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6876.4954699999998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-945.02152999999998</v>
      </c>
      <c r="P10" s="37"/>
      <c r="Q10" s="133">
        <f>+'Mgmt Summary'!Q10</f>
        <v>-6873.5045300000002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-6874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-2813</v>
      </c>
      <c r="H11" s="36">
        <f>GrossMargin!J12</f>
        <v>0</v>
      </c>
      <c r="I11" s="36">
        <f>+'Mgmt Summary'!I11</f>
        <v>0</v>
      </c>
      <c r="J11" s="136">
        <f t="shared" si="1"/>
        <v>-2813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-4869.6810000000005</v>
      </c>
      <c r="P11" s="37"/>
      <c r="Q11" s="133">
        <f>+'Mgmt Summary'!Q11</f>
        <v>-7813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-7813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1615</v>
      </c>
      <c r="H12" s="36">
        <f>GrossMargin!J13</f>
        <v>0</v>
      </c>
      <c r="I12" s="36">
        <f>+'Mgmt Summary'!I12</f>
        <v>0</v>
      </c>
      <c r="J12" s="136">
        <f t="shared" si="1"/>
        <v>1615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-2116.5230000000001</v>
      </c>
      <c r="P12" s="37"/>
      <c r="Q12" s="133">
        <f>+'Mgmt Summary'!Q12</f>
        <v>-6894.2510000000002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-6894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3048</v>
      </c>
      <c r="H14" s="36">
        <f>GrossMargin!J15</f>
        <v>0</v>
      </c>
      <c r="I14" s="36">
        <f>+'Mgmt Summary'!I14</f>
        <v>0</v>
      </c>
      <c r="J14" s="136">
        <f t="shared" si="1"/>
        <v>3048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-2734.386</v>
      </c>
      <c r="P14" s="37"/>
      <c r="Q14" s="133">
        <f>+'Mgmt Summary'!Q14</f>
        <v>-16952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274</v>
      </c>
      <c r="H21" s="36">
        <f>GrossMargin!J22</f>
        <v>0</v>
      </c>
      <c r="I21" s="36">
        <f>+'Mgmt Summary'!I16</f>
        <v>0</v>
      </c>
      <c r="J21" s="136">
        <f>SUM(G21:I21)</f>
        <v>274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-2301.25</v>
      </c>
      <c r="P21" s="37"/>
      <c r="Q21" s="133">
        <f>+'Mgmt Summary'!Q16</f>
        <v>-2726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-2726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1177.3579999999999</v>
      </c>
      <c r="E23" s="135">
        <f>C23-D23</f>
        <v>-2035.8590000000002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25.358000000000004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5341.1080000000002</v>
      </c>
      <c r="E25" s="45">
        <f>SUM(E21:E24)</f>
        <v>-1786.6090000000002</v>
      </c>
      <c r="F25" s="36">
        <f>SUM(F19:F23)</f>
        <v>0</v>
      </c>
      <c r="G25" s="43">
        <f t="shared" ref="G25:O25" si="6">SUM(G21:G24)</f>
        <v>-585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2265.1080000000002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-4139.4989999999998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-4139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J5" sqref="J5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25,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116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-11805</v>
      </c>
      <c r="D8" s="226">
        <f>+'Mgmt Summary'!C9</f>
        <v>40000</v>
      </c>
      <c r="E8" s="227">
        <f t="shared" ref="E8:E13" si="0">-D8+C8</f>
        <v>-51805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-28933.77</v>
      </c>
      <c r="L8" s="226">
        <f t="shared" ref="K8:L13" si="2">D8-H8</f>
        <v>22871.23</v>
      </c>
      <c r="M8" s="227">
        <f t="shared" ref="M8:M13" si="3">K8-L8</f>
        <v>-51805</v>
      </c>
      <c r="N8" s="290"/>
      <c r="O8" s="225">
        <f>+C8-'[1]QTD Mgmt Summary'!C8</f>
        <v>-4690</v>
      </c>
      <c r="P8" s="226">
        <f>-G8+'[1]QTD Mgmt Summary'!G8</f>
        <v>0</v>
      </c>
      <c r="Q8" s="227">
        <f>+O8+P8</f>
        <v>-4690</v>
      </c>
    </row>
    <row r="9" spans="1:22" s="32" customFormat="1" ht="13.5" customHeight="1">
      <c r="A9" s="223" t="s">
        <v>1</v>
      </c>
      <c r="B9" s="224"/>
      <c r="C9" s="225">
        <f>+'Mgmt Summary'!J10</f>
        <v>6876.4954699999998</v>
      </c>
      <c r="D9" s="226">
        <f>+'Mgmt Summary'!C10</f>
        <v>13750</v>
      </c>
      <c r="E9" s="227">
        <f t="shared" si="0"/>
        <v>-6873.5045300000002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-945.02152999999998</v>
      </c>
      <c r="L9" s="226">
        <f t="shared" si="2"/>
        <v>5928.4830000000002</v>
      </c>
      <c r="M9" s="227">
        <f t="shared" si="3"/>
        <v>-6873.5045300000002</v>
      </c>
      <c r="N9" s="290"/>
      <c r="O9" s="225">
        <f>+C9-'[1]QTD Mgmt Summary'!C9</f>
        <v>1898.69823</v>
      </c>
      <c r="P9" s="226">
        <f>-G9+'[1]QTD Mgmt Summary'!G9</f>
        <v>0</v>
      </c>
      <c r="Q9" s="227">
        <f t="shared" ref="Q9:Q16" si="4">+O9+P9</f>
        <v>1898.69823</v>
      </c>
    </row>
    <row r="10" spans="1:22" s="32" customFormat="1" ht="13.5" customHeight="1">
      <c r="A10" s="223" t="s">
        <v>44</v>
      </c>
      <c r="B10" s="224"/>
      <c r="C10" s="225">
        <f>+'Mgmt Summary'!J11</f>
        <v>-2813</v>
      </c>
      <c r="D10" s="226">
        <f>+'Mgmt Summary'!C11</f>
        <v>5000</v>
      </c>
      <c r="E10" s="227">
        <f t="shared" si="0"/>
        <v>-7813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-4869.6810000000005</v>
      </c>
      <c r="L10" s="226">
        <f t="shared" si="2"/>
        <v>2943.319</v>
      </c>
      <c r="M10" s="227">
        <f t="shared" si="3"/>
        <v>-7813</v>
      </c>
      <c r="N10" s="290"/>
      <c r="O10" s="225">
        <f>+C10-'[1]QTD Mgmt Summary'!C10</f>
        <v>-622</v>
      </c>
      <c r="P10" s="226">
        <f>-G10+'[1]QTD Mgmt Summary'!G10</f>
        <v>0</v>
      </c>
      <c r="Q10" s="227">
        <f t="shared" si="4"/>
        <v>-622</v>
      </c>
    </row>
    <row r="11" spans="1:22" s="32" customFormat="1" ht="13.5" customHeight="1">
      <c r="A11" s="223" t="s">
        <v>64</v>
      </c>
      <c r="B11" s="224"/>
      <c r="C11" s="225">
        <f>+'Mgmt Summary'!J12</f>
        <v>1615</v>
      </c>
      <c r="D11" s="226">
        <f>+'Mgmt Summary'!C12</f>
        <v>8509.2510000000002</v>
      </c>
      <c r="E11" s="227">
        <f t="shared" si="0"/>
        <v>-6894.2510000000002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-2116.5230000000001</v>
      </c>
      <c r="L11" s="226">
        <f t="shared" si="2"/>
        <v>4777.7280000000001</v>
      </c>
      <c r="M11" s="227">
        <f t="shared" si="3"/>
        <v>-6894.2510000000002</v>
      </c>
      <c r="N11" s="290"/>
      <c r="O11" s="225">
        <f>+C11-'[1]QTD Mgmt Summary'!C11</f>
        <v>987</v>
      </c>
      <c r="P11" s="226">
        <f>-G11+'[1]QTD Mgmt Summary'!G11</f>
        <v>0</v>
      </c>
      <c r="Q11" s="227">
        <f t="shared" si="4"/>
        <v>987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3048</v>
      </c>
      <c r="D13" s="226">
        <f>+'Mgmt Summary'!C14</f>
        <v>20000</v>
      </c>
      <c r="E13" s="227">
        <f t="shared" si="0"/>
        <v>-16952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-2734.3860000000004</v>
      </c>
      <c r="L13" s="226">
        <f t="shared" si="2"/>
        <v>14217.614</v>
      </c>
      <c r="M13" s="227">
        <f t="shared" si="3"/>
        <v>-16952</v>
      </c>
      <c r="N13" s="290"/>
      <c r="O13" s="225">
        <f>+C13-'[1]QTD Mgmt Summary'!C13</f>
        <v>1297</v>
      </c>
      <c r="P13" s="294">
        <f>(-G13+'[1]QTD Mgmt Summary'!G13)*0</f>
        <v>0</v>
      </c>
      <c r="Q13" s="227">
        <f t="shared" si="4"/>
        <v>1297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274</v>
      </c>
      <c r="D15" s="226">
        <f>+'Mgmt Summary'!C16</f>
        <v>3000</v>
      </c>
      <c r="E15" s="227">
        <f t="shared" si="5"/>
        <v>-2726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-2301.25</v>
      </c>
      <c r="L15" s="226">
        <f t="shared" si="7"/>
        <v>424.75</v>
      </c>
      <c r="M15" s="227">
        <f t="shared" si="6"/>
        <v>-2726</v>
      </c>
      <c r="N15" s="290"/>
      <c r="O15" s="225">
        <f>+C15-'[1]QTD Mgmt Summary'!C15</f>
        <v>308</v>
      </c>
      <c r="P15" s="226">
        <f>-G15+'[1]QTD Mgmt Summary'!G15</f>
        <v>0</v>
      </c>
      <c r="Q15" s="227">
        <f t="shared" si="4"/>
        <v>308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1177.3579999999999</v>
      </c>
      <c r="H17" s="259">
        <f>+Expenses!E18+'CapChrg-AllocExp'!L19+'CapChrg-AllocExp'!E19</f>
        <v>1177.3579999999999</v>
      </c>
      <c r="I17" s="260">
        <f>+H17-G17</f>
        <v>0</v>
      </c>
      <c r="J17" s="228"/>
      <c r="K17" s="258">
        <f t="shared" si="7"/>
        <v>-2036.3579999999999</v>
      </c>
      <c r="L17" s="259">
        <f t="shared" si="7"/>
        <v>-2035.8590000000002</v>
      </c>
      <c r="M17" s="260">
        <f t="shared" si="6"/>
        <v>-0.49899999999979627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-3663.5045300000002</v>
      </c>
      <c r="D21" s="235">
        <f>SUM(D8:D20)</f>
        <v>96188.75</v>
      </c>
      <c r="E21" s="236">
        <f>SUM(E8:E20)</f>
        <v>-99852.254530000006</v>
      </c>
      <c r="F21" s="237"/>
      <c r="G21" s="234">
        <f>SUM(G8:G20)</f>
        <v>47026.732000000004</v>
      </c>
      <c r="H21" s="235">
        <f>SUM(H8:H20)</f>
        <v>46776.732000000004</v>
      </c>
      <c r="I21" s="236">
        <f>SUM(I8:I20)</f>
        <v>-250</v>
      </c>
      <c r="J21" s="237"/>
      <c r="K21" s="234">
        <f>SUM(K8:K20)</f>
        <v>-50690.236530000002</v>
      </c>
      <c r="L21" s="235">
        <f>SUM(L8:L20)</f>
        <v>49412.018000000004</v>
      </c>
      <c r="M21" s="236">
        <f>SUM(M8:M20)</f>
        <v>-100102.25453000001</v>
      </c>
      <c r="N21" s="291"/>
      <c r="O21" s="234">
        <f>SUM(O8:O20)</f>
        <v>-821.30177000000003</v>
      </c>
      <c r="P21" s="235">
        <f>SUM(P8:P20)</f>
        <v>0</v>
      </c>
      <c r="Q21" s="236">
        <f>SUM(Q8:Q20)</f>
        <v>-821.30177000000003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-4163.5045300000002</v>
      </c>
      <c r="D28" s="235">
        <f>SUM(D21:D26)</f>
        <v>95688.75</v>
      </c>
      <c r="E28" s="236">
        <f>SUM(E21:E26)</f>
        <v>-99852.254530000006</v>
      </c>
      <c r="F28" s="237"/>
      <c r="G28" s="234">
        <f>SUM(G21:G26)</f>
        <v>50949.392</v>
      </c>
      <c r="H28" s="235">
        <f>SUM(H21:H26)</f>
        <v>50699.392</v>
      </c>
      <c r="I28" s="236">
        <f>SUM(I21:I26)</f>
        <v>-250</v>
      </c>
      <c r="J28" s="237"/>
      <c r="K28" s="234">
        <f>SUM(K21:K26)</f>
        <v>-55112.896529999991</v>
      </c>
      <c r="L28" s="235">
        <f>SUM(L21:L26)</f>
        <v>44989.358000000007</v>
      </c>
      <c r="M28" s="236">
        <f>SUM(M21:M26)</f>
        <v>-100102.25453000001</v>
      </c>
      <c r="N28" s="291"/>
      <c r="O28" s="234">
        <f>SUM(O21:O26)</f>
        <v>-821.30177000000003</v>
      </c>
      <c r="P28" s="235">
        <f>SUM(P21:P26)</f>
        <v>0</v>
      </c>
      <c r="Q28" s="236">
        <f>SUM(Q21:Q26)</f>
        <v>-821.30177000000003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-4163.5045300000002</v>
      </c>
      <c r="D32" s="240">
        <f>+D28-D30</f>
        <v>95688.75</v>
      </c>
      <c r="E32" s="264">
        <f>+E28-E30</f>
        <v>-99852.254530000006</v>
      </c>
      <c r="F32" s="241"/>
      <c r="G32" s="239">
        <f>SUM(G28:G30)</f>
        <v>51257.392</v>
      </c>
      <c r="H32" s="240">
        <f>SUM(H28:H30)</f>
        <v>51007.392</v>
      </c>
      <c r="I32" s="264">
        <f>SUM(I28:I30)</f>
        <v>-250</v>
      </c>
      <c r="J32" s="241"/>
      <c r="K32" s="239">
        <f>SUM(K28:K30)</f>
        <v>-55420.896529999991</v>
      </c>
      <c r="L32" s="240">
        <f>SUM(L28:L30)</f>
        <v>44681.358000000007</v>
      </c>
      <c r="M32" s="264">
        <f>SUM(M28:M30)</f>
        <v>-100102.25453000001</v>
      </c>
      <c r="N32" s="291"/>
      <c r="O32" s="239">
        <f>SUM(O28:O30)</f>
        <v>-821.30177000000003</v>
      </c>
      <c r="P32" s="240">
        <f>SUM(P28:P30)</f>
        <v>0</v>
      </c>
      <c r="Q32" s="264">
        <f>SUM(Q28:Q30)</f>
        <v>-821.30177000000003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-931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47.355760000000004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62.342469999999999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-821.30176999999992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-4163.5045300000002</v>
      </c>
      <c r="G46" s="269" t="s">
        <v>108</v>
      </c>
      <c r="H46" s="270"/>
      <c r="I46" s="272">
        <f>+G32</f>
        <v>51257.392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-4163.5045300000002</v>
      </c>
      <c r="G48" s="279" t="s">
        <v>109</v>
      </c>
      <c r="H48" s="280"/>
      <c r="I48" s="285">
        <f>+I46-I45</f>
        <v>51257.392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5" sqref="G5:O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118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8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-11805</v>
      </c>
      <c r="H9" s="36">
        <f>GrossMargin!J10</f>
        <v>0</v>
      </c>
      <c r="I9" s="36">
        <f>GrossMargin!K10</f>
        <v>0</v>
      </c>
      <c r="J9" s="136">
        <f t="shared" ref="J9:J15" si="1">SUM(G9:I9)</f>
        <v>-11805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-28933.77</v>
      </c>
      <c r="P9" s="37"/>
      <c r="Q9" s="133">
        <f t="shared" ref="Q9:Q15" si="3">+J9-C9</f>
        <v>-51805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-51805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6876.4954699999998</v>
      </c>
      <c r="H10" s="36">
        <f>GrossMargin!J11</f>
        <v>0</v>
      </c>
      <c r="I10" s="36">
        <f>GrossMargin!K11</f>
        <v>0</v>
      </c>
      <c r="J10" s="136">
        <f t="shared" si="1"/>
        <v>6876.4954699999998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-945.02152999999998</v>
      </c>
      <c r="P10" s="37"/>
      <c r="Q10" s="133">
        <f t="shared" si="3"/>
        <v>-6873.5045300000002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-6874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-2813</v>
      </c>
      <c r="H11" s="36">
        <f>GrossMargin!J12</f>
        <v>0</v>
      </c>
      <c r="I11" s="36">
        <f>GrossMargin!K12</f>
        <v>0</v>
      </c>
      <c r="J11" s="136">
        <f t="shared" si="1"/>
        <v>-2813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-4869.6810000000005</v>
      </c>
      <c r="P11" s="37"/>
      <c r="Q11" s="133">
        <f t="shared" si="3"/>
        <v>-7813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-7813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1615</v>
      </c>
      <c r="H12" s="36">
        <f>GrossMargin!J13</f>
        <v>0</v>
      </c>
      <c r="I12" s="36">
        <f>GrossMargin!K13</f>
        <v>0</v>
      </c>
      <c r="J12" s="136">
        <f t="shared" si="1"/>
        <v>1615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-2116.5230000000001</v>
      </c>
      <c r="P12" s="37"/>
      <c r="Q12" s="133">
        <f t="shared" si="3"/>
        <v>-6894.2510000000002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-6894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3048</v>
      </c>
      <c r="H14" s="140">
        <f>GrossMargin!J15</f>
        <v>0</v>
      </c>
      <c r="I14" s="140">
        <f>+GrossMargin!K21</f>
        <v>0</v>
      </c>
      <c r="J14" s="179">
        <f t="shared" si="1"/>
        <v>3048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-2734.386</v>
      </c>
      <c r="P14" s="181"/>
      <c r="Q14" s="139">
        <f t="shared" si="3"/>
        <v>-16952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-16952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274</v>
      </c>
      <c r="H16" s="140">
        <f>GrossMargin!J18</f>
        <v>0</v>
      </c>
      <c r="I16" s="140">
        <f>+GrossMargin!K23</f>
        <v>0</v>
      </c>
      <c r="J16" s="179">
        <f>SUM(G16:I16)</f>
        <v>274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-2301.25</v>
      </c>
      <c r="P16" s="181"/>
      <c r="Q16" s="139">
        <f>+J16-C16</f>
        <v>-2726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-2726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1177.3579999999999</v>
      </c>
      <c r="E18" s="164">
        <f>C18-D18</f>
        <v>-2035.8590000000002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25.358000000000004</v>
      </c>
      <c r="N18" s="140">
        <f>+'CapChrg-AllocExp'!K19</f>
        <v>561</v>
      </c>
      <c r="O18" s="179">
        <f>J18-K18-M18-N18-L18</f>
        <v>-2036.3579999999999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46776.732000000004</v>
      </c>
      <c r="E22" s="45">
        <f>SUM(E9:E21)</f>
        <v>49412.018000000004</v>
      </c>
      <c r="F22" s="36"/>
      <c r="G22" s="43">
        <f t="shared" ref="G22:O22" si="5">SUM(G9:G21)</f>
        <v>-3663.5045300000002</v>
      </c>
      <c r="H22" s="44">
        <f t="shared" si="5"/>
        <v>0</v>
      </c>
      <c r="I22" s="45">
        <f t="shared" si="5"/>
        <v>0</v>
      </c>
      <c r="J22" s="46">
        <f t="shared" si="5"/>
        <v>-3663.5045300000002</v>
      </c>
      <c r="K22" s="44">
        <f t="shared" si="5"/>
        <v>0</v>
      </c>
      <c r="L22" s="43">
        <f t="shared" si="5"/>
        <v>1383.4870000000001</v>
      </c>
      <c r="M22" s="44">
        <f t="shared" si="5"/>
        <v>23295.391999999996</v>
      </c>
      <c r="N22" s="44">
        <f t="shared" si="5"/>
        <v>22347.853000000003</v>
      </c>
      <c r="O22" s="46">
        <f t="shared" si="5"/>
        <v>-50690.236530000002</v>
      </c>
      <c r="P22" s="180"/>
      <c r="Q22" s="43">
        <f t="shared" ref="Q22:V22" si="6">SUM(Q9:Q21)</f>
        <v>-99852.254530000006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-100102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-4163.5045300000002</v>
      </c>
      <c r="H29" s="44">
        <f t="shared" si="7"/>
        <v>0</v>
      </c>
      <c r="I29" s="45">
        <f t="shared" si="7"/>
        <v>0</v>
      </c>
      <c r="J29" s="46">
        <f t="shared" si="7"/>
        <v>-4163.5045300000002</v>
      </c>
      <c r="K29" s="44">
        <f t="shared" si="7"/>
        <v>0</v>
      </c>
      <c r="L29" s="43">
        <f t="shared" si="7"/>
        <v>0</v>
      </c>
      <c r="M29" s="44">
        <f t="shared" si="7"/>
        <v>50949.391999999993</v>
      </c>
      <c r="N29" s="44">
        <f t="shared" si="7"/>
        <v>0</v>
      </c>
      <c r="O29" s="46">
        <f t="shared" si="7"/>
        <v>-55112.896529999991</v>
      </c>
      <c r="P29" s="180"/>
      <c r="Q29" s="43">
        <f t="shared" ref="Q29:V29" si="8">SUM(Q22:Q28)</f>
        <v>-99852.254530000006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-100102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-4163.5045300000002</v>
      </c>
      <c r="H33" s="40">
        <f t="shared" si="9"/>
        <v>0</v>
      </c>
      <c r="I33" s="40">
        <f t="shared" si="9"/>
        <v>0</v>
      </c>
      <c r="J33" s="42">
        <f t="shared" si="9"/>
        <v>-4163.5045300000002</v>
      </c>
      <c r="K33" s="40">
        <f t="shared" si="9"/>
        <v>0</v>
      </c>
      <c r="L33" s="39">
        <f t="shared" si="9"/>
        <v>0</v>
      </c>
      <c r="M33" s="40">
        <f t="shared" si="9"/>
        <v>51257.391999999993</v>
      </c>
      <c r="N33" s="40">
        <f t="shared" si="9"/>
        <v>0</v>
      </c>
      <c r="O33" s="42">
        <f>J33-K33-M33-N33-L33</f>
        <v>-55420.896529999991</v>
      </c>
      <c r="P33" s="37"/>
      <c r="Q33" s="39">
        <f t="shared" si="9"/>
        <v>-99852.254530000006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-100102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8" sqref="F38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January 25,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-4690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-4690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-4690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1789</v>
      </c>
      <c r="D10" s="140">
        <f>+GrossMargin!E11-[1]GrossMargin!E11</f>
        <v>47.355760000000004</v>
      </c>
      <c r="E10" s="36">
        <f>+GrossMargin!F11-[1]GrossMargin!F11</f>
        <v>0</v>
      </c>
      <c r="F10" s="36">
        <f>+GrossMargin!G11-[1]GrossMargin!G11</f>
        <v>62.342469999999999</v>
      </c>
      <c r="G10" s="138">
        <f>+GrossMargin!H11-[1]GrossMargin!H11</f>
        <v>0</v>
      </c>
      <c r="H10" s="300">
        <f t="shared" si="0"/>
        <v>1898.69823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1898.69823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-622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-622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-622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987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987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987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587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587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587</v>
      </c>
    </row>
    <row r="15" spans="1:11" ht="13.5" hidden="1" customHeight="1">
      <c r="A15" s="242" t="s">
        <v>115</v>
      </c>
      <c r="B15" s="249"/>
      <c r="C15" s="244">
        <f>+GrossMargin!D16-[1]GrossMargin!D16</f>
        <v>251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251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251</v>
      </c>
    </row>
    <row r="16" spans="1:11" ht="13.5" hidden="1" customHeight="1">
      <c r="A16" s="242" t="s">
        <v>84</v>
      </c>
      <c r="B16" s="249"/>
      <c r="C16" s="295">
        <f>+GrossMargin!D17-[1]GrossMargin!D17</f>
        <v>464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464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464</v>
      </c>
    </row>
    <row r="17" spans="1:11" ht="13.5" hidden="1" customHeight="1">
      <c r="A17" s="242" t="s">
        <v>82</v>
      </c>
      <c r="B17" s="249"/>
      <c r="C17" s="295">
        <f>+GrossMargin!D18-[1]GrossMargin!D18</f>
        <v>-5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-5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-5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1297</v>
      </c>
      <c r="I20" s="299">
        <f t="shared" si="2"/>
        <v>0</v>
      </c>
      <c r="J20" s="36">
        <f t="shared" si="2"/>
        <v>0</v>
      </c>
      <c r="K20" s="135">
        <f t="shared" si="2"/>
        <v>1297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308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308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308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-931</v>
      </c>
      <c r="D28" s="44">
        <f t="shared" si="5"/>
        <v>47.355760000000004</v>
      </c>
      <c r="E28" s="44">
        <f t="shared" si="5"/>
        <v>0</v>
      </c>
      <c r="F28" s="44">
        <f t="shared" si="5"/>
        <v>62.342469999999999</v>
      </c>
      <c r="G28" s="45">
        <f t="shared" si="5"/>
        <v>0</v>
      </c>
      <c r="H28" s="46">
        <f t="shared" si="5"/>
        <v>-821.30177000000003</v>
      </c>
      <c r="I28" s="44">
        <f t="shared" si="5"/>
        <v>0</v>
      </c>
      <c r="J28" s="44">
        <f t="shared" si="5"/>
        <v>0</v>
      </c>
      <c r="K28" s="45">
        <f t="shared" si="5"/>
        <v>-821.30177000000003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-931</v>
      </c>
      <c r="D32" s="40">
        <f>SUM(D28:D30)</f>
        <v>47.355760000000004</v>
      </c>
      <c r="E32" s="40">
        <f>SUM(E28:E31)</f>
        <v>0</v>
      </c>
      <c r="F32" s="40">
        <f>SUM(F28:F30)</f>
        <v>62.342469999999999</v>
      </c>
      <c r="G32" s="41">
        <f>SUM(G28:G30)</f>
        <v>0</v>
      </c>
      <c r="H32" s="39">
        <f>SUM(C32:G32)</f>
        <v>-821.30176999999992</v>
      </c>
      <c r="I32" s="39">
        <f>SUM(I28:I30)</f>
        <v>0</v>
      </c>
      <c r="J32" s="40">
        <f>SUM(J28:J30)</f>
        <v>0</v>
      </c>
      <c r="K32" s="41">
        <f>SUM(H32:J32)</f>
        <v>-821.30176999999992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January 25,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-11805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-11805</v>
      </c>
      <c r="J10" s="137"/>
      <c r="K10" s="36">
        <v>0</v>
      </c>
      <c r="L10" s="36">
        <f>+I10+K10</f>
        <v>-11805</v>
      </c>
      <c r="M10" s="253">
        <v>40000</v>
      </c>
      <c r="N10" s="135">
        <f t="shared" ref="N10:N22" si="1">L10-M10</f>
        <v>-51805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3929-D12</f>
        <v>6742</v>
      </c>
      <c r="E11" s="140">
        <f>72.153</f>
        <v>72.153000000000006</v>
      </c>
      <c r="F11" s="140">
        <v>0</v>
      </c>
      <c r="G11" s="140">
        <f>25+28.00685+9.33562</f>
        <v>62.342469999999999</v>
      </c>
      <c r="H11" s="138">
        <v>0</v>
      </c>
      <c r="I11" s="136">
        <f t="shared" si="0"/>
        <v>6876.4954699999998</v>
      </c>
      <c r="J11" s="137"/>
      <c r="K11" s="36">
        <v>0</v>
      </c>
      <c r="L11" s="36">
        <f t="shared" ref="L11:L22" si="2">+I11+K11</f>
        <v>6876.4954699999998</v>
      </c>
      <c r="M11" s="253">
        <v>13750</v>
      </c>
      <c r="N11" s="135">
        <f t="shared" si="1"/>
        <v>-6873.5045300000002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-2813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-2813</v>
      </c>
      <c r="J12" s="137"/>
      <c r="K12" s="36">
        <v>0</v>
      </c>
      <c r="L12" s="36">
        <f t="shared" si="2"/>
        <v>-2813</v>
      </c>
      <c r="M12" s="253">
        <f>1875+3125</f>
        <v>5000</v>
      </c>
      <c r="N12" s="135">
        <f t="shared" si="1"/>
        <v>-7813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1615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1615</v>
      </c>
      <c r="J13" s="137"/>
      <c r="K13" s="36">
        <v>0</v>
      </c>
      <c r="L13" s="36">
        <f t="shared" si="2"/>
        <v>1615</v>
      </c>
      <c r="M13" s="253">
        <v>8509.2510000000002</v>
      </c>
      <c r="N13" s="135">
        <f t="shared" si="1"/>
        <v>-6894.2510000000002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-271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-271</v>
      </c>
      <c r="J15" s="246"/>
      <c r="K15" s="246">
        <v>0</v>
      </c>
      <c r="L15" s="36">
        <f t="shared" si="2"/>
        <v>-271</v>
      </c>
      <c r="M15" s="255">
        <v>0</v>
      </c>
      <c r="N15" s="247">
        <f>L15-M15</f>
        <v>-271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1457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1457</v>
      </c>
      <c r="J16" s="246"/>
      <c r="K16" s="246">
        <v>0</v>
      </c>
      <c r="L16" s="36">
        <f>+I16+K16</f>
        <v>1457</v>
      </c>
      <c r="M16" s="255">
        <v>0</v>
      </c>
      <c r="N16" s="247">
        <f>L16-M16</f>
        <v>1457</v>
      </c>
    </row>
    <row r="17" spans="1:16" ht="13.5" hidden="1" customHeight="1">
      <c r="B17" s="242" t="s">
        <v>84</v>
      </c>
      <c r="C17" s="243"/>
      <c r="D17" s="244">
        <v>1866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1866</v>
      </c>
      <c r="J17" s="246"/>
      <c r="K17" s="246">
        <v>0</v>
      </c>
      <c r="L17" s="36">
        <f t="shared" si="2"/>
        <v>1866</v>
      </c>
      <c r="M17" s="255">
        <v>0</v>
      </c>
      <c r="N17" s="247">
        <f>L17-M17</f>
        <v>1866</v>
      </c>
      <c r="P17" s="166"/>
    </row>
    <row r="18" spans="1:16" ht="13.5" hidden="1" customHeight="1">
      <c r="B18" s="242" t="s">
        <v>82</v>
      </c>
      <c r="C18" s="243"/>
      <c r="D18" s="244">
        <v>-4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-4</v>
      </c>
      <c r="J18" s="246"/>
      <c r="K18" s="246">
        <v>0</v>
      </c>
      <c r="L18" s="36">
        <f t="shared" si="2"/>
        <v>-4</v>
      </c>
      <c r="M18" s="255">
        <v>0</v>
      </c>
      <c r="N18" s="247">
        <f t="shared" si="1"/>
        <v>-4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3048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3048</v>
      </c>
      <c r="J21" s="137"/>
      <c r="K21" s="36">
        <f>SUM(K15:K20)</f>
        <v>0</v>
      </c>
      <c r="L21" s="36">
        <f t="shared" si="2"/>
        <v>3048</v>
      </c>
      <c r="M21" s="253">
        <v>20000</v>
      </c>
      <c r="N21" s="135">
        <f>L21-M21</f>
        <v>-16952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274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274</v>
      </c>
      <c r="J23" s="137"/>
      <c r="K23" s="36">
        <v>0</v>
      </c>
      <c r="L23" s="36">
        <f>+I23+K23</f>
        <v>274</v>
      </c>
      <c r="M23" s="253">
        <v>3000</v>
      </c>
      <c r="N23" s="135">
        <f>L23-M23</f>
        <v>-2726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-859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-2939</v>
      </c>
      <c r="E29" s="40">
        <f t="shared" si="5"/>
        <v>72.153000000000006</v>
      </c>
      <c r="F29" s="40">
        <f t="shared" si="5"/>
        <v>0</v>
      </c>
      <c r="G29" s="40">
        <f t="shared" si="5"/>
        <v>-796.65752999999995</v>
      </c>
      <c r="H29" s="41">
        <f t="shared" si="5"/>
        <v>0</v>
      </c>
      <c r="I29" s="42">
        <f t="shared" si="5"/>
        <v>-3663.5045300000002</v>
      </c>
      <c r="J29" s="40">
        <f t="shared" si="5"/>
        <v>0</v>
      </c>
      <c r="K29" s="39">
        <f t="shared" si="5"/>
        <v>0</v>
      </c>
      <c r="L29" s="40">
        <f t="shared" si="5"/>
        <v>-3663.5045300000002</v>
      </c>
      <c r="M29" s="41">
        <f t="shared" si="5"/>
        <v>96188.75</v>
      </c>
      <c r="N29" s="41">
        <f t="shared" si="5"/>
        <v>-99852.254530000006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-2939</v>
      </c>
      <c r="E33" s="40">
        <f>+E29+E31</f>
        <v>72.153000000000006</v>
      </c>
      <c r="F33" s="40">
        <f>+F29+F31</f>
        <v>0</v>
      </c>
      <c r="G33" s="40">
        <f>+G29+G31</f>
        <v>-1296.65753</v>
      </c>
      <c r="H33" s="41">
        <f>+H29+H31</f>
        <v>0</v>
      </c>
      <c r="I33" s="42">
        <f>SUM(I29:I31)</f>
        <v>-4163.5045300000002</v>
      </c>
      <c r="J33" s="40">
        <f>SUM(J29:J31)</f>
        <v>0</v>
      </c>
      <c r="K33" s="39">
        <f>+K29+K31</f>
        <v>0</v>
      </c>
      <c r="L33" s="40">
        <f>+L29+L31</f>
        <v>-4163.5045300000002</v>
      </c>
      <c r="M33" s="41">
        <f>+M29+M31</f>
        <v>95688.75</v>
      </c>
      <c r="N33" s="41">
        <f>SUM(N29:N31)</f>
        <v>-99852.254530000006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J5" sqref="J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3.8">
      <c r="A3" s="11">
        <v>36861</v>
      </c>
      <c r="B3" s="324" t="s">
        <v>120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25.358000000000004</v>
      </c>
      <c r="E18" s="173">
        <f>425.358-250-100-50</f>
        <v>25.358000000000004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23295.391999999996</v>
      </c>
      <c r="E22" s="57">
        <f>SUM(E9:E21)</f>
        <v>23045.391999999996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50949.391999999993</v>
      </c>
      <c r="E27" s="48">
        <f>SUM(E22:E25)</f>
        <v>50699.391999999993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J5" sqref="J5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3.8">
      <c r="A3" s="324" t="s">
        <v>125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25,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7" t="s">
        <v>49</v>
      </c>
      <c r="D30" s="318"/>
      <c r="E30" s="319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0" t="s">
        <v>39</v>
      </c>
      <c r="H31" s="321"/>
      <c r="I31" s="321"/>
      <c r="J31" s="322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3" zoomScaleNormal="100" workbookViewId="0">
      <selection activeCell="G33" sqref="G33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3.8">
      <c r="A3" s="10" t="s">
        <v>31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25,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3.8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2001-01-26T20:22:24Z</cp:lastPrinted>
  <dcterms:created xsi:type="dcterms:W3CDTF">1999-10-18T12:36:30Z</dcterms:created>
  <dcterms:modified xsi:type="dcterms:W3CDTF">2023-09-10T15:23:32Z</dcterms:modified>
</cp:coreProperties>
</file>