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'GM-WeeklyChnge'!$A$1:$K$39</definedName>
    <definedName name="_xlnm.Print_Area" localSheetId="5">GrossMargin!$B$2:$N$41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0" fullCalcOnLoad="1"/>
</workbook>
</file>

<file path=xl/calcChain.xml><?xml version="1.0" encoding="utf-8"?>
<calcChain xmlns="http://schemas.openxmlformats.org/spreadsheetml/2006/main">
  <c r="B4" i="4" l="1"/>
  <c r="F10" i="4"/>
  <c r="K10" i="4"/>
  <c r="M10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D15" i="4"/>
  <c r="E15" i="4"/>
  <c r="F15" i="4"/>
  <c r="K15" i="4"/>
  <c r="L15" i="4"/>
  <c r="M15" i="4"/>
  <c r="F16" i="4"/>
  <c r="M16" i="4"/>
  <c r="D17" i="4"/>
  <c r="E17" i="4"/>
  <c r="F17" i="4"/>
  <c r="K17" i="4"/>
  <c r="L17" i="4"/>
  <c r="M17" i="4"/>
  <c r="D18" i="4"/>
  <c r="E18" i="4"/>
  <c r="F18" i="4"/>
  <c r="M18" i="4"/>
  <c r="D19" i="4"/>
  <c r="F19" i="4"/>
  <c r="M19" i="4"/>
  <c r="F20" i="4"/>
  <c r="M20" i="4"/>
  <c r="D22" i="4"/>
  <c r="E22" i="4"/>
  <c r="F22" i="4"/>
  <c r="K22" i="4"/>
  <c r="L22" i="4"/>
  <c r="M22" i="4"/>
  <c r="F24" i="4"/>
  <c r="K24" i="4"/>
  <c r="M24" i="4"/>
  <c r="D26" i="4"/>
  <c r="E26" i="4"/>
  <c r="F26" i="4"/>
  <c r="K26" i="4"/>
  <c r="L26" i="4"/>
  <c r="M26" i="4"/>
  <c r="D28" i="4"/>
  <c r="E28" i="4"/>
  <c r="F28" i="4"/>
  <c r="M28" i="4"/>
  <c r="F29" i="4"/>
  <c r="K29" i="4"/>
  <c r="L29" i="4"/>
  <c r="M29" i="4"/>
  <c r="D31" i="4"/>
  <c r="E31" i="4"/>
  <c r="F31" i="4"/>
  <c r="K31" i="4"/>
  <c r="L31" i="4"/>
  <c r="M31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2" i="19"/>
  <c r="D22" i="19"/>
  <c r="E22" i="19"/>
  <c r="C24" i="19"/>
  <c r="D24" i="19"/>
  <c r="E24" i="19"/>
  <c r="C27" i="19"/>
  <c r="D27" i="19"/>
  <c r="E27" i="19"/>
  <c r="C29" i="19"/>
  <c r="D29" i="19"/>
  <c r="E29" i="19"/>
  <c r="C30" i="19"/>
  <c r="D30" i="19"/>
  <c r="E30" i="19"/>
  <c r="C32" i="19"/>
  <c r="D32" i="19"/>
  <c r="E32" i="19"/>
  <c r="C37" i="19"/>
  <c r="D37" i="19"/>
  <c r="E37" i="19"/>
  <c r="C38" i="19"/>
  <c r="D38" i="19"/>
  <c r="E38" i="19"/>
  <c r="C39" i="19"/>
  <c r="D39" i="19"/>
  <c r="E39" i="19"/>
  <c r="B4" i="3"/>
  <c r="D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F15" i="3"/>
  <c r="F16" i="3"/>
  <c r="D18" i="3"/>
  <c r="E18" i="3"/>
  <c r="F18" i="3"/>
  <c r="D20" i="3"/>
  <c r="F20" i="3"/>
  <c r="D21" i="3"/>
  <c r="F21" i="3"/>
  <c r="E22" i="3"/>
  <c r="F22" i="3"/>
  <c r="D24" i="3"/>
  <c r="E24" i="3"/>
  <c r="F24" i="3"/>
  <c r="D27" i="3"/>
  <c r="E27" i="3"/>
  <c r="F27" i="3"/>
  <c r="D29" i="3"/>
  <c r="E29" i="3"/>
  <c r="F29" i="3"/>
  <c r="F30" i="3"/>
  <c r="D32" i="3"/>
  <c r="E32" i="3"/>
  <c r="F32" i="3"/>
  <c r="F37" i="3"/>
  <c r="F38" i="3"/>
  <c r="F39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5" i="9"/>
  <c r="D25" i="9"/>
  <c r="E25" i="9"/>
  <c r="F25" i="9"/>
  <c r="G25" i="9"/>
  <c r="H25" i="9"/>
  <c r="I25" i="9"/>
  <c r="J25" i="9"/>
  <c r="K25" i="9"/>
  <c r="C27" i="9"/>
  <c r="D27" i="9"/>
  <c r="E27" i="9"/>
  <c r="F27" i="9"/>
  <c r="G27" i="9"/>
  <c r="H27" i="9"/>
  <c r="I27" i="9"/>
  <c r="J27" i="9"/>
  <c r="K27" i="9"/>
  <c r="C28" i="9"/>
  <c r="D28" i="9"/>
  <c r="E28" i="9"/>
  <c r="F28" i="9"/>
  <c r="G28" i="9"/>
  <c r="H28" i="9"/>
  <c r="I28" i="9"/>
  <c r="J28" i="9"/>
  <c r="K28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B4" i="2"/>
  <c r="I10" i="2"/>
  <c r="L10" i="2"/>
  <c r="N10" i="2"/>
  <c r="E11" i="2"/>
  <c r="I11" i="2"/>
  <c r="L11" i="2"/>
  <c r="M11" i="2"/>
  <c r="N11" i="2"/>
  <c r="I12" i="2"/>
  <c r="L12" i="2"/>
  <c r="M12" i="2"/>
  <c r="N12" i="2"/>
  <c r="I13" i="2"/>
  <c r="L13" i="2"/>
  <c r="M13" i="2"/>
  <c r="N13" i="2"/>
  <c r="I14" i="2"/>
  <c r="L14" i="2"/>
  <c r="M14" i="2"/>
  <c r="N14" i="2"/>
  <c r="I15" i="2"/>
  <c r="L15" i="2"/>
  <c r="N15" i="2"/>
  <c r="D16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M21" i="2"/>
  <c r="N21" i="2"/>
  <c r="I22" i="2"/>
  <c r="L22" i="2"/>
  <c r="N22" i="2"/>
  <c r="I23" i="2"/>
  <c r="L23" i="2"/>
  <c r="N23" i="2"/>
  <c r="I24" i="2"/>
  <c r="L24" i="2"/>
  <c r="N24" i="2"/>
  <c r="D26" i="2"/>
  <c r="E26" i="2"/>
  <c r="F26" i="2"/>
  <c r="G26" i="2"/>
  <c r="H26" i="2"/>
  <c r="I26" i="2"/>
  <c r="J26" i="2"/>
  <c r="K26" i="2"/>
  <c r="L26" i="2"/>
  <c r="M26" i="2"/>
  <c r="N26" i="2"/>
  <c r="F28" i="2"/>
  <c r="I28" i="2"/>
  <c r="L28" i="2"/>
  <c r="M28" i="2"/>
  <c r="N28" i="2"/>
  <c r="I29" i="2"/>
  <c r="L29" i="2"/>
  <c r="N29" i="2"/>
  <c r="I30" i="2"/>
  <c r="L30" i="2"/>
  <c r="N30" i="2"/>
  <c r="D32" i="2"/>
  <c r="E32" i="2"/>
  <c r="F32" i="2"/>
  <c r="G32" i="2"/>
  <c r="H32" i="2"/>
  <c r="I32" i="2"/>
  <c r="J32" i="2"/>
  <c r="K32" i="2"/>
  <c r="L32" i="2"/>
  <c r="M32" i="2"/>
  <c r="N32" i="2"/>
  <c r="D35" i="2"/>
  <c r="E35" i="2"/>
  <c r="F35" i="2"/>
  <c r="G35" i="2"/>
  <c r="H35" i="2"/>
  <c r="I35" i="2"/>
  <c r="J35" i="2"/>
  <c r="K35" i="2"/>
  <c r="L35" i="2"/>
  <c r="M35" i="2"/>
  <c r="N35" i="2"/>
  <c r="I37" i="2"/>
  <c r="L37" i="2"/>
  <c r="M37" i="2"/>
  <c r="N37" i="2"/>
  <c r="D39" i="2"/>
  <c r="E39" i="2"/>
  <c r="F39" i="2"/>
  <c r="G39" i="2"/>
  <c r="H39" i="2"/>
  <c r="I39" i="2"/>
  <c r="J39" i="2"/>
  <c r="K39" i="2"/>
  <c r="L39" i="2"/>
  <c r="M39" i="2"/>
  <c r="N39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A4" i="38"/>
  <c r="E9" i="38"/>
  <c r="I9" i="38"/>
  <c r="C11" i="38"/>
  <c r="D11" i="38"/>
  <c r="E11" i="38"/>
  <c r="G11" i="38"/>
  <c r="H11" i="38"/>
  <c r="I11" i="38"/>
  <c r="E13" i="38"/>
  <c r="G13" i="38"/>
  <c r="H13" i="38"/>
  <c r="I13" i="38"/>
  <c r="C15" i="38"/>
  <c r="D15" i="38"/>
  <c r="E15" i="38"/>
  <c r="G15" i="38"/>
  <c r="H15" i="38"/>
  <c r="I15" i="38"/>
  <c r="E17" i="38"/>
  <c r="G17" i="38"/>
  <c r="H17" i="38"/>
  <c r="I17" i="38"/>
  <c r="C19" i="38"/>
  <c r="D19" i="38"/>
  <c r="E19" i="38"/>
  <c r="G19" i="38"/>
  <c r="H19" i="38"/>
  <c r="I19" i="38"/>
  <c r="E21" i="38"/>
  <c r="G21" i="38"/>
  <c r="H21" i="38"/>
  <c r="I21" i="38"/>
  <c r="C23" i="38"/>
  <c r="D23" i="38"/>
  <c r="E23" i="38"/>
  <c r="G23" i="38"/>
  <c r="H23" i="38"/>
  <c r="I23" i="38"/>
  <c r="E25" i="38"/>
  <c r="G25" i="38"/>
  <c r="I25" i="38"/>
  <c r="E26" i="38"/>
  <c r="G26" i="38"/>
  <c r="I26" i="38"/>
  <c r="E27" i="38"/>
  <c r="G27" i="38"/>
  <c r="I27" i="38"/>
  <c r="E28" i="38"/>
  <c r="G28" i="38"/>
  <c r="I28" i="38"/>
  <c r="E29" i="38"/>
  <c r="G29" i="38"/>
  <c r="H29" i="38"/>
  <c r="I29" i="38"/>
  <c r="C31" i="38"/>
  <c r="D31" i="38"/>
  <c r="E31" i="38"/>
  <c r="G31" i="38"/>
  <c r="H31" i="38"/>
  <c r="I31" i="38"/>
  <c r="C34" i="38"/>
  <c r="D34" i="38"/>
  <c r="E34" i="38"/>
  <c r="G34" i="38"/>
  <c r="H34" i="38"/>
  <c r="I34" i="38"/>
  <c r="E39" i="38"/>
  <c r="E40" i="38"/>
  <c r="E41" i="3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E16" i="1"/>
  <c r="G16" i="1"/>
  <c r="J16" i="1"/>
  <c r="O16" i="1"/>
  <c r="Q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Q25" i="1"/>
  <c r="R25" i="1"/>
  <c r="S25" i="1"/>
  <c r="T25" i="1"/>
  <c r="U25" i="1"/>
  <c r="V25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Q28" i="1"/>
  <c r="R28" i="1"/>
  <c r="S28" i="1"/>
  <c r="T28" i="1"/>
  <c r="U28" i="1"/>
  <c r="V28" i="1"/>
  <c r="D30" i="1"/>
  <c r="E30" i="1"/>
  <c r="J30" i="1"/>
  <c r="L30" i="1"/>
  <c r="M30" i="1"/>
  <c r="O30" i="1"/>
  <c r="Q30" i="1"/>
  <c r="T30" i="1"/>
  <c r="V30" i="1"/>
  <c r="D31" i="1"/>
  <c r="E31" i="1"/>
  <c r="J31" i="1"/>
  <c r="N31" i="1"/>
  <c r="O31" i="1"/>
  <c r="Q31" i="1"/>
  <c r="T31" i="1"/>
  <c r="V31" i="1"/>
  <c r="C32" i="1"/>
  <c r="D32" i="1"/>
  <c r="E32" i="1"/>
  <c r="G32" i="1"/>
  <c r="H32" i="1"/>
  <c r="I32" i="1"/>
  <c r="J32" i="1"/>
  <c r="M32" i="1"/>
  <c r="O32" i="1"/>
  <c r="Q32" i="1"/>
  <c r="T32" i="1"/>
  <c r="V32" i="1"/>
  <c r="D33" i="1"/>
  <c r="E33" i="1"/>
  <c r="J33" i="1"/>
  <c r="L33" i="1"/>
  <c r="O33" i="1"/>
  <c r="Q33" i="1"/>
  <c r="S33" i="1"/>
  <c r="V33" i="1"/>
  <c r="V34" i="1"/>
  <c r="C35" i="1"/>
  <c r="D35" i="1"/>
  <c r="E35" i="1"/>
  <c r="G35" i="1"/>
  <c r="H35" i="1"/>
  <c r="I35" i="1"/>
  <c r="J35" i="1"/>
  <c r="K35" i="1"/>
  <c r="L35" i="1"/>
  <c r="M35" i="1"/>
  <c r="N35" i="1"/>
  <c r="O35" i="1"/>
  <c r="Q35" i="1"/>
  <c r="R35" i="1"/>
  <c r="S35" i="1"/>
  <c r="T35" i="1"/>
  <c r="U35" i="1"/>
  <c r="V35" i="1"/>
  <c r="D37" i="1"/>
  <c r="E37" i="1"/>
  <c r="G37" i="1"/>
  <c r="H37" i="1"/>
  <c r="I37" i="1"/>
  <c r="J37" i="1"/>
  <c r="M37" i="1"/>
  <c r="O37" i="1"/>
  <c r="Q37" i="1"/>
  <c r="T37" i="1"/>
  <c r="V37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G41" i="1"/>
  <c r="Q3" i="39"/>
  <c r="C8" i="39"/>
  <c r="D8" i="39"/>
  <c r="E8" i="39"/>
  <c r="G8" i="39"/>
  <c r="H8" i="39"/>
  <c r="I8" i="39"/>
  <c r="K8" i="39"/>
  <c r="L8" i="39"/>
  <c r="M8" i="39"/>
  <c r="O8" i="39"/>
  <c r="P8" i="39"/>
  <c r="Q8" i="39"/>
  <c r="C9" i="39"/>
  <c r="D9" i="39"/>
  <c r="E9" i="39"/>
  <c r="G9" i="39"/>
  <c r="H9" i="39"/>
  <c r="I9" i="39"/>
  <c r="K9" i="39"/>
  <c r="L9" i="39"/>
  <c r="M9" i="39"/>
  <c r="O9" i="39"/>
  <c r="P9" i="39"/>
  <c r="Q9" i="39"/>
  <c r="C10" i="39"/>
  <c r="D10" i="39"/>
  <c r="E10" i="39"/>
  <c r="G10" i="39"/>
  <c r="H10" i="39"/>
  <c r="I10" i="39"/>
  <c r="K10" i="39"/>
  <c r="L10" i="39"/>
  <c r="M10" i="39"/>
  <c r="O10" i="39"/>
  <c r="P10" i="39"/>
  <c r="Q10" i="39"/>
  <c r="C11" i="39"/>
  <c r="D11" i="39"/>
  <c r="E11" i="39"/>
  <c r="G11" i="39"/>
  <c r="H11" i="39"/>
  <c r="I11" i="39"/>
  <c r="K11" i="39"/>
  <c r="L11" i="39"/>
  <c r="M11" i="39"/>
  <c r="O11" i="39"/>
  <c r="P11" i="39"/>
  <c r="Q11" i="39"/>
  <c r="C12" i="39"/>
  <c r="D12" i="39"/>
  <c r="E12" i="39"/>
  <c r="G12" i="39"/>
  <c r="H12" i="39"/>
  <c r="I12" i="39"/>
  <c r="K12" i="39"/>
  <c r="L12" i="39"/>
  <c r="M12" i="39"/>
  <c r="O12" i="39"/>
  <c r="P12" i="39"/>
  <c r="Q12" i="39"/>
  <c r="C14" i="39"/>
  <c r="D14" i="39"/>
  <c r="E14" i="39"/>
  <c r="F14" i="39"/>
  <c r="G14" i="39"/>
  <c r="H14" i="39"/>
  <c r="I14" i="39"/>
  <c r="J14" i="39"/>
  <c r="K14" i="39"/>
  <c r="L14" i="39"/>
  <c r="M14" i="39"/>
  <c r="O14" i="39"/>
  <c r="P14" i="39"/>
  <c r="Q14" i="39"/>
  <c r="E16" i="39"/>
  <c r="G16" i="39"/>
  <c r="H16" i="39"/>
  <c r="I16" i="39"/>
  <c r="K16" i="39"/>
  <c r="L16" i="39"/>
  <c r="M16" i="39"/>
  <c r="O16" i="39"/>
  <c r="P16" i="39"/>
  <c r="Q16" i="39"/>
  <c r="E17" i="39"/>
  <c r="G17" i="39"/>
  <c r="H17" i="39"/>
  <c r="I17" i="39"/>
  <c r="K17" i="39"/>
  <c r="L17" i="39"/>
  <c r="M17" i="39"/>
  <c r="O17" i="39"/>
  <c r="P17" i="39"/>
  <c r="Q17" i="39"/>
  <c r="C18" i="39"/>
  <c r="D18" i="39"/>
  <c r="E18" i="39"/>
  <c r="G18" i="39"/>
  <c r="H18" i="39"/>
  <c r="I18" i="39"/>
  <c r="K18" i="39"/>
  <c r="L18" i="39"/>
  <c r="M18" i="39"/>
  <c r="O18" i="39"/>
  <c r="P18" i="39"/>
  <c r="Q18" i="39"/>
  <c r="C19" i="39"/>
  <c r="D19" i="39"/>
  <c r="E19" i="39"/>
  <c r="G19" i="39"/>
  <c r="H19" i="39"/>
  <c r="I19" i="39"/>
  <c r="K19" i="39"/>
  <c r="L19" i="39"/>
  <c r="M19" i="39"/>
  <c r="O19" i="39"/>
  <c r="P19" i="39"/>
  <c r="Q19" i="39"/>
  <c r="C21" i="39"/>
  <c r="D21" i="39"/>
  <c r="E21" i="39"/>
  <c r="G21" i="39"/>
  <c r="H21" i="39"/>
  <c r="I21" i="39"/>
  <c r="K21" i="39"/>
  <c r="L21" i="39"/>
  <c r="M21" i="39"/>
  <c r="O21" i="39"/>
  <c r="P21" i="39"/>
  <c r="Q21" i="39"/>
  <c r="C23" i="39"/>
  <c r="D23" i="39"/>
  <c r="E23" i="39"/>
  <c r="G23" i="39"/>
  <c r="H23" i="39"/>
  <c r="I23" i="39"/>
  <c r="K23" i="39"/>
  <c r="L23" i="39"/>
  <c r="M23" i="39"/>
  <c r="O23" i="39"/>
  <c r="P23" i="39"/>
  <c r="Q23" i="39"/>
  <c r="C25" i="39"/>
  <c r="D25" i="39"/>
  <c r="E25" i="39"/>
  <c r="G25" i="39"/>
  <c r="H25" i="39"/>
  <c r="I25" i="39"/>
  <c r="K25" i="39"/>
  <c r="L25" i="39"/>
  <c r="M25" i="39"/>
  <c r="O25" i="39"/>
  <c r="P25" i="39"/>
  <c r="Q25" i="39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8" i="37"/>
  <c r="D18" i="37"/>
  <c r="E18" i="37"/>
  <c r="F18" i="37"/>
  <c r="G18" i="37"/>
  <c r="H18" i="37"/>
  <c r="I18" i="37"/>
  <c r="J18" i="37"/>
  <c r="K18" i="37"/>
  <c r="L18" i="37"/>
  <c r="M18" i="37"/>
  <c r="O18" i="37"/>
  <c r="P18" i="37"/>
  <c r="Q18" i="37"/>
  <c r="C20" i="37"/>
  <c r="D20" i="37"/>
  <c r="E20" i="37"/>
  <c r="G20" i="37"/>
  <c r="H20" i="37"/>
  <c r="I20" i="37"/>
  <c r="K20" i="37"/>
  <c r="L20" i="37"/>
  <c r="M20" i="37"/>
  <c r="O20" i="37"/>
  <c r="P20" i="37"/>
  <c r="Q20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C22" i="37"/>
  <c r="D22" i="37"/>
  <c r="E22" i="37"/>
  <c r="G22" i="37"/>
  <c r="H22" i="37"/>
  <c r="I22" i="37"/>
  <c r="K22" i="37"/>
  <c r="L22" i="37"/>
  <c r="M22" i="37"/>
  <c r="O22" i="37"/>
  <c r="P22" i="37"/>
  <c r="Q22" i="37"/>
  <c r="C24" i="37"/>
  <c r="D24" i="37"/>
  <c r="E24" i="37"/>
  <c r="G24" i="37"/>
  <c r="H24" i="37"/>
  <c r="I24" i="37"/>
  <c r="K24" i="37"/>
  <c r="L24" i="37"/>
  <c r="M24" i="37"/>
  <c r="O24" i="37"/>
  <c r="P24" i="37"/>
  <c r="Q24" i="37"/>
  <c r="C27" i="37"/>
  <c r="D27" i="37"/>
  <c r="E27" i="37"/>
  <c r="F27" i="37"/>
  <c r="G27" i="37"/>
  <c r="H27" i="37"/>
  <c r="I27" i="37"/>
  <c r="J27" i="37"/>
  <c r="K27" i="37"/>
  <c r="L27" i="37"/>
  <c r="M27" i="37"/>
  <c r="O27" i="37"/>
  <c r="P27" i="37"/>
  <c r="Q27" i="37"/>
  <c r="E29" i="37"/>
  <c r="G29" i="37"/>
  <c r="H29" i="37"/>
  <c r="I29" i="37"/>
  <c r="K29" i="37"/>
  <c r="L29" i="37"/>
  <c r="M29" i="37"/>
  <c r="O29" i="37"/>
  <c r="P29" i="37"/>
  <c r="Q29" i="37"/>
  <c r="E30" i="37"/>
  <c r="G30" i="37"/>
  <c r="H30" i="37"/>
  <c r="I30" i="37"/>
  <c r="K30" i="37"/>
  <c r="L30" i="37"/>
  <c r="M30" i="37"/>
  <c r="O30" i="37"/>
  <c r="P30" i="37"/>
  <c r="Q30" i="37"/>
  <c r="C31" i="37"/>
  <c r="D31" i="37"/>
  <c r="E31" i="37"/>
  <c r="G31" i="37"/>
  <c r="H31" i="37"/>
  <c r="I31" i="37"/>
  <c r="K31" i="37"/>
  <c r="L31" i="37"/>
  <c r="M31" i="37"/>
  <c r="O31" i="37"/>
  <c r="P31" i="37"/>
  <c r="Q31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C34" i="37"/>
  <c r="D34" i="37"/>
  <c r="E34" i="37"/>
  <c r="G34" i="37"/>
  <c r="H34" i="37"/>
  <c r="I34" i="37"/>
  <c r="K34" i="37"/>
  <c r="L34" i="37"/>
  <c r="M34" i="37"/>
  <c r="O34" i="37"/>
  <c r="P34" i="37"/>
  <c r="Q34" i="37"/>
  <c r="C36" i="37"/>
  <c r="D36" i="37"/>
  <c r="E36" i="37"/>
  <c r="G36" i="37"/>
  <c r="H36" i="37"/>
  <c r="I36" i="37"/>
  <c r="K36" i="37"/>
  <c r="L36" i="37"/>
  <c r="M36" i="37"/>
  <c r="O36" i="37"/>
  <c r="P36" i="37"/>
  <c r="Q36" i="37"/>
  <c r="C38" i="37"/>
  <c r="D38" i="37"/>
  <c r="E38" i="37"/>
  <c r="G38" i="37"/>
  <c r="H38" i="37"/>
  <c r="I38" i="37"/>
  <c r="K38" i="37"/>
  <c r="L38" i="37"/>
  <c r="M38" i="37"/>
  <c r="O38" i="37"/>
  <c r="P38" i="37"/>
  <c r="Q38" i="37"/>
  <c r="E44" i="37"/>
  <c r="I44" i="37"/>
  <c r="E45" i="37"/>
  <c r="I45" i="37"/>
  <c r="E46" i="37"/>
  <c r="I46" i="37"/>
  <c r="E48" i="37"/>
  <c r="I48" i="37"/>
  <c r="E51" i="37"/>
  <c r="I51" i="37"/>
  <c r="E52" i="37"/>
  <c r="I52" i="37"/>
  <c r="E54" i="37"/>
  <c r="I54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8" i="36"/>
  <c r="D18" i="36"/>
  <c r="E18" i="36"/>
  <c r="G18" i="36"/>
  <c r="H18" i="36"/>
  <c r="I18" i="36"/>
  <c r="J18" i="36"/>
  <c r="K18" i="36"/>
  <c r="L18" i="36"/>
  <c r="M18" i="36"/>
  <c r="N18" i="36"/>
  <c r="O18" i="36"/>
  <c r="P18" i="36"/>
  <c r="Q18" i="36"/>
  <c r="R18" i="36"/>
  <c r="S18" i="36"/>
  <c r="T18" i="36"/>
  <c r="U18" i="36"/>
  <c r="V18" i="36"/>
  <c r="C20" i="36"/>
  <c r="D20" i="36"/>
  <c r="E20" i="36"/>
  <c r="G20" i="36"/>
  <c r="H20" i="36"/>
  <c r="I20" i="36"/>
  <c r="J20" i="36"/>
  <c r="L20" i="36"/>
  <c r="M20" i="36"/>
  <c r="N20" i="36"/>
  <c r="O20" i="36"/>
  <c r="Q20" i="36"/>
  <c r="T20" i="36"/>
  <c r="V20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V22" i="36"/>
  <c r="V23" i="36"/>
  <c r="C24" i="36"/>
  <c r="D24" i="36"/>
  <c r="E24" i="36"/>
  <c r="G24" i="36"/>
  <c r="H24" i="36"/>
  <c r="I24" i="36"/>
  <c r="J24" i="36"/>
  <c r="K24" i="36"/>
  <c r="L24" i="36"/>
  <c r="M24" i="36"/>
  <c r="N24" i="36"/>
  <c r="O24" i="36"/>
  <c r="Q24" i="36"/>
  <c r="R24" i="36"/>
  <c r="S24" i="36"/>
  <c r="T24" i="36"/>
  <c r="U24" i="36"/>
  <c r="V24" i="36"/>
  <c r="C26" i="36"/>
  <c r="D26" i="36"/>
  <c r="E26" i="36"/>
  <c r="G26" i="36"/>
  <c r="H26" i="36"/>
  <c r="I26" i="36"/>
  <c r="J26" i="36"/>
  <c r="L26" i="36"/>
  <c r="M26" i="36"/>
  <c r="N26" i="36"/>
  <c r="O26" i="36"/>
  <c r="Q26" i="36"/>
  <c r="T26" i="36"/>
  <c r="V26" i="36"/>
  <c r="C28" i="36"/>
  <c r="D28" i="36"/>
  <c r="E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G30" i="36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D1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November and December activity only</t>
        </r>
      </text>
    </comment>
    <comment ref="M21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
Add Convert Trade   ($2.5MM)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($1,790)
Total EcoElectrica (</t>
        </r>
        <r>
          <rPr>
            <u/>
            <sz val="8"/>
            <color indexed="81"/>
            <rFont val="Tahoma"/>
            <family val="2"/>
          </rPr>
          <t xml:space="preserve">$1,299)
</t>
        </r>
        <r>
          <rPr>
            <sz val="8"/>
            <color indexed="81"/>
            <rFont val="Tahoma"/>
            <family val="2"/>
          </rPr>
          <t xml:space="preserve">                             ($3,089)</t>
        </r>
      </text>
    </comment>
    <comment ref="G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
Less Drift                ($1.0MM)
Add Convertible Trd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<sst xmlns="http://schemas.openxmlformats.org/spreadsheetml/2006/main" count="505" uniqueCount="156">
  <si>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</si>
  <si>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</si>
  <si>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</si>
  <si>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</si>
  <si>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</si>
  <si>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</si>
  <si>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</si>
  <si>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</si>
  <si>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</si>
  <si>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</si>
  <si>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</si>
  <si>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</si>
  <si>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</si>
  <si>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</si>
  <si>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</si>
  <si>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</si>
  <si>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</si>
  <si>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</si>
  <si>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</si>
  <si>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</si>
  <si>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</si>
  <si>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</si>
  <si>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</si>
  <si>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</si>
  <si>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</si>
  <si>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</si>
  <si>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</si>
  <si>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</si>
  <si>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</si>
  <si>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</si>
  <si>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</si>
  <si>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</si>
  <si>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</si>
  <si>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</si>
  <si>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</si>
  <si>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</si>
  <si>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</si>
  <si>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</si>
  <si>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</si>
  <si>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</si>
  <si>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</si>
  <si>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</si>
  <si>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</si>
  <si>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</si>
  <si>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</si>
  <si>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</si>
  <si>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</si>
  <si>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</si>
  <si>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</si>
  <si>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</si>
  <si>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</si>
  <si>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</si>
  <si>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</si>
  <si>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</si>
  <si>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</si>
  <si>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</si>
  <si>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</si>
  <si>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</si>
  <si>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</si>
  <si>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</si>
  <si>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</si>
  <si>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</si>
  <si>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</si>
  <si>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</si>
  <si>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</si>
  <si>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</si>
  <si>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</si>
  <si>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</si>
  <si>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</si>
  <si>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</si>
  <si>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</si>
  <si>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</si>
  <si>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</si>
  <si>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</si>
  <si>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</si>
  <si>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</si>
  <si>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</si>
  <si>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</si>
  <si>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</si>
  <si>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</si>
  <si>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</si>
  <si>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</si>
  <si>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</si>
  <si>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</si>
  <si>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</si>
  <si>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</si>
  <si>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</si>
  <si>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</si>
  <si>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</si>
  <si>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</si>
  <si>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</si>
  <si>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</si>
  <si>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</si>
  <si>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</si>
  <si>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</si>
  <si>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</si>
  <si>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</si>
  <si>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</si>
  <si>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</si>
  <si>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</si>
  <si>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</si>
  <si>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</si>
  <si>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</si>
  <si>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</si>
  <si>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</si>
  <si>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</si>
  <si>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</si>
  <si>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</si>
  <si>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</si>
  <si>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</si>
  <si>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</si>
  <si>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</si>
  <si>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</si>
  <si>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</si>
  <si>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</si>
  <si>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</si>
  <si>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</si>
  <si>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</si>
  <si>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</si>
  <si>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</si>
  <si>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</si>
  <si>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</si>
  <si>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</si>
  <si>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</si>
  <si>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</si>
  <si>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</si>
  <si>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</si>
  <si>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</si>
  <si>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</si>
  <si>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</si>
  <si>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</si>
  <si>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</si>
  <si>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</si>
  <si>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</si>
  <si>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</si>
  <si>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</si>
  <si>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</si>
  <si>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</si>
  <si>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</si>
  <si>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</si>
  <si>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</si>
  <si>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</si>
  <si>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</si>
  <si>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</si>
  <si>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</si>
  <si>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</si>
  <si>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</si>
  <si>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Development expenses over plan</t>
  </si>
  <si>
    <t>does not include group bonus from ENA</t>
  </si>
  <si>
    <t>Weekly Change - Fav / (Unfav)</t>
  </si>
  <si>
    <t>Convertible Trading</t>
  </si>
  <si>
    <t>Increase in overhead cost; Write off UAE Atlantis Project</t>
  </si>
  <si>
    <t>Results based on activity through December 7, 2000</t>
  </si>
  <si>
    <t>McKinsey study; Diamond Tech study</t>
  </si>
  <si>
    <t>McKinsey study exp xfer to Transportation; Employee exp &amp; other allocations</t>
  </si>
  <si>
    <t>Employee cost and EEX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</si>
</sst>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6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1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17" fillId="0" borderId="13" xfId="1" applyNumberFormat="1" applyFont="1" applyFill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4" fillId="0" borderId="0" xfId="0" applyFont="1"/>
    <xf numFmtId="43" fontId="16" fillId="0" borderId="9" xfId="1" applyNumberFormat="1" applyFont="1" applyBorder="1"/>
    <xf numFmtId="165" fontId="80" fillId="0" borderId="9" xfId="1" applyNumberFormat="1" applyFont="1" applyBorder="1"/>
    <xf numFmtId="165" fontId="85" fillId="0" borderId="9" xfId="1" applyNumberFormat="1" applyFont="1" applyBorder="1"/>
    <xf numFmtId="165" fontId="85" fillId="0" borderId="13" xfId="1" applyNumberFormat="1" applyFont="1" applyBorder="1"/>
    <xf numFmtId="165" fontId="80" fillId="0" borderId="11" xfId="1" applyNumberFormat="1" applyFont="1" applyBorder="1"/>
    <xf numFmtId="165" fontId="85" fillId="0" borderId="11" xfId="1" applyNumberFormat="1" applyFont="1" applyBorder="1"/>
    <xf numFmtId="165" fontId="85" fillId="0" borderId="12" xfId="1" applyNumberFormat="1" applyFont="1" applyBorder="1"/>
    <xf numFmtId="165" fontId="17" fillId="0" borderId="6" xfId="1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45720</xdr:rowOff>
    </xdr:from>
    <xdr:to>
      <xdr:col>8</xdr:col>
      <xdr:colOff>601980</xdr:colOff>
      <xdr:row>2</xdr:row>
      <xdr:rowOff>167640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907280" y="45720"/>
          <a:ext cx="1577340" cy="3200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5</xdr:col>
      <xdr:colOff>38100</xdr:colOff>
      <xdr:row>0</xdr:row>
      <xdr:rowOff>45720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7620" y="45720"/>
          <a:ext cx="4038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632460</xdr:colOff>
      <xdr:row>3</xdr:row>
      <xdr:rowOff>106680</xdr:rowOff>
    </xdr:from>
    <xdr:to>
      <xdr:col>16</xdr:col>
      <xdr:colOff>327660</xdr:colOff>
      <xdr:row>3</xdr:row>
      <xdr:rowOff>106680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743200" y="792480"/>
          <a:ext cx="65989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426720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802880" y="0"/>
          <a:ext cx="392430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7620</xdr:colOff>
      <xdr:row>0</xdr:row>
      <xdr:rowOff>45720</xdr:rowOff>
    </xdr:from>
    <xdr:to>
      <xdr:col>8</xdr:col>
      <xdr:colOff>7620</xdr:colOff>
      <xdr:row>0</xdr:row>
      <xdr:rowOff>45720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7620" y="45720"/>
          <a:ext cx="5257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480060</xdr:colOff>
      <xdr:row>0</xdr:row>
      <xdr:rowOff>76200</xdr:rowOff>
    </xdr:from>
    <xdr:to>
      <xdr:col>21</xdr:col>
      <xdr:colOff>441960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871460" y="76200"/>
          <a:ext cx="216408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263640" y="76200"/>
          <a:ext cx="10744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1</xdr:row>
      <xdr:rowOff>76200</xdr:rowOff>
    </xdr:from>
    <xdr:to>
      <xdr:col>13</xdr:col>
      <xdr:colOff>525780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730240" y="236220"/>
          <a:ext cx="2065020" cy="3352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7620</xdr:colOff>
      <xdr:row>1</xdr:row>
      <xdr:rowOff>68580</xdr:rowOff>
    </xdr:from>
    <xdr:to>
      <xdr:col>10</xdr:col>
      <xdr:colOff>1005840</xdr:colOff>
      <xdr:row>3</xdr:row>
      <xdr:rowOff>45720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64464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7620</xdr:colOff>
      <xdr:row>1</xdr:row>
      <xdr:rowOff>68580</xdr:rowOff>
    </xdr:from>
    <xdr:to>
      <xdr:col>9</xdr:col>
      <xdr:colOff>1005840</xdr:colOff>
      <xdr:row>3</xdr:row>
      <xdr:rowOff>45720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652260" y="68580"/>
          <a:ext cx="2072640" cy="350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243840</xdr:colOff>
      <xdr:row>1</xdr:row>
      <xdr:rowOff>76200</xdr:rowOff>
    </xdr:from>
    <xdr:to>
      <xdr:col>15</xdr:col>
      <xdr:colOff>525780</xdr:colOff>
      <xdr:row>3</xdr:row>
      <xdr:rowOff>60960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429500" y="76200"/>
          <a:ext cx="1927860" cy="358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3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30"/>
    </sheetNames>
    <sheetDataSet>
      <sheetData sheetId="0"/>
      <sheetData sheetId="1"/>
      <sheetData sheetId="2">
        <row r="8">
          <cell r="C8">
            <v>-10303.617</v>
          </cell>
          <cell r="G8">
            <v>14692</v>
          </cell>
        </row>
        <row r="9">
          <cell r="C9">
            <v>4550.2783900000004</v>
          </cell>
          <cell r="G9">
            <v>4677.8999999999996</v>
          </cell>
        </row>
        <row r="10">
          <cell r="C10">
            <v>5350</v>
          </cell>
          <cell r="G10">
            <v>1498.6</v>
          </cell>
        </row>
        <row r="11">
          <cell r="C11">
            <v>2361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4.3140000000000782</v>
          </cell>
          <cell r="G13">
            <v>1807.1410000000001</v>
          </cell>
        </row>
        <row r="14">
          <cell r="C14">
            <v>0</v>
          </cell>
          <cell r="G14">
            <v>1270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132</v>
          </cell>
          <cell r="G21">
            <v>3221</v>
          </cell>
        </row>
        <row r="22">
          <cell r="C22">
            <v>-2354</v>
          </cell>
          <cell r="G22">
            <v>1056</v>
          </cell>
        </row>
        <row r="29">
          <cell r="C29">
            <v>0</v>
          </cell>
          <cell r="G29">
            <v>30934.941999999999</v>
          </cell>
        </row>
        <row r="30">
          <cell r="C30">
            <v>0</v>
          </cell>
          <cell r="G30">
            <v>-12450.415000000001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54463.468000000001</v>
          </cell>
        </row>
      </sheetData>
      <sheetData sheetId="3"/>
      <sheetData sheetId="4"/>
      <sheetData sheetId="5" refreshError="1">
        <row r="10">
          <cell r="D10">
            <v>-10174</v>
          </cell>
          <cell r="E10">
            <v>0</v>
          </cell>
          <cell r="F10">
            <v>0</v>
          </cell>
          <cell r="G10">
            <v>-129.61699999999999</v>
          </cell>
          <cell r="H10">
            <v>0</v>
          </cell>
          <cell r="K10">
            <v>0</v>
          </cell>
        </row>
        <row r="11">
          <cell r="D11">
            <v>4343</v>
          </cell>
          <cell r="E11">
            <v>127.55439000000001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5350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2361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-130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-1206.6859999999999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1444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-87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38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-54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K24">
            <v>0</v>
          </cell>
        </row>
        <row r="28">
          <cell r="D28">
            <v>0</v>
          </cell>
          <cell r="E28">
            <v>0</v>
          </cell>
          <cell r="F28">
            <v>86</v>
          </cell>
          <cell r="G28">
            <v>0</v>
          </cell>
          <cell r="H28">
            <v>0</v>
          </cell>
          <cell r="K28">
            <v>0</v>
          </cell>
        </row>
        <row r="29">
          <cell r="D29">
            <v>0</v>
          </cell>
          <cell r="E29">
            <v>0</v>
          </cell>
          <cell r="F29">
            <v>132</v>
          </cell>
          <cell r="G29">
            <v>0</v>
          </cell>
          <cell r="H29">
            <v>0</v>
          </cell>
        </row>
        <row r="30">
          <cell r="D30">
            <v>0</v>
          </cell>
          <cell r="E30">
            <v>0</v>
          </cell>
          <cell r="F30">
            <v>-2354</v>
          </cell>
          <cell r="G30">
            <v>0</v>
          </cell>
          <cell r="H30">
            <v>0</v>
          </cell>
          <cell r="K30">
            <v>0</v>
          </cell>
        </row>
        <row r="32">
          <cell r="J32">
            <v>0</v>
          </cell>
          <cell r="K32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-520</v>
          </cell>
          <cell r="H37">
            <v>0</v>
          </cell>
        </row>
        <row r="39">
          <cell r="I39">
            <v>-694.02460999999971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896.12600000000009</v>
          </cell>
          <cell r="E14">
            <v>896.12600000000009</v>
          </cell>
        </row>
        <row r="15">
          <cell r="D15">
            <v>1270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2569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30934.941999999999</v>
          </cell>
          <cell r="E29">
            <v>30334.941999999999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customWidth="1"/>
    <col min="11" max="11" width="7.6640625" style="14" hidden="1" customWidth="1"/>
    <col min="12" max="14" width="7.6640625" style="14" customWidth="1"/>
    <col min="15" max="15" width="8.33203125" style="14" customWidth="1"/>
    <col min="16" max="16" width="0.88671875" style="14" customWidth="1"/>
    <col min="17" max="17" width="9.109375" style="14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3.8">
      <c r="A2" s="312" t="s">
        <v>86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8">
      <c r="A3" s="313"/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31916.383000000002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31916.383000000002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-9285.360357188405</v>
      </c>
      <c r="P9" s="37"/>
      <c r="Q9" s="133">
        <f t="shared" ref="Q9:Q16" si="3">+J9-C9</f>
        <v>-48083.616999999998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-48684</v>
      </c>
      <c r="W9" s="32"/>
      <c r="X9" s="166"/>
    </row>
    <row r="10" spans="1:24" ht="13.5" customHeight="1">
      <c r="A10" s="107" t="s">
        <v>1</v>
      </c>
      <c r="B10" s="35"/>
      <c r="C10" s="133">
        <f>+'[1]Mgmt Summary'!C10+'[2]Mgmt Summary'!C10+'Mgmt Summary'!C10</f>
        <v>38241.559000000001</v>
      </c>
      <c r="D10" s="36">
        <f>+'[1]Mgmt Summary'!D10+'[2]Mgmt Summary'!D10+'Mgmt Summary'!D10</f>
        <v>14767.6</v>
      </c>
      <c r="E10" s="135">
        <f t="shared" si="0"/>
        <v>23473.959000000003</v>
      </c>
      <c r="F10" s="36"/>
      <c r="G10" s="133">
        <f>+'[1]Mgmt Summary'!G10+'[2]Mgmt Summary'!G10+'Mgmt Summary'!G10</f>
        <v>13495.702310000001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13495.702310000001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>
        <f>+'[1]Mgmt Summary'!N10+'[2]Mgmt Summary'!N10+'Mgmt Summary'!N10</f>
        <v>5187.6000000000004</v>
      </c>
      <c r="O10" s="136">
        <f t="shared" si="2"/>
        <v>-2891.9976900000001</v>
      </c>
      <c r="P10" s="37"/>
      <c r="Q10" s="133">
        <f t="shared" si="3"/>
        <v>-24745.856690000001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-24177</v>
      </c>
      <c r="W10" s="32"/>
    </row>
    <row r="11" spans="1:24" ht="13.5" customHeight="1">
      <c r="A11" s="107" t="s">
        <v>44</v>
      </c>
      <c r="B11" s="35"/>
      <c r="C11" s="133">
        <f>+'[1]Mgmt Summary'!C11+'[2]Mgmt Summary'!C11+'Mgmt Summary'!C11</f>
        <v>2250</v>
      </c>
      <c r="D11" s="36">
        <f>+'[1]Mgmt Summary'!D11+'[2]Mgmt Summary'!D11+'Mgmt Summary'!D11</f>
        <v>1058</v>
      </c>
      <c r="E11" s="135">
        <f t="shared" si="0"/>
        <v>1192</v>
      </c>
      <c r="F11" s="36"/>
      <c r="G11" s="133">
        <f>+'[1]Mgmt Summary'!G11+'[2]Mgmt Summary'!G11+'Mgmt Summary'!G11</f>
        <v>3524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3524</v>
      </c>
      <c r="K11" s="137"/>
      <c r="L11" s="133">
        <f>+'[1]Mgmt Summary'!L11+'[2]Mgmt Summary'!L11+'Mgmt Summary'!L11</f>
        <v>0</v>
      </c>
      <c r="M11" s="36">
        <f>+'[1]Mgmt Summary'!M11+'[2]Mgmt Summary'!M11+'Mgmt Summary'!M11</f>
        <v>1586.1</v>
      </c>
      <c r="N11" s="36">
        <f>+'[1]Mgmt Summary'!N11+'[2]Mgmt Summary'!N11+'Mgmt Summary'!N11</f>
        <v>691.1</v>
      </c>
      <c r="O11" s="136">
        <f t="shared" si="2"/>
        <v>1246.8000000000002</v>
      </c>
      <c r="P11" s="37"/>
      <c r="Q11" s="133">
        <f t="shared" si="3"/>
        <v>1274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-46</v>
      </c>
      <c r="W11" s="32"/>
    </row>
    <row r="12" spans="1:24" ht="13.5" customHeight="1">
      <c r="A12" s="107" t="s">
        <v>64</v>
      </c>
      <c r="B12" s="35"/>
      <c r="C12" s="133">
        <f>+'[1]Mgmt Summary'!C12+'[2]Mgmt Summary'!C12+'Mgmt Summary'!C12</f>
        <v>9644.4459999999999</v>
      </c>
      <c r="D12" s="36">
        <f>+'[1]Mgmt Summary'!D12+'[2]Mgmt Summary'!D12+'Mgmt Summary'!D12</f>
        <v>5097.3999999999996</v>
      </c>
      <c r="E12" s="135">
        <f t="shared" si="0"/>
        <v>4547.0460000000003</v>
      </c>
      <c r="F12" s="36"/>
      <c r="G12" s="133">
        <f>+'[1]Mgmt Summary'!G12+'[2]Mgmt Summary'!G12+'Mgmt Summary'!G12</f>
        <v>12677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12677</v>
      </c>
      <c r="K12" s="137"/>
      <c r="L12" s="133">
        <f>+'[1]Mgmt Summary'!L12+'[2]Mgmt Summary'!L12+'Mgmt Summary'!L12</f>
        <v>0</v>
      </c>
      <c r="M12" s="36">
        <f>+'[1]Mgmt Summary'!M12+'[2]Mgmt Summary'!M12+'Mgmt Summary'!M12</f>
        <v>3507.5</v>
      </c>
      <c r="N12" s="36">
        <f>+'[1]Mgmt Summary'!N12+'[2]Mgmt Summary'!N12+'Mgmt Summary'!N12</f>
        <v>2214</v>
      </c>
      <c r="O12" s="136">
        <f t="shared" si="2"/>
        <v>6955.5</v>
      </c>
      <c r="P12" s="37"/>
      <c r="Q12" s="133">
        <f t="shared" si="3"/>
        <v>3032.5540000000001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3033</v>
      </c>
      <c r="W12" s="32"/>
    </row>
    <row r="13" spans="1:24" ht="13.5" customHeight="1">
      <c r="A13" s="107" t="s">
        <v>71</v>
      </c>
      <c r="B13" s="35"/>
      <c r="C13" s="133">
        <f>+'[1]Mgmt Summary'!C13+'[2]Mgmt Summary'!C13+'Mgmt Summary'!C13</f>
        <v>23136.891</v>
      </c>
      <c r="D13" s="36">
        <f>+'[1]Mgmt Summary'!D13+'[2]Mgmt Summary'!D13+'Mgmt Summary'!D13</f>
        <v>4230.8999999999996</v>
      </c>
      <c r="E13" s="135">
        <f t="shared" si="0"/>
        <v>18905.991000000002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>
        <f>+'[1]Mgmt Summary'!M13+'[2]Mgmt Summary'!M13+'Mgmt Summary'!M13</f>
        <v>4289.8</v>
      </c>
      <c r="N13" s="36">
        <f>+'[1]Mgmt Summary'!N13+'[2]Mgmt Summary'!N13+'Mgmt Summary'!N13</f>
        <v>936.6</v>
      </c>
      <c r="O13" s="136">
        <f t="shared" si="2"/>
        <v>-4006.4</v>
      </c>
      <c r="P13" s="37"/>
      <c r="Q13" s="133">
        <f t="shared" si="3"/>
        <v>-21916.891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-22167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29377.012999999999</v>
      </c>
      <c r="D14" s="140">
        <f>+'[1]Mgmt Summary'!D14+'[2]Mgmt Summary'!D14+'Mgmt Summary'!D14</f>
        <v>8599.3410000000003</v>
      </c>
      <c r="E14" s="164">
        <f t="shared" si="0"/>
        <v>20777.671999999999</v>
      </c>
      <c r="F14" s="140"/>
      <c r="G14" s="139">
        <f>+'[1]Mgmt Summary'!G14+'[2]Mgmt Summary'!G14+'Mgmt Summary'!G14</f>
        <v>46240.192999999999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46240.192999999999</v>
      </c>
      <c r="K14" s="180"/>
      <c r="L14" s="139">
        <f>+'[1]Mgmt Summary'!L14+'[2]Mgmt Summary'!L14+'Mgmt Summary'!L14</f>
        <v>0</v>
      </c>
      <c r="M14" s="36">
        <f>+'[1]Mgmt Summary'!M14+'[2]Mgmt Summary'!M14+'Mgmt Summary'!M14</f>
        <v>3852.9260000000004</v>
      </c>
      <c r="N14" s="140">
        <f>+'[1]Mgmt Summary'!N14+'[2]Mgmt Summary'!N14+'Mgmt Summary'!N14</f>
        <v>4273.0150000000003</v>
      </c>
      <c r="O14" s="179">
        <f t="shared" si="2"/>
        <v>38114.252</v>
      </c>
      <c r="P14" s="181"/>
      <c r="Q14" s="139">
        <f t="shared" si="3"/>
        <v>16863.18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16863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>
        <f>SUM(C9:C17)</f>
        <v>192749.90900000001</v>
      </c>
      <c r="D18" s="44">
        <f>SUM(D9:D17)</f>
        <v>75933.240999999995</v>
      </c>
      <c r="E18" s="45">
        <f>+C18-D18</f>
        <v>116816.66800000002</v>
      </c>
      <c r="F18" s="36"/>
      <c r="G18" s="43">
        <f>SUM(G9:G17)</f>
        <v>109073.27830999999</v>
      </c>
      <c r="H18" s="44">
        <f>SUM(H9:H16)</f>
        <v>0</v>
      </c>
      <c r="I18" s="45">
        <f>SUM(I15:I17)</f>
        <v>0</v>
      </c>
      <c r="J18" s="46">
        <f>SUM(J9:J17)</f>
        <v>109073.27830999999</v>
      </c>
      <c r="K18" s="44">
        <f>SUM(K15:K16)</f>
        <v>0</v>
      </c>
      <c r="L18" s="43">
        <f>SUM(L9:L17)</f>
        <v>1918.5</v>
      </c>
      <c r="M18" s="44">
        <f>SUM(M9:M17)</f>
        <v>46041.056468399009</v>
      </c>
      <c r="N18" s="44">
        <f>SUM(N9:N17)</f>
        <v>31730.927888789396</v>
      </c>
      <c r="O18" s="46">
        <f>SUM(O9:O17)</f>
        <v>29382.793952811597</v>
      </c>
      <c r="P18" s="44">
        <f>SUM(P15:P16)</f>
        <v>0</v>
      </c>
      <c r="Q18" s="43">
        <f>SUM(Q9:Q17)</f>
        <v>-83676.630689999991</v>
      </c>
      <c r="R18" s="44">
        <f>SUM(R15:R17)</f>
        <v>0</v>
      </c>
      <c r="S18" s="44">
        <f>SUM(S9:S17)</f>
        <v>189</v>
      </c>
      <c r="T18" s="44">
        <f>SUM(T9:T17)</f>
        <v>-1940</v>
      </c>
      <c r="U18" s="44">
        <f>SUM(U9:U17)</f>
        <v>-600</v>
      </c>
      <c r="V18" s="45">
        <f>SUM(V9:V17)</f>
        <v>-86028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30334.941999999999</v>
      </c>
      <c r="E20" s="135">
        <f>C20-D20</f>
        <v>-30334.941999999999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>
        <f>+'[1]Mgmt Summary'!M21+'[2]Mgmt Summary'!M21+'Mgmt Summary'!M30</f>
        <v>50215.454888789405</v>
      </c>
      <c r="N20" s="36">
        <f>+'[1]Mgmt Summary'!N21+'[2]Mgmt Summary'!N21+'Mgmt Summary'!N30</f>
        <v>-19280.512888789402</v>
      </c>
      <c r="O20" s="136">
        <f>J20-K20-M20-N20-L20</f>
        <v>-30934.942000000003</v>
      </c>
      <c r="P20" s="37"/>
      <c r="Q20" s="133">
        <f>+J20-C20</f>
        <v>0</v>
      </c>
      <c r="R20" s="36"/>
      <c r="S20" s="36">
        <v>0</v>
      </c>
      <c r="T20" s="36">
        <f>Expenses!F29</f>
        <v>-600</v>
      </c>
      <c r="U20" s="36">
        <v>0</v>
      </c>
      <c r="V20" s="135">
        <f>ROUND(SUM(Q20:U20),0)</f>
        <v>-600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>
        <f>+'[1]Mgmt Summary'!D23+'[2]Mgmt Summary'!D23+'Mgmt Summary'!D33</f>
        <v>-3399</v>
      </c>
      <c r="E22" s="135">
        <f>C22-D22</f>
        <v>3399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>
        <f>+'[1]Mgmt Summary'!L23+'[2]Mgmt Summary'!L23+'Mgmt Summary'!L33</f>
        <v>-2473.5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>
        <f>J22-K22-M22-N22-L22</f>
        <v>2473.5</v>
      </c>
      <c r="P22" s="37"/>
      <c r="Q22" s="133">
        <f>+J22-C22</f>
        <v>0</v>
      </c>
      <c r="R22" s="36"/>
      <c r="S22" s="36">
        <f>'CapChrg-AllocExp'!F28</f>
        <v>-816</v>
      </c>
      <c r="T22" s="36">
        <v>0</v>
      </c>
      <c r="U22" s="36">
        <v>0</v>
      </c>
      <c r="V22" s="135">
        <f>ROUND(SUM(Q22:U22),0)</f>
        <v>-816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>
        <f>SUM(C18:C23)</f>
        <v>191022.08200000002</v>
      </c>
      <c r="D24" s="44">
        <f>SUM(D18:D23)</f>
        <v>102869.18299999999</v>
      </c>
      <c r="E24" s="45">
        <f>SUM(E18:E23)</f>
        <v>88152.899000000019</v>
      </c>
      <c r="F24" s="36"/>
      <c r="G24" s="43">
        <f t="shared" ref="G24:N24" si="5">SUM(G18:G23)</f>
        <v>107345.45130999999</v>
      </c>
      <c r="H24" s="44">
        <f t="shared" si="5"/>
        <v>0</v>
      </c>
      <c r="I24" s="44">
        <f t="shared" si="5"/>
        <v>0</v>
      </c>
      <c r="J24" s="46">
        <f t="shared" si="5"/>
        <v>107345.45130999999</v>
      </c>
      <c r="K24" s="44">
        <f t="shared" si="5"/>
        <v>0</v>
      </c>
      <c r="L24" s="43">
        <f t="shared" si="5"/>
        <v>-555</v>
      </c>
      <c r="M24" s="44">
        <f t="shared" si="5"/>
        <v>96256.511357188414</v>
      </c>
      <c r="N24" s="44">
        <f t="shared" si="5"/>
        <v>12450.414999999994</v>
      </c>
      <c r="O24" s="46">
        <f>J24-K24-M24-N24-L24</f>
        <v>-806.4750471884181</v>
      </c>
      <c r="P24" s="37"/>
      <c r="Q24" s="43">
        <f t="shared" ref="Q24:V24" si="6">SUM(Q18:Q23)</f>
        <v>-83676.630689999991</v>
      </c>
      <c r="R24" s="44">
        <f t="shared" si="6"/>
        <v>0</v>
      </c>
      <c r="S24" s="44">
        <f t="shared" si="6"/>
        <v>-627</v>
      </c>
      <c r="T24" s="44">
        <f t="shared" si="6"/>
        <v>-2540</v>
      </c>
      <c r="U24" s="44">
        <f t="shared" si="6"/>
        <v>-600</v>
      </c>
      <c r="V24" s="45">
        <f t="shared" si="6"/>
        <v>-87444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-1363</v>
      </c>
      <c r="E26" s="135">
        <f>C26-D26</f>
        <v>1363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-1363</v>
      </c>
      <c r="N26" s="36">
        <f>+'[1]Mgmt Summary'!N27+'[2]Mgmt Summary'!N27+'Mgmt Summary'!N37</f>
        <v>0</v>
      </c>
      <c r="O26" s="136">
        <f>J26-K26-M26-N26-L26</f>
        <v>1363</v>
      </c>
      <c r="P26" s="37"/>
      <c r="Q26" s="133">
        <f>+J26-C26</f>
        <v>0</v>
      </c>
      <c r="R26" s="36"/>
      <c r="S26" s="36">
        <v>0</v>
      </c>
      <c r="T26" s="36">
        <f>D26-M26</f>
        <v>0</v>
      </c>
      <c r="U26" s="36">
        <v>0</v>
      </c>
      <c r="V26" s="135">
        <f>ROUND(SUM(Q26:U26),0)</f>
        <v>0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>
        <f>SUM(C24:C26)</f>
        <v>191022.08200000002</v>
      </c>
      <c r="D28" s="40">
        <f>SUM(D24:D26)</f>
        <v>101506.18299999999</v>
      </c>
      <c r="E28" s="41">
        <f>SUM(E24:E26)</f>
        <v>89515.899000000019</v>
      </c>
      <c r="F28" s="36"/>
      <c r="G28" s="39">
        <f t="shared" ref="G28:N28" si="7">SUM(G24:G26)</f>
        <v>107345.45130999999</v>
      </c>
      <c r="H28" s="40">
        <f t="shared" si="7"/>
        <v>0</v>
      </c>
      <c r="I28" s="40">
        <f t="shared" si="7"/>
        <v>0</v>
      </c>
      <c r="J28" s="42">
        <f t="shared" si="7"/>
        <v>107345.45130999999</v>
      </c>
      <c r="K28" s="40">
        <f t="shared" si="7"/>
        <v>0</v>
      </c>
      <c r="L28" s="39">
        <f t="shared" si="7"/>
        <v>-555</v>
      </c>
      <c r="M28" s="40">
        <f t="shared" si="7"/>
        <v>94893.511357188414</v>
      </c>
      <c r="N28" s="40">
        <f t="shared" si="7"/>
        <v>12450.414999999994</v>
      </c>
      <c r="O28" s="42">
        <f>J28-K28-M28-N28-L28</f>
        <v>556.5249528115819</v>
      </c>
      <c r="P28" s="37"/>
      <c r="Q28" s="39">
        <f t="shared" ref="Q28:V28" si="8">SUM(Q24:Q26)</f>
        <v>-83676.630689999991</v>
      </c>
      <c r="R28" s="40">
        <f t="shared" si="8"/>
        <v>0</v>
      </c>
      <c r="S28" s="40">
        <f t="shared" si="8"/>
        <v>-627</v>
      </c>
      <c r="T28" s="40">
        <f t="shared" si="8"/>
        <v>-2540</v>
      </c>
      <c r="U28" s="40">
        <f t="shared" si="8"/>
        <v>-600</v>
      </c>
      <c r="V28" s="41">
        <f t="shared" si="8"/>
        <v>-87444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8" hidden="1">
      <c r="A30" s="66"/>
      <c r="C30" s="67"/>
      <c r="D30" s="23"/>
      <c r="E30" s="66" t="s">
        <v>53</v>
      </c>
      <c r="F30" s="23"/>
      <c r="G30" s="68">
        <f>+'GM-WeeklyChnge'!C44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K46" sqref="K46"/>
    </sheetView>
  </sheetViews>
  <sheetFormatPr defaultRowHeight="13.2"/>
  <cols>
    <col min="1" max="1" width="32.4414062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7" width="10.6640625" customWidth="1"/>
    <col min="8" max="8" width="9.6640625" customWidth="1"/>
    <col min="9" max="9" width="9.33203125" customWidth="1"/>
  </cols>
  <sheetData>
    <row r="1" spans="1:9" ht="12.75" hidden="1" customHeight="1"/>
    <row r="2" spans="1:9" ht="15.6">
      <c r="A2" s="288" t="s">
        <v>70</v>
      </c>
      <c r="B2" s="288"/>
      <c r="C2" s="288"/>
      <c r="D2" s="288"/>
      <c r="E2" s="288"/>
      <c r="F2" s="288"/>
      <c r="G2" s="288"/>
      <c r="H2" s="288"/>
      <c r="I2" s="288"/>
    </row>
    <row r="3" spans="1:9" ht="15.6">
      <c r="A3" s="289" t="s">
        <v>142</v>
      </c>
      <c r="B3" s="288"/>
      <c r="C3" s="288"/>
      <c r="D3" s="288"/>
      <c r="E3" s="288"/>
      <c r="F3" s="288"/>
      <c r="G3" s="288"/>
      <c r="H3" s="288"/>
      <c r="I3" s="288"/>
    </row>
    <row r="4" spans="1:9" ht="13.8">
      <c r="A4" s="289" t="str">
        <f>+GrossMargin!B4</f>
        <v>Results based on activity through December 7, 2000</v>
      </c>
      <c r="B4" s="289"/>
      <c r="C4" s="289"/>
      <c r="D4" s="289"/>
      <c r="E4" s="289"/>
      <c r="F4" s="289"/>
      <c r="G4" s="289"/>
      <c r="H4" s="289"/>
      <c r="I4" s="289"/>
    </row>
    <row r="5" spans="1:9" ht="3" customHeight="1"/>
    <row r="6" spans="1:9" s="50" customFormat="1" ht="12">
      <c r="A6" s="124"/>
      <c r="C6" s="320" t="s">
        <v>13</v>
      </c>
      <c r="D6" s="321"/>
      <c r="E6" s="322"/>
      <c r="G6" s="320" t="s">
        <v>26</v>
      </c>
      <c r="H6" s="321"/>
      <c r="I6" s="322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129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292" t="s">
        <v>137</v>
      </c>
      <c r="B11" s="172"/>
      <c r="C11" s="290">
        <f>+C9</f>
        <v>0</v>
      </c>
      <c r="D11" s="29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132</v>
      </c>
      <c r="B13" s="172"/>
      <c r="C13" s="159">
        <v>0</v>
      </c>
      <c r="D13" s="173">
        <v>0</v>
      </c>
      <c r="E13" s="177">
        <f>D13-C13</f>
        <v>0</v>
      </c>
      <c r="F13" s="52"/>
      <c r="G13" s="159">
        <f>+'CapChrg-AllocExp'!D11*0+H13</f>
        <v>847</v>
      </c>
      <c r="H13" s="173">
        <f>+'CapChrg-AllocExp'!E11</f>
        <v>847</v>
      </c>
      <c r="I13" s="177">
        <f>H13-G13</f>
        <v>0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292" t="s">
        <v>138</v>
      </c>
      <c r="B15" s="172"/>
      <c r="C15" s="290">
        <f>+C13</f>
        <v>0</v>
      </c>
      <c r="D15" s="291">
        <f>+D13</f>
        <v>0</v>
      </c>
      <c r="E15" s="183">
        <f>+E13</f>
        <v>0</v>
      </c>
      <c r="F15" s="52"/>
      <c r="G15" s="56">
        <f>+G13</f>
        <v>847</v>
      </c>
      <c r="H15" s="57">
        <f>+H13</f>
        <v>847</v>
      </c>
      <c r="I15" s="183">
        <f>+I13</f>
        <v>0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130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292" t="s">
        <v>139</v>
      </c>
      <c r="B19" s="172"/>
      <c r="C19" s="290">
        <f>+C17</f>
        <v>0</v>
      </c>
      <c r="D19" s="29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131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292" t="s">
        <v>140</v>
      </c>
      <c r="B23" s="172"/>
      <c r="C23" s="290">
        <f>+C21</f>
        <v>0</v>
      </c>
      <c r="D23" s="291">
        <f>+D21</f>
        <v>0</v>
      </c>
      <c r="E23" s="183">
        <f>+E21</f>
        <v>0</v>
      </c>
      <c r="F23" s="52"/>
      <c r="G23" s="56">
        <f>SUM(G21:G21)</f>
        <v>652</v>
      </c>
      <c r="H23" s="57">
        <f>SUM(H21:H21)</f>
        <v>652</v>
      </c>
      <c r="I23" s="183">
        <f>SUM(I21:I21)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133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134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135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136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144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292" t="s">
        <v>143</v>
      </c>
      <c r="B31" s="172"/>
      <c r="C31" s="290">
        <f>SUM(C25:C30)</f>
        <v>0</v>
      </c>
      <c r="D31" s="29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141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>
        <f>+G11+G15+G19+G23+G31</f>
        <v>2049</v>
      </c>
      <c r="H34" s="48">
        <f>+H11+H15+H19+H23+H31</f>
        <v>2049</v>
      </c>
      <c r="I34" s="49">
        <f>+I11+I15+I19+I23+I31</f>
        <v>0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29" t="s">
        <v>49</v>
      </c>
      <c r="D37" s="330"/>
      <c r="E37" s="331"/>
      <c r="F37" s="31"/>
      <c r="G37" s="329"/>
      <c r="H37" s="330"/>
      <c r="I37" s="331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61"/>
      <c r="F44" s="1"/>
      <c r="G44" s="1"/>
      <c r="H44" s="1"/>
      <c r="I44" s="26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3.2"/>
  <cols>
    <col min="1" max="1" width="16.88671875" style="10" customWidth="1"/>
    <col min="2" max="2" width="31.88671875" bestFit="1" customWidth="1"/>
    <col min="3" max="3" width="1.6640625" customWidth="1"/>
    <col min="4" max="6" width="10.6640625" customWidth="1"/>
    <col min="7" max="7" width="1.6640625" customWidth="1"/>
    <col min="8" max="10" width="10.6640625" customWidth="1"/>
    <col min="11" max="11" width="1.6640625" customWidth="1"/>
    <col min="12" max="14" width="10.6640625" customWidth="1"/>
  </cols>
  <sheetData>
    <row r="1" spans="1:40" ht="15.6">
      <c r="A1" s="10" t="s">
        <v>43</v>
      </c>
      <c r="B1" s="338" t="s">
        <v>70</v>
      </c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</row>
    <row r="2" spans="1:40" ht="13.8">
      <c r="A2" s="10" t="s">
        <v>45</v>
      </c>
      <c r="B2" s="339" t="s">
        <v>67</v>
      </c>
      <c r="C2" s="339"/>
      <c r="D2" s="339"/>
      <c r="E2" s="339"/>
      <c r="F2" s="339"/>
      <c r="G2" s="339"/>
      <c r="H2" s="339"/>
      <c r="I2" s="339"/>
      <c r="J2" s="339"/>
      <c r="K2" s="339"/>
      <c r="L2" s="339"/>
      <c r="M2" s="339"/>
      <c r="N2" s="339"/>
    </row>
    <row r="3" spans="1:40">
      <c r="A3" s="10" t="s">
        <v>46</v>
      </c>
      <c r="B3" s="340"/>
      <c r="C3" s="340"/>
      <c r="D3" s="340"/>
      <c r="E3" s="340"/>
      <c r="F3" s="340"/>
      <c r="G3" s="340"/>
      <c r="H3" s="340"/>
      <c r="I3" s="340"/>
      <c r="J3" s="340"/>
      <c r="K3" s="340"/>
      <c r="L3" s="340"/>
      <c r="M3" s="340"/>
      <c r="N3" s="340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5" t="s">
        <v>65</v>
      </c>
      <c r="E6" s="336"/>
      <c r="F6" s="337"/>
      <c r="G6" s="1"/>
      <c r="H6" s="335" t="s">
        <v>66</v>
      </c>
      <c r="I6" s="336"/>
      <c r="J6" s="337"/>
      <c r="K6" s="1"/>
      <c r="L6" s="335" t="s">
        <v>38</v>
      </c>
      <c r="M6" s="336"/>
      <c r="N6" s="33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>
        <f>_xll.HPVAL($A10,$A$18,$A$2,$A$5,$A$6,$A$7)</f>
        <v>0</v>
      </c>
      <c r="E10" s="161">
        <f>_xll.HPVAL($A10,$A$18,$A$3,$A$5,$A$6,$A$7)</f>
        <v>0</v>
      </c>
      <c r="F10" s="162">
        <f t="shared" si="0"/>
        <v>0</v>
      </c>
      <c r="G10" s="52"/>
      <c r="H10" s="160">
        <f>_xll.HPVAL($A10,$A$1,$A$2,$A$5,$A$6,$A$7)</f>
        <v>24</v>
      </c>
      <c r="I10" s="161">
        <f>_xll.HPVAL($A10,$A$1,$A$3,$A$5,$A$6,$A$7)</f>
        <v>17</v>
      </c>
      <c r="J10" s="162">
        <f t="shared" si="1"/>
        <v>41</v>
      </c>
      <c r="K10" s="50"/>
      <c r="L10" s="160">
        <f t="shared" si="2"/>
        <v>-24</v>
      </c>
      <c r="M10" s="161">
        <f t="shared" si="3"/>
        <v>-17</v>
      </c>
      <c r="N10" s="162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>
        <f>_xll.HPVAL($A11,$A$18,$A$2,$A$5,$A$6,$A$7)</f>
        <v>0</v>
      </c>
      <c r="E11" s="161">
        <f>_xll.HPVAL($A11,$A$18,$A$3,$A$5,$A$6,$A$7)</f>
        <v>0</v>
      </c>
      <c r="F11" s="162">
        <f t="shared" si="0"/>
        <v>0</v>
      </c>
      <c r="G11" s="52"/>
      <c r="H11" s="160">
        <f>_xll.HPVAL($A11,$A$1,$A$2,$A$5,$A$6,$A$7)</f>
        <v>1</v>
      </c>
      <c r="I11" s="161">
        <f>_xll.HPVAL($A11,$A$1,$A$3,$A$5,$A$6,$A$7)</f>
        <v>1</v>
      </c>
      <c r="J11" s="162">
        <f t="shared" si="1"/>
        <v>2</v>
      </c>
      <c r="K11" s="50"/>
      <c r="L11" s="160">
        <f t="shared" si="2"/>
        <v>-1</v>
      </c>
      <c r="M11" s="161">
        <f t="shared" si="3"/>
        <v>-1</v>
      </c>
      <c r="N11" s="162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>
        <f>_xll.HPVAL($A12,$A$18,$A$2,$A$5,$A$6,$A$7)</f>
        <v>0</v>
      </c>
      <c r="E12" s="161">
        <f>_xll.HPVAL($A12,$A$18,$A$3,$A$5,$A$6,$A$7)</f>
        <v>0</v>
      </c>
      <c r="F12" s="162">
        <f t="shared" si="0"/>
        <v>0</v>
      </c>
      <c r="G12" s="52"/>
      <c r="H12" s="160">
        <f>_xll.HPVAL($A12,$A$1,$A$2,$A$5,$A$6,$A$7)</f>
        <v>9</v>
      </c>
      <c r="I12" s="161">
        <f>_xll.HPVAL($A12,$A$1,$A$3,$A$5,$A$6,$A$7)</f>
        <v>14</v>
      </c>
      <c r="J12" s="162">
        <f t="shared" si="1"/>
        <v>23</v>
      </c>
      <c r="K12" s="50"/>
      <c r="L12" s="160">
        <f t="shared" si="2"/>
        <v>-9</v>
      </c>
      <c r="M12" s="161">
        <f t="shared" si="3"/>
        <v>-14</v>
      </c>
      <c r="N12" s="162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>
        <f>_xll.HPVAL($A13,$A$18,$A$2,$A$5,$A$6,$A$7)</f>
        <v>0</v>
      </c>
      <c r="E13" s="161">
        <f>_xll.HPVAL($A13,$A$18,$A$3,$A$5,$A$6,$A$7)</f>
        <v>0</v>
      </c>
      <c r="F13" s="162">
        <f t="shared" si="0"/>
        <v>0</v>
      </c>
      <c r="G13" s="52"/>
      <c r="H13" s="160">
        <f>_xll.HPVAL($A13,$A$1,$A$2,$A$5,$A$6,$A$7)</f>
        <v>12</v>
      </c>
      <c r="I13" s="161">
        <f>_xll.HPVAL($A13,$A$1,$A$3,$A$5,$A$6,$A$7)</f>
        <v>15</v>
      </c>
      <c r="J13" s="162">
        <f t="shared" si="1"/>
        <v>27</v>
      </c>
      <c r="K13" s="50"/>
      <c r="L13" s="160">
        <f t="shared" si="2"/>
        <v>-12</v>
      </c>
      <c r="M13" s="161">
        <f t="shared" si="3"/>
        <v>-15</v>
      </c>
      <c r="N13" s="162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>
        <f>_xll.HPVAL($A14,$A$18,$A$2,$A$5,$A$6,$A$7)</f>
        <v>0</v>
      </c>
      <c r="E14" s="161">
        <f>_xll.HPVAL($A14,$A$18,$A$3,$A$5,$A$6,$A$7)</f>
        <v>0</v>
      </c>
      <c r="F14" s="162">
        <f t="shared" si="0"/>
        <v>0</v>
      </c>
      <c r="G14" s="52"/>
      <c r="H14" s="160">
        <f>_xll.HPVAL($A14,$A$1,$A$2,$A$5,$A$6,$A$7)</f>
        <v>10</v>
      </c>
      <c r="I14" s="161">
        <f>_xll.HPVAL($A14,$A$1,$A$3,$A$5,$A$6,$A$7)</f>
        <v>8</v>
      </c>
      <c r="J14" s="162">
        <f t="shared" si="1"/>
        <v>18</v>
      </c>
      <c r="K14" s="50"/>
      <c r="L14" s="160">
        <f t="shared" si="2"/>
        <v>-10</v>
      </c>
      <c r="M14" s="161">
        <f t="shared" si="3"/>
        <v>-8</v>
      </c>
      <c r="N14" s="162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145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7127.7023100000006</v>
      </c>
      <c r="D8" s="226">
        <f>+'Mgmt Summary'!C10</f>
        <v>12747.159</v>
      </c>
      <c r="E8" s="227">
        <f>-D8+C8</f>
        <v>-5619.4566899999991</v>
      </c>
      <c r="F8" s="228"/>
      <c r="G8" s="225">
        <f>+Expenses!D10+'CapChrg-AllocExp'!K11+'CapChrg-AllocExp'!D11</f>
        <v>4677.8999999999996</v>
      </c>
      <c r="H8" s="226">
        <f>+Expenses!E10+'CapChrg-AllocExp'!L11+'CapChrg-AllocExp'!E11</f>
        <v>5246.9</v>
      </c>
      <c r="I8" s="227">
        <f>+H8-G8</f>
        <v>569</v>
      </c>
      <c r="J8" s="228"/>
      <c r="K8" s="225">
        <f t="shared" ref="K8:L12" si="0">C8-G8</f>
        <v>2449.8023100000009</v>
      </c>
      <c r="L8" s="226">
        <f t="shared" si="0"/>
        <v>7500.259</v>
      </c>
      <c r="M8" s="227">
        <f>K8-L8</f>
        <v>-5050.4566899999991</v>
      </c>
      <c r="N8" s="295"/>
      <c r="O8" s="225">
        <f>+C8-'[3]QTD Mgmt Summary'!C9</f>
        <v>2577.4239200000002</v>
      </c>
      <c r="P8" s="226">
        <f>+G8-'[3]QTD Mgmt Summary'!G9</f>
        <v>0</v>
      </c>
      <c r="Q8" s="227">
        <f>O8-P8</f>
        <v>2577.4239200000002</v>
      </c>
    </row>
    <row r="9" spans="1:22" s="32" customFormat="1" ht="13.5" customHeight="1">
      <c r="A9" s="223" t="s">
        <v>44</v>
      </c>
      <c r="B9" s="224"/>
      <c r="C9" s="225">
        <f>+'Mgmt Summary'!J11</f>
        <v>6768</v>
      </c>
      <c r="D9" s="226">
        <f>+'Mgmt Summary'!C11</f>
        <v>750</v>
      </c>
      <c r="E9" s="227">
        <f>-D9+C9</f>
        <v>6018</v>
      </c>
      <c r="F9" s="228"/>
      <c r="G9" s="225">
        <f>+Expenses!D11+'CapChrg-AllocExp'!K12+'CapChrg-AllocExp'!D12</f>
        <v>1698.6</v>
      </c>
      <c r="H9" s="226">
        <f>+Expenses!E11+'CapChrg-AllocExp'!L12+'CapChrg-AllocExp'!E12</f>
        <v>378.6</v>
      </c>
      <c r="I9" s="227">
        <f>+H9-G9</f>
        <v>-1320</v>
      </c>
      <c r="J9" s="228"/>
      <c r="K9" s="225">
        <f t="shared" si="0"/>
        <v>5069.3999999999996</v>
      </c>
      <c r="L9" s="226">
        <f t="shared" si="0"/>
        <v>371.4</v>
      </c>
      <c r="M9" s="227">
        <f>K9-L9</f>
        <v>4698</v>
      </c>
      <c r="N9" s="295"/>
      <c r="O9" s="225">
        <f>+C9-'[3]QTD Mgmt Summary'!C10</f>
        <v>1418</v>
      </c>
      <c r="P9" s="226">
        <f>+G9-'[3]QTD Mgmt Summary'!G10</f>
        <v>200</v>
      </c>
      <c r="Q9" s="227">
        <f>O9-P9</f>
        <v>1218</v>
      </c>
    </row>
    <row r="10" spans="1:22" s="32" customFormat="1" ht="13.5" customHeight="1">
      <c r="A10" s="223" t="s">
        <v>64</v>
      </c>
      <c r="B10" s="224"/>
      <c r="C10" s="225">
        <f>+'Mgmt Summary'!J12</f>
        <v>3217</v>
      </c>
      <c r="D10" s="226">
        <f>+'Mgmt Summary'!C12</f>
        <v>3214.846</v>
      </c>
      <c r="E10" s="227">
        <f>-D10+C10</f>
        <v>2.1539999999999964</v>
      </c>
      <c r="F10" s="228"/>
      <c r="G10" s="225">
        <f>+Expenses!D12+'CapChrg-AllocExp'!K13+'CapChrg-AllocExp'!D13</f>
        <v>1714.8000000000002</v>
      </c>
      <c r="H10" s="226">
        <f>+Expenses!E12+'CapChrg-AllocExp'!L13+'CapChrg-AllocExp'!E13</f>
        <v>1714.8000000000002</v>
      </c>
      <c r="I10" s="227">
        <f>+H10-G10</f>
        <v>0</v>
      </c>
      <c r="J10" s="228"/>
      <c r="K10" s="225">
        <f t="shared" si="0"/>
        <v>1502.1999999999998</v>
      </c>
      <c r="L10" s="226">
        <f t="shared" si="0"/>
        <v>1500.0459999999998</v>
      </c>
      <c r="M10" s="227">
        <f>K10-L10</f>
        <v>2.1539999999999964</v>
      </c>
      <c r="N10" s="295"/>
      <c r="O10" s="225">
        <f>+C10-'[3]QTD Mgmt Summary'!C11</f>
        <v>856</v>
      </c>
      <c r="P10" s="226">
        <f>+G10-'[3]QTD Mgmt Summary'!G11</f>
        <v>0</v>
      </c>
      <c r="Q10" s="227">
        <f>O10-P10</f>
        <v>856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>
        <f>+'Mgmt Summary'!C13</f>
        <v>7712.2910000000002</v>
      </c>
      <c r="E11" s="227">
        <f>-D11+C11</f>
        <v>-7712.2910000000002</v>
      </c>
      <c r="F11" s="228"/>
      <c r="G11" s="225">
        <f>+Expenses!D13+'CapChrg-AllocExp'!K14+'CapChrg-AllocExp'!D14</f>
        <v>1929.5</v>
      </c>
      <c r="H11" s="226">
        <f>+Expenses!E13+'CapChrg-AllocExp'!L14+'CapChrg-AllocExp'!E14</f>
        <v>1679.5</v>
      </c>
      <c r="I11" s="227">
        <f>+H11-G11</f>
        <v>-250</v>
      </c>
      <c r="J11" s="228"/>
      <c r="K11" s="225">
        <f t="shared" si="0"/>
        <v>-1929.5</v>
      </c>
      <c r="L11" s="226">
        <f t="shared" si="0"/>
        <v>6032.7910000000002</v>
      </c>
      <c r="M11" s="227">
        <f>K11-L11</f>
        <v>-7962.2910000000002</v>
      </c>
      <c r="N11" s="295"/>
      <c r="O11" s="225">
        <f>+C11-'[3]QTD Mgmt Summary'!C12</f>
        <v>0</v>
      </c>
      <c r="P11" s="226">
        <f>+G11-'[3]QTD Mgmt Summary'!G12</f>
        <v>250</v>
      </c>
      <c r="Q11" s="227">
        <f>O11-P11</f>
        <v>-250</v>
      </c>
    </row>
    <row r="12" spans="1:22" s="32" customFormat="1" ht="13.5" customHeight="1">
      <c r="A12" s="223" t="s">
        <v>50</v>
      </c>
      <c r="B12" s="224"/>
      <c r="C12" s="225">
        <f>+'Mgmt Summary'!J14</f>
        <v>125.49299999999994</v>
      </c>
      <c r="D12" s="226">
        <f>+'Mgmt Summary'!C14</f>
        <v>11483.213</v>
      </c>
      <c r="E12" s="227">
        <f>-D12+C12</f>
        <v>-11357.72</v>
      </c>
      <c r="F12" s="228"/>
      <c r="G12" s="225">
        <f>+Expenses!D14+'CapChrg-AllocExp'!K15+'CapChrg-AllocExp'!D15</f>
        <v>1807.1410000000001</v>
      </c>
      <c r="H12" s="226">
        <f>+Expenses!E14+'CapChrg-AllocExp'!L15+'CapChrg-AllocExp'!E15</f>
        <v>1807.1410000000001</v>
      </c>
      <c r="I12" s="227">
        <f>+H12-G12</f>
        <v>0</v>
      </c>
      <c r="J12" s="228"/>
      <c r="K12" s="225">
        <f t="shared" si="0"/>
        <v>-1681.6480000000001</v>
      </c>
      <c r="L12" s="226">
        <f t="shared" si="0"/>
        <v>9676.0720000000001</v>
      </c>
      <c r="M12" s="227">
        <f>K12-L12</f>
        <v>-11357.720000000001</v>
      </c>
      <c r="N12" s="295"/>
      <c r="O12" s="225">
        <f>+C12-'[3]QTD Mgmt Summary'!C13</f>
        <v>121.17899999999986</v>
      </c>
      <c r="P12" s="226">
        <f>+G12-'[3]QTD Mgmt Summary'!G13</f>
        <v>0</v>
      </c>
      <c r="Q12" s="227">
        <f>O12-P12</f>
        <v>121.17899999999986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294"/>
      <c r="O13" s="215"/>
      <c r="P13" s="216"/>
      <c r="Q13" s="217"/>
    </row>
    <row r="14" spans="1:22" s="220" customFormat="1" ht="13.8">
      <c r="A14" s="229" t="s">
        <v>3</v>
      </c>
      <c r="B14" s="219"/>
      <c r="C14" s="234">
        <f t="shared" ref="C14:M14" si="1">SUM(C8:C13)</f>
        <v>17238.195309999999</v>
      </c>
      <c r="D14" s="235">
        <f t="shared" si="1"/>
        <v>35907.509000000005</v>
      </c>
      <c r="E14" s="236">
        <f t="shared" si="1"/>
        <v>-18669.313689999999</v>
      </c>
      <c r="F14" s="237">
        <f t="shared" si="1"/>
        <v>0</v>
      </c>
      <c r="G14" s="234">
        <f t="shared" si="1"/>
        <v>11827.940999999999</v>
      </c>
      <c r="H14" s="235">
        <f t="shared" si="1"/>
        <v>10826.940999999999</v>
      </c>
      <c r="I14" s="236">
        <f t="shared" si="1"/>
        <v>-1001</v>
      </c>
      <c r="J14" s="237">
        <f t="shared" si="1"/>
        <v>0</v>
      </c>
      <c r="K14" s="234">
        <f t="shared" si="1"/>
        <v>5410.2543100000012</v>
      </c>
      <c r="L14" s="235">
        <f t="shared" si="1"/>
        <v>25080.567999999999</v>
      </c>
      <c r="M14" s="236">
        <f t="shared" si="1"/>
        <v>-19670.313690000003</v>
      </c>
      <c r="N14" s="296"/>
      <c r="O14" s="234">
        <f>SUM(O8:O13)</f>
        <v>4972.6029200000003</v>
      </c>
      <c r="P14" s="235">
        <f>SUM(P8:P13)</f>
        <v>450</v>
      </c>
      <c r="Q14" s="236">
        <f>SUM(Q8:Q13)</f>
        <v>4522.6029200000003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294"/>
      <c r="O15" s="215"/>
      <c r="P15" s="216"/>
      <c r="Q15" s="217"/>
    </row>
    <row r="16" spans="1:22" s="32" customFormat="1" ht="13.5" customHeight="1">
      <c r="A16" s="223" t="s">
        <v>112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>
        <f>+Expenses!D10+Expenses!D11+Expenses!D12+Expenses!D13+Expenses!D14+'CapChrg-AllocExp'!D11+'CapChrg-AllocExp'!K11+'CapChrg-AllocExp'!K12+'CapChrg-AllocExp'!K13+'CapChrg-AllocExp'!K14+'CapChrg-AllocExp'!K15</f>
        <v>11827.941000000001</v>
      </c>
      <c r="H16" s="226">
        <f>+Expenses!E10+Expenses!E11+Expenses!E12+Expenses!E13+Expenses!E14+'CapChrg-AllocExp'!E11+'CapChrg-AllocExp'!L11+'CapChrg-AllocExp'!L12+'CapChrg-AllocExp'!L13+'CapChrg-AllocExp'!L14+'CapChrg-AllocExp'!L15</f>
        <v>10826.941000000001</v>
      </c>
      <c r="I16" s="227">
        <f>+H16-G16</f>
        <v>-1001</v>
      </c>
      <c r="J16" s="228"/>
      <c r="K16" s="225">
        <f t="shared" ref="K16:L19" si="2">C16-G16</f>
        <v>-11827.941000000001</v>
      </c>
      <c r="L16" s="226">
        <f t="shared" si="2"/>
        <v>-10826.941000000001</v>
      </c>
      <c r="M16" s="227">
        <f>K16-L16</f>
        <v>-1001</v>
      </c>
      <c r="N16" s="295"/>
      <c r="O16" s="225">
        <f>+C16-'[3]QTD Mgmt Summary'!C29</f>
        <v>0</v>
      </c>
      <c r="P16" s="226">
        <f>+G16-'[3]QTD Mgmt Summary'!G29</f>
        <v>-19107.000999999997</v>
      </c>
      <c r="Q16" s="227">
        <f>O16-P16</f>
        <v>19107.000999999997</v>
      </c>
    </row>
    <row r="17" spans="1:17" s="32" customFormat="1" ht="13.5" customHeight="1">
      <c r="A17" s="223" t="s">
        <v>103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>
        <f>-G16</f>
        <v>-11827.941000000001</v>
      </c>
      <c r="H17" s="226">
        <f>-H16</f>
        <v>-10826.941000000001</v>
      </c>
      <c r="I17" s="227">
        <f>+H17-G17</f>
        <v>1001</v>
      </c>
      <c r="J17" s="228"/>
      <c r="K17" s="225">
        <f t="shared" si="2"/>
        <v>11827.941000000001</v>
      </c>
      <c r="L17" s="226">
        <f t="shared" si="2"/>
        <v>10826.941000000001</v>
      </c>
      <c r="M17" s="227">
        <f>K17-L17</f>
        <v>1001</v>
      </c>
      <c r="N17" s="295"/>
      <c r="O17" s="225">
        <f>+C17-'[3]QTD Mgmt Summary'!C30</f>
        <v>0</v>
      </c>
      <c r="P17" s="226">
        <f>+G17-'[3]QTD Mgmt Summary'!G30</f>
        <v>622.47400000000016</v>
      </c>
      <c r="Q17" s="227">
        <f>O17-P17</f>
        <v>-622.47400000000016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29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>
        <f>-'CapChrg-AllocExp'!E11</f>
        <v>-847</v>
      </c>
      <c r="I19" s="227">
        <f>+H19-G19</f>
        <v>-189</v>
      </c>
      <c r="J19" s="228"/>
      <c r="K19" s="225">
        <f t="shared" si="2"/>
        <v>658</v>
      </c>
      <c r="L19" s="226">
        <f t="shared" si="2"/>
        <v>847</v>
      </c>
      <c r="M19" s="227">
        <f>K19-L19</f>
        <v>-189</v>
      </c>
      <c r="N19" s="29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94"/>
      <c r="O20" s="215"/>
      <c r="P20" s="216"/>
      <c r="Q20" s="217"/>
    </row>
    <row r="21" spans="1:17" s="220" customFormat="1" ht="13.8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>
        <f>SUM(G16:G19)</f>
        <v>-658</v>
      </c>
      <c r="H21" s="235">
        <f>SUM(H16:H19)</f>
        <v>-847</v>
      </c>
      <c r="I21" s="236">
        <f>SUM(I16:I19)</f>
        <v>-189</v>
      </c>
      <c r="J21" s="237"/>
      <c r="K21" s="234">
        <f>SUM(K16:K19)</f>
        <v>138</v>
      </c>
      <c r="L21" s="235">
        <f>SUM(L16:L19)</f>
        <v>327</v>
      </c>
      <c r="M21" s="236">
        <f>SUM(M16:M19)</f>
        <v>-189</v>
      </c>
      <c r="N21" s="296"/>
      <c r="O21" s="234">
        <f>SUM(O16:O19)</f>
        <v>0</v>
      </c>
      <c r="P21" s="235">
        <f>SUM(P16:P19)</f>
        <v>-17929.526999999995</v>
      </c>
      <c r="Q21" s="236">
        <f>SUM(Q16:Q19)</f>
        <v>17929.526999999995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29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>
        <f>+'IntIncome-Expense'!G13</f>
        <v>847</v>
      </c>
      <c r="H23" s="226">
        <f>+'IntIncome-Expense'!H13</f>
        <v>847</v>
      </c>
      <c r="I23" s="227">
        <f>+H23-G23</f>
        <v>0</v>
      </c>
      <c r="J23" s="228"/>
      <c r="K23" s="225">
        <f>C23-G23</f>
        <v>-847</v>
      </c>
      <c r="L23" s="226">
        <f>D23-H23</f>
        <v>-847</v>
      </c>
      <c r="M23" s="227">
        <f>K23-L23</f>
        <v>0</v>
      </c>
      <c r="N23" s="295"/>
      <c r="O23" s="225">
        <f>+C23-'[3]QTD Mgmt Summary'!C36</f>
        <v>0</v>
      </c>
      <c r="P23" s="226">
        <f>+G23-'[3]QTD Mgmt Summary'!G36</f>
        <v>-1202</v>
      </c>
      <c r="Q23" s="227">
        <f>O23-P23</f>
        <v>1202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294"/>
      <c r="O24" s="225"/>
      <c r="P24" s="226"/>
      <c r="Q24" s="227"/>
    </row>
    <row r="25" spans="1:17" s="220" customFormat="1" ht="14.4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64">
        <f>+E21-E23</f>
        <v>0</v>
      </c>
      <c r="F25" s="241"/>
      <c r="G25" s="239">
        <f>SUM(G21:G23)</f>
        <v>189</v>
      </c>
      <c r="H25" s="240">
        <f>SUM(H21:H23)</f>
        <v>0</v>
      </c>
      <c r="I25" s="264">
        <f>SUM(I21:I23)</f>
        <v>-189</v>
      </c>
      <c r="J25" s="241"/>
      <c r="K25" s="239">
        <f>SUM(K21:K23)</f>
        <v>-709</v>
      </c>
      <c r="L25" s="240">
        <f>SUM(L21:L23)</f>
        <v>-520</v>
      </c>
      <c r="M25" s="264">
        <f>SUM(M21:M23)</f>
        <v>-189</v>
      </c>
      <c r="N25" s="296"/>
      <c r="O25" s="239">
        <f>SUM(O21:O23)</f>
        <v>0</v>
      </c>
      <c r="P25" s="240">
        <f>SUM(P21:P23)</f>
        <v>-19131.526999999995</v>
      </c>
      <c r="Q25" s="264">
        <f>SUM(Q21:Q23)</f>
        <v>19131.526999999995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299" t="s">
        <v>148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K34" sqref="K34"/>
    </sheetView>
  </sheetViews>
  <sheetFormatPr defaultColWidth="9.109375" defaultRowHeight="10.199999999999999"/>
  <cols>
    <col min="1" max="1" width="29.88671875" style="14" customWidth="1"/>
    <col min="2" max="2" width="0.88671875" style="14" customWidth="1"/>
    <col min="3" max="3" width="9.5546875" style="14" customWidth="1"/>
    <col min="4" max="4" width="8.6640625" style="14" customWidth="1"/>
    <col min="5" max="5" width="9.44140625" style="14" customWidth="1"/>
    <col min="6" max="6" width="0.88671875" style="14" customWidth="1"/>
    <col min="7" max="9" width="8.6640625" style="14" customWidth="1"/>
    <col min="10" max="10" width="0.88671875" style="14" customWidth="1"/>
    <col min="11" max="12" width="8.6640625" style="14" customWidth="1"/>
    <col min="13" max="13" width="9.33203125" style="14" customWidth="1"/>
    <col min="14" max="14" width="0.88671875" style="14" customWidth="1"/>
    <col min="15" max="15" width="8.6640625" style="14" customWidth="1"/>
    <col min="16" max="16" width="9" style="14" customWidth="1"/>
    <col min="17" max="17" width="9.33203125" style="14" customWidth="1"/>
    <col min="18" max="19" width="7.6640625" style="14" customWidth="1"/>
    <col min="20" max="21" width="8.6640625" style="14" customWidth="1"/>
    <col min="22" max="22" width="0.88671875" style="14" customWidth="1"/>
    <col min="23" max="16384" width="9.109375" style="14"/>
  </cols>
  <sheetData>
    <row r="1" spans="1:22" s="192" customFormat="1" ht="9.9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December 7,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4" t="s">
        <v>88</v>
      </c>
      <c r="L5" s="315"/>
      <c r="M5" s="316"/>
      <c r="N5" s="293"/>
      <c r="O5" s="314" t="s">
        <v>149</v>
      </c>
      <c r="P5" s="315"/>
      <c r="Q5" s="316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94"/>
      <c r="O6" s="207" t="s">
        <v>13</v>
      </c>
      <c r="P6" s="208" t="s">
        <v>146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9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-12282.617</v>
      </c>
      <c r="D8" s="226">
        <f>+'Mgmt Summary'!C9</f>
        <v>30000</v>
      </c>
      <c r="E8" s="227">
        <f t="shared" ref="E8:E13" si="0">-D8+C8</f>
        <v>-42282.616999999998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-26974.616999999998</v>
      </c>
      <c r="L8" s="226">
        <f t="shared" ref="K8:L13" si="2">D8-H8</f>
        <v>15908</v>
      </c>
      <c r="M8" s="227">
        <f t="shared" ref="M8:M13" si="3">K8-L8</f>
        <v>-42882.616999999998</v>
      </c>
      <c r="N8" s="295"/>
      <c r="O8" s="225">
        <f>+C8-'[3]QTD Mgmt Summary'!C8</f>
        <v>-1979</v>
      </c>
      <c r="P8" s="226">
        <f>-G8+'[3]QTD Mgmt Summary'!G8</f>
        <v>0</v>
      </c>
      <c r="Q8" s="227">
        <f>+O8+P8</f>
        <v>-1979</v>
      </c>
    </row>
    <row r="9" spans="1:22" s="32" customFormat="1" ht="13.5" customHeight="1">
      <c r="A9" s="223" t="s">
        <v>1</v>
      </c>
      <c r="B9" s="224"/>
      <c r="C9" s="225">
        <f>+'Mgmt Summary'!J10</f>
        <v>7127.7023100000006</v>
      </c>
      <c r="D9" s="226">
        <f>+'Mgmt Summary'!C10</f>
        <v>12747.159</v>
      </c>
      <c r="E9" s="227">
        <f t="shared" si="0"/>
        <v>-5619.4566899999991</v>
      </c>
      <c r="F9" s="228"/>
      <c r="G9" s="225">
        <f>+Expenses!D10+'CapChrg-AllocExp'!K11+'CapChrg-AllocExp'!D11</f>
        <v>4677.8999999999996</v>
      </c>
      <c r="H9" s="226">
        <f>+Expenses!E10+'CapChrg-AllocExp'!L11+'CapChrg-AllocExp'!E11</f>
        <v>5246.9</v>
      </c>
      <c r="I9" s="227">
        <f t="shared" si="1"/>
        <v>569</v>
      </c>
      <c r="J9" s="228"/>
      <c r="K9" s="225">
        <f t="shared" si="2"/>
        <v>2449.8023100000009</v>
      </c>
      <c r="L9" s="226">
        <f t="shared" si="2"/>
        <v>7500.259</v>
      </c>
      <c r="M9" s="227">
        <f t="shared" si="3"/>
        <v>-5050.4566899999991</v>
      </c>
      <c r="N9" s="295"/>
      <c r="O9" s="225">
        <f>+C9-'[3]QTD Mgmt Summary'!C9</f>
        <v>2577.4239200000002</v>
      </c>
      <c r="P9" s="226">
        <f>-G9+'[3]QTD Mgmt Summary'!G9</f>
        <v>0</v>
      </c>
      <c r="Q9" s="227">
        <f t="shared" ref="Q9:Q16" si="4">+O9+P9</f>
        <v>2577.4239200000002</v>
      </c>
    </row>
    <row r="10" spans="1:22" s="32" customFormat="1" ht="13.5" customHeight="1">
      <c r="A10" s="223" t="s">
        <v>44</v>
      </c>
      <c r="B10" s="224"/>
      <c r="C10" s="225">
        <f>+'Mgmt Summary'!J11</f>
        <v>6768</v>
      </c>
      <c r="D10" s="226">
        <f>+'Mgmt Summary'!C11</f>
        <v>750</v>
      </c>
      <c r="E10" s="227">
        <f t="shared" si="0"/>
        <v>6018</v>
      </c>
      <c r="F10" s="228"/>
      <c r="G10" s="225">
        <f>+Expenses!D11+'CapChrg-AllocExp'!K12+'CapChrg-AllocExp'!D12</f>
        <v>1698.6</v>
      </c>
      <c r="H10" s="226">
        <f>+Expenses!E11+'CapChrg-AllocExp'!L12+'CapChrg-AllocExp'!E12</f>
        <v>378.6</v>
      </c>
      <c r="I10" s="227">
        <f t="shared" si="1"/>
        <v>-1320</v>
      </c>
      <c r="J10" s="228"/>
      <c r="K10" s="225">
        <f t="shared" si="2"/>
        <v>5069.3999999999996</v>
      </c>
      <c r="L10" s="226">
        <f t="shared" si="2"/>
        <v>371.4</v>
      </c>
      <c r="M10" s="227">
        <f t="shared" si="3"/>
        <v>4698</v>
      </c>
      <c r="N10" s="295"/>
      <c r="O10" s="225">
        <f>+C10-'[3]QTD Mgmt Summary'!C10</f>
        <v>1418</v>
      </c>
      <c r="P10" s="226">
        <f>-G10+'[3]QTD Mgmt Summary'!G10</f>
        <v>-200</v>
      </c>
      <c r="Q10" s="227">
        <f t="shared" si="4"/>
        <v>1218</v>
      </c>
    </row>
    <row r="11" spans="1:22" s="32" customFormat="1" ht="13.5" customHeight="1">
      <c r="A11" s="223" t="s">
        <v>64</v>
      </c>
      <c r="B11" s="224"/>
      <c r="C11" s="225">
        <f>+'Mgmt Summary'!J12</f>
        <v>3217</v>
      </c>
      <c r="D11" s="226">
        <f>+'Mgmt Summary'!C12</f>
        <v>3214.846</v>
      </c>
      <c r="E11" s="227">
        <f t="shared" si="0"/>
        <v>2.1539999999999964</v>
      </c>
      <c r="F11" s="228"/>
      <c r="G11" s="225">
        <f>+Expenses!D12+'CapChrg-AllocExp'!K13+'CapChrg-AllocExp'!D13</f>
        <v>1714.8000000000002</v>
      </c>
      <c r="H11" s="226">
        <f>+Expenses!E12+'CapChrg-AllocExp'!L13+'CapChrg-AllocExp'!E13</f>
        <v>1714.8000000000002</v>
      </c>
      <c r="I11" s="227">
        <f t="shared" si="1"/>
        <v>0</v>
      </c>
      <c r="J11" s="228"/>
      <c r="K11" s="225">
        <f t="shared" si="2"/>
        <v>1502.1999999999998</v>
      </c>
      <c r="L11" s="226">
        <f t="shared" si="2"/>
        <v>1500.0459999999998</v>
      </c>
      <c r="M11" s="227">
        <f t="shared" si="3"/>
        <v>2.1539999999999964</v>
      </c>
      <c r="N11" s="295"/>
      <c r="O11" s="225">
        <f>+C11-'[3]QTD Mgmt Summary'!C11</f>
        <v>856</v>
      </c>
      <c r="P11" s="226">
        <f>-G11+'[3]QTD Mgmt Summary'!G11</f>
        <v>0</v>
      </c>
      <c r="Q11" s="227">
        <f t="shared" si="4"/>
        <v>856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>
        <f>+'Mgmt Summary'!C13</f>
        <v>7712.2910000000002</v>
      </c>
      <c r="E12" s="227">
        <f t="shared" si="0"/>
        <v>-7712.2910000000002</v>
      </c>
      <c r="F12" s="228"/>
      <c r="G12" s="225">
        <f>+Expenses!D13+'CapChrg-AllocExp'!K14+'CapChrg-AllocExp'!D14</f>
        <v>1929.5</v>
      </c>
      <c r="H12" s="226">
        <f>+Expenses!E13+'CapChrg-AllocExp'!L14+'CapChrg-AllocExp'!E14</f>
        <v>1679.5</v>
      </c>
      <c r="I12" s="227">
        <f t="shared" si="1"/>
        <v>-250</v>
      </c>
      <c r="J12" s="228"/>
      <c r="K12" s="225">
        <f t="shared" si="2"/>
        <v>-1929.5</v>
      </c>
      <c r="L12" s="226">
        <f t="shared" si="2"/>
        <v>6032.7910000000002</v>
      </c>
      <c r="M12" s="227">
        <f t="shared" si="3"/>
        <v>-7962.2910000000002</v>
      </c>
      <c r="N12" s="295"/>
      <c r="O12" s="225">
        <f>+C12-'[3]QTD Mgmt Summary'!C12</f>
        <v>0</v>
      </c>
      <c r="P12" s="226">
        <f>-G12+'[3]QTD Mgmt Summary'!G12</f>
        <v>-250</v>
      </c>
      <c r="Q12" s="227">
        <f t="shared" si="4"/>
        <v>-250</v>
      </c>
    </row>
    <row r="13" spans="1:22" s="32" customFormat="1" ht="13.5" customHeight="1">
      <c r="A13" s="223" t="s">
        <v>50</v>
      </c>
      <c r="B13" s="224"/>
      <c r="C13" s="225">
        <f>+'Mgmt Summary'!J14</f>
        <v>125.49299999999994</v>
      </c>
      <c r="D13" s="226">
        <f>+'Mgmt Summary'!C14</f>
        <v>11483.213</v>
      </c>
      <c r="E13" s="227">
        <f t="shared" si="0"/>
        <v>-11357.72</v>
      </c>
      <c r="F13" s="228"/>
      <c r="G13" s="225">
        <f>+Expenses!D14+'CapChrg-AllocExp'!K15+'CapChrg-AllocExp'!D15</f>
        <v>1807.1410000000001</v>
      </c>
      <c r="H13" s="226">
        <f>+Expenses!E14+'CapChrg-AllocExp'!L15+'CapChrg-AllocExp'!E15</f>
        <v>1807.1410000000001</v>
      </c>
      <c r="I13" s="227">
        <f t="shared" si="1"/>
        <v>0</v>
      </c>
      <c r="J13" s="228"/>
      <c r="K13" s="225">
        <f t="shared" si="2"/>
        <v>-1681.6480000000001</v>
      </c>
      <c r="L13" s="226">
        <f t="shared" si="2"/>
        <v>9676.0720000000001</v>
      </c>
      <c r="M13" s="227">
        <f t="shared" si="3"/>
        <v>-11357.720000000001</v>
      </c>
      <c r="N13" s="295"/>
      <c r="O13" s="225">
        <f>+C13-'[3]QTD Mgmt Summary'!C13</f>
        <v>121.17899999999986</v>
      </c>
      <c r="P13" s="300">
        <f>(-G13+'[3]QTD Mgmt Summary'!G13)*0</f>
        <v>0</v>
      </c>
      <c r="Q13" s="227">
        <f t="shared" si="4"/>
        <v>121.17899999999986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1525</v>
      </c>
      <c r="H14" s="226">
        <f>+Expenses!E15+'CapChrg-AllocExp'!L16+'CapChrg-AllocExp'!E16</f>
        <v>0</v>
      </c>
      <c r="I14" s="227">
        <f t="shared" si="1"/>
        <v>-1525</v>
      </c>
      <c r="J14" s="228"/>
      <c r="K14" s="225">
        <f t="shared" ref="K14:L16" si="6">C14-G14</f>
        <v>-1525</v>
      </c>
      <c r="L14" s="226">
        <f t="shared" si="6"/>
        <v>0</v>
      </c>
      <c r="M14" s="227">
        <f t="shared" ref="M14:M22" si="7">K14-L14</f>
        <v>-1525</v>
      </c>
      <c r="N14" s="295"/>
      <c r="O14" s="225">
        <f>+C14-'[3]QTD Mgmt Summary'!C14</f>
        <v>0</v>
      </c>
      <c r="P14" s="226">
        <f>-G14+'[3]QTD Mgmt Summary'!G14</f>
        <v>-255</v>
      </c>
      <c r="Q14" s="227">
        <f t="shared" si="4"/>
        <v>-255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295"/>
      <c r="O15" s="225">
        <f>+C15-'[3]QTD Mgmt Summary'!C15</f>
        <v>0</v>
      </c>
      <c r="P15" s="226">
        <f>-G15+'[3]QTD Mgmt Summary'!G15</f>
        <v>0</v>
      </c>
      <c r="Q15" s="227">
        <f t="shared" si="4"/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295"/>
      <c r="O16" s="225">
        <f>+C16-'[3]QTD Mgmt Summary'!C16</f>
        <v>0</v>
      </c>
      <c r="P16" s="226">
        <f>-G16+'[3]QTD Mgmt Summary'!G16</f>
        <v>0</v>
      </c>
      <c r="Q16" s="227">
        <f t="shared" si="4"/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294"/>
      <c r="O17" s="215"/>
      <c r="P17" s="216"/>
      <c r="Q17" s="217"/>
    </row>
    <row r="18" spans="1:19" s="220" customFormat="1" ht="13.8">
      <c r="A18" s="229" t="s">
        <v>106</v>
      </c>
      <c r="B18" s="219"/>
      <c r="C18" s="234">
        <f>SUM(C8:C17)</f>
        <v>4955.5783100000008</v>
      </c>
      <c r="D18" s="235">
        <f t="shared" ref="D18:M18" si="8">SUM(D8:D17)</f>
        <v>76007.508999999991</v>
      </c>
      <c r="E18" s="236">
        <f t="shared" si="8"/>
        <v>-71051.930689999994</v>
      </c>
      <c r="F18" s="237">
        <f t="shared" si="8"/>
        <v>0</v>
      </c>
      <c r="G18" s="234">
        <f t="shared" si="8"/>
        <v>28794.940999999999</v>
      </c>
      <c r="H18" s="235">
        <f t="shared" si="8"/>
        <v>24918.940999999999</v>
      </c>
      <c r="I18" s="236">
        <f t="shared" si="8"/>
        <v>-3876</v>
      </c>
      <c r="J18" s="237">
        <f t="shared" si="8"/>
        <v>0</v>
      </c>
      <c r="K18" s="234">
        <f t="shared" si="8"/>
        <v>-23839.362689999998</v>
      </c>
      <c r="L18" s="235">
        <f t="shared" si="8"/>
        <v>51088.567999999999</v>
      </c>
      <c r="M18" s="236">
        <f t="shared" si="8"/>
        <v>-74927.930689999994</v>
      </c>
      <c r="N18" s="296"/>
      <c r="O18" s="234">
        <f>SUM(O8:O17)</f>
        <v>2993.6029200000003</v>
      </c>
      <c r="P18" s="235">
        <f>SUM(P8:P17)</f>
        <v>-705</v>
      </c>
      <c r="Q18" s="236">
        <f>SUM(Q8:Q17)</f>
        <v>2288.6029200000003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29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295"/>
      <c r="O20" s="225">
        <f>+C20-'[3]QTD Mgmt Summary'!C20</f>
        <v>0</v>
      </c>
      <c r="P20" s="226">
        <f>-G20+'[3]QTD Mgmt Summary'!G20</f>
        <v>0</v>
      </c>
      <c r="Q20" s="227">
        <f>+O20+P20</f>
        <v>0</v>
      </c>
      <c r="S20" s="298"/>
    </row>
    <row r="21" spans="1:19" s="32" customFormat="1" ht="13.5" customHeight="1">
      <c r="A21" s="223" t="s">
        <v>100</v>
      </c>
      <c r="B21" s="224"/>
      <c r="C21" s="225">
        <f>+'Mgmt Summary'!J22</f>
        <v>132</v>
      </c>
      <c r="D21" s="226">
        <f>+'Mgmt Summary'!C22</f>
        <v>4617</v>
      </c>
      <c r="E21" s="227">
        <f t="shared" si="5"/>
        <v>-4485</v>
      </c>
      <c r="F21" s="228"/>
      <c r="G21" s="225">
        <f>+Expenses!D21+'CapChrg-AllocExp'!K19+'CapChrg-AllocExp'!D19</f>
        <v>3221</v>
      </c>
      <c r="H21" s="226">
        <f>+Expenses!E21+'CapChrg-AllocExp'!L19+'CapChrg-AllocExp'!E19</f>
        <v>2188</v>
      </c>
      <c r="I21" s="227">
        <f>+H21-G21</f>
        <v>-1033</v>
      </c>
      <c r="J21" s="228"/>
      <c r="K21" s="225">
        <f t="shared" si="9"/>
        <v>-3089</v>
      </c>
      <c r="L21" s="226">
        <f t="shared" si="9"/>
        <v>2429</v>
      </c>
      <c r="M21" s="227">
        <f t="shared" si="7"/>
        <v>-5518</v>
      </c>
      <c r="N21" s="295"/>
      <c r="O21" s="225">
        <f>+C21-'[3]QTD Mgmt Summary'!C21</f>
        <v>0</v>
      </c>
      <c r="P21" s="226">
        <f>-G21+'[3]QTD Mgmt Summary'!G21</f>
        <v>0</v>
      </c>
      <c r="Q21" s="227">
        <f>+O21+P21</f>
        <v>0</v>
      </c>
    </row>
    <row r="22" spans="1:19" s="32" customFormat="1" ht="13.5" customHeight="1">
      <c r="A22" s="223" t="s">
        <v>101</v>
      </c>
      <c r="B22" s="224"/>
      <c r="C22" s="258">
        <f>+'Mgmt Summary'!J23</f>
        <v>-3089</v>
      </c>
      <c r="D22" s="259">
        <f>+'Mgmt Summary'!C23</f>
        <v>530</v>
      </c>
      <c r="E22" s="260">
        <f t="shared" si="5"/>
        <v>-3619</v>
      </c>
      <c r="F22" s="228"/>
      <c r="G22" s="258">
        <f>+Expenses!D22+'CapChrg-AllocExp'!K20+'CapChrg-AllocExp'!D20</f>
        <v>1056</v>
      </c>
      <c r="H22" s="259">
        <f>+Expenses!E22+'CapChrg-AllocExp'!L20+'CapChrg-AllocExp'!E20</f>
        <v>2146</v>
      </c>
      <c r="I22" s="260">
        <f>+H22-G22</f>
        <v>1090</v>
      </c>
      <c r="J22" s="228"/>
      <c r="K22" s="258">
        <f t="shared" si="9"/>
        <v>-4145</v>
      </c>
      <c r="L22" s="259">
        <f t="shared" si="9"/>
        <v>-1616</v>
      </c>
      <c r="M22" s="260">
        <f t="shared" si="7"/>
        <v>-2529</v>
      </c>
      <c r="N22" s="295"/>
      <c r="O22" s="225">
        <f>+C22-'[3]QTD Mgmt Summary'!C22</f>
        <v>-735</v>
      </c>
      <c r="P22" s="226">
        <f>-G22+'[3]QTD Mgmt Summary'!G22</f>
        <v>0</v>
      </c>
      <c r="Q22" s="227">
        <f>+O22+P22</f>
        <v>-735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294"/>
      <c r="O23" s="215"/>
      <c r="P23" s="216"/>
      <c r="Q23" s="217"/>
    </row>
    <row r="24" spans="1:19" s="220" customFormat="1" ht="13.8">
      <c r="A24" s="229" t="s">
        <v>113</v>
      </c>
      <c r="B24" s="219"/>
      <c r="C24" s="234">
        <f>SUM(C20:C23)</f>
        <v>-2871</v>
      </c>
      <c r="D24" s="235">
        <f>SUM(D20:D23)</f>
        <v>6291</v>
      </c>
      <c r="E24" s="236">
        <f>SUM(E20:E23)</f>
        <v>-9162</v>
      </c>
      <c r="F24" s="237"/>
      <c r="G24" s="234">
        <f>SUM(G20:G23)</f>
        <v>7053</v>
      </c>
      <c r="H24" s="235">
        <f>SUM(H20:H23)</f>
        <v>5704</v>
      </c>
      <c r="I24" s="236">
        <f>SUM(I20:I23)</f>
        <v>-1349</v>
      </c>
      <c r="J24" s="237"/>
      <c r="K24" s="234">
        <f>SUM(K20:K23)</f>
        <v>-9924</v>
      </c>
      <c r="L24" s="235">
        <f>SUM(L20:L23)</f>
        <v>587</v>
      </c>
      <c r="M24" s="236">
        <f>SUM(M20:M23)</f>
        <v>-10511</v>
      </c>
      <c r="N24" s="296"/>
      <c r="O24" s="234">
        <f>SUM(O20:O23)</f>
        <v>-735</v>
      </c>
      <c r="P24" s="235">
        <f>SUM(P20:P23)</f>
        <v>0</v>
      </c>
      <c r="Q24" s="236">
        <f>SUM(Q20:Q23)</f>
        <v>-735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29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294"/>
      <c r="O26" s="215"/>
      <c r="P26" s="216"/>
      <c r="Q26" s="217"/>
    </row>
    <row r="27" spans="1:19" s="220" customFormat="1" ht="13.8">
      <c r="A27" s="229" t="s">
        <v>3</v>
      </c>
      <c r="B27" s="219"/>
      <c r="C27" s="234">
        <f>+C18+C24</f>
        <v>2084.5783100000008</v>
      </c>
      <c r="D27" s="235">
        <f>+D18+D24</f>
        <v>82298.508999999991</v>
      </c>
      <c r="E27" s="236">
        <f>+E18+E24</f>
        <v>-80213.930689999994</v>
      </c>
      <c r="F27" s="237">
        <f>SUM(F24:F25)</f>
        <v>0</v>
      </c>
      <c r="G27" s="234">
        <f>+G18+G24</f>
        <v>35847.940999999999</v>
      </c>
      <c r="H27" s="235">
        <f>+H18+H24</f>
        <v>30622.940999999999</v>
      </c>
      <c r="I27" s="236">
        <f>+I18+I24</f>
        <v>-5225</v>
      </c>
      <c r="J27" s="237">
        <f>SUM(J24:J25)</f>
        <v>0</v>
      </c>
      <c r="K27" s="234">
        <f>+K18+K24</f>
        <v>-33763.362689999994</v>
      </c>
      <c r="L27" s="235">
        <f>+L18+L24</f>
        <v>51675.567999999999</v>
      </c>
      <c r="M27" s="236">
        <f>+M18+M24</f>
        <v>-85438.930689999994</v>
      </c>
      <c r="N27" s="296"/>
      <c r="O27" s="234">
        <f>+O18+O24</f>
        <v>2258.6029200000003</v>
      </c>
      <c r="P27" s="235">
        <f>+P18+P24</f>
        <v>-705</v>
      </c>
      <c r="Q27" s="236">
        <f>+Q18+Q24</f>
        <v>1553.6029200000003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294"/>
      <c r="O28" s="215"/>
      <c r="P28" s="216"/>
      <c r="Q28" s="217"/>
    </row>
    <row r="29" spans="1:19" s="32" customFormat="1" ht="13.5" customHeight="1">
      <c r="A29" s="223" t="s">
        <v>112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>
        <f>+'Mgmt Summary'!L30+'Mgmt Summary'!M30+'Mgmt Summary'!N30</f>
        <v>30934.941999999999</v>
      </c>
      <c r="H29" s="226">
        <f>+'Mgmt Summary'!D30</f>
        <v>30334.941999999999</v>
      </c>
      <c r="I29" s="227">
        <f>+H29-G29</f>
        <v>-600</v>
      </c>
      <c r="J29" s="228"/>
      <c r="K29" s="225">
        <f>C29-G29</f>
        <v>-30934.941999999999</v>
      </c>
      <c r="L29" s="226">
        <f>D29-H29</f>
        <v>-30334.941999999999</v>
      </c>
      <c r="M29" s="227">
        <f>K29-L29</f>
        <v>-600</v>
      </c>
      <c r="N29" s="295"/>
      <c r="O29" s="225">
        <f>+C29-'[3]QTD Mgmt Summary'!C29</f>
        <v>0</v>
      </c>
      <c r="P29" s="226">
        <f>(-G29+'[3]QTD Mgmt Summary'!G29)*0</f>
        <v>0</v>
      </c>
      <c r="Q29" s="227">
        <f>+O29+P29</f>
        <v>0</v>
      </c>
    </row>
    <row r="30" spans="1:19" s="32" customFormat="1" ht="13.5" customHeight="1">
      <c r="A30" s="223" t="s">
        <v>103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>
        <f>+'Mgmt Summary'!L31+'Mgmt Summary'!M31+'Mgmt Summary'!N31</f>
        <v>-12450.415000000001</v>
      </c>
      <c r="H30" s="226">
        <f>+'Mgmt Summary'!D31</f>
        <v>-11850.415000000001</v>
      </c>
      <c r="I30" s="227">
        <f>+H30-G30</f>
        <v>600</v>
      </c>
      <c r="J30" s="228"/>
      <c r="K30" s="225">
        <f t="shared" ref="K30:L32" si="10">C30-G30</f>
        <v>12450.415000000001</v>
      </c>
      <c r="L30" s="226">
        <f t="shared" si="10"/>
        <v>11850.415000000001</v>
      </c>
      <c r="M30" s="227">
        <f>K30-L30</f>
        <v>600</v>
      </c>
      <c r="N30" s="295"/>
      <c r="O30" s="225">
        <f>+C30-'[3]QTD Mgmt Summary'!C30</f>
        <v>0</v>
      </c>
      <c r="P30" s="226">
        <f>(-G30+'[3]QTD Mgmt Summary'!G30)*0</f>
        <v>0</v>
      </c>
      <c r="Q30" s="227">
        <f>+O30+P30</f>
        <v>0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295"/>
      <c r="O31" s="225">
        <f>+C31-'[3]QTD Mgmt Summary'!C31</f>
        <v>0</v>
      </c>
      <c r="P31" s="226">
        <f>-G31+'[3]QTD Mgmt Summary'!G31</f>
        <v>0</v>
      </c>
      <c r="Q31" s="227">
        <f>+O31+P31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>
        <f>+'CapChrg-AllocExp'!D28</f>
        <v>-1213</v>
      </c>
      <c r="H32" s="226">
        <f>+'CapChrg-AllocExp'!E28</f>
        <v>-2029</v>
      </c>
      <c r="I32" s="227">
        <f>+H32-G32</f>
        <v>-816</v>
      </c>
      <c r="J32" s="228"/>
      <c r="K32" s="225">
        <f t="shared" si="10"/>
        <v>1213</v>
      </c>
      <c r="L32" s="226">
        <f t="shared" si="10"/>
        <v>2029</v>
      </c>
      <c r="M32" s="227">
        <f>K32-L32</f>
        <v>-816</v>
      </c>
      <c r="N32" s="295"/>
      <c r="O32" s="225">
        <f>+C32-'[3]QTD Mgmt Summary'!C32</f>
        <v>0</v>
      </c>
      <c r="P32" s="226">
        <f>-G32+'[3]QTD Mgmt Summary'!G32</f>
        <v>0</v>
      </c>
      <c r="Q32" s="227">
        <f>+O32+P32</f>
        <v>0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294"/>
      <c r="O33" s="215"/>
      <c r="P33" s="216"/>
      <c r="Q33" s="217"/>
    </row>
    <row r="34" spans="1:17" s="220" customFormat="1" ht="13.8">
      <c r="A34" s="229" t="s">
        <v>74</v>
      </c>
      <c r="B34" s="219"/>
      <c r="C34" s="234">
        <f>SUM(C27:C32)</f>
        <v>1564.5783100000008</v>
      </c>
      <c r="D34" s="235">
        <f>SUM(D27:D32)</f>
        <v>81778.508999999991</v>
      </c>
      <c r="E34" s="236">
        <f>SUM(E27:E32)</f>
        <v>-80213.930689999994</v>
      </c>
      <c r="F34" s="237"/>
      <c r="G34" s="234">
        <f>SUM(G27:G32)</f>
        <v>53119.468000000001</v>
      </c>
      <c r="H34" s="235">
        <f>SUM(H27:H32)</f>
        <v>47078.468000000001</v>
      </c>
      <c r="I34" s="236">
        <f>SUM(I27:I32)</f>
        <v>-6041</v>
      </c>
      <c r="J34" s="237"/>
      <c r="K34" s="234">
        <f>SUM(K27:K32)</f>
        <v>-51554.889689999989</v>
      </c>
      <c r="L34" s="235">
        <f>SUM(L27:L32)</f>
        <v>34700.040999999997</v>
      </c>
      <c r="M34" s="236">
        <f>SUM(M27:M32)</f>
        <v>-86254.930689999994</v>
      </c>
      <c r="N34" s="296"/>
      <c r="O34" s="234">
        <f>SUM(O27:O32)</f>
        <v>2258.6029200000003</v>
      </c>
      <c r="P34" s="235">
        <f>SUM(P27:P32)</f>
        <v>-705</v>
      </c>
      <c r="Q34" s="236">
        <f>SUM(Q27:Q32)</f>
        <v>1553.6029200000003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29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2049</v>
      </c>
      <c r="H36" s="226">
        <f>+'Mgmt Summary'!D37</f>
        <v>2049</v>
      </c>
      <c r="I36" s="227">
        <f>+H36-G36</f>
        <v>0</v>
      </c>
      <c r="J36" s="228"/>
      <c r="K36" s="225">
        <f>C36-G36</f>
        <v>-2049</v>
      </c>
      <c r="L36" s="226">
        <f>D36-H36</f>
        <v>-2049</v>
      </c>
      <c r="M36" s="227">
        <f>K36-L36</f>
        <v>0</v>
      </c>
      <c r="N36" s="295"/>
      <c r="O36" s="225">
        <f>+C36-'[3]QTD Mgmt Summary'!C36</f>
        <v>0</v>
      </c>
      <c r="P36" s="226">
        <f>-G36+'[3]QTD Mgmt Summary'!G36</f>
        <v>0</v>
      </c>
      <c r="Q36" s="227">
        <f>+O36+P36</f>
        <v>0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294"/>
      <c r="O37" s="225"/>
      <c r="P37" s="226"/>
      <c r="Q37" s="227"/>
    </row>
    <row r="38" spans="1:17" s="220" customFormat="1" ht="14.4" thickBot="1">
      <c r="A38" s="230" t="s">
        <v>75</v>
      </c>
      <c r="B38" s="222"/>
      <c r="C38" s="239">
        <f>+C34-C36</f>
        <v>1564.5783100000008</v>
      </c>
      <c r="D38" s="240">
        <f>+D34-D36</f>
        <v>81778.508999999991</v>
      </c>
      <c r="E38" s="264">
        <f>+E34-E36</f>
        <v>-80213.930689999994</v>
      </c>
      <c r="F38" s="241"/>
      <c r="G38" s="239">
        <f>SUM(G34:G36)</f>
        <v>55168.468000000001</v>
      </c>
      <c r="H38" s="240">
        <f>SUM(H34:H36)</f>
        <v>49127.468000000001</v>
      </c>
      <c r="I38" s="264">
        <f>SUM(I34:I36)</f>
        <v>-6041</v>
      </c>
      <c r="J38" s="241"/>
      <c r="K38" s="239">
        <f>SUM(K34:K36)</f>
        <v>-53603.889689999989</v>
      </c>
      <c r="L38" s="240">
        <f>SUM(L34:L36)</f>
        <v>32651.040999999997</v>
      </c>
      <c r="M38" s="264">
        <f>SUM(M34:M36)</f>
        <v>-86254.930689999994</v>
      </c>
      <c r="N38" s="296"/>
      <c r="O38" s="239">
        <f>SUM(O34:O36)</f>
        <v>2258.6029200000003</v>
      </c>
      <c r="P38" s="240">
        <f>SUM(P34:P36)</f>
        <v>-705</v>
      </c>
      <c r="Q38" s="264">
        <f>SUM(Q34:Q36)</f>
        <v>1553.6029200000003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2" spans="1:17">
      <c r="L42" s="166"/>
    </row>
    <row r="43" spans="1:17" ht="13.8" hidden="1">
      <c r="C43" s="282" t="s">
        <v>127</v>
      </c>
      <c r="D43" s="283"/>
      <c r="E43" s="284"/>
      <c r="G43" s="282" t="s">
        <v>128</v>
      </c>
      <c r="H43" s="283"/>
      <c r="I43" s="283"/>
      <c r="J43" s="284"/>
    </row>
    <row r="44" spans="1:17" hidden="1">
      <c r="C44" s="269" t="s">
        <v>116</v>
      </c>
      <c r="D44" s="270"/>
      <c r="E44" s="271">
        <f>+'GM-WeeklyChnge'!C38</f>
        <v>2988.1790000000001</v>
      </c>
      <c r="G44" s="269" t="s">
        <v>117</v>
      </c>
      <c r="H44" s="270"/>
      <c r="I44" s="272">
        <f>+'Expense Weekly Change'!E22+'Expense Weekly Change'!E21</f>
        <v>0</v>
      </c>
      <c r="J44" s="287"/>
    </row>
    <row r="45" spans="1:17" hidden="1">
      <c r="C45" s="269" t="s">
        <v>118</v>
      </c>
      <c r="D45" s="270"/>
      <c r="E45" s="271">
        <f>+'GM-WeeklyChnge'!D38</f>
        <v>5.4239200000000096</v>
      </c>
      <c r="G45" s="269" t="s">
        <v>119</v>
      </c>
      <c r="H45" s="270"/>
      <c r="I45" s="272">
        <f>+'Expense Weekly Change'!E9+'Expense Weekly Change'!E10+'Expense Weekly Change'!E11+'Expense Weekly Change'!E12+'Expense Weekly Change'!E13+'Expense Weekly Change'!E14+'Expense Weekly Change'!E15+'Expense Weekly Change'!E16+'Expense Weekly Change'!E20</f>
        <v>-705</v>
      </c>
      <c r="J45" s="273"/>
    </row>
    <row r="46" spans="1:17" hidden="1">
      <c r="C46" s="269" t="s">
        <v>120</v>
      </c>
      <c r="D46" s="270"/>
      <c r="E46" s="271">
        <f>+'GM-WeeklyChnge'!E38+'GM-WeeklyChnge'!F38+'GM-WeeklyChnge'!G38</f>
        <v>-735</v>
      </c>
      <c r="G46" s="269" t="s">
        <v>28</v>
      </c>
      <c r="H46" s="270"/>
      <c r="I46" s="272">
        <f>-G36+'[3]QTD Mgmt Summary'!$G$36</f>
        <v>0</v>
      </c>
      <c r="J46" s="273"/>
    </row>
    <row r="47" spans="1:17" hidden="1">
      <c r="C47" s="274"/>
      <c r="D47" s="275"/>
      <c r="E47" s="276"/>
      <c r="G47" s="274"/>
      <c r="H47" s="275"/>
      <c r="I47" s="277"/>
      <c r="J47" s="278"/>
    </row>
    <row r="48" spans="1:17" ht="13.8" hidden="1">
      <c r="C48" s="279" t="s">
        <v>121</v>
      </c>
      <c r="D48" s="280"/>
      <c r="E48" s="281">
        <f>SUM(E44:E47)</f>
        <v>2258.6029200000003</v>
      </c>
      <c r="G48" s="279" t="s">
        <v>121</v>
      </c>
      <c r="H48" s="280"/>
      <c r="I48" s="285">
        <f>SUM(I44:I47)</f>
        <v>-705</v>
      </c>
      <c r="J48" s="286"/>
    </row>
    <row r="49" spans="3:10" hidden="1"/>
    <row r="50" spans="3:10" ht="13.8" hidden="1">
      <c r="C50" s="282" t="s">
        <v>125</v>
      </c>
      <c r="D50" s="283"/>
      <c r="E50" s="284"/>
      <c r="G50" s="282" t="s">
        <v>126</v>
      </c>
      <c r="H50" s="283"/>
      <c r="I50" s="283"/>
      <c r="J50" s="284"/>
    </row>
    <row r="51" spans="3:10" hidden="1">
      <c r="C51" s="269" t="s">
        <v>122</v>
      </c>
      <c r="D51" s="270"/>
      <c r="E51" s="271">
        <f>+[3]GrossMargin!$I$39</f>
        <v>-694.02460999999971</v>
      </c>
      <c r="G51" s="269" t="s">
        <v>122</v>
      </c>
      <c r="H51" s="270"/>
      <c r="I51" s="272">
        <f>+'[3]QTD Mgmt Summary'!$G$38</f>
        <v>54463.468000000001</v>
      </c>
      <c r="J51" s="287"/>
    </row>
    <row r="52" spans="3:10" hidden="1">
      <c r="C52" s="269" t="s">
        <v>123</v>
      </c>
      <c r="D52" s="270"/>
      <c r="E52" s="271">
        <f>+GrossMargin!I39</f>
        <v>1564.5783100000008</v>
      </c>
      <c r="G52" s="269" t="s">
        <v>123</v>
      </c>
      <c r="H52" s="270"/>
      <c r="I52" s="272">
        <f>+G38</f>
        <v>55168.468000000001</v>
      </c>
      <c r="J52" s="273"/>
    </row>
    <row r="53" spans="3:10" hidden="1">
      <c r="C53" s="269"/>
      <c r="D53" s="270"/>
      <c r="E53" s="271"/>
      <c r="G53" s="269"/>
      <c r="H53" s="270"/>
      <c r="I53" s="272"/>
      <c r="J53" s="273"/>
    </row>
    <row r="54" spans="3:10" ht="13.8" hidden="1">
      <c r="C54" s="279" t="s">
        <v>124</v>
      </c>
      <c r="D54" s="280"/>
      <c r="E54" s="281">
        <f>+E52-E51</f>
        <v>2258.6029200000003</v>
      </c>
      <c r="G54" s="279" t="s">
        <v>124</v>
      </c>
      <c r="H54" s="280"/>
      <c r="I54" s="285">
        <f>+I52-I51</f>
        <v>705</v>
      </c>
      <c r="J54" s="28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3" zoomScaleNormal="100" workbookViewId="0">
      <selection activeCell="A4" sqref="A4"/>
    </sheetView>
  </sheetViews>
  <sheetFormatPr defaultColWidth="9.109375" defaultRowHeight="10.199999999999999"/>
  <cols>
    <col min="1" max="1" width="25.44140625" style="14" customWidth="1"/>
    <col min="2" max="2" width="0.88671875" style="14" customWidth="1"/>
    <col min="3" max="3" width="7.6640625" style="14" customWidth="1"/>
    <col min="4" max="4" width="8.88671875" style="14" customWidth="1"/>
    <col min="5" max="5" width="7.6640625" style="14" customWidth="1"/>
    <col min="6" max="6" width="0.88671875" style="14" customWidth="1"/>
    <col min="7" max="7" width="8.109375" style="14" customWidth="1"/>
    <col min="8" max="8" width="7.6640625" style="14" hidden="1" customWidth="1"/>
    <col min="9" max="9" width="7.6640625" style="14" customWidth="1"/>
    <col min="10" max="10" width="8.33203125" style="14" bestFit="1" customWidth="1"/>
    <col min="11" max="11" width="7.6640625" style="14" hidden="1" customWidth="1"/>
    <col min="12" max="14" width="7.6640625" style="14" customWidth="1"/>
    <col min="15" max="15" width="8.33203125" style="14" bestFit="1" customWidth="1"/>
    <col min="16" max="16" width="0.88671875" style="14" customWidth="1"/>
    <col min="17" max="17" width="9.109375" style="14" bestFit="1"/>
    <col min="18" max="18" width="7.6640625" style="14" hidden="1" customWidth="1"/>
    <col min="19" max="21" width="7.6640625" style="14" customWidth="1"/>
    <col min="22" max="22" width="9.109375" style="14"/>
    <col min="23" max="23" width="0.88671875" style="14" customWidth="1"/>
    <col min="24" max="16384" width="9.109375" style="14"/>
  </cols>
  <sheetData>
    <row r="1" spans="1:24" ht="15.6">
      <c r="A1" s="311" t="s">
        <v>70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60"/>
    </row>
    <row r="2" spans="1:24" ht="13.8">
      <c r="A2" s="312" t="s">
        <v>91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61"/>
    </row>
    <row r="3" spans="1:24" ht="13.8">
      <c r="A3" s="313" t="s">
        <v>152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62"/>
    </row>
    <row r="4" spans="1:24" ht="3" customHeight="1"/>
    <row r="5" spans="1:24" s="34" customFormat="1" ht="15" customHeight="1">
      <c r="A5" s="106"/>
      <c r="C5" s="308" t="s">
        <v>8</v>
      </c>
      <c r="D5" s="309"/>
      <c r="E5" s="310"/>
      <c r="G5" s="308" t="s">
        <v>41</v>
      </c>
      <c r="H5" s="309"/>
      <c r="I5" s="309"/>
      <c r="J5" s="309"/>
      <c r="K5" s="309"/>
      <c r="L5" s="309"/>
      <c r="M5" s="309"/>
      <c r="N5" s="309"/>
      <c r="O5" s="310"/>
      <c r="Q5" s="308" t="s">
        <v>36</v>
      </c>
      <c r="R5" s="309"/>
      <c r="S5" s="309"/>
      <c r="T5" s="309"/>
      <c r="U5" s="309"/>
      <c r="V5" s="310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-12282.617</v>
      </c>
      <c r="H9" s="36">
        <f>GrossMargin!J10</f>
        <v>0</v>
      </c>
      <c r="I9" s="36">
        <f>GrossMargin!K10</f>
        <v>0</v>
      </c>
      <c r="J9" s="136">
        <f t="shared" ref="J9:J15" si="1">SUM(G9:I9)</f>
        <v>-12282.617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-26974.616999999998</v>
      </c>
      <c r="P9" s="37"/>
      <c r="Q9" s="133">
        <f t="shared" ref="Q9:Q15" si="3">+J9-C9</f>
        <v>-42282.616999999998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-42883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12747.159</v>
      </c>
      <c r="D10" s="36">
        <f>Expenses!E10+'CapChrg-AllocExp'!E11+'CapChrg-AllocExp'!L11</f>
        <v>5246.9</v>
      </c>
      <c r="E10" s="135">
        <f t="shared" si="0"/>
        <v>7500.259</v>
      </c>
      <c r="F10" s="36"/>
      <c r="G10" s="133">
        <f>GrossMargin!I11</f>
        <v>7127.7023100000006</v>
      </c>
      <c r="H10" s="36">
        <f>GrossMargin!J11</f>
        <v>0</v>
      </c>
      <c r="I10" s="36">
        <f>GrossMargin!K11</f>
        <v>0</v>
      </c>
      <c r="J10" s="136">
        <f t="shared" si="1"/>
        <v>7127.7023100000006</v>
      </c>
      <c r="K10" s="137"/>
      <c r="L10" s="133">
        <f>'CapChrg-AllocExp'!D11</f>
        <v>658</v>
      </c>
      <c r="M10" s="36">
        <f>Expenses!D10</f>
        <v>2059.6999999999998</v>
      </c>
      <c r="N10" s="36">
        <f>'CapChrg-AllocExp'!K11</f>
        <v>1960.2</v>
      </c>
      <c r="O10" s="136">
        <f t="shared" si="2"/>
        <v>2449.8023100000009</v>
      </c>
      <c r="P10" s="37"/>
      <c r="Q10" s="133">
        <f t="shared" si="3"/>
        <v>-5619.4566899999991</v>
      </c>
      <c r="R10" s="36"/>
      <c r="S10" s="36">
        <f>'CapChrg-AllocExp'!F11</f>
        <v>189</v>
      </c>
      <c r="T10" s="36">
        <f>Expenses!F10</f>
        <v>380</v>
      </c>
      <c r="U10" s="36">
        <f>'CapChrg-AllocExp'!M11</f>
        <v>0</v>
      </c>
      <c r="V10" s="135">
        <f t="shared" si="4"/>
        <v>-5050</v>
      </c>
      <c r="W10" s="32"/>
    </row>
    <row r="11" spans="1:24" ht="13.5" customHeight="1">
      <c r="A11" s="107" t="s">
        <v>44</v>
      </c>
      <c r="B11" s="35"/>
      <c r="C11" s="133">
        <f>GrossMargin!M12</f>
        <v>750</v>
      </c>
      <c r="D11" s="36">
        <f>Expenses!E11+'CapChrg-AllocExp'!E12+'CapChrg-AllocExp'!L12</f>
        <v>378.6</v>
      </c>
      <c r="E11" s="135">
        <f t="shared" si="0"/>
        <v>371.4</v>
      </c>
      <c r="F11" s="36"/>
      <c r="G11" s="133">
        <f>GrossMargin!I12</f>
        <v>6768</v>
      </c>
      <c r="H11" s="36">
        <f>GrossMargin!J12</f>
        <v>0</v>
      </c>
      <c r="I11" s="36">
        <f>GrossMargin!K12</f>
        <v>0</v>
      </c>
      <c r="J11" s="136">
        <f t="shared" si="1"/>
        <v>6768</v>
      </c>
      <c r="K11" s="137"/>
      <c r="L11" s="133">
        <f>'CapChrg-AllocExp'!D12</f>
        <v>0</v>
      </c>
      <c r="M11" s="36">
        <f>Expenses!D11</f>
        <v>1424.1</v>
      </c>
      <c r="N11" s="36">
        <f>'CapChrg-AllocExp'!K12</f>
        <v>274.5</v>
      </c>
      <c r="O11" s="136">
        <f t="shared" si="2"/>
        <v>5069.3999999999996</v>
      </c>
      <c r="P11" s="37"/>
      <c r="Q11" s="133">
        <f t="shared" si="3"/>
        <v>6018</v>
      </c>
      <c r="R11" s="36"/>
      <c r="S11" s="36">
        <f>'CapChrg-AllocExp'!F12</f>
        <v>0</v>
      </c>
      <c r="T11" s="36">
        <f>Expenses!F11</f>
        <v>-1320</v>
      </c>
      <c r="U11" s="36">
        <f>'CapChrg-AllocExp'!M12</f>
        <v>0</v>
      </c>
      <c r="V11" s="135">
        <f t="shared" si="4"/>
        <v>4698</v>
      </c>
      <c r="W11" s="32"/>
    </row>
    <row r="12" spans="1:24" ht="13.5" customHeight="1">
      <c r="A12" s="107" t="s">
        <v>64</v>
      </c>
      <c r="B12" s="35"/>
      <c r="C12" s="133">
        <f>GrossMargin!M13</f>
        <v>3214.846</v>
      </c>
      <c r="D12" s="36">
        <f>Expenses!E12+'CapChrg-AllocExp'!E13+'CapChrg-AllocExp'!L13</f>
        <v>1714.8000000000002</v>
      </c>
      <c r="E12" s="135">
        <f t="shared" si="0"/>
        <v>1500.0459999999998</v>
      </c>
      <c r="F12" s="36"/>
      <c r="G12" s="133">
        <f>GrossMargin!I13</f>
        <v>3217</v>
      </c>
      <c r="H12" s="36">
        <f>GrossMargin!J13</f>
        <v>0</v>
      </c>
      <c r="I12" s="36">
        <f>GrossMargin!K13</f>
        <v>0</v>
      </c>
      <c r="J12" s="136">
        <f t="shared" si="1"/>
        <v>3217</v>
      </c>
      <c r="K12" s="137"/>
      <c r="L12" s="133">
        <f>'CapChrg-AllocExp'!D13</f>
        <v>0</v>
      </c>
      <c r="M12" s="36">
        <f>Expenses!D12</f>
        <v>892.1</v>
      </c>
      <c r="N12" s="36">
        <f>'CapChrg-AllocExp'!K13</f>
        <v>822.7</v>
      </c>
      <c r="O12" s="136">
        <f t="shared" si="2"/>
        <v>1502.2</v>
      </c>
      <c r="P12" s="37"/>
      <c r="Q12" s="133">
        <f t="shared" si="3"/>
        <v>2.1539999999999964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2</v>
      </c>
      <c r="W12" s="32"/>
    </row>
    <row r="13" spans="1:24" ht="13.5" customHeight="1">
      <c r="A13" s="107" t="s">
        <v>71</v>
      </c>
      <c r="B13" s="35"/>
      <c r="C13" s="133">
        <f>GrossMargin!M14</f>
        <v>7712.2910000000002</v>
      </c>
      <c r="D13" s="36">
        <f>Expenses!E13+'CapChrg-AllocExp'!E14+'CapChrg-AllocExp'!L14</f>
        <v>1679.5</v>
      </c>
      <c r="E13" s="135">
        <f t="shared" si="0"/>
        <v>6032.7910000000002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>
        <f>Expenses!D13</f>
        <v>1893.5</v>
      </c>
      <c r="N13" s="36">
        <f>'CapChrg-AllocExp'!K14</f>
        <v>36</v>
      </c>
      <c r="O13" s="136">
        <f t="shared" si="2"/>
        <v>-1929.5</v>
      </c>
      <c r="P13" s="37"/>
      <c r="Q13" s="133">
        <f t="shared" si="3"/>
        <v>-7712.2910000000002</v>
      </c>
      <c r="R13" s="36"/>
      <c r="S13" s="36">
        <f>'CapChrg-AllocExp'!F14</f>
        <v>0</v>
      </c>
      <c r="T13" s="36">
        <f>Expenses!F13</f>
        <v>-250</v>
      </c>
      <c r="U13" s="36">
        <f>'CapChrg-AllocExp'!M14</f>
        <v>0</v>
      </c>
      <c r="V13" s="135">
        <f t="shared" si="4"/>
        <v>-7962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11483.213</v>
      </c>
      <c r="D14" s="140">
        <f>+Expenses!E14+'CapChrg-AllocExp'!E15+'CapChrg-AllocExp'!L15</f>
        <v>1807.1410000000001</v>
      </c>
      <c r="E14" s="164">
        <f t="shared" si="0"/>
        <v>9676.0720000000001</v>
      </c>
      <c r="F14" s="140"/>
      <c r="G14" s="139">
        <f>+GrossMargin!I21</f>
        <v>125.49299999999994</v>
      </c>
      <c r="H14" s="140">
        <f>GrossMargin!J15</f>
        <v>0</v>
      </c>
      <c r="I14" s="140">
        <f>+GrossMargin!K21</f>
        <v>0</v>
      </c>
      <c r="J14" s="179">
        <f t="shared" si="1"/>
        <v>125.49299999999994</v>
      </c>
      <c r="K14" s="180"/>
      <c r="L14" s="139">
        <f>+'CapChrg-AllocExp'!D15</f>
        <v>0</v>
      </c>
      <c r="M14" s="36">
        <f>Expenses!D14</f>
        <v>896.12600000000009</v>
      </c>
      <c r="N14" s="140">
        <f>+'CapChrg-AllocExp'!K15</f>
        <v>911.0150000000001</v>
      </c>
      <c r="O14" s="179">
        <f t="shared" si="2"/>
        <v>-1681.6480000000001</v>
      </c>
      <c r="P14" s="181"/>
      <c r="Q14" s="139">
        <f t="shared" si="3"/>
        <v>-11357.72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-11358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+GrossMargin!M22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1525</v>
      </c>
      <c r="N15" s="140">
        <f>+'CapChrg-AllocExp'!K16</f>
        <v>0</v>
      </c>
      <c r="O15" s="179">
        <f t="shared" si="2"/>
        <v>-1525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-1525</v>
      </c>
      <c r="U15" s="140">
        <f>+'CapChrg-AllocExp'!M16</f>
        <v>0</v>
      </c>
      <c r="V15" s="164">
        <f t="shared" si="4"/>
        <v>-1525</v>
      </c>
      <c r="W15" s="63"/>
      <c r="X15" s="169"/>
    </row>
    <row r="16" spans="1:24" ht="13.5" customHeight="1">
      <c r="A16" s="107" t="s">
        <v>11</v>
      </c>
      <c r="B16" s="35"/>
      <c r="C16" s="133">
        <f>+GrossMargin!M24</f>
        <v>10100</v>
      </c>
      <c r="D16" s="36">
        <v>0</v>
      </c>
      <c r="E16" s="135">
        <f>C16-D16</f>
        <v>10100</v>
      </c>
      <c r="F16" s="36"/>
      <c r="G16" s="133">
        <f>GrossMargin!I24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GrossMargin!M23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GrossMargin!I23</f>
        <v>0</v>
      </c>
      <c r="H17" s="36">
        <f>GrossMargin!J23</f>
        <v>0</v>
      </c>
      <c r="I17" s="36">
        <f>GrossMargin!K23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106</v>
      </c>
      <c r="B19" s="35"/>
      <c r="C19" s="43">
        <f>SUM(C9:C18)</f>
        <v>76007.508999999991</v>
      </c>
      <c r="D19" s="44">
        <f>SUM(D9:D18)</f>
        <v>24918.940999999999</v>
      </c>
      <c r="E19" s="45">
        <f>SUM(E9:E18)</f>
        <v>51088.567999999999</v>
      </c>
      <c r="F19" s="36"/>
      <c r="G19" s="43">
        <f t="shared" ref="G19:O19" si="5">SUM(G9:G18)</f>
        <v>4955.5783100000008</v>
      </c>
      <c r="H19" s="44">
        <f t="shared" si="5"/>
        <v>0</v>
      </c>
      <c r="I19" s="45">
        <f t="shared" si="5"/>
        <v>0</v>
      </c>
      <c r="J19" s="46">
        <f t="shared" si="5"/>
        <v>4955.5783100000008</v>
      </c>
      <c r="K19" s="44">
        <f t="shared" si="5"/>
        <v>0</v>
      </c>
      <c r="L19" s="43">
        <f t="shared" si="5"/>
        <v>658</v>
      </c>
      <c r="M19" s="44">
        <f t="shared" si="5"/>
        <v>15686.526000000002</v>
      </c>
      <c r="N19" s="44">
        <f t="shared" si="5"/>
        <v>12450.415000000001</v>
      </c>
      <c r="O19" s="46">
        <f t="shared" si="5"/>
        <v>-23839.362689999998</v>
      </c>
      <c r="P19" s="180"/>
      <c r="Q19" s="43">
        <f t="shared" ref="Q19:V19" si="6">SUM(Q9:Q18)</f>
        <v>-71051.930689999994</v>
      </c>
      <c r="R19" s="44">
        <f t="shared" si="6"/>
        <v>0</v>
      </c>
      <c r="S19" s="44">
        <f t="shared" si="6"/>
        <v>189</v>
      </c>
      <c r="T19" s="44">
        <f t="shared" si="6"/>
        <v>-3465</v>
      </c>
      <c r="U19" s="44">
        <f t="shared" si="6"/>
        <v>-600</v>
      </c>
      <c r="V19" s="45">
        <f t="shared" si="6"/>
        <v>-74928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+GrossMargin!M28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+GrossMargin!I28</f>
        <v>86</v>
      </c>
      <c r="H21" s="140">
        <f>GrossMargin!J18</f>
        <v>0</v>
      </c>
      <c r="I21" s="140">
        <f>+GrossMargin!K28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+GrossMargin!M29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+GrossMargin!I29</f>
        <v>132</v>
      </c>
      <c r="H22" s="140">
        <f>GrossMargin!J19</f>
        <v>0</v>
      </c>
      <c r="I22" s="140">
        <f>+GrossMargin!K29</f>
        <v>0</v>
      </c>
      <c r="J22" s="179">
        <f>SUM(G22:I22)</f>
        <v>132</v>
      </c>
      <c r="K22" s="180"/>
      <c r="L22" s="139">
        <f>+'CapChrg-AllocExp'!D19</f>
        <v>652</v>
      </c>
      <c r="M22" s="36">
        <f>Expenses!D21</f>
        <v>2569</v>
      </c>
      <c r="N22" s="140">
        <f>+'CapChrg-AllocExp'!K19</f>
        <v>0</v>
      </c>
      <c r="O22" s="179">
        <f>J22-K22-M22-N22-L22</f>
        <v>-3089</v>
      </c>
      <c r="P22" s="181"/>
      <c r="Q22" s="139">
        <f>+J22-C22</f>
        <v>-4485</v>
      </c>
      <c r="R22" s="140"/>
      <c r="S22" s="140">
        <f>+'CapChrg-AllocExp'!F19</f>
        <v>0</v>
      </c>
      <c r="T22" s="36">
        <f>Expenses!F21</f>
        <v>-1033</v>
      </c>
      <c r="U22" s="140">
        <f>+'CapChrg-AllocExp'!M19</f>
        <v>0</v>
      </c>
      <c r="V22" s="164">
        <f>ROUND(SUM(Q22:U22),0)</f>
        <v>-5518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+GrossMargin!M30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+GrossMargin!I30</f>
        <v>-3089</v>
      </c>
      <c r="H23" s="140">
        <f>GrossMargin!J20</f>
        <v>0</v>
      </c>
      <c r="I23" s="140">
        <f>+GrossMargin!K30</f>
        <v>0</v>
      </c>
      <c r="J23" s="179">
        <f>SUM(G23:I23)</f>
        <v>-3089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-4145</v>
      </c>
      <c r="P23" s="181"/>
      <c r="Q23" s="139">
        <f>+J23-C23</f>
        <v>-3619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-2529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113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-2871</v>
      </c>
      <c r="H25" s="44">
        <f t="shared" si="7"/>
        <v>0</v>
      </c>
      <c r="I25" s="45">
        <f t="shared" si="7"/>
        <v>0</v>
      </c>
      <c r="J25" s="46">
        <f t="shared" si="7"/>
        <v>-2871</v>
      </c>
      <c r="K25" s="44">
        <f t="shared" si="7"/>
        <v>0</v>
      </c>
      <c r="L25" s="43">
        <f t="shared" si="7"/>
        <v>555</v>
      </c>
      <c r="M25" s="44">
        <f t="shared" si="7"/>
        <v>6498</v>
      </c>
      <c r="N25" s="44">
        <f t="shared" si="7"/>
        <v>0</v>
      </c>
      <c r="O25" s="46">
        <f t="shared" si="7"/>
        <v>-9924</v>
      </c>
      <c r="P25" s="180"/>
      <c r="Q25" s="43">
        <f t="shared" ref="Q25:V25" si="8">SUM(Q21:Q24)</f>
        <v>-9162</v>
      </c>
      <c r="R25" s="44">
        <f t="shared" si="8"/>
        <v>0</v>
      </c>
      <c r="S25" s="44">
        <f t="shared" si="8"/>
        <v>627</v>
      </c>
      <c r="T25" s="44">
        <f t="shared" si="8"/>
        <v>-1976</v>
      </c>
      <c r="U25" s="44">
        <f t="shared" si="8"/>
        <v>0</v>
      </c>
      <c r="V25" s="45">
        <f t="shared" si="8"/>
        <v>-10511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>
        <f>+C19+C25</f>
        <v>82298.508999999991</v>
      </c>
      <c r="D28" s="44">
        <f>+D19+D25</f>
        <v>30622.940999999999</v>
      </c>
      <c r="E28" s="45">
        <f>+E19+E25</f>
        <v>51675.567999999999</v>
      </c>
      <c r="F28" s="36">
        <f>SUM(F25:F26)</f>
        <v>0</v>
      </c>
      <c r="G28" s="43">
        <f t="shared" ref="G28:O28" si="9">+G19+G25</f>
        <v>2084.5783100000008</v>
      </c>
      <c r="H28" s="44">
        <f t="shared" si="9"/>
        <v>0</v>
      </c>
      <c r="I28" s="45">
        <f t="shared" si="9"/>
        <v>0</v>
      </c>
      <c r="J28" s="46">
        <f t="shared" si="9"/>
        <v>2084.5783100000008</v>
      </c>
      <c r="K28" s="44">
        <f t="shared" si="9"/>
        <v>0</v>
      </c>
      <c r="L28" s="43">
        <f t="shared" si="9"/>
        <v>1213</v>
      </c>
      <c r="M28" s="44">
        <f t="shared" si="9"/>
        <v>22184.526000000002</v>
      </c>
      <c r="N28" s="44">
        <f t="shared" si="9"/>
        <v>12450.415000000001</v>
      </c>
      <c r="O28" s="46">
        <f t="shared" si="9"/>
        <v>-33763.362689999994</v>
      </c>
      <c r="P28" s="180"/>
      <c r="Q28" s="43">
        <f t="shared" ref="Q28:V28" si="10">+Q19+Q25</f>
        <v>-80213.930689999994</v>
      </c>
      <c r="R28" s="44">
        <f t="shared" si="10"/>
        <v>0</v>
      </c>
      <c r="S28" s="44">
        <f t="shared" si="10"/>
        <v>816</v>
      </c>
      <c r="T28" s="44">
        <f t="shared" si="10"/>
        <v>-5441</v>
      </c>
      <c r="U28" s="44">
        <f t="shared" si="10"/>
        <v>-600</v>
      </c>
      <c r="V28" s="45">
        <f t="shared" si="10"/>
        <v>-85439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112</v>
      </c>
      <c r="B30" s="35"/>
      <c r="C30" s="133">
        <v>0</v>
      </c>
      <c r="D30" s="36">
        <f>Expenses!E29</f>
        <v>30334.941999999999</v>
      </c>
      <c r="E30" s="135">
        <f>C30-D30</f>
        <v>-30334.941999999999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>
        <f>+Expenses!D29</f>
        <v>30934.941999999999</v>
      </c>
      <c r="N30" s="36">
        <v>0</v>
      </c>
      <c r="O30" s="136">
        <f>J30-K30-M30-N30-L30</f>
        <v>-30934.941999999999</v>
      </c>
      <c r="P30" s="37"/>
      <c r="Q30" s="133">
        <f>+J30-C30</f>
        <v>0</v>
      </c>
      <c r="R30" s="36"/>
      <c r="S30" s="36">
        <v>0</v>
      </c>
      <c r="T30" s="36">
        <f>Expenses!F29</f>
        <v>-600</v>
      </c>
      <c r="U30" s="36">
        <v>0</v>
      </c>
      <c r="V30" s="135">
        <f>ROUND(SUM(Q30:U30),0)</f>
        <v>-600</v>
      </c>
      <c r="W30" s="32"/>
    </row>
    <row r="31" spans="1:24" ht="13.5" customHeight="1">
      <c r="A31" s="107" t="s">
        <v>103</v>
      </c>
      <c r="B31" s="35"/>
      <c r="C31" s="133">
        <v>0</v>
      </c>
      <c r="D31" s="36">
        <f>+'CapChrg-AllocExp'!L29</f>
        <v>-11850.415000000001</v>
      </c>
      <c r="E31" s="135">
        <f>C31-D31</f>
        <v>11850.415000000001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>
        <f>+'CapChrg-AllocExp'!K29</f>
        <v>-12450.415000000001</v>
      </c>
      <c r="O31" s="136">
        <f>J31-K31-M31-N31-L31</f>
        <v>12450.415000000001</v>
      </c>
      <c r="P31" s="37"/>
      <c r="Q31" s="133">
        <f>+J31-C31</f>
        <v>0</v>
      </c>
      <c r="R31" s="36"/>
      <c r="S31" s="36">
        <v>0</v>
      </c>
      <c r="T31" s="36">
        <f>-T30</f>
        <v>600</v>
      </c>
      <c r="U31" s="36">
        <v>0</v>
      </c>
      <c r="V31" s="135">
        <f>ROUND(SUM(Q31:U31),0)</f>
        <v>600</v>
      </c>
      <c r="W31" s="32"/>
    </row>
    <row r="32" spans="1:24" ht="13.5" customHeight="1">
      <c r="A32" s="107" t="s">
        <v>10</v>
      </c>
      <c r="B32" s="35"/>
      <c r="C32" s="133">
        <f>GrossMargin!M37</f>
        <v>-520</v>
      </c>
      <c r="D32" s="36">
        <f>Expenses!E30</f>
        <v>0</v>
      </c>
      <c r="E32" s="135">
        <f>C32-D32</f>
        <v>-520</v>
      </c>
      <c r="F32" s="137"/>
      <c r="G32" s="133">
        <f>GrossMargin!I37</f>
        <v>-520</v>
      </c>
      <c r="H32" s="36">
        <f>GrossMargin!J37</f>
        <v>0</v>
      </c>
      <c r="I32" s="36">
        <f>GrossMargin!K37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>
        <f>'CapChrg-AllocExp'!E28</f>
        <v>-2029</v>
      </c>
      <c r="E33" s="135">
        <f>C33-D33</f>
        <v>2029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>
        <f>'CapChrg-AllocExp'!D28</f>
        <v>-1213</v>
      </c>
      <c r="M33" s="36">
        <v>0</v>
      </c>
      <c r="N33" s="36">
        <v>0</v>
      </c>
      <c r="O33" s="136">
        <f>J33-K33-M33-N33-L33</f>
        <v>1213</v>
      </c>
      <c r="P33" s="37"/>
      <c r="Q33" s="133">
        <f>+J33-C33</f>
        <v>0</v>
      </c>
      <c r="R33" s="36"/>
      <c r="S33" s="36">
        <f>'CapChrg-AllocExp'!F28</f>
        <v>-816</v>
      </c>
      <c r="T33" s="36">
        <v>0</v>
      </c>
      <c r="U33" s="36">
        <v>0</v>
      </c>
      <c r="V33" s="135">
        <f>ROUND(SUM(Q33:U33),0)</f>
        <v>-816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>
        <f>SUM(C28:C34)</f>
        <v>81778.508999999991</v>
      </c>
      <c r="D35" s="44">
        <f>SUM(D28:D34)</f>
        <v>47078.468000000001</v>
      </c>
      <c r="E35" s="45">
        <f>SUM(E28:E34)</f>
        <v>34700.040999999997</v>
      </c>
      <c r="F35" s="36"/>
      <c r="G35" s="43">
        <f t="shared" ref="G35:N35" si="11">SUM(G28:G34)</f>
        <v>1564.5783100000008</v>
      </c>
      <c r="H35" s="44">
        <f t="shared" si="11"/>
        <v>0</v>
      </c>
      <c r="I35" s="44">
        <f t="shared" si="11"/>
        <v>0</v>
      </c>
      <c r="J35" s="46">
        <f t="shared" si="11"/>
        <v>1564.5783100000008</v>
      </c>
      <c r="K35" s="44">
        <f t="shared" si="11"/>
        <v>0</v>
      </c>
      <c r="L35" s="43">
        <f t="shared" si="11"/>
        <v>0</v>
      </c>
      <c r="M35" s="44">
        <f t="shared" si="11"/>
        <v>53119.468000000001</v>
      </c>
      <c r="N35" s="44">
        <f t="shared" si="11"/>
        <v>0</v>
      </c>
      <c r="O35" s="46">
        <f>J35-K35-M35-N35-L35</f>
        <v>-51554.889689999996</v>
      </c>
      <c r="P35" s="37"/>
      <c r="Q35" s="43">
        <f t="shared" ref="Q35:V35" si="12">SUM(Q28:Q34)</f>
        <v>-80213.930689999994</v>
      </c>
      <c r="R35" s="44">
        <f t="shared" si="12"/>
        <v>0</v>
      </c>
      <c r="S35" s="44">
        <f t="shared" si="12"/>
        <v>0</v>
      </c>
      <c r="T35" s="44">
        <f t="shared" si="12"/>
        <v>-5441</v>
      </c>
      <c r="U35" s="44">
        <f t="shared" si="12"/>
        <v>-600</v>
      </c>
      <c r="V35" s="45">
        <f t="shared" si="12"/>
        <v>-86255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+'IntIncome-Expense'!H34</f>
        <v>2049</v>
      </c>
      <c r="E37" s="135">
        <f>C37-D37</f>
        <v>-2049</v>
      </c>
      <c r="F37" s="36"/>
      <c r="G37" s="133">
        <f>GrossMargin!I49</f>
        <v>0</v>
      </c>
      <c r="H37" s="36">
        <f>GrossMargin!J49</f>
        <v>0</v>
      </c>
      <c r="I37" s="36">
        <f>GrossMargin!K49</f>
        <v>0</v>
      </c>
      <c r="J37" s="136">
        <f>SUM(G37:I37)</f>
        <v>0</v>
      </c>
      <c r="K37" s="137"/>
      <c r="L37" s="134">
        <v>0</v>
      </c>
      <c r="M37" s="36">
        <f>+'IntIncome-Expense'!G34</f>
        <v>2049</v>
      </c>
      <c r="N37" s="36">
        <v>0</v>
      </c>
      <c r="O37" s="136">
        <f>J37-K37-M37-N37-L37</f>
        <v>-2049</v>
      </c>
      <c r="P37" s="37"/>
      <c r="Q37" s="133">
        <f>+J37-C37</f>
        <v>0</v>
      </c>
      <c r="R37" s="36"/>
      <c r="S37" s="36">
        <v>0</v>
      </c>
      <c r="T37" s="36">
        <f>D37-M37</f>
        <v>0</v>
      </c>
      <c r="U37" s="36"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>
        <f>SUM(C35:C37)</f>
        <v>81778.508999999991</v>
      </c>
      <c r="D39" s="40">
        <f>SUM(D35:D37)</f>
        <v>49127.468000000001</v>
      </c>
      <c r="E39" s="41">
        <f>SUM(E35:E37)</f>
        <v>32651.040999999997</v>
      </c>
      <c r="F39" s="36"/>
      <c r="G39" s="39">
        <f t="shared" ref="G39:V39" si="13">SUM(G35:G37)</f>
        <v>1564.5783100000008</v>
      </c>
      <c r="H39" s="40">
        <f t="shared" si="13"/>
        <v>0</v>
      </c>
      <c r="I39" s="40">
        <f t="shared" si="13"/>
        <v>0</v>
      </c>
      <c r="J39" s="42">
        <f t="shared" si="13"/>
        <v>1564.5783100000008</v>
      </c>
      <c r="K39" s="40">
        <f t="shared" si="13"/>
        <v>0</v>
      </c>
      <c r="L39" s="39">
        <f t="shared" si="13"/>
        <v>0</v>
      </c>
      <c r="M39" s="40">
        <f t="shared" si="13"/>
        <v>55168.468000000001</v>
      </c>
      <c r="N39" s="40">
        <f t="shared" si="13"/>
        <v>0</v>
      </c>
      <c r="O39" s="42">
        <f>J39-K39-M39-N39-L39</f>
        <v>-53603.889689999996</v>
      </c>
      <c r="P39" s="37"/>
      <c r="Q39" s="39">
        <f t="shared" si="13"/>
        <v>-80213.930689999994</v>
      </c>
      <c r="R39" s="40">
        <f t="shared" si="13"/>
        <v>0</v>
      </c>
      <c r="S39" s="40">
        <f t="shared" si="13"/>
        <v>0</v>
      </c>
      <c r="T39" s="40">
        <f t="shared" si="13"/>
        <v>-5441</v>
      </c>
      <c r="U39" s="40">
        <f t="shared" si="13"/>
        <v>-600</v>
      </c>
      <c r="V39" s="41">
        <f t="shared" si="13"/>
        <v>-86255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8" hidden="1">
      <c r="A41" s="66"/>
      <c r="C41" s="67"/>
      <c r="D41" s="23"/>
      <c r="E41" s="66" t="s">
        <v>53</v>
      </c>
      <c r="F41" s="23"/>
      <c r="G41" s="68">
        <f>+'GM-WeeklyChnge'!C44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4"/>
  <sheetViews>
    <sheetView zoomScaleNormal="100" workbookViewId="0">
      <selection activeCell="F41" sqref="F41"/>
    </sheetView>
  </sheetViews>
  <sheetFormatPr defaultColWidth="9.109375" defaultRowHeight="10.199999999999999"/>
  <cols>
    <col min="1" max="1" width="25.44140625" style="14" customWidth="1"/>
    <col min="2" max="2" width="1.6640625" style="14" customWidth="1"/>
    <col min="3" max="10" width="8.6640625" style="14" customWidth="1"/>
    <col min="11" max="11" width="10.5546875" style="14" customWidth="1"/>
    <col min="12" max="16384" width="9.109375" style="14"/>
  </cols>
  <sheetData>
    <row r="1" spans="1:11" ht="15.6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3.8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8">
      <c r="A3" s="186" t="str">
        <f>+'Mgmt Summary'!A3:V3</f>
        <v>Results based on activity through December 7,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2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4.4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9">
        <f>+GrossMargin!D10-[3]GrossMargin!D10</f>
        <v>-1979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4" si="0">SUM(C9:G9)</f>
        <v>-1979</v>
      </c>
      <c r="I9" s="133" t="e">
        <f>GrossMargin!J10-[3]GrossMargin!J10</f>
        <v>#REF!</v>
      </c>
      <c r="J9" s="36">
        <f>+GrossMargin!K10-[3]GrossMargin!K10</f>
        <v>0</v>
      </c>
      <c r="K9" s="135" t="e">
        <f t="shared" ref="K9:K14" si="1">SUM(H9:J9)</f>
        <v>#REF!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2572</v>
      </c>
      <c r="D10" s="36">
        <f>+GrossMargin!E11-[3]GrossMargin!E11</f>
        <v>5.4239200000000096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2577.4239200000002</v>
      </c>
      <c r="I10" s="133" t="e">
        <f>GrossMargin!J11-[3]GrossMargin!J11</f>
        <v>#REF!</v>
      </c>
      <c r="J10" s="36">
        <f>+GrossMargin!K11-[3]GrossMargin!K11</f>
        <v>0</v>
      </c>
      <c r="K10" s="135" t="e">
        <f t="shared" si="1"/>
        <v>#REF!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1418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1418</v>
      </c>
      <c r="I11" s="133" t="e">
        <f>GrossMargin!J12-[3]GrossMargin!J12</f>
        <v>#REF!</v>
      </c>
      <c r="J11" s="36">
        <f>+GrossMargin!K12-[3]GrossMargin!K12</f>
        <v>0</v>
      </c>
      <c r="K11" s="135" t="e">
        <f t="shared" si="1"/>
        <v>#REF!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856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856</v>
      </c>
      <c r="I12" s="133" t="e">
        <f>GrossMargin!J13-[3]GrossMargin!J13</f>
        <v>#REF!</v>
      </c>
      <c r="J12" s="36">
        <f>+GrossMargin!K13-[3]GrossMargin!K13</f>
        <v>0</v>
      </c>
      <c r="K12" s="135" t="e">
        <f t="shared" si="1"/>
        <v>#REF!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 t="e">
        <f>GrossMargin!J14-[3]GrossMargin!J14</f>
        <v>#REF!</v>
      </c>
      <c r="J13" s="36">
        <f>+GrossMargin!K14-[3]GrossMargin!K14</f>
        <v>0</v>
      </c>
      <c r="K13" s="135" t="e">
        <f t="shared" si="1"/>
        <v>#REF!</v>
      </c>
    </row>
    <row r="14" spans="1:11" ht="13.5" hidden="1" customHeight="1">
      <c r="A14" s="242" t="s">
        <v>81</v>
      </c>
      <c r="B14" s="249"/>
      <c r="C14" s="301">
        <f>+GrossMargin!D15-[3]GrossMargin!D15</f>
        <v>-297</v>
      </c>
      <c r="D14" s="246">
        <f>+GrossMargin!E15-[3]GrossMargin!E15</f>
        <v>0</v>
      </c>
      <c r="E14" s="246">
        <f>+GrossMargin!F15-[3]GrossMargin!F15</f>
        <v>0</v>
      </c>
      <c r="F14" s="246">
        <f>+GrossMargin!G15-[3]GrossMargin!G15</f>
        <v>0</v>
      </c>
      <c r="G14" s="247">
        <f>+GrossMargin!H15-[3]GrossMargin!H15</f>
        <v>0</v>
      </c>
      <c r="H14" s="302">
        <f t="shared" si="0"/>
        <v>-297</v>
      </c>
      <c r="I14" s="133" t="e">
        <f>GrossMargin!J15-[3]GrossMargin!J15</f>
        <v>#REF!</v>
      </c>
      <c r="J14" s="246">
        <f>+GrossMargin!K15-[3]GrossMargin!K15</f>
        <v>0</v>
      </c>
      <c r="K14" s="303" t="e">
        <f t="shared" si="1"/>
        <v>#REF!</v>
      </c>
    </row>
    <row r="15" spans="1:11" ht="13.5" hidden="1" customHeight="1">
      <c r="A15" s="242" t="s">
        <v>150</v>
      </c>
      <c r="B15" s="249"/>
      <c r="C15" s="244">
        <f>+GrossMargin!D16-[3]GrossMargin!D16</f>
        <v>386.17899999999997</v>
      </c>
      <c r="D15" s="246">
        <f>+GrossMargin!E16-[3]GrossMargin!E16</f>
        <v>0</v>
      </c>
      <c r="E15" s="246">
        <f>+GrossMargin!F16-[3]GrossMargin!F16</f>
        <v>0</v>
      </c>
      <c r="F15" s="246">
        <f>+GrossMargin!G16-[3]GrossMargin!G16</f>
        <v>0</v>
      </c>
      <c r="G15" s="247">
        <f>+GrossMargin!H16-[3]GrossMargin!H16</f>
        <v>0</v>
      </c>
      <c r="H15" s="302">
        <f>SUM(C15:G15)</f>
        <v>386.17899999999997</v>
      </c>
      <c r="I15" s="133" t="e">
        <f>GrossMargin!J16-[3]GrossMargin!J16</f>
        <v>#REF!</v>
      </c>
      <c r="J15" s="246">
        <f>+GrossMargin!K16-[3]GrossMargin!K16</f>
        <v>0</v>
      </c>
      <c r="K15" s="303" t="e">
        <f>SUM(H15:J15)</f>
        <v>#REF!</v>
      </c>
    </row>
    <row r="16" spans="1:11" ht="13.5" hidden="1" customHeight="1">
      <c r="A16" s="242" t="s">
        <v>84</v>
      </c>
      <c r="B16" s="249"/>
      <c r="C16" s="301">
        <f>+GrossMargin!D17-[3]GrossMargin!D17</f>
        <v>32</v>
      </c>
      <c r="D16" s="246">
        <f>+GrossMargin!E17-[3]GrossMargin!E17</f>
        <v>0</v>
      </c>
      <c r="E16" s="246">
        <f>+GrossMargin!F17-[3]GrossMargin!F17</f>
        <v>0</v>
      </c>
      <c r="F16" s="246">
        <f>+GrossMargin!G17-[3]GrossMargin!G17</f>
        <v>0</v>
      </c>
      <c r="G16" s="247">
        <f>+GrossMargin!H17-[3]GrossMargin!H17</f>
        <v>0</v>
      </c>
      <c r="H16" s="302">
        <f>SUM(C16:G16)</f>
        <v>32</v>
      </c>
      <c r="I16" s="133" t="e">
        <f>GrossMargin!J17-[3]GrossMargin!J17</f>
        <v>#REF!</v>
      </c>
      <c r="J16" s="246">
        <f>+GrossMargin!K17-[3]GrossMargin!K17</f>
        <v>0</v>
      </c>
      <c r="K16" s="303" t="e">
        <f>SUM(H16:J16)</f>
        <v>#REF!</v>
      </c>
    </row>
    <row r="17" spans="1:11" ht="13.5" hidden="1" customHeight="1">
      <c r="A17" s="242" t="s">
        <v>82</v>
      </c>
      <c r="B17" s="249"/>
      <c r="C17" s="301">
        <f>+GrossMargin!D18-[3]GrossMargin!D18</f>
        <v>0</v>
      </c>
      <c r="D17" s="246">
        <f>+GrossMargin!E18-[3]GrossMargin!E18</f>
        <v>0</v>
      </c>
      <c r="E17" s="246">
        <f>+GrossMargin!F18-[3]GrossMargin!F18</f>
        <v>0</v>
      </c>
      <c r="F17" s="246">
        <f>+GrossMargin!G18-[3]GrossMargin!G18</f>
        <v>0</v>
      </c>
      <c r="G17" s="247">
        <f>+GrossMargin!H18-[3]GrossMargin!H18</f>
        <v>0</v>
      </c>
      <c r="H17" s="302">
        <f>SUM(C17:G17)</f>
        <v>0</v>
      </c>
      <c r="I17" s="133" t="e">
        <f>GrossMargin!J18-[3]GrossMargin!J18</f>
        <v>#REF!</v>
      </c>
      <c r="J17" s="246">
        <f>+GrossMargin!K18-[3]GrossMargin!K18</f>
        <v>0</v>
      </c>
      <c r="K17" s="303" t="e">
        <f>SUM(H17:J17)</f>
        <v>#REF!</v>
      </c>
    </row>
    <row r="18" spans="1:11" ht="13.5" hidden="1" customHeight="1">
      <c r="A18" s="242" t="s">
        <v>83</v>
      </c>
      <c r="B18" s="249"/>
      <c r="C18" s="301">
        <f>+GrossMargin!D19-[3]GrossMargin!D19</f>
        <v>0</v>
      </c>
      <c r="D18" s="246">
        <f>+GrossMargin!E19-[3]GrossMargin!E19</f>
        <v>0</v>
      </c>
      <c r="E18" s="246">
        <f>+GrossMargin!F19-[3]GrossMargin!F19</f>
        <v>0</v>
      </c>
      <c r="F18" s="246">
        <f>+GrossMargin!G19-[3]GrossMargin!G19</f>
        <v>0</v>
      </c>
      <c r="G18" s="247">
        <f>+GrossMargin!H19-[3]GrossMargin!H19</f>
        <v>0</v>
      </c>
      <c r="H18" s="302">
        <f>SUM(C18:G18)</f>
        <v>0</v>
      </c>
      <c r="I18" s="133" t="e">
        <f>GrossMargin!J19-[3]GrossMargin!J19</f>
        <v>#REF!</v>
      </c>
      <c r="J18" s="246">
        <f>+GrossMargin!K19-[3]GrossMargin!K19</f>
        <v>0</v>
      </c>
      <c r="K18" s="303" t="e">
        <f>SUM(H18:J18)</f>
        <v>#REF!</v>
      </c>
    </row>
    <row r="19" spans="1:11" ht="13.5" hidden="1" customHeight="1">
      <c r="A19" s="242" t="s">
        <v>85</v>
      </c>
      <c r="B19" s="249"/>
      <c r="C19" s="304">
        <f>+GrossMargin!D20-[3]GrossMargin!D20</f>
        <v>0</v>
      </c>
      <c r="D19" s="256">
        <f>+GrossMargin!E20-[3]GrossMargin!E20</f>
        <v>0</v>
      </c>
      <c r="E19" s="256">
        <f>+GrossMargin!F20-[3]GrossMargin!F20</f>
        <v>0</v>
      </c>
      <c r="F19" s="256">
        <f>+GrossMargin!G20-[3]GrossMargin!G20</f>
        <v>0</v>
      </c>
      <c r="G19" s="257">
        <f>+GrossMargin!H20-[3]GrossMargin!H20</f>
        <v>0</v>
      </c>
      <c r="H19" s="305">
        <f>SUM(C19:G19)</f>
        <v>0</v>
      </c>
      <c r="I19" s="133" t="e">
        <f>GrossMargin!J20-[3]GrossMargin!J20</f>
        <v>#REF!</v>
      </c>
      <c r="J19" s="256">
        <f>+GrossMargin!K20-[3]GrossMargin!K20</f>
        <v>0</v>
      </c>
      <c r="K19" s="306" t="e">
        <f>SUM(H19:J19)</f>
        <v>#REF!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121.17899999999997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134">
        <f t="shared" si="2"/>
        <v>121.17899999999997</v>
      </c>
      <c r="I20" s="307" t="e">
        <f t="shared" si="2"/>
        <v>#REF!</v>
      </c>
      <c r="J20" s="36">
        <f t="shared" si="2"/>
        <v>0</v>
      </c>
      <c r="K20" s="135" t="e">
        <f t="shared" si="2"/>
        <v>#REF!</v>
      </c>
    </row>
    <row r="21" spans="1:11" s="190" customFormat="1" ht="13.5" customHeight="1">
      <c r="A21" s="107" t="s">
        <v>98</v>
      </c>
      <c r="B21" s="34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 t="e">
        <f>GrossMargin!J22-[3]GrossMargin!J22</f>
        <v>#REF!</v>
      </c>
      <c r="J21" s="36">
        <f>+GrossMargin!K22-[3]GrossMargin!K22</f>
        <v>0</v>
      </c>
      <c r="K21" s="135" t="e">
        <f>SUM(H21:J21)</f>
        <v>#REF!</v>
      </c>
    </row>
    <row r="22" spans="1:11" ht="13.5" customHeight="1">
      <c r="A22" s="107" t="s">
        <v>2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 t="e">
        <f>GrossMargin!J23-[3]GrossMargin!J23</f>
        <v>#REF!</v>
      </c>
      <c r="J22" s="36">
        <f>GrossMargin!K23-[3]GrossMargin!K23</f>
        <v>0</v>
      </c>
      <c r="K22" s="135" t="e">
        <f>SUM(H22:J22)</f>
        <v>#REF!</v>
      </c>
    </row>
    <row r="23" spans="1:11" ht="13.5" customHeight="1">
      <c r="A23" s="107" t="s">
        <v>11</v>
      </c>
      <c r="B23" s="168"/>
      <c r="C23" s="133">
        <f>+GrossMargin!D24-[3]GrossMargin!D24</f>
        <v>0</v>
      </c>
      <c r="D23" s="36">
        <f>+GrossMargin!E24-[3]GrossMargin!E24</f>
        <v>0</v>
      </c>
      <c r="E23" s="36">
        <f>+GrossMargin!F24-[3]GrossMargin!F24</f>
        <v>0</v>
      </c>
      <c r="F23" s="36">
        <f>+GrossMargin!G24-[3]GrossMargin!G24</f>
        <v>0</v>
      </c>
      <c r="G23" s="138">
        <f>+GrossMargin!H24-[3]GrossMargin!H24</f>
        <v>0</v>
      </c>
      <c r="H23" s="134">
        <f>SUM(C23:G23)</f>
        <v>0</v>
      </c>
      <c r="I23" s="133" t="e">
        <f>GrossMargin!J24-[3]GrossMargin!J24</f>
        <v>#REF!</v>
      </c>
      <c r="J23" s="36">
        <f>+GrossMargin!K24-[3]GrossMargin!K28</f>
        <v>0</v>
      </c>
      <c r="K23" s="135" t="e">
        <f>SUM(H23:J23)</f>
        <v>#REF!</v>
      </c>
    </row>
    <row r="24" spans="1:11" ht="3" customHeight="1">
      <c r="A24" s="107"/>
      <c r="B24" s="34"/>
      <c r="C24" s="133"/>
      <c r="D24" s="36"/>
      <c r="E24" s="36"/>
      <c r="F24" s="36"/>
      <c r="G24" s="138"/>
      <c r="H24" s="134"/>
      <c r="I24" s="133"/>
      <c r="J24" s="36"/>
      <c r="K24" s="138"/>
    </row>
    <row r="25" spans="1:11" ht="13.5" customHeight="1">
      <c r="A25" s="38" t="s">
        <v>108</v>
      </c>
      <c r="B25" s="34"/>
      <c r="C25" s="43">
        <f t="shared" ref="C25:K25" si="3">+C9+C10+C11+C12+C13+C20+C21+C22+C23</f>
        <v>2988.1790000000001</v>
      </c>
      <c r="D25" s="44">
        <f t="shared" si="3"/>
        <v>5.4239200000000096</v>
      </c>
      <c r="E25" s="44">
        <f t="shared" si="3"/>
        <v>0</v>
      </c>
      <c r="F25" s="44">
        <f t="shared" si="3"/>
        <v>0</v>
      </c>
      <c r="G25" s="45">
        <f t="shared" si="3"/>
        <v>0</v>
      </c>
      <c r="H25" s="46">
        <f t="shared" si="3"/>
        <v>2993.6029200000003</v>
      </c>
      <c r="I25" s="44" t="e">
        <f t="shared" si="3"/>
        <v>#REF!</v>
      </c>
      <c r="J25" s="44">
        <f t="shared" si="3"/>
        <v>0</v>
      </c>
      <c r="K25" s="45" t="e">
        <f t="shared" si="3"/>
        <v>#REF!</v>
      </c>
    </row>
    <row r="26" spans="1:11" ht="3" customHeight="1">
      <c r="A26" s="107"/>
      <c r="B26" s="34"/>
      <c r="C26" s="133"/>
      <c r="D26" s="36"/>
      <c r="E26" s="36"/>
      <c r="F26" s="36"/>
      <c r="G26" s="138"/>
      <c r="H26" s="134"/>
      <c r="I26" s="133"/>
      <c r="J26" s="36"/>
      <c r="K26" s="138"/>
    </row>
    <row r="27" spans="1:11" s="190" customFormat="1" ht="13.5" customHeight="1">
      <c r="A27" s="107" t="s">
        <v>99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 t="e">
        <f>GrossMargin!J28-[3]GrossMargin!J28</f>
        <v>#REF!</v>
      </c>
      <c r="J27" s="36">
        <f>+GrossMargin!K28-[3]GrossMargin!K23</f>
        <v>0</v>
      </c>
      <c r="K27" s="135" t="e">
        <f>SUM(H27:J27)</f>
        <v>#REF!</v>
      </c>
    </row>
    <row r="28" spans="1:11" s="190" customFormat="1" ht="13.5" customHeight="1">
      <c r="A28" s="107" t="s">
        <v>100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 t="e">
        <f>GrossMargin!J29-[3]GrossMargin!J29</f>
        <v>#REF!</v>
      </c>
      <c r="J28" s="36">
        <f>+GrossMargin!K29-[3]GrossMargin!K24</f>
        <v>0</v>
      </c>
      <c r="K28" s="135" t="e">
        <f>SUM(H28:J28)</f>
        <v>#REF!</v>
      </c>
    </row>
    <row r="29" spans="1:11" s="190" customFormat="1" ht="13.5" customHeight="1">
      <c r="A29" s="107" t="s">
        <v>101</v>
      </c>
      <c r="B29" s="34"/>
      <c r="C29" s="133">
        <f>+GrossMargin!D30-[3]GrossMargin!D30</f>
        <v>0</v>
      </c>
      <c r="D29" s="36">
        <f>+GrossMargin!E30-[3]GrossMargin!E30</f>
        <v>0</v>
      </c>
      <c r="E29" s="36">
        <f>+GrossMargin!F30-[3]GrossMargin!F30</f>
        <v>-735</v>
      </c>
      <c r="F29" s="36">
        <f>+GrossMargin!G30-[3]GrossMargin!G30</f>
        <v>0</v>
      </c>
      <c r="G29" s="138">
        <f>+GrossMargin!H30-[3]GrossMargin!H30</f>
        <v>0</v>
      </c>
      <c r="H29" s="134">
        <f>SUM(C29:G29)</f>
        <v>-735</v>
      </c>
      <c r="I29" s="133" t="e">
        <f>GrossMargin!J30-[3]GrossMargin!J30</f>
        <v>#REF!</v>
      </c>
      <c r="J29" s="36">
        <f>GrossMargin!K30-[3]GrossMargin!K30</f>
        <v>0</v>
      </c>
      <c r="K29" s="135" t="e">
        <f>SUM(H29:J29)</f>
        <v>#REF!</v>
      </c>
    </row>
    <row r="30" spans="1:11" ht="3" customHeight="1">
      <c r="A30" s="107"/>
      <c r="B30" s="34"/>
      <c r="C30" s="133"/>
      <c r="D30" s="36"/>
      <c r="E30" s="36"/>
      <c r="F30" s="36"/>
      <c r="G30" s="138"/>
      <c r="H30" s="134"/>
      <c r="I30" s="133"/>
      <c r="J30" s="36"/>
      <c r="K30" s="138"/>
    </row>
    <row r="31" spans="1:11" ht="13.5" customHeight="1">
      <c r="A31" s="38" t="s">
        <v>114</v>
      </c>
      <c r="B31" s="34"/>
      <c r="C31" s="43">
        <f>SUM(C27:C30)</f>
        <v>0</v>
      </c>
      <c r="D31" s="44">
        <f t="shared" ref="D31:K31" si="4">SUM(D27:D30)</f>
        <v>0</v>
      </c>
      <c r="E31" s="44">
        <f t="shared" si="4"/>
        <v>-735</v>
      </c>
      <c r="F31" s="44">
        <f t="shared" si="4"/>
        <v>0</v>
      </c>
      <c r="G31" s="45">
        <f t="shared" si="4"/>
        <v>0</v>
      </c>
      <c r="H31" s="46">
        <f t="shared" si="4"/>
        <v>-735</v>
      </c>
      <c r="I31" s="44" t="e">
        <f t="shared" si="4"/>
        <v>#REF!</v>
      </c>
      <c r="J31" s="44">
        <f t="shared" si="4"/>
        <v>0</v>
      </c>
      <c r="K31" s="45" t="e">
        <f t="shared" si="4"/>
        <v>#REF!</v>
      </c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3" customHeight="1">
      <c r="A33" s="107"/>
      <c r="B33" s="34"/>
      <c r="C33" s="133"/>
      <c r="D33" s="36"/>
      <c r="E33" s="36"/>
      <c r="F33" s="36"/>
      <c r="G33" s="138"/>
      <c r="H33" s="134"/>
      <c r="I33" s="133"/>
      <c r="J33" s="36"/>
      <c r="K33" s="138"/>
    </row>
    <row r="34" spans="1:11" ht="13.5" customHeight="1">
      <c r="A34" s="38" t="s">
        <v>109</v>
      </c>
      <c r="B34" s="34"/>
      <c r="C34" s="43">
        <f>+C25+C31</f>
        <v>2988.1790000000001</v>
      </c>
      <c r="D34" s="44">
        <f t="shared" ref="D34:K34" si="5">+D25+D31</f>
        <v>5.4239200000000096</v>
      </c>
      <c r="E34" s="44">
        <f t="shared" si="5"/>
        <v>-735</v>
      </c>
      <c r="F34" s="44">
        <f t="shared" si="5"/>
        <v>0</v>
      </c>
      <c r="G34" s="45">
        <f t="shared" si="5"/>
        <v>0</v>
      </c>
      <c r="H34" s="46">
        <f t="shared" si="5"/>
        <v>2258.6029200000003</v>
      </c>
      <c r="I34" s="44" t="e">
        <f t="shared" si="5"/>
        <v>#REF!</v>
      </c>
      <c r="J34" s="44">
        <f t="shared" si="5"/>
        <v>0</v>
      </c>
      <c r="K34" s="45" t="e">
        <f t="shared" si="5"/>
        <v>#REF!</v>
      </c>
    </row>
    <row r="35" spans="1:11" ht="3" customHeight="1">
      <c r="A35" s="107"/>
      <c r="B35" s="34"/>
      <c r="C35" s="133"/>
      <c r="D35" s="36"/>
      <c r="E35" s="36"/>
      <c r="F35" s="36"/>
      <c r="G35" s="138"/>
      <c r="H35" s="134"/>
      <c r="I35" s="133"/>
      <c r="J35" s="36"/>
      <c r="K35" s="138"/>
    </row>
    <row r="36" spans="1:11" ht="13.5" customHeight="1">
      <c r="A36" s="107" t="s">
        <v>10</v>
      </c>
      <c r="B36" s="34"/>
      <c r="C36" s="133">
        <f>+GrossMargin!D37-[3]GrossMargin!D37</f>
        <v>0</v>
      </c>
      <c r="D36" s="36">
        <f>+GrossMargin!E37-[3]GrossMargin!E37</f>
        <v>0</v>
      </c>
      <c r="E36" s="36">
        <f>+GrossMargin!F37-[3]GrossMargin!F37</f>
        <v>0</v>
      </c>
      <c r="F36" s="36">
        <f>+GrossMargin!G37-[3]GrossMargin!G37</f>
        <v>0</v>
      </c>
      <c r="G36" s="138">
        <f>+GrossMargin!H37-[3]GrossMargin!H37</f>
        <v>0</v>
      </c>
      <c r="H36" s="134">
        <f>SUM(C36:G36)</f>
        <v>0</v>
      </c>
      <c r="I36" s="133">
        <f>GrossMargin!J37-[3]GrossMargin!J32</f>
        <v>0</v>
      </c>
      <c r="J36" s="36">
        <f>+GrossMargin!K37-[3]GrossMargin!K32</f>
        <v>0</v>
      </c>
      <c r="K36" s="135">
        <f>SUM(H36:J36)</f>
        <v>0</v>
      </c>
    </row>
    <row r="37" spans="1:11" ht="3" customHeight="1">
      <c r="A37" s="107"/>
      <c r="B37" s="34"/>
      <c r="C37" s="133"/>
      <c r="D37" s="36"/>
      <c r="E37" s="36"/>
      <c r="F37" s="36"/>
      <c r="G37" s="138"/>
      <c r="H37" s="134"/>
      <c r="I37" s="133"/>
      <c r="J37" s="36"/>
      <c r="K37" s="138"/>
    </row>
    <row r="38" spans="1:11" ht="13.5" customHeight="1">
      <c r="A38" s="38" t="s">
        <v>107</v>
      </c>
      <c r="B38" s="34"/>
      <c r="C38" s="39">
        <f>SUM(C34:C36)</f>
        <v>2988.1790000000001</v>
      </c>
      <c r="D38" s="40">
        <f>SUM(D34:D36)</f>
        <v>5.4239200000000096</v>
      </c>
      <c r="E38" s="40">
        <f>SUM(E34:E37)</f>
        <v>-735</v>
      </c>
      <c r="F38" s="40">
        <f>SUM(F34:F36)</f>
        <v>0</v>
      </c>
      <c r="G38" s="41">
        <f>SUM(G34:G36)</f>
        <v>0</v>
      </c>
      <c r="H38" s="39">
        <f>SUM(C38:G38)</f>
        <v>2258.6029200000003</v>
      </c>
      <c r="I38" s="39" t="e">
        <f>SUM(I34:I36)</f>
        <v>#REF!</v>
      </c>
      <c r="J38" s="40">
        <f>SUM(J34:J36)</f>
        <v>0</v>
      </c>
      <c r="K38" s="41" t="e">
        <f>SUM(H38:J38)</f>
        <v>#REF!</v>
      </c>
    </row>
    <row r="39" spans="1:11" ht="3" customHeight="1">
      <c r="A39" s="103"/>
      <c r="B39" s="32"/>
      <c r="C39" s="104"/>
      <c r="D39" s="105"/>
      <c r="E39" s="105"/>
      <c r="F39" s="105"/>
      <c r="G39" s="182"/>
      <c r="H39" s="104"/>
      <c r="I39" s="104"/>
      <c r="J39" s="105"/>
      <c r="K39" s="182"/>
    </row>
    <row r="40" spans="1:11" ht="13.8">
      <c r="A40" s="163" t="s">
        <v>60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</row>
    <row r="41" spans="1:11">
      <c r="E41" s="187"/>
    </row>
    <row r="43" spans="1:11">
      <c r="G43" s="166"/>
    </row>
    <row r="44" spans="1:11" ht="15.6">
      <c r="D44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6"/>
  <sheetViews>
    <sheetView topLeftCell="B4" zoomScaleNormal="100" workbookViewId="0">
      <selection activeCell="D42" sqref="D42"/>
    </sheetView>
  </sheetViews>
  <sheetFormatPr defaultColWidth="9.109375" defaultRowHeight="10.199999999999999"/>
  <cols>
    <col min="1" max="1" width="16.88671875" style="12" hidden="1" customWidth="1"/>
    <col min="2" max="2" width="26.5546875" style="14" customWidth="1"/>
    <col min="3" max="3" width="1.6640625" style="14" customWidth="1"/>
    <col min="4" max="5" width="8.6640625" style="14" customWidth="1"/>
    <col min="6" max="7" width="8.5546875" style="14" customWidth="1"/>
    <col min="8" max="9" width="8.6640625" style="14" customWidth="1"/>
    <col min="10" max="10" width="8.6640625" style="14" hidden="1" customWidth="1"/>
    <col min="11" max="14" width="8.6640625" style="14" customWidth="1"/>
    <col min="15" max="17" width="9.6640625" style="14" customWidth="1"/>
    <col min="18" max="16384" width="9.109375" style="14"/>
  </cols>
  <sheetData>
    <row r="1" spans="1:16" ht="12.75" customHeight="1">
      <c r="A1" s="12" t="s">
        <v>43</v>
      </c>
    </row>
    <row r="2" spans="1:16" ht="15.6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3.8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8">
      <c r="A4" s="12" t="s">
        <v>22</v>
      </c>
      <c r="B4" s="186" t="str">
        <f>'Mgmt Summary'!A3</f>
        <v>Results based on activity through December 7,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8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4.4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-12153</v>
      </c>
      <c r="E10" s="140">
        <v>0</v>
      </c>
      <c r="F10" s="140">
        <v>0</v>
      </c>
      <c r="G10" s="140">
        <v>-129.61699999999999</v>
      </c>
      <c r="H10" s="138">
        <v>0</v>
      </c>
      <c r="I10" s="136">
        <f t="shared" ref="I10:I20" si="0">SUM(D10:H10)</f>
        <v>-12282.617</v>
      </c>
      <c r="J10" s="137"/>
      <c r="K10" s="36">
        <v>0</v>
      </c>
      <c r="L10" s="36">
        <f>+I10+K10</f>
        <v>-12282.617</v>
      </c>
      <c r="M10" s="253">
        <v>30000</v>
      </c>
      <c r="N10" s="135">
        <f t="shared" ref="N10:N30" si="1">L10-M10</f>
        <v>-42282.616999999998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6915</v>
      </c>
      <c r="E11" s="140">
        <f>395.25731-262.279</f>
        <v>132.97831000000002</v>
      </c>
      <c r="F11" s="140">
        <v>79.724000000000004</v>
      </c>
      <c r="G11" s="140">
        <v>0</v>
      </c>
      <c r="H11" s="138">
        <v>0</v>
      </c>
      <c r="I11" s="136">
        <f t="shared" si="0"/>
        <v>7127.7023100000006</v>
      </c>
      <c r="J11" s="137"/>
      <c r="K11" s="36">
        <v>0</v>
      </c>
      <c r="L11" s="36">
        <f t="shared" ref="L11:L30" si="2">+I11+K11</f>
        <v>7127.7023100000006</v>
      </c>
      <c r="M11" s="253">
        <f>ROUND(_xll.HPVAL($A11,$A$1,$A$2,$A$3,$A$4,$A$6)/1000,3)</f>
        <v>12747.159</v>
      </c>
      <c r="N11" s="135">
        <f t="shared" si="1"/>
        <v>-5619.4566899999991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6768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6768</v>
      </c>
      <c r="J12" s="137"/>
      <c r="K12" s="36">
        <v>0</v>
      </c>
      <c r="L12" s="36">
        <f t="shared" si="2"/>
        <v>6768</v>
      </c>
      <c r="M12" s="253">
        <f>ROUND(_xll.HPVAL($A12,$A$1,$A$2,$A$3,$A$4,$A$6)/1000,1)</f>
        <v>750</v>
      </c>
      <c r="N12" s="135">
        <f t="shared" si="1"/>
        <v>6018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3217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3217</v>
      </c>
      <c r="J13" s="137"/>
      <c r="K13" s="36">
        <v>0</v>
      </c>
      <c r="L13" s="36">
        <f t="shared" si="2"/>
        <v>3217</v>
      </c>
      <c r="M13" s="253">
        <f>ROUND(_xll.HPVAL($A13,$A$1,$A$2,$A$3,$A$4,$A$6)/1000,3)</f>
        <v>3214.846</v>
      </c>
      <c r="N13" s="135">
        <f t="shared" si="1"/>
        <v>2.1539999999999964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3">
        <f>ROUND(_xll.HPVAL($A14,$A$1,$A$2,$A$3,$A$4,$A$6)/1000,3)</f>
        <v>7712.2910000000002</v>
      </c>
      <c r="N14" s="135">
        <f t="shared" si="1"/>
        <v>-7712.2910000000002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-427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-427</v>
      </c>
      <c r="J15" s="246"/>
      <c r="K15" s="246">
        <v>0</v>
      </c>
      <c r="L15" s="36">
        <f t="shared" si="2"/>
        <v>-427</v>
      </c>
      <c r="M15" s="253">
        <v>0</v>
      </c>
      <c r="N15" s="247">
        <f>L15-M15</f>
        <v>-427</v>
      </c>
    </row>
    <row r="16" spans="1:16" ht="13.5" hidden="1" customHeight="1">
      <c r="A16" s="12" t="s">
        <v>51</v>
      </c>
      <c r="B16" s="242" t="s">
        <v>150</v>
      </c>
      <c r="C16" s="243"/>
      <c r="D16" s="244">
        <f>-1206.686+386.179</f>
        <v>-820.50699999999995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-820.50699999999995</v>
      </c>
      <c r="J16" s="246"/>
      <c r="K16" s="246">
        <v>0</v>
      </c>
      <c r="L16" s="36">
        <f>+I16+K16</f>
        <v>-820.50699999999995</v>
      </c>
      <c r="M16" s="253">
        <v>0</v>
      </c>
      <c r="N16" s="247">
        <f>L16-M16</f>
        <v>-820.50699999999995</v>
      </c>
    </row>
    <row r="17" spans="1:16" ht="13.5" hidden="1" customHeight="1">
      <c r="B17" s="242" t="s">
        <v>84</v>
      </c>
      <c r="C17" s="243"/>
      <c r="D17" s="244">
        <v>1476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1476</v>
      </c>
      <c r="J17" s="246"/>
      <c r="K17" s="246">
        <v>0</v>
      </c>
      <c r="L17" s="36">
        <f t="shared" si="2"/>
        <v>1476</v>
      </c>
      <c r="M17" s="255">
        <v>0</v>
      </c>
      <c r="N17" s="247">
        <f>L17-M17</f>
        <v>1476</v>
      </c>
      <c r="P17" s="166"/>
    </row>
    <row r="18" spans="1:16" ht="13.5" hidden="1" customHeight="1">
      <c r="B18" s="242" t="s">
        <v>82</v>
      </c>
      <c r="C18" s="243"/>
      <c r="D18" s="244">
        <v>-87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-87</v>
      </c>
      <c r="J18" s="246"/>
      <c r="K18" s="246">
        <v>0</v>
      </c>
      <c r="L18" s="36">
        <f t="shared" si="2"/>
        <v>-87</v>
      </c>
      <c r="M18" s="255">
        <v>0</v>
      </c>
      <c r="N18" s="247">
        <f t="shared" si="1"/>
        <v>-87</v>
      </c>
      <c r="O18" s="166"/>
    </row>
    <row r="19" spans="1:16" ht="13.5" hidden="1" customHeight="1">
      <c r="B19" s="242" t="s">
        <v>83</v>
      </c>
      <c r="C19" s="243"/>
      <c r="D19" s="244">
        <v>38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38</v>
      </c>
      <c r="J19" s="246"/>
      <c r="K19" s="246">
        <v>0</v>
      </c>
      <c r="L19" s="36">
        <f t="shared" si="2"/>
        <v>38</v>
      </c>
      <c r="M19" s="255">
        <v>0</v>
      </c>
      <c r="N19" s="247">
        <f t="shared" si="1"/>
        <v>38</v>
      </c>
    </row>
    <row r="20" spans="1:16" ht="13.5" hidden="1" customHeight="1">
      <c r="B20" s="242" t="s">
        <v>85</v>
      </c>
      <c r="C20" s="243"/>
      <c r="D20" s="252">
        <v>-54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-54</v>
      </c>
      <c r="J20" s="256"/>
      <c r="K20" s="256">
        <v>0</v>
      </c>
      <c r="L20" s="267">
        <f t="shared" si="2"/>
        <v>-54</v>
      </c>
      <c r="M20" s="268">
        <v>0</v>
      </c>
      <c r="N20" s="257">
        <f>L20-M20</f>
        <v>-54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125.49299999999994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125.49299999999994</v>
      </c>
      <c r="J21" s="137"/>
      <c r="K21" s="36">
        <f>SUM(K15:K20)</f>
        <v>0</v>
      </c>
      <c r="L21" s="36">
        <f t="shared" si="2"/>
        <v>125.49299999999994</v>
      </c>
      <c r="M21" s="253">
        <f>33848.881-22365.668-2500.002+2500.002</f>
        <v>11483.213</v>
      </c>
      <c r="N21" s="135">
        <f>L21-M21</f>
        <v>-11357.72</v>
      </c>
    </row>
    <row r="22" spans="1:16" s="190" customFormat="1" ht="13.5" customHeight="1">
      <c r="A22" s="12"/>
      <c r="B22" s="107" t="s">
        <v>98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36">
        <v>0</v>
      </c>
      <c r="L22" s="36">
        <f t="shared" si="2"/>
        <v>0</v>
      </c>
      <c r="M22" s="138">
        <v>0</v>
      </c>
      <c r="N22" s="135">
        <f t="shared" si="1"/>
        <v>0</v>
      </c>
    </row>
    <row r="23" spans="1:16" s="190" customFormat="1" ht="12" customHeight="1">
      <c r="A23" s="188"/>
      <c r="B23" s="107" t="s">
        <v>2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0</v>
      </c>
      <c r="N23" s="135">
        <f>L23-M23</f>
        <v>0</v>
      </c>
    </row>
    <row r="24" spans="1:16" s="190" customFormat="1" ht="12" customHeight="1">
      <c r="A24" s="188"/>
      <c r="B24" s="107" t="s">
        <v>11</v>
      </c>
      <c r="C24" s="189"/>
      <c r="D24" s="139">
        <v>0</v>
      </c>
      <c r="E24" s="140">
        <v>0</v>
      </c>
      <c r="F24" s="140">
        <v>0</v>
      </c>
      <c r="G24" s="140">
        <v>0</v>
      </c>
      <c r="H24" s="138">
        <v>0</v>
      </c>
      <c r="I24" s="136">
        <f>SUM(D24:H24)</f>
        <v>0</v>
      </c>
      <c r="J24" s="137"/>
      <c r="K24" s="133">
        <v>0</v>
      </c>
      <c r="L24" s="36">
        <f>+I24+K24</f>
        <v>0</v>
      </c>
      <c r="M24" s="138">
        <v>10100</v>
      </c>
      <c r="N24" s="135">
        <f>L24-M24</f>
        <v>-10100</v>
      </c>
    </row>
    <row r="25" spans="1:16" ht="3" customHeight="1">
      <c r="B25" s="107"/>
      <c r="C25" s="34"/>
      <c r="D25" s="139"/>
      <c r="E25" s="140"/>
      <c r="F25" s="140"/>
      <c r="G25" s="140"/>
      <c r="H25" s="138"/>
      <c r="I25" s="136"/>
      <c r="J25" s="36"/>
      <c r="K25" s="133"/>
      <c r="L25" s="36"/>
      <c r="M25" s="138"/>
      <c r="N25" s="135"/>
    </row>
    <row r="26" spans="1:16" ht="12" customHeight="1">
      <c r="B26" s="263" t="s">
        <v>106</v>
      </c>
      <c r="C26" s="34"/>
      <c r="D26" s="43">
        <f>+D10+D11+D12+D13+D14+D21+D22+D23+D24</f>
        <v>4872.4930000000004</v>
      </c>
      <c r="E26" s="44">
        <f t="shared" ref="E26:N26" si="4">+E10+E11+E12+E13+E14+E21+E22+E23+E24</f>
        <v>132.97831000000002</v>
      </c>
      <c r="F26" s="44">
        <f t="shared" si="4"/>
        <v>79.724000000000004</v>
      </c>
      <c r="G26" s="44">
        <f t="shared" si="4"/>
        <v>-129.61699999999999</v>
      </c>
      <c r="H26" s="45">
        <f t="shared" si="4"/>
        <v>0</v>
      </c>
      <c r="I26" s="46">
        <f t="shared" si="4"/>
        <v>4955.5783100000008</v>
      </c>
      <c r="J26" s="44">
        <f t="shared" si="4"/>
        <v>0</v>
      </c>
      <c r="K26" s="44">
        <f t="shared" si="4"/>
        <v>0</v>
      </c>
      <c r="L26" s="44">
        <f t="shared" si="4"/>
        <v>4955.5783100000008</v>
      </c>
      <c r="M26" s="45">
        <f t="shared" si="4"/>
        <v>76007.508999999991</v>
      </c>
      <c r="N26" s="45">
        <f t="shared" si="4"/>
        <v>-71051.930689999994</v>
      </c>
    </row>
    <row r="27" spans="1:16" ht="3" customHeight="1">
      <c r="B27" s="107"/>
      <c r="C27" s="34"/>
      <c r="D27" s="139"/>
      <c r="E27" s="140"/>
      <c r="F27" s="140"/>
      <c r="G27" s="140"/>
      <c r="H27" s="138"/>
      <c r="I27" s="136"/>
      <c r="J27" s="36"/>
      <c r="K27" s="133"/>
      <c r="L27" s="36"/>
      <c r="M27" s="138"/>
      <c r="N27" s="135"/>
    </row>
    <row r="28" spans="1:16" s="190" customFormat="1" ht="13.5" customHeight="1">
      <c r="A28" s="12"/>
      <c r="B28" s="107" t="s">
        <v>99</v>
      </c>
      <c r="C28" s="189"/>
      <c r="D28" s="139">
        <v>0</v>
      </c>
      <c r="E28" s="140">
        <v>0</v>
      </c>
      <c r="F28" s="140">
        <f>674-188-100-300</f>
        <v>86</v>
      </c>
      <c r="G28" s="140">
        <v>0</v>
      </c>
      <c r="H28" s="138">
        <v>0</v>
      </c>
      <c r="I28" s="136">
        <f>SUM(D28:H28)</f>
        <v>86</v>
      </c>
      <c r="J28" s="137"/>
      <c r="K28" s="36">
        <v>0</v>
      </c>
      <c r="L28" s="36">
        <f t="shared" si="2"/>
        <v>86</v>
      </c>
      <c r="M28" s="253">
        <f>1159-15</f>
        <v>1144</v>
      </c>
      <c r="N28" s="135">
        <f t="shared" si="1"/>
        <v>-1058</v>
      </c>
      <c r="O28" s="14"/>
    </row>
    <row r="29" spans="1:16" s="190" customFormat="1" ht="13.5" customHeight="1">
      <c r="A29" s="12"/>
      <c r="B29" s="107" t="s">
        <v>100</v>
      </c>
      <c r="C29" s="189"/>
      <c r="D29" s="139">
        <v>0</v>
      </c>
      <c r="E29" s="140">
        <v>0</v>
      </c>
      <c r="F29" s="140">
        <v>132</v>
      </c>
      <c r="G29" s="140">
        <v>0</v>
      </c>
      <c r="H29" s="138">
        <v>0</v>
      </c>
      <c r="I29" s="136">
        <f>SUM(D29:H29)</f>
        <v>132</v>
      </c>
      <c r="J29" s="137"/>
      <c r="K29" s="36">
        <v>0</v>
      </c>
      <c r="L29" s="36">
        <f t="shared" si="2"/>
        <v>132</v>
      </c>
      <c r="M29" s="138">
        <v>4617</v>
      </c>
      <c r="N29" s="135">
        <f t="shared" si="1"/>
        <v>-4485</v>
      </c>
      <c r="O29" s="14"/>
    </row>
    <row r="30" spans="1:16" s="190" customFormat="1" ht="13.5" customHeight="1">
      <c r="A30" s="12"/>
      <c r="B30" s="107" t="s">
        <v>101</v>
      </c>
      <c r="C30" s="189"/>
      <c r="D30" s="139">
        <v>0</v>
      </c>
      <c r="E30" s="140">
        <v>0</v>
      </c>
      <c r="F30" s="140">
        <v>-3089</v>
      </c>
      <c r="G30" s="140">
        <v>0</v>
      </c>
      <c r="H30" s="138">
        <v>0</v>
      </c>
      <c r="I30" s="136">
        <f>SUM(D30:H30)</f>
        <v>-3089</v>
      </c>
      <c r="J30" s="137"/>
      <c r="K30" s="36">
        <v>0</v>
      </c>
      <c r="L30" s="36">
        <f t="shared" si="2"/>
        <v>-3089</v>
      </c>
      <c r="M30" s="253">
        <v>530</v>
      </c>
      <c r="N30" s="135">
        <f t="shared" si="1"/>
        <v>-3619</v>
      </c>
    </row>
    <row r="31" spans="1:16" ht="3" customHeight="1">
      <c r="B31" s="107"/>
      <c r="C31" s="34"/>
      <c r="D31" s="133"/>
      <c r="E31" s="36"/>
      <c r="F31" s="36"/>
      <c r="G31" s="36"/>
      <c r="H31" s="138"/>
      <c r="I31" s="136"/>
      <c r="J31" s="36"/>
      <c r="K31" s="133"/>
      <c r="L31" s="36"/>
      <c r="M31" s="138"/>
      <c r="N31" s="135"/>
    </row>
    <row r="32" spans="1:16" ht="12" customHeight="1">
      <c r="B32" s="263" t="s">
        <v>113</v>
      </c>
      <c r="C32" s="34"/>
      <c r="D32" s="43">
        <f>SUM(D28:D31)</f>
        <v>0</v>
      </c>
      <c r="E32" s="44">
        <f t="shared" ref="E32:N32" si="5">SUM(E28:E31)</f>
        <v>0</v>
      </c>
      <c r="F32" s="44">
        <f t="shared" si="5"/>
        <v>-2871</v>
      </c>
      <c r="G32" s="44">
        <f t="shared" si="5"/>
        <v>0</v>
      </c>
      <c r="H32" s="45">
        <f t="shared" si="5"/>
        <v>0</v>
      </c>
      <c r="I32" s="46">
        <f t="shared" si="5"/>
        <v>-2871</v>
      </c>
      <c r="J32" s="44">
        <f t="shared" si="5"/>
        <v>0</v>
      </c>
      <c r="K32" s="44">
        <f t="shared" si="5"/>
        <v>0</v>
      </c>
      <c r="L32" s="44">
        <f t="shared" si="5"/>
        <v>-2871</v>
      </c>
      <c r="M32" s="45">
        <f t="shared" si="5"/>
        <v>6291</v>
      </c>
      <c r="N32" s="45">
        <f t="shared" si="5"/>
        <v>-9162</v>
      </c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3" customHeight="1">
      <c r="B34" s="107"/>
      <c r="C34" s="34"/>
      <c r="D34" s="133"/>
      <c r="E34" s="36"/>
      <c r="F34" s="36"/>
      <c r="G34" s="36"/>
      <c r="H34" s="138"/>
      <c r="I34" s="136"/>
      <c r="J34" s="36"/>
      <c r="K34" s="133"/>
      <c r="L34" s="36"/>
      <c r="M34" s="138"/>
      <c r="N34" s="135"/>
    </row>
    <row r="35" spans="2:14" ht="12" customHeight="1">
      <c r="B35" s="263" t="s">
        <v>76</v>
      </c>
      <c r="C35" s="34"/>
      <c r="D35" s="43">
        <f>+D26+D32</f>
        <v>4872.4930000000004</v>
      </c>
      <c r="E35" s="44">
        <f t="shared" ref="E35:N35" si="6">+E26+E32</f>
        <v>132.97831000000002</v>
      </c>
      <c r="F35" s="44">
        <f t="shared" si="6"/>
        <v>-2791.2759999999998</v>
      </c>
      <c r="G35" s="44">
        <f t="shared" si="6"/>
        <v>-129.61699999999999</v>
      </c>
      <c r="H35" s="45">
        <f t="shared" si="6"/>
        <v>0</v>
      </c>
      <c r="I35" s="46">
        <f t="shared" si="6"/>
        <v>2084.5783100000008</v>
      </c>
      <c r="J35" s="44">
        <f t="shared" si="6"/>
        <v>0</v>
      </c>
      <c r="K35" s="44">
        <f t="shared" si="6"/>
        <v>0</v>
      </c>
      <c r="L35" s="44">
        <f t="shared" si="6"/>
        <v>2084.5783100000008</v>
      </c>
      <c r="M35" s="45">
        <f t="shared" si="6"/>
        <v>82298.508999999991</v>
      </c>
      <c r="N35" s="45">
        <f t="shared" si="6"/>
        <v>-80213.930689999994</v>
      </c>
    </row>
    <row r="36" spans="2:14" ht="3" customHeight="1">
      <c r="B36" s="107"/>
      <c r="C36" s="34"/>
      <c r="D36" s="133"/>
      <c r="E36" s="36"/>
      <c r="F36" s="36"/>
      <c r="G36" s="36"/>
      <c r="H36" s="138"/>
      <c r="I36" s="136"/>
      <c r="J36" s="36"/>
      <c r="K36" s="133"/>
      <c r="L36" s="36"/>
      <c r="M36" s="138"/>
      <c r="N36" s="135"/>
    </row>
    <row r="37" spans="2:14" ht="13.5" customHeight="1">
      <c r="B37" s="107" t="s">
        <v>10</v>
      </c>
      <c r="C37" s="34"/>
      <c r="D37" s="133">
        <v>0</v>
      </c>
      <c r="E37" s="140">
        <v>0</v>
      </c>
      <c r="F37" s="140">
        <v>0</v>
      </c>
      <c r="G37" s="140">
        <v>-520</v>
      </c>
      <c r="H37" s="138">
        <v>0</v>
      </c>
      <c r="I37" s="136">
        <f>SUM(D37:H37)</f>
        <v>-520</v>
      </c>
      <c r="J37" s="36"/>
      <c r="K37" s="133">
        <v>0</v>
      </c>
      <c r="L37" s="36">
        <f>SUM(I37:K37)</f>
        <v>-520</v>
      </c>
      <c r="M37" s="138">
        <f>+G37</f>
        <v>-520</v>
      </c>
      <c r="N37" s="135">
        <f>L37-M37</f>
        <v>0</v>
      </c>
    </row>
    <row r="38" spans="2:14" ht="3" customHeight="1">
      <c r="B38" s="107"/>
      <c r="C38" s="34"/>
      <c r="D38" s="133"/>
      <c r="E38" s="36"/>
      <c r="F38" s="36"/>
      <c r="G38" s="36"/>
      <c r="H38" s="138"/>
      <c r="I38" s="136"/>
      <c r="J38" s="36"/>
      <c r="K38" s="133"/>
      <c r="L38" s="36"/>
      <c r="M38" s="138"/>
      <c r="N38" s="135"/>
    </row>
    <row r="39" spans="2:14" ht="12" customHeight="1">
      <c r="B39" s="38" t="s">
        <v>77</v>
      </c>
      <c r="C39" s="34"/>
      <c r="D39" s="39">
        <f>+D35+D37</f>
        <v>4872.4930000000004</v>
      </c>
      <c r="E39" s="40">
        <f>+E35+E37</f>
        <v>132.97831000000002</v>
      </c>
      <c r="F39" s="40">
        <f>+F35+F37</f>
        <v>-2791.2759999999998</v>
      </c>
      <c r="G39" s="40">
        <f>+G35+G37</f>
        <v>-649.61699999999996</v>
      </c>
      <c r="H39" s="41">
        <f>+H35+H37</f>
        <v>0</v>
      </c>
      <c r="I39" s="42">
        <f>SUM(I35:I37)</f>
        <v>1564.5783100000008</v>
      </c>
      <c r="J39" s="40">
        <f>SUM(J35:J37)</f>
        <v>0</v>
      </c>
      <c r="K39" s="39">
        <f>+K35+K37</f>
        <v>0</v>
      </c>
      <c r="L39" s="40">
        <f>+L35+L37</f>
        <v>1564.5783100000008</v>
      </c>
      <c r="M39" s="41">
        <f>+M35+M37</f>
        <v>81778.508999999991</v>
      </c>
      <c r="N39" s="41">
        <f>SUM(N35:N37)</f>
        <v>-80213.930689999994</v>
      </c>
    </row>
    <row r="40" spans="2:14" ht="3" customHeight="1">
      <c r="B40" s="24"/>
      <c r="D40" s="25"/>
      <c r="E40" s="26"/>
      <c r="F40" s="26"/>
      <c r="G40" s="26"/>
      <c r="H40" s="27"/>
      <c r="I40" s="170"/>
      <c r="J40" s="26"/>
      <c r="K40" s="25"/>
      <c r="L40" s="26"/>
      <c r="M40" s="27"/>
      <c r="N40" s="27"/>
    </row>
    <row r="41" spans="2:14">
      <c r="B41" s="163" t="s">
        <v>60</v>
      </c>
      <c r="C41" s="59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B43" s="70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 spans="2:14">
      <c r="D46" s="23"/>
      <c r="E46" s="23"/>
      <c r="F46" s="23"/>
      <c r="G46" s="23"/>
      <c r="H46" s="23"/>
      <c r="I46" s="23"/>
      <c r="J46" s="23"/>
      <c r="K46" s="23"/>
      <c r="L46" s="23" t="s">
        <v>63</v>
      </c>
      <c r="M46" s="23"/>
      <c r="N46" s="23"/>
    </row>
    <row r="47" spans="2:14">
      <c r="D47" s="23"/>
    </row>
    <row r="48" spans="2:14">
      <c r="D48" s="23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H13" sqref="H13"/>
    </sheetView>
  </sheetViews>
  <sheetFormatPr defaultRowHeight="13.2"/>
  <cols>
    <col min="1" max="1" width="13" style="10" hidden="1" customWidth="1"/>
    <col min="2" max="2" width="32.44140625" customWidth="1"/>
    <col min="3" max="3" width="1.6640625" customWidth="1"/>
    <col min="4" max="4" width="10.6640625" customWidth="1"/>
    <col min="5" max="5" width="9.6640625" customWidth="1"/>
    <col min="6" max="6" width="9.33203125" customWidth="1"/>
    <col min="7" max="7" width="1.6640625" customWidth="1"/>
    <col min="8" max="11" width="15.6640625" customWidth="1"/>
  </cols>
  <sheetData>
    <row r="1" spans="1:37" hidden="1">
      <c r="A1" s="10" t="s">
        <v>43</v>
      </c>
    </row>
    <row r="2" spans="1:37" ht="15.6">
      <c r="A2" s="10" t="s">
        <v>29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Q2" t="s">
        <v>59</v>
      </c>
    </row>
    <row r="3" spans="1:37" ht="13.8">
      <c r="A3" s="11">
        <v>36861</v>
      </c>
      <c r="B3" s="327" t="s">
        <v>95</v>
      </c>
      <c r="C3" s="327"/>
      <c r="D3" s="327"/>
      <c r="E3" s="327"/>
      <c r="F3" s="327"/>
      <c r="G3" s="327"/>
      <c r="H3" s="327"/>
      <c r="I3" s="327"/>
      <c r="J3" s="327"/>
      <c r="K3" s="327"/>
    </row>
    <row r="4" spans="1:37">
      <c r="A4" s="10" t="s">
        <v>22</v>
      </c>
      <c r="B4" s="328" t="str">
        <f>+GrossMargin!B4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</row>
    <row r="5" spans="1:37" ht="3" customHeight="1"/>
    <row r="6" spans="1:37" s="50" customFormat="1" ht="12">
      <c r="A6" s="10" t="s">
        <v>47</v>
      </c>
      <c r="B6" s="124"/>
      <c r="D6" s="320" t="s">
        <v>26</v>
      </c>
      <c r="E6" s="321"/>
      <c r="F6" s="322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3" t="s">
        <v>39</v>
      </c>
      <c r="I7" s="324"/>
      <c r="J7" s="324"/>
      <c r="K7" s="325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>
        <f>ROUND(_xll.HPVAL($A10,$A$1,$A$2,$A$3,$A$4,$A$6)/1000,1)</f>
        <v>2439.6999999999998</v>
      </c>
      <c r="F10" s="143">
        <f t="shared" si="0"/>
        <v>380</v>
      </c>
      <c r="G10" s="52"/>
      <c r="H10" s="251" t="s">
        <v>154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>+E11+1000+120+200</f>
        <v>1424.1</v>
      </c>
      <c r="E11" s="173">
        <f>ROUND(_xll.HPVAL($A11,$A$1,$A$2,$A$3,$A$4,$A$6)/1000,1)</f>
        <v>104.1</v>
      </c>
      <c r="F11" s="143">
        <f t="shared" si="0"/>
        <v>-1320</v>
      </c>
      <c r="G11" s="52"/>
      <c r="H11" s="251" t="s">
        <v>105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>+E12</f>
        <v>892.1</v>
      </c>
      <c r="E12" s="173">
        <f>ROUND(_xll.HPVAL($A12,$A$1,$A$2,$A$3,$A$4,$A$6)/1000,1)</f>
        <v>892.1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+E13+250</f>
        <v>1893.5</v>
      </c>
      <c r="E13" s="173">
        <f>ROUND(_xll.HPVAL($A13,$A$1,$A$2,$A$3,$A$4,$A$6)/1000,1)</f>
        <v>1643.5</v>
      </c>
      <c r="F13" s="143">
        <f t="shared" si="0"/>
        <v>-250</v>
      </c>
      <c r="G13" s="52"/>
      <c r="H13" s="251" t="s">
        <v>155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896.12600000000009</v>
      </c>
      <c r="E14" s="173">
        <f>2000.4-487.223-649.533+32.482</f>
        <v>896.12600000000009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v>1525</v>
      </c>
      <c r="E15" s="173">
        <v>0</v>
      </c>
      <c r="F15" s="177">
        <f t="shared" si="0"/>
        <v>-1525</v>
      </c>
      <c r="G15" s="52"/>
      <c r="H15" s="251" t="s">
        <v>153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115</v>
      </c>
      <c r="C18" s="50"/>
      <c r="D18" s="56">
        <f>SUM(D9:D17)</f>
        <v>15686.526000000002</v>
      </c>
      <c r="E18" s="57">
        <f>SUM(E9:E17)</f>
        <v>12221.526000000002</v>
      </c>
      <c r="F18" s="183">
        <f>SUM(F9:F17)</f>
        <v>-3465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147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2044+525</f>
        <v>2569</v>
      </c>
      <c r="E21" s="173">
        <v>1536</v>
      </c>
      <c r="F21" s="177">
        <f>E21-D21</f>
        <v>-1033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111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106</v>
      </c>
      <c r="C24" s="50"/>
      <c r="D24" s="56">
        <f>SUM(D20:D23)</f>
        <v>6498</v>
      </c>
      <c r="E24" s="57">
        <f>SUM(E20:E23)</f>
        <v>4522</v>
      </c>
      <c r="F24" s="183">
        <f>SUM(F20:F23)</f>
        <v>-1976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>
        <f>+D18+D24</f>
        <v>22184.526000000002</v>
      </c>
      <c r="E27" s="57">
        <f>+E18+E24</f>
        <v>16743.526000000002</v>
      </c>
      <c r="F27" s="183">
        <f>+F18+F24</f>
        <v>-5441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>
        <f>26030+'CapChrg-AllocExp'!M29+1188-998.93+12.872+4103</f>
        <v>30934.941999999999</v>
      </c>
      <c r="E29" s="142">
        <f>26030+1188-998.93+12.872+4103</f>
        <v>30334.941999999999</v>
      </c>
      <c r="F29" s="143">
        <f>E29-D29</f>
        <v>-600</v>
      </c>
      <c r="G29" s="52"/>
      <c r="H29" s="251" t="s">
        <v>110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>
        <f>SUM(D27:D30)</f>
        <v>53119.468000000001</v>
      </c>
      <c r="E32" s="48">
        <f>SUM(E27:E30)</f>
        <v>47078.468000000001</v>
      </c>
      <c r="F32" s="49">
        <f>SUM(F27:F30)</f>
        <v>-6041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29" t="s">
        <v>49</v>
      </c>
      <c r="E35" s="330"/>
      <c r="F35" s="331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7" t="s">
        <v>39</v>
      </c>
      <c r="I36" s="318"/>
      <c r="J36" s="318"/>
      <c r="K36" s="319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6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G18" sqref="G18"/>
    </sheetView>
  </sheetViews>
  <sheetFormatPr defaultRowHeight="13.2"/>
  <cols>
    <col min="1" max="1" width="32.5546875" customWidth="1"/>
    <col min="2" max="2" width="1.6640625" customWidth="1"/>
    <col min="3" max="3" width="10.6640625" customWidth="1"/>
    <col min="4" max="4" width="9.6640625" customWidth="1"/>
    <col min="5" max="5" width="9.33203125" customWidth="1"/>
    <col min="6" max="6" width="1.6640625" customWidth="1"/>
    <col min="7" max="10" width="15.6640625" customWidth="1"/>
  </cols>
  <sheetData>
    <row r="1" spans="1:33" hidden="1"/>
    <row r="2" spans="1:33" ht="15.6">
      <c r="A2" s="326" t="s">
        <v>70</v>
      </c>
      <c r="B2" s="326"/>
      <c r="C2" s="326"/>
      <c r="D2" s="326"/>
      <c r="E2" s="326"/>
      <c r="F2" s="326"/>
      <c r="G2" s="326"/>
      <c r="H2" s="326"/>
      <c r="I2" s="326"/>
      <c r="J2" s="326"/>
    </row>
    <row r="3" spans="1:33" ht="13.8">
      <c r="A3" s="327" t="s">
        <v>96</v>
      </c>
      <c r="B3" s="327"/>
      <c r="C3" s="327"/>
      <c r="D3" s="327"/>
      <c r="E3" s="327"/>
      <c r="F3" s="327"/>
      <c r="G3" s="327"/>
      <c r="H3" s="327"/>
      <c r="I3" s="327"/>
      <c r="J3" s="327"/>
    </row>
    <row r="4" spans="1:33">
      <c r="A4" s="328" t="str">
        <f>+Expenses!B4</f>
        <v>Results based on activity through December 7, 2000</v>
      </c>
      <c r="B4" s="328"/>
      <c r="C4" s="328"/>
      <c r="D4" s="328"/>
      <c r="E4" s="328"/>
      <c r="F4" s="328"/>
      <c r="G4" s="328"/>
      <c r="H4" s="328"/>
      <c r="I4" s="328"/>
      <c r="J4" s="328"/>
    </row>
    <row r="5" spans="1:33" ht="3" customHeight="1"/>
    <row r="6" spans="1:33" s="31" customFormat="1">
      <c r="A6" s="124"/>
      <c r="B6" s="50"/>
      <c r="C6" s="320" t="s">
        <v>26</v>
      </c>
      <c r="D6" s="321"/>
      <c r="E6" s="322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3" t="s">
        <v>39</v>
      </c>
      <c r="H7" s="324"/>
      <c r="I7" s="324"/>
      <c r="J7" s="325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>
        <f>+Expenses!E10-[3]Expenses!E10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+Expenses!D11-[3]Expenses!D11</f>
        <v>200</v>
      </c>
      <c r="D11" s="142">
        <f>+Expenses!E11-[3]Expenses!E11</f>
        <v>0</v>
      </c>
      <c r="E11" s="143">
        <f t="shared" si="0"/>
        <v>-200</v>
      </c>
      <c r="F11" s="52"/>
      <c r="G11" s="251" t="s">
        <v>105</v>
      </c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+Expenses!D12-[3]Expenses!D12</f>
        <v>0</v>
      </c>
      <c r="D12" s="142">
        <f>+Expenses!E12-[3]Expenses!E12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+Expenses!D13-[3]Expenses!D13</f>
        <v>250</v>
      </c>
      <c r="D13" s="142">
        <f>+Expenses!E13-[3]Expenses!E13</f>
        <v>0</v>
      </c>
      <c r="E13" s="143">
        <f t="shared" si="0"/>
        <v>-250</v>
      </c>
      <c r="F13" s="52"/>
      <c r="G13" s="251" t="s">
        <v>155</v>
      </c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255</v>
      </c>
      <c r="D15" s="142">
        <f>+Expenses!E15-[3]Expenses!E15</f>
        <v>0</v>
      </c>
      <c r="E15" s="143">
        <f t="shared" si="0"/>
        <v>-255</v>
      </c>
      <c r="F15" s="52"/>
      <c r="G15" s="251" t="s">
        <v>153</v>
      </c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62" t="s">
        <v>115</v>
      </c>
      <c r="B18" s="50"/>
      <c r="C18" s="47">
        <f>SUM(C9:C17)</f>
        <v>705</v>
      </c>
      <c r="D18" s="48">
        <f>SUM(D9:D17)</f>
        <v>0</v>
      </c>
      <c r="E18" s="49">
        <f>SUM(E9:E17)</f>
        <v>-705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62" t="s">
        <v>106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>
        <f>+C18+C24</f>
        <v>705</v>
      </c>
      <c r="D27" s="48">
        <f>+D18+D24</f>
        <v>0</v>
      </c>
      <c r="E27" s="49">
        <f>+E18+E24</f>
        <v>-705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>
        <f>+Expenses!D29-[3]Expenses!D29</f>
        <v>0</v>
      </c>
      <c r="D29" s="142">
        <f>+Expenses!E29-[3]Expenses!E29</f>
        <v>0</v>
      </c>
      <c r="E29" s="143">
        <f>D29-C29</f>
        <v>0</v>
      </c>
      <c r="F29" s="52"/>
      <c r="G29" s="251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>
        <f>SUM(C27:C30)</f>
        <v>705</v>
      </c>
      <c r="D32" s="48">
        <f>SUM(D27:D30)</f>
        <v>0</v>
      </c>
      <c r="E32" s="49">
        <f>SUM(E27:E30)</f>
        <v>-705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0" t="s">
        <v>49</v>
      </c>
      <c r="D35" s="321"/>
      <c r="E35" s="322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3" t="s">
        <v>39</v>
      </c>
      <c r="H36" s="324"/>
      <c r="I36" s="324"/>
      <c r="J36" s="325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26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6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N37" sqref="N37"/>
    </sheetView>
  </sheetViews>
  <sheetFormatPr defaultRowHeight="13.2"/>
  <cols>
    <col min="1" max="1" width="16.88671875" style="10" hidden="1" customWidth="1"/>
    <col min="2" max="2" width="34" customWidth="1"/>
    <col min="3" max="3" width="1.6640625" customWidth="1"/>
    <col min="4" max="6" width="8.6640625" customWidth="1"/>
    <col min="7" max="8" width="7.6640625" customWidth="1"/>
    <col min="9" max="9" width="8.5546875" customWidth="1"/>
    <col min="10" max="10" width="1.88671875" customWidth="1"/>
    <col min="11" max="13" width="8.6640625" customWidth="1"/>
    <col min="14" max="16" width="7.6640625" customWidth="1"/>
  </cols>
  <sheetData>
    <row r="1" spans="1:20" hidden="1">
      <c r="A1" s="10" t="s">
        <v>43</v>
      </c>
    </row>
    <row r="2" spans="1:20" ht="15.6">
      <c r="A2" s="10" t="s">
        <v>30</v>
      </c>
      <c r="B2" s="326" t="s">
        <v>70</v>
      </c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t="s">
        <v>59</v>
      </c>
    </row>
    <row r="3" spans="1:20" ht="13.8">
      <c r="A3" s="10" t="s">
        <v>31</v>
      </c>
      <c r="B3" s="327" t="s">
        <v>97</v>
      </c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</row>
    <row r="4" spans="1:20">
      <c r="A4" s="11">
        <v>36861</v>
      </c>
      <c r="B4" s="328" t="str">
        <f>'Mgmt Summary'!A3</f>
        <v>Results based on activity through December 7, 2000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3" t="s">
        <v>32</v>
      </c>
      <c r="E7" s="324"/>
      <c r="F7" s="324"/>
      <c r="G7" s="324"/>
      <c r="H7" s="324"/>
      <c r="I7" s="325"/>
      <c r="J7" s="50"/>
      <c r="K7" s="323" t="s">
        <v>55</v>
      </c>
      <c r="L7" s="324"/>
      <c r="M7" s="324"/>
      <c r="N7" s="324"/>
      <c r="O7" s="324"/>
      <c r="P7" s="325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2" t="s">
        <v>33</v>
      </c>
      <c r="H8" s="333"/>
      <c r="I8" s="334"/>
      <c r="J8" s="50"/>
      <c r="K8" s="86" t="s">
        <v>6</v>
      </c>
      <c r="L8" s="87" t="s">
        <v>8</v>
      </c>
      <c r="M8" s="74" t="s">
        <v>12</v>
      </c>
      <c r="N8" s="320" t="s">
        <v>33</v>
      </c>
      <c r="O8" s="321"/>
      <c r="P8" s="322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104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>
        <f>ROUND(_xll.HPVAL($A11,$A$1,$A$2,$A$4,$A$5,$A$6)/1000,1)</f>
        <v>847</v>
      </c>
      <c r="F11" s="158">
        <f t="shared" si="0"/>
        <v>189</v>
      </c>
      <c r="G11" s="145"/>
      <c r="H11" s="145"/>
      <c r="I11" s="146"/>
      <c r="J11" s="50"/>
      <c r="K11" s="159">
        <f>L11</f>
        <v>1960.2</v>
      </c>
      <c r="L11" s="173">
        <f>ROUND(_xll.HPVAL($A11,$A$1,$A$3,$A$4,$A$5,$A$6)/1000,1)</f>
        <v>1960.2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0</v>
      </c>
      <c r="E12" s="142">
        <f>ROUND(_xll.HPVAL($A12,$A$1,$A$2,$A$4,$A$5,$A$6)/1000,0)</f>
        <v>0</v>
      </c>
      <c r="F12" s="158">
        <f t="shared" si="0"/>
        <v>0</v>
      </c>
      <c r="G12" s="145"/>
      <c r="H12" s="145"/>
      <c r="I12" s="146"/>
      <c r="J12" s="50"/>
      <c r="K12" s="159">
        <f>L12</f>
        <v>274.5</v>
      </c>
      <c r="L12" s="173">
        <f>ROUND(_xll.HPVAL($A12,$A$1,$A$3,$A$4,$A$5,$A$6)/1000,1)</f>
        <v>274.5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f>ROUND(_xll.HPVAL($A13,$A$1,$A$2,$A$4,$A$5,$A$6)/1000,0)</f>
        <v>0</v>
      </c>
      <c r="F13" s="158">
        <f t="shared" si="0"/>
        <v>0</v>
      </c>
      <c r="G13" s="145"/>
      <c r="H13" s="145"/>
      <c r="I13" s="146"/>
      <c r="J13" s="50"/>
      <c r="K13" s="159">
        <f>L13</f>
        <v>822.7</v>
      </c>
      <c r="L13" s="173">
        <f>ROUND(_xll.HPVAL($A13,$A$1,$A$3,$A$4,$A$5,$A$6)/1000,1)</f>
        <v>822.7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f>ROUND(_xll.HPVAL($A14,$A$1,$A$2,$A$4,$A$5,$A$6)/1000,0)</f>
        <v>0</v>
      </c>
      <c r="F14" s="158">
        <f t="shared" si="0"/>
        <v>0</v>
      </c>
      <c r="G14" s="145"/>
      <c r="H14" s="145"/>
      <c r="I14" s="146"/>
      <c r="J14" s="50"/>
      <c r="K14" s="159">
        <f>L14</f>
        <v>36</v>
      </c>
      <c r="L14" s="173">
        <f>ROUND(_xll.HPVAL($A14,$A$1,$A$3,$A$4,$A$5,$A$6)/1000,1)</f>
        <v>36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f>ROUND(_xll.HPVAL($A15,$A$1,$A$2,$A$4,$A$5,$A$6)/1000,0)</f>
        <v>0</v>
      </c>
      <c r="F15" s="174">
        <f t="shared" si="0"/>
        <v>0</v>
      </c>
      <c r="G15" s="175"/>
      <c r="H15" s="175"/>
      <c r="I15" s="176"/>
      <c r="J15" s="172"/>
      <c r="K15" s="159">
        <f>L15</f>
        <v>911.0150000000001</v>
      </c>
      <c r="L15" s="173">
        <f>2090.152-193.079-998.93+12.872</f>
        <v>911.0150000000001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62" t="s">
        <v>115</v>
      </c>
      <c r="C17" s="50"/>
      <c r="D17" s="56">
        <f>SUM(D10:D16)</f>
        <v>658</v>
      </c>
      <c r="E17" s="57">
        <f>SUM(E10:E16)</f>
        <v>847</v>
      </c>
      <c r="F17" s="57">
        <f>SUM(F10:F16)</f>
        <v>189</v>
      </c>
      <c r="G17" s="54"/>
      <c r="H17" s="54"/>
      <c r="I17" s="55"/>
      <c r="J17" s="50"/>
      <c r="K17" s="56">
        <f>SUM(K10:K16)</f>
        <v>12450.415000000001</v>
      </c>
      <c r="L17" s="57">
        <f>SUM(L10:L16)</f>
        <v>11850.415000000001</v>
      </c>
      <c r="M17" s="57">
        <f>SUM(M10:M16)</f>
        <v>-600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62" t="s">
        <v>106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>
        <f>SUM(K17:K20)</f>
        <v>12450.415000000001</v>
      </c>
      <c r="L22" s="57">
        <f>SUM(L17:L20)</f>
        <v>11850.415000000001</v>
      </c>
      <c r="M22" s="57">
        <f>SUM(M17:M20)</f>
        <v>-600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/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>
        <f>+D17+D22</f>
        <v>1213</v>
      </c>
      <c r="E26" s="57">
        <f>+E17+E22</f>
        <v>2029</v>
      </c>
      <c r="F26" s="57">
        <f>+F17+F22</f>
        <v>816</v>
      </c>
      <c r="G26" s="54"/>
      <c r="H26" s="54"/>
      <c r="I26" s="55"/>
      <c r="J26" s="50"/>
      <c r="K26" s="56">
        <f>+K22+K24</f>
        <v>12450.415000000001</v>
      </c>
      <c r="L26" s="57">
        <f>+L22+L24</f>
        <v>11850.415000000001</v>
      </c>
      <c r="M26" s="57">
        <f>+M22+M24</f>
        <v>-600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>
        <f>-(D26)</f>
        <v>-1213</v>
      </c>
      <c r="E28" s="142">
        <f>-(E26)</f>
        <v>-2029</v>
      </c>
      <c r="F28" s="158">
        <f>E28-D28</f>
        <v>-816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>
        <f>-K26</f>
        <v>-12450.415000000001</v>
      </c>
      <c r="L29" s="142">
        <f>-L26</f>
        <v>-11850.415000000001</v>
      </c>
      <c r="M29" s="158">
        <f>L29-K29</f>
        <v>600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>
        <f>SUM(D26:D29)</f>
        <v>0</v>
      </c>
      <c r="E31" s="48">
        <f>SUM(E26:E29)</f>
        <v>0</v>
      </c>
      <c r="F31" s="48">
        <f>SUM(F26:F29)</f>
        <v>0</v>
      </c>
      <c r="G31" s="54"/>
      <c r="H31" s="54"/>
      <c r="I31" s="55"/>
      <c r="K31" s="47">
        <f>SUM(K26:K29)</f>
        <v>0</v>
      </c>
      <c r="L31" s="48">
        <f>SUM(L26:L29)</f>
        <v>0</v>
      </c>
      <c r="M31" s="48">
        <f>SUM(M26:M29)</f>
        <v>0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2000-12-01T20:43:26Z</cp:lastPrinted>
  <dcterms:created xsi:type="dcterms:W3CDTF">1999-10-18T12:36:30Z</dcterms:created>
  <dcterms:modified xsi:type="dcterms:W3CDTF">2023-09-10T15:23:54Z</dcterms:modified>
</cp:coreProperties>
</file>