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'GM-WeeklyChnge'!$A$1:$K$38</definedName>
    <definedName name="_xlnm.Print_Area" localSheetId="5">GrossMargin!$B$2:$N$40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D18" i="4"/>
  <c r="E18" i="4"/>
  <c r="F18" i="4"/>
  <c r="M18" i="4"/>
  <c r="D19" i="4"/>
  <c r="F19" i="4"/>
  <c r="M19" i="4"/>
  <c r="F20" i="4"/>
  <c r="M20" i="4"/>
  <c r="D22" i="4"/>
  <c r="E22" i="4"/>
  <c r="F22" i="4"/>
  <c r="K22" i="4"/>
  <c r="L22" i="4"/>
  <c r="M22" i="4"/>
  <c r="F23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F15" i="3"/>
  <c r="F16" i="3"/>
  <c r="D18" i="3"/>
  <c r="E18" i="3"/>
  <c r="F18" i="3"/>
  <c r="D20" i="3"/>
  <c r="F20" i="3"/>
  <c r="F21" i="3"/>
  <c r="E22" i="3"/>
  <c r="F22" i="3"/>
  <c r="D24" i="3"/>
  <c r="E24" i="3"/>
  <c r="F24" i="3"/>
  <c r="D27" i="3"/>
  <c r="E27" i="3"/>
  <c r="F27" i="3"/>
  <c r="D29" i="3"/>
  <c r="E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3" i="9"/>
  <c r="D33" i="9"/>
  <c r="E33" i="9"/>
  <c r="F33" i="9"/>
  <c r="G33" i="9"/>
  <c r="H33" i="9"/>
  <c r="I33" i="9"/>
  <c r="J33" i="9"/>
  <c r="K33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B4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F27" i="2"/>
  <c r="I27" i="2"/>
  <c r="L27" i="2"/>
  <c r="M27" i="2"/>
  <c r="N27" i="2"/>
  <c r="I28" i="2"/>
  <c r="L28" i="2"/>
  <c r="N28" i="2"/>
  <c r="F29" i="2"/>
  <c r="I29" i="2"/>
  <c r="L29" i="2"/>
  <c r="N29" i="2"/>
  <c r="D31" i="2"/>
  <c r="E31" i="2"/>
  <c r="F31" i="2"/>
  <c r="G31" i="2"/>
  <c r="H31" i="2"/>
  <c r="I31" i="2"/>
  <c r="J31" i="2"/>
  <c r="K31" i="2"/>
  <c r="L31" i="2"/>
  <c r="M31" i="2"/>
  <c r="N31" i="2"/>
  <c r="D34" i="2"/>
  <c r="E34" i="2"/>
  <c r="F34" i="2"/>
  <c r="G34" i="2"/>
  <c r="H34" i="2"/>
  <c r="I34" i="2"/>
  <c r="J34" i="2"/>
  <c r="K34" i="2"/>
  <c r="L34" i="2"/>
  <c r="M34" i="2"/>
  <c r="N34" i="2"/>
  <c r="I36" i="2"/>
  <c r="L36" i="2"/>
  <c r="M36" i="2"/>
  <c r="N36" i="2"/>
  <c r="D38" i="2"/>
  <c r="E38" i="2"/>
  <c r="F38" i="2"/>
  <c r="G38" i="2"/>
  <c r="H38" i="2"/>
  <c r="I38" i="2"/>
  <c r="J38" i="2"/>
  <c r="K38" i="2"/>
  <c r="L38" i="2"/>
  <c r="M38" i="2"/>
  <c r="N38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A4" i="38"/>
  <c r="E9" i="38"/>
  <c r="I9" i="38"/>
  <c r="C11" i="38"/>
  <c r="D11" i="38"/>
  <c r="E11" i="38"/>
  <c r="G11" i="38"/>
  <c r="H11" i="38"/>
  <c r="I11" i="38"/>
  <c r="E13" i="38"/>
  <c r="G13" i="38"/>
  <c r="H13" i="38"/>
  <c r="I13" i="38"/>
  <c r="C15" i="38"/>
  <c r="D15" i="38"/>
  <c r="E15" i="38"/>
  <c r="G15" i="38"/>
  <c r="H15" i="38"/>
  <c r="I15" i="38"/>
  <c r="E17" i="38"/>
  <c r="G17" i="38"/>
  <c r="H17" i="38"/>
  <c r="I17" i="38"/>
  <c r="C19" i="38"/>
  <c r="D19" i="38"/>
  <c r="E19" i="38"/>
  <c r="G19" i="38"/>
  <c r="H19" i="38"/>
  <c r="I19" i="38"/>
  <c r="E21" i="38"/>
  <c r="G21" i="38"/>
  <c r="H21" i="38"/>
  <c r="I21" i="38"/>
  <c r="C23" i="38"/>
  <c r="D23" i="38"/>
  <c r="E23" i="38"/>
  <c r="G23" i="38"/>
  <c r="H23" i="38"/>
  <c r="I23" i="38"/>
  <c r="E25" i="38"/>
  <c r="G25" i="38"/>
  <c r="I25" i="38"/>
  <c r="E26" i="38"/>
  <c r="G26" i="38"/>
  <c r="I26" i="38"/>
  <c r="E27" i="38"/>
  <c r="G27" i="38"/>
  <c r="I27" i="38"/>
  <c r="E28" i="38"/>
  <c r="G28" i="38"/>
  <c r="I28" i="38"/>
  <c r="E29" i="38"/>
  <c r="G29" i="38"/>
  <c r="H29" i="38"/>
  <c r="I29" i="38"/>
  <c r="C31" i="38"/>
  <c r="D31" i="38"/>
  <c r="E31" i="38"/>
  <c r="G31" i="38"/>
  <c r="H31" i="38"/>
  <c r="I31" i="38"/>
  <c r="C34" i="38"/>
  <c r="D34" i="38"/>
  <c r="E34" i="38"/>
  <c r="G34" i="38"/>
  <c r="H34" i="38"/>
  <c r="I34" i="38"/>
  <c r="E39" i="38"/>
  <c r="E40" i="38"/>
  <c r="E41" i="3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Q3" i="39"/>
  <c r="C8" i="39"/>
  <c r="D8" i="39"/>
  <c r="E8" i="39"/>
  <c r="G8" i="39"/>
  <c r="H8" i="39"/>
  <c r="I8" i="39"/>
  <c r="K8" i="39"/>
  <c r="L8" i="39"/>
  <c r="M8" i="39"/>
  <c r="O8" i="39"/>
  <c r="P8" i="39"/>
  <c r="Q8" i="39"/>
  <c r="C9" i="39"/>
  <c r="D9" i="39"/>
  <c r="E9" i="39"/>
  <c r="G9" i="39"/>
  <c r="H9" i="39"/>
  <c r="I9" i="39"/>
  <c r="K9" i="39"/>
  <c r="L9" i="39"/>
  <c r="M9" i="39"/>
  <c r="O9" i="39"/>
  <c r="P9" i="39"/>
  <c r="Q9" i="39"/>
  <c r="C10" i="39"/>
  <c r="D10" i="39"/>
  <c r="E10" i="39"/>
  <c r="G10" i="39"/>
  <c r="H10" i="39"/>
  <c r="I10" i="39"/>
  <c r="K10" i="39"/>
  <c r="L10" i="39"/>
  <c r="M10" i="39"/>
  <c r="O10" i="39"/>
  <c r="P10" i="39"/>
  <c r="Q10" i="39"/>
  <c r="C11" i="39"/>
  <c r="D11" i="39"/>
  <c r="E11" i="39"/>
  <c r="G11" i="39"/>
  <c r="H11" i="39"/>
  <c r="I11" i="39"/>
  <c r="K11" i="39"/>
  <c r="L11" i="39"/>
  <c r="M11" i="39"/>
  <c r="O11" i="39"/>
  <c r="P11" i="39"/>
  <c r="Q11" i="39"/>
  <c r="C12" i="39"/>
  <c r="D12" i="39"/>
  <c r="E12" i="39"/>
  <c r="G12" i="39"/>
  <c r="H12" i="39"/>
  <c r="I12" i="39"/>
  <c r="K12" i="39"/>
  <c r="L12" i="39"/>
  <c r="M12" i="39"/>
  <c r="O12" i="39"/>
  <c r="P12" i="39"/>
  <c r="Q12" i="39"/>
  <c r="C14" i="39"/>
  <c r="D14" i="39"/>
  <c r="E14" i="39"/>
  <c r="F14" i="39"/>
  <c r="G14" i="39"/>
  <c r="H14" i="39"/>
  <c r="I14" i="39"/>
  <c r="J14" i="39"/>
  <c r="K14" i="39"/>
  <c r="L14" i="39"/>
  <c r="M14" i="39"/>
  <c r="O14" i="39"/>
  <c r="P14" i="39"/>
  <c r="Q14" i="39"/>
  <c r="E16" i="39"/>
  <c r="G16" i="39"/>
  <c r="H16" i="39"/>
  <c r="I16" i="39"/>
  <c r="K16" i="39"/>
  <c r="L16" i="39"/>
  <c r="M16" i="39"/>
  <c r="O16" i="39"/>
  <c r="P16" i="39"/>
  <c r="Q16" i="39"/>
  <c r="E17" i="39"/>
  <c r="G17" i="39"/>
  <c r="H17" i="39"/>
  <c r="I17" i="39"/>
  <c r="K17" i="39"/>
  <c r="L17" i="39"/>
  <c r="M17" i="39"/>
  <c r="O17" i="39"/>
  <c r="P17" i="39"/>
  <c r="Q17" i="39"/>
  <c r="C18" i="39"/>
  <c r="D18" i="39"/>
  <c r="E18" i="39"/>
  <c r="G18" i="39"/>
  <c r="H18" i="39"/>
  <c r="I18" i="39"/>
  <c r="K18" i="39"/>
  <c r="L18" i="39"/>
  <c r="M18" i="39"/>
  <c r="O18" i="39"/>
  <c r="P18" i="39"/>
  <c r="Q18" i="39"/>
  <c r="C19" i="39"/>
  <c r="D19" i="39"/>
  <c r="E19" i="39"/>
  <c r="G19" i="39"/>
  <c r="H19" i="39"/>
  <c r="I19" i="39"/>
  <c r="K19" i="39"/>
  <c r="L19" i="39"/>
  <c r="M19" i="39"/>
  <c r="O19" i="39"/>
  <c r="P19" i="39"/>
  <c r="Q19" i="39"/>
  <c r="C21" i="39"/>
  <c r="D21" i="39"/>
  <c r="E21" i="39"/>
  <c r="G21" i="39"/>
  <c r="H21" i="39"/>
  <c r="I21" i="39"/>
  <c r="K21" i="39"/>
  <c r="L21" i="39"/>
  <c r="M21" i="39"/>
  <c r="O21" i="39"/>
  <c r="P21" i="39"/>
  <c r="Q21" i="39"/>
  <c r="C23" i="39"/>
  <c r="D23" i="39"/>
  <c r="E23" i="39"/>
  <c r="G23" i="39"/>
  <c r="H23" i="39"/>
  <c r="I23" i="39"/>
  <c r="K23" i="39"/>
  <c r="L23" i="39"/>
  <c r="M23" i="39"/>
  <c r="O23" i="39"/>
  <c r="P23" i="39"/>
  <c r="Q23" i="39"/>
  <c r="C25" i="39"/>
  <c r="D25" i="39"/>
  <c r="E25" i="39"/>
  <c r="G25" i="39"/>
  <c r="H25" i="39"/>
  <c r="I25" i="39"/>
  <c r="K25" i="39"/>
  <c r="L25" i="39"/>
  <c r="M25" i="39"/>
  <c r="O25" i="39"/>
  <c r="P25" i="39"/>
  <c r="Q25" i="39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8" i="37"/>
  <c r="D18" i="37"/>
  <c r="E18" i="37"/>
  <c r="F18" i="37"/>
  <c r="G18" i="37"/>
  <c r="H18" i="37"/>
  <c r="I18" i="37"/>
  <c r="J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7" i="37"/>
  <c r="D27" i="37"/>
  <c r="E27" i="37"/>
  <c r="F27" i="37"/>
  <c r="G27" i="37"/>
  <c r="H27" i="37"/>
  <c r="I27" i="37"/>
  <c r="J27" i="37"/>
  <c r="K27" i="37"/>
  <c r="L27" i="37"/>
  <c r="M27" i="37"/>
  <c r="O27" i="37"/>
  <c r="P27" i="37"/>
  <c r="Q27" i="37"/>
  <c r="E29" i="37"/>
  <c r="G29" i="37"/>
  <c r="H29" i="37"/>
  <c r="I29" i="37"/>
  <c r="K29" i="37"/>
  <c r="L29" i="37"/>
  <c r="M29" i="37"/>
  <c r="O29" i="37"/>
  <c r="P29" i="37"/>
  <c r="Q29" i="37"/>
  <c r="E30" i="37"/>
  <c r="G30" i="37"/>
  <c r="H30" i="37"/>
  <c r="I30" i="37"/>
  <c r="K30" i="37"/>
  <c r="L30" i="37"/>
  <c r="M30" i="37"/>
  <c r="O30" i="37"/>
  <c r="P30" i="37"/>
  <c r="Q30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O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E44" i="37"/>
  <c r="I44" i="37"/>
  <c r="E45" i="37"/>
  <c r="I45" i="37"/>
  <c r="E46" i="37"/>
  <c r="I46" i="37"/>
  <c r="E48" i="37"/>
  <c r="I48" i="37"/>
  <c r="E51" i="37"/>
  <c r="I51" i="37"/>
  <c r="E52" i="37"/>
  <c r="I52" i="37"/>
  <c r="E54" i="37"/>
  <c r="I54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($2,195)
Total EcoElectrica      </t>
        </r>
        <r>
          <rPr>
            <u/>
            <sz val="8"/>
            <color indexed="81"/>
            <rFont val="Tahoma"/>
            <family val="2"/>
          </rPr>
          <t xml:space="preserve">$265
</t>
        </r>
        <r>
          <rPr>
            <sz val="8"/>
            <color indexed="81"/>
            <rFont val="Tahoma"/>
            <family val="2"/>
          </rPr>
          <t xml:space="preserve">                             ($1,930)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<sst xmlns="http://schemas.openxmlformats.org/spreadsheetml/2006/main" count="499" uniqueCount="154">
  <si>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</si>
  <si>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</si>
  <si>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</si>
  <si>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</si>
  <si>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</si>
  <si>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</si>
  <si>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</si>
  <si>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</si>
  <si>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</si>
  <si>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</si>
  <si>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</si>
  <si>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</si>
  <si>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</si>
  <si>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</si>
  <si>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</si>
  <si>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</si>
  <si>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</si>
  <si>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</si>
  <si>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</si>
  <si>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</si>
  <si>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</si>
  <si>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</si>
  <si>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</si>
  <si>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</si>
  <si>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</si>
  <si>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</si>
  <si>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</si>
  <si>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</si>
  <si>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</si>
  <si>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</si>
  <si>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</si>
  <si>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</si>
  <si>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</si>
  <si>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</si>
  <si>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</si>
  <si>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</si>
  <si>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</si>
  <si>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</si>
  <si>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</si>
  <si>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</si>
  <si>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</si>
  <si>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</si>
  <si>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</si>
  <si>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</si>
  <si>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</si>
  <si>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</si>
  <si>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</si>
  <si>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</si>
  <si>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</si>
  <si>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</si>
  <si>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</si>
  <si>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</si>
  <si>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</si>
  <si>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</si>
  <si>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</si>
  <si>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</si>
  <si>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</si>
  <si>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</si>
  <si>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</si>
  <si>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</si>
  <si>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</si>
  <si>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</si>
  <si>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</si>
  <si>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</si>
  <si>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</si>
  <si>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</si>
  <si>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</si>
  <si>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</si>
  <si>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</si>
  <si>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</si>
  <si>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</si>
  <si>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</si>
  <si>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</si>
  <si>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</si>
  <si>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</si>
  <si>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</si>
  <si>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</si>
  <si>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</si>
  <si>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</si>
  <si>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</si>
  <si>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</si>
  <si>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</si>
  <si>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</si>
  <si>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</si>
  <si>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</si>
  <si>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</si>
  <si>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</si>
  <si>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</si>
  <si>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</si>
  <si>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</si>
  <si>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</si>
  <si>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</si>
  <si>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</si>
  <si>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</si>
  <si>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</si>
  <si>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</si>
  <si>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</si>
  <si>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</si>
  <si>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</si>
  <si>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</si>
  <si>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</si>
  <si>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</si>
  <si>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</si>
  <si>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</si>
  <si>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</si>
  <si>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</si>
  <si>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</si>
  <si>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</si>
  <si>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</si>
  <si>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</si>
  <si>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</si>
  <si>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</si>
  <si>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</si>
  <si>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</si>
  <si>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</si>
  <si>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</si>
  <si>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</si>
  <si>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</si>
  <si>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</si>
  <si>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</si>
  <si>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</si>
  <si>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</si>
  <si>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</si>
  <si>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</si>
  <si>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</si>
  <si>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</si>
  <si>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</si>
  <si>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</si>
  <si>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</si>
  <si>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</si>
  <si>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</si>
  <si>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</si>
  <si>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</si>
  <si>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</si>
  <si>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</si>
  <si>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</si>
  <si>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</si>
  <si>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</si>
  <si>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</si>
  <si>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</si>
  <si>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</si>
  <si>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</si>
  <si>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</si>
  <si>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</si>
  <si>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</si>
  <si>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</si>
  <si>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</si>
  <si>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</si>
  <si>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</si>
  <si>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Addition of Finance Group</t>
  </si>
  <si>
    <t>Development expenses over plan</t>
  </si>
  <si>
    <t>Increase in overhead cost</t>
  </si>
  <si>
    <t>does not include group bonus from ENA</t>
  </si>
  <si>
    <t>Results based on activity through November 16,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</si>
</sst>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7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6" fillId="0" borderId="0" xfId="0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45720</xdr:rowOff>
    </xdr:from>
    <xdr:to>
      <xdr:col>8</xdr:col>
      <xdr:colOff>601980</xdr:colOff>
      <xdr:row>2</xdr:row>
      <xdr:rowOff>167640</xdr:rowOff>
    </xdr:to>
    <xdr:sp macro="" textlink="">
      <xdr:nvSpPr>
        <xdr:cNvPr id="55298" name="Text Box 2"/>
        <xdr:cNvSpPr txBox="1">
          <a:spLocks noChangeArrowheads="1"/>
        </xdr:cNvSpPr>
      </xdr:nvSpPr>
      <xdr:spPr bwMode="auto">
        <a:xfrm>
          <a:off x="4907280" y="45720"/>
          <a:ext cx="157734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6321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6322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6324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6325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  <sheetName val="EGM_MgmtSum-Q4-1109"/>
    </sheetNames>
    <sheetDataSet>
      <sheetData sheetId="0"/>
      <sheetData sheetId="1" refreshError="1"/>
      <sheetData sheetId="2">
        <row r="8">
          <cell r="C8">
            <v>-22106</v>
          </cell>
          <cell r="G8">
            <v>14692</v>
          </cell>
        </row>
        <row r="9">
          <cell r="C9">
            <v>2068.8110000000001</v>
          </cell>
          <cell r="G9">
            <v>4677.8999999999996</v>
          </cell>
        </row>
        <row r="10">
          <cell r="C10">
            <v>849</v>
          </cell>
          <cell r="G10">
            <v>1498.6</v>
          </cell>
        </row>
        <row r="11">
          <cell r="C11">
            <v>-201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-2657</v>
          </cell>
          <cell r="G13">
            <v>3410.25</v>
          </cell>
        </row>
        <row r="14">
          <cell r="C14">
            <v>0</v>
          </cell>
          <cell r="G14">
            <v>980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0</v>
          </cell>
          <cell r="G21">
            <v>2696</v>
          </cell>
        </row>
        <row r="22">
          <cell r="C22">
            <v>-1930</v>
          </cell>
          <cell r="G22">
            <v>1056</v>
          </cell>
        </row>
        <row r="29">
          <cell r="C29">
            <v>0</v>
          </cell>
          <cell r="G29">
            <v>27818</v>
          </cell>
        </row>
        <row r="30">
          <cell r="C30">
            <v>0</v>
          </cell>
          <cell r="G30">
            <v>-13436.473000000002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51148.577000000005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November 9,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-22106</v>
          </cell>
          <cell r="H9">
            <v>0</v>
          </cell>
          <cell r="I9">
            <v>0</v>
          </cell>
          <cell r="J9">
            <v>-22106</v>
          </cell>
          <cell r="L9">
            <v>0</v>
          </cell>
          <cell r="M9">
            <v>6246</v>
          </cell>
          <cell r="N9">
            <v>8446</v>
          </cell>
          <cell r="O9">
            <v>-36798</v>
          </cell>
          <cell r="Q9">
            <v>-52106</v>
          </cell>
          <cell r="S9">
            <v>0</v>
          </cell>
          <cell r="T9">
            <v>0</v>
          </cell>
          <cell r="U9">
            <v>-600</v>
          </cell>
          <cell r="V9">
            <v>-52706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2068.8110000000001</v>
          </cell>
          <cell r="H10">
            <v>0</v>
          </cell>
          <cell r="I10">
            <v>0</v>
          </cell>
          <cell r="J10">
            <v>2068.8110000000001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-2609.0889999999999</v>
          </cell>
          <cell r="Q10">
            <v>-10678.389000000001</v>
          </cell>
          <cell r="S10">
            <v>189</v>
          </cell>
          <cell r="T10">
            <v>380</v>
          </cell>
          <cell r="U10">
            <v>0</v>
          </cell>
          <cell r="V10">
            <v>-10109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849</v>
          </cell>
          <cell r="H11">
            <v>0</v>
          </cell>
          <cell r="I11">
            <v>0</v>
          </cell>
          <cell r="J11">
            <v>849</v>
          </cell>
          <cell r="L11">
            <v>0</v>
          </cell>
          <cell r="M11">
            <v>1224.0999999999999</v>
          </cell>
          <cell r="N11">
            <v>274.5</v>
          </cell>
          <cell r="O11">
            <v>-649.59999999999991</v>
          </cell>
          <cell r="Q11">
            <v>99</v>
          </cell>
          <cell r="S11">
            <v>0</v>
          </cell>
          <cell r="T11">
            <v>-1120</v>
          </cell>
          <cell r="U11">
            <v>0</v>
          </cell>
          <cell r="V11">
            <v>-1021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-201</v>
          </cell>
          <cell r="H12">
            <v>0</v>
          </cell>
          <cell r="I12">
            <v>0</v>
          </cell>
          <cell r="J12">
            <v>-201</v>
          </cell>
          <cell r="L12">
            <v>0</v>
          </cell>
          <cell r="M12">
            <v>892.1</v>
          </cell>
          <cell r="N12">
            <v>822.7</v>
          </cell>
          <cell r="O12">
            <v>-1915.8</v>
          </cell>
          <cell r="Q12">
            <v>-3415.8</v>
          </cell>
          <cell r="S12">
            <v>0</v>
          </cell>
          <cell r="T12">
            <v>0</v>
          </cell>
          <cell r="U12">
            <v>0</v>
          </cell>
          <cell r="V12">
            <v>-3416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-2657</v>
          </cell>
          <cell r="H14">
            <v>0</v>
          </cell>
          <cell r="I14">
            <v>0</v>
          </cell>
          <cell r="J14">
            <v>-2657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-6067.25</v>
          </cell>
          <cell r="Q14">
            <v>-11640.210999999999</v>
          </cell>
          <cell r="S14">
            <v>0</v>
          </cell>
          <cell r="T14">
            <v>0</v>
          </cell>
          <cell r="U14">
            <v>0</v>
          </cell>
          <cell r="V14">
            <v>-11640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980</v>
          </cell>
          <cell r="N15">
            <v>0</v>
          </cell>
          <cell r="O15">
            <v>-980</v>
          </cell>
          <cell r="Q15">
            <v>0</v>
          </cell>
          <cell r="S15">
            <v>0</v>
          </cell>
          <cell r="T15">
            <v>-980</v>
          </cell>
          <cell r="U15">
            <v>0</v>
          </cell>
          <cell r="V15">
            <v>-980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-22046.188999999998</v>
          </cell>
          <cell r="H19">
            <v>0</v>
          </cell>
          <cell r="I19">
            <v>0</v>
          </cell>
          <cell r="J19">
            <v>-22046.188999999998</v>
          </cell>
          <cell r="K19">
            <v>0</v>
          </cell>
          <cell r="L19">
            <v>658</v>
          </cell>
          <cell r="M19">
            <v>15308.577000000001</v>
          </cell>
          <cell r="N19">
            <v>13436.473000000002</v>
          </cell>
          <cell r="O19">
            <v>-51449.239000000001</v>
          </cell>
          <cell r="Q19">
            <v>-95553.4</v>
          </cell>
          <cell r="R19">
            <v>0</v>
          </cell>
          <cell r="S19">
            <v>189</v>
          </cell>
          <cell r="T19">
            <v>-2470</v>
          </cell>
          <cell r="U19">
            <v>-600</v>
          </cell>
          <cell r="V19">
            <v>-98434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652</v>
          </cell>
          <cell r="M22">
            <v>2044</v>
          </cell>
          <cell r="N22">
            <v>0</v>
          </cell>
          <cell r="O22">
            <v>-2696</v>
          </cell>
          <cell r="Q22">
            <v>-4617</v>
          </cell>
          <cell r="S22">
            <v>0</v>
          </cell>
          <cell r="T22">
            <v>-508</v>
          </cell>
          <cell r="U22">
            <v>0</v>
          </cell>
          <cell r="V22">
            <v>-5125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-1930</v>
          </cell>
          <cell r="H23">
            <v>0</v>
          </cell>
          <cell r="I23">
            <v>0</v>
          </cell>
          <cell r="J23">
            <v>-1930</v>
          </cell>
          <cell r="L23">
            <v>0</v>
          </cell>
          <cell r="M23">
            <v>1056</v>
          </cell>
          <cell r="N23">
            <v>0</v>
          </cell>
          <cell r="O23">
            <v>-2986</v>
          </cell>
          <cell r="Q23">
            <v>-2460</v>
          </cell>
          <cell r="S23">
            <v>545</v>
          </cell>
          <cell r="T23">
            <v>545</v>
          </cell>
          <cell r="U23">
            <v>0</v>
          </cell>
          <cell r="V23">
            <v>-1370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-1844</v>
          </cell>
          <cell r="H25">
            <v>0</v>
          </cell>
          <cell r="I25">
            <v>0</v>
          </cell>
          <cell r="J25">
            <v>-1844</v>
          </cell>
          <cell r="K25">
            <v>0</v>
          </cell>
          <cell r="L25">
            <v>555</v>
          </cell>
          <cell r="M25">
            <v>5973</v>
          </cell>
          <cell r="N25">
            <v>0</v>
          </cell>
          <cell r="O25">
            <v>-8372</v>
          </cell>
          <cell r="Q25">
            <v>-8135</v>
          </cell>
          <cell r="R25">
            <v>0</v>
          </cell>
          <cell r="S25">
            <v>627</v>
          </cell>
          <cell r="T25">
            <v>-1451</v>
          </cell>
          <cell r="U25">
            <v>0</v>
          </cell>
          <cell r="V25">
            <v>-8959</v>
          </cell>
        </row>
        <row r="28">
          <cell r="A28" t="str">
            <v>Total Commercial</v>
          </cell>
          <cell r="C28">
            <v>79798.210999999996</v>
          </cell>
          <cell r="D28">
            <v>32226.05</v>
          </cell>
          <cell r="E28">
            <v>47572.161000000007</v>
          </cell>
          <cell r="F28">
            <v>0</v>
          </cell>
          <cell r="G28">
            <v>-23890.188999999998</v>
          </cell>
          <cell r="H28">
            <v>0</v>
          </cell>
          <cell r="I28">
            <v>0</v>
          </cell>
          <cell r="J28">
            <v>-23890.188999999998</v>
          </cell>
          <cell r="K28">
            <v>0</v>
          </cell>
          <cell r="L28">
            <v>1213</v>
          </cell>
          <cell r="M28">
            <v>21281.577000000001</v>
          </cell>
          <cell r="N28">
            <v>13436.473000000002</v>
          </cell>
          <cell r="O28">
            <v>-59821.239000000001</v>
          </cell>
          <cell r="Q28">
            <v>-103688.4</v>
          </cell>
          <cell r="R28">
            <v>0</v>
          </cell>
          <cell r="S28">
            <v>816</v>
          </cell>
          <cell r="T28">
            <v>-3921</v>
          </cell>
          <cell r="U28">
            <v>-600</v>
          </cell>
          <cell r="V28">
            <v>-107393</v>
          </cell>
        </row>
        <row r="30">
          <cell r="A30" t="str">
            <v>Group Support Cost</v>
          </cell>
          <cell r="C30">
            <v>0</v>
          </cell>
          <cell r="D30">
            <v>27218</v>
          </cell>
          <cell r="E30">
            <v>-27218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27818</v>
          </cell>
          <cell r="N30">
            <v>0</v>
          </cell>
          <cell r="O30">
            <v>-27818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79278.210999999996</v>
          </cell>
          <cell r="D35">
            <v>44578.577000000005</v>
          </cell>
          <cell r="E35">
            <v>34699.634000000005</v>
          </cell>
          <cell r="G35">
            <v>-24410.188999999998</v>
          </cell>
          <cell r="H35">
            <v>0</v>
          </cell>
          <cell r="I35">
            <v>0</v>
          </cell>
          <cell r="J35">
            <v>-24410.188999999998</v>
          </cell>
          <cell r="K35">
            <v>0</v>
          </cell>
          <cell r="L35">
            <v>0</v>
          </cell>
          <cell r="M35">
            <v>49099.577000000005</v>
          </cell>
          <cell r="N35">
            <v>0</v>
          </cell>
          <cell r="O35">
            <v>-73509.766000000003</v>
          </cell>
          <cell r="Q35">
            <v>-103688.4</v>
          </cell>
          <cell r="R35">
            <v>0</v>
          </cell>
          <cell r="S35">
            <v>0</v>
          </cell>
          <cell r="T35">
            <v>-3921</v>
          </cell>
          <cell r="U35">
            <v>-600</v>
          </cell>
          <cell r="V35">
            <v>-108209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79278.210999999996</v>
          </cell>
          <cell r="D39">
            <v>46627.577000000005</v>
          </cell>
          <cell r="E39">
            <v>32650.634000000005</v>
          </cell>
          <cell r="G39">
            <v>-24410.188999999998</v>
          </cell>
          <cell r="H39">
            <v>0</v>
          </cell>
          <cell r="I39">
            <v>0</v>
          </cell>
          <cell r="J39">
            <v>-24410.188999999998</v>
          </cell>
          <cell r="K39">
            <v>0</v>
          </cell>
          <cell r="L39">
            <v>0</v>
          </cell>
          <cell r="M39">
            <v>51148.577000000005</v>
          </cell>
          <cell r="N39">
            <v>0</v>
          </cell>
          <cell r="O39">
            <v>-75558.766000000003</v>
          </cell>
          <cell r="Q39">
            <v>-103688.4</v>
          </cell>
          <cell r="R39">
            <v>0</v>
          </cell>
          <cell r="S39">
            <v>0</v>
          </cell>
          <cell r="T39">
            <v>-3921</v>
          </cell>
          <cell r="U39">
            <v>-600</v>
          </cell>
          <cell r="V39">
            <v>-108209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10">
          <cell r="D10">
            <v>-22106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1897</v>
          </cell>
          <cell r="E11">
            <v>92.086999999999989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849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-201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-3085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498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-87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38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-21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-1930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  <row r="38">
          <cell r="I38">
            <v>-24410.188999999998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2044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27818</v>
          </cell>
          <cell r="E29">
            <v>27218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3" t="s">
        <v>70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60"/>
    </row>
    <row r="2" spans="1:24" ht="13.8">
      <c r="A2" s="314" t="s">
        <v>86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61"/>
    </row>
    <row r="3" spans="1:24" ht="13.8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62"/>
    </row>
    <row r="4" spans="1:24" ht="3" customHeight="1"/>
    <row r="5" spans="1:24" s="34" customFormat="1" ht="15" customHeight="1">
      <c r="A5" s="106"/>
      <c r="C5" s="310" t="s">
        <v>8</v>
      </c>
      <c r="D5" s="311"/>
      <c r="E5" s="312"/>
      <c r="G5" s="310" t="s">
        <v>41</v>
      </c>
      <c r="H5" s="311"/>
      <c r="I5" s="311"/>
      <c r="J5" s="311"/>
      <c r="K5" s="311"/>
      <c r="L5" s="311"/>
      <c r="M5" s="311"/>
      <c r="N5" s="311"/>
      <c r="O5" s="312"/>
      <c r="Q5" s="310" t="s">
        <v>36</v>
      </c>
      <c r="R5" s="311"/>
      <c r="S5" s="311"/>
      <c r="T5" s="311"/>
      <c r="U5" s="311"/>
      <c r="V5" s="31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24602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24602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-16599.743357188407</v>
      </c>
      <c r="P9" s="37"/>
      <c r="Q9" s="133">
        <f t="shared" ref="Q9:Q16" si="3">+J9-C9</f>
        <v>-55398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-55998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38241.600000000006</v>
      </c>
      <c r="D10" s="36">
        <f>+'[1]Mgmt Summary'!D10+'[2]Mgmt Summary'!D10+'Mgmt Summary'!D10</f>
        <v>14767.6</v>
      </c>
      <c r="E10" s="135">
        <f t="shared" si="0"/>
        <v>23474.000000000007</v>
      </c>
      <c r="F10" s="36"/>
      <c r="G10" s="133">
        <f>+'[1]Mgmt Summary'!G10+'[2]Mgmt Summary'!G10+'Mgmt Summary'!G10</f>
        <v>9626.4770000000008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9626.4770000000008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-6761.223</v>
      </c>
      <c r="P10" s="37"/>
      <c r="Q10" s="133">
        <f t="shared" si="3"/>
        <v>-28615.123000000007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-28046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-1618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-1618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1386.1</v>
      </c>
      <c r="N11" s="36">
        <f>+'[1]Mgmt Summary'!N11+'[2]Mgmt Summary'!N11+'Mgmt Summary'!N11</f>
        <v>691.1</v>
      </c>
      <c r="O11" s="136">
        <f t="shared" si="2"/>
        <v>-3695.2</v>
      </c>
      <c r="P11" s="37"/>
      <c r="Q11" s="133">
        <f t="shared" si="3"/>
        <v>-3868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-4988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9644.4000000000015</v>
      </c>
      <c r="D12" s="36">
        <f>+'[1]Mgmt Summary'!D12+'[2]Mgmt Summary'!D12+'Mgmt Summary'!D12</f>
        <v>5097.3999999999996</v>
      </c>
      <c r="E12" s="135">
        <f t="shared" si="0"/>
        <v>4547.0000000000018</v>
      </c>
      <c r="F12" s="36"/>
      <c r="G12" s="133">
        <f>+'[1]Mgmt Summary'!G12+'[2]Mgmt Summary'!G12+'Mgmt Summary'!G12</f>
        <v>10799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10799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5077.5</v>
      </c>
      <c r="P12" s="37"/>
      <c r="Q12" s="133">
        <f t="shared" si="3"/>
        <v>1154.5999999999985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1155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23136.6</v>
      </c>
      <c r="D13" s="36">
        <f>+'[1]Mgmt Summary'!D13+'[2]Mgmt Summary'!D13+'Mgmt Summary'!D13</f>
        <v>4230.8999999999996</v>
      </c>
      <c r="E13" s="135">
        <f t="shared" si="0"/>
        <v>18905.699999999997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4039.8</v>
      </c>
      <c r="N13" s="36">
        <f>+'[1]Mgmt Summary'!N13+'[2]Mgmt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>
        <f>+'[1]Mgmt Summary'!D14+'[2]Mgmt Summary'!D14+'Mgmt Summary'!D14</f>
        <v>10202.450000000001</v>
      </c>
      <c r="E14" s="164">
        <f t="shared" si="0"/>
        <v>16674.560999999998</v>
      </c>
      <c r="F14" s="140"/>
      <c r="G14" s="139">
        <f>+'[1]Mgmt Summary'!G14+'[2]Mgmt Summary'!G14+'Mgmt Summary'!G14</f>
        <v>45379.7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45379.7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>
        <f t="shared" si="2"/>
        <v>35650.649999999994</v>
      </c>
      <c r="P14" s="181"/>
      <c r="Q14" s="139">
        <f t="shared" si="3"/>
        <v>18502.688999999998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18503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90009.176999999996</v>
      </c>
      <c r="H18" s="44">
        <f>SUM(H9:H16)</f>
        <v>0</v>
      </c>
      <c r="I18" s="45">
        <f>SUM(I15:I17)</f>
        <v>0</v>
      </c>
      <c r="J18" s="46">
        <f>SUM(J9:J17)</f>
        <v>90009.176999999996</v>
      </c>
      <c r="K18" s="44">
        <f>SUM(K15:K16)</f>
        <v>0</v>
      </c>
      <c r="L18" s="43">
        <f>SUM(L9:L17)</f>
        <v>1918.5</v>
      </c>
      <c r="M18" s="44">
        <f>SUM(M9:M17)</f>
        <v>46208.107468399008</v>
      </c>
      <c r="N18" s="44">
        <f>SUM(N9:N17)</f>
        <v>32716.985888789397</v>
      </c>
      <c r="O18" s="46">
        <f>SUM(O9:O17)</f>
        <v>9165.5836428115836</v>
      </c>
      <c r="P18" s="44">
        <f>SUM(P15:P16)</f>
        <v>0</v>
      </c>
      <c r="Q18" s="43">
        <f>SUM(Q9:Q17)</f>
        <v>-100240.43400000002</v>
      </c>
      <c r="R18" s="44">
        <f>SUM(R15:R17)</f>
        <v>0</v>
      </c>
      <c r="S18" s="44">
        <f>SUM(S9:S17)</f>
        <v>189</v>
      </c>
      <c r="T18" s="44">
        <f>SUM(T9:T17)</f>
        <v>-1490</v>
      </c>
      <c r="U18" s="44">
        <f>SUM(U9:U17)</f>
        <v>-600</v>
      </c>
      <c r="V18" s="45">
        <f>SUM(V9:V17)</f>
        <v>-102141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27218</v>
      </c>
      <c r="E20" s="135">
        <f>C20-D20</f>
        <v>-27218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47098.512888789402</v>
      </c>
      <c r="N20" s="36">
        <f>+'[1]Mgmt Summary'!N21+'[2]Mgmt Summary'!N21+'Mgmt Summary'!N30</f>
        <v>-19280.512888789402</v>
      </c>
      <c r="O20" s="136">
        <f>J20-K20-M20-N20-L20</f>
        <v>-27818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-3399</v>
      </c>
      <c r="E22" s="135">
        <f>C22-D22</f>
        <v>3399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-2473.5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2473.5</v>
      </c>
      <c r="P22" s="37"/>
      <c r="Q22" s="133">
        <f>+J22-C22</f>
        <v>0</v>
      </c>
      <c r="R22" s="36"/>
      <c r="S22" s="36">
        <f>'CapChrg-AllocExp'!F28</f>
        <v>-816</v>
      </c>
      <c r="T22" s="36">
        <v>0</v>
      </c>
      <c r="U22" s="36">
        <v>0</v>
      </c>
      <c r="V22" s="135">
        <f>ROUND(SUM(Q22:U22),0)</f>
        <v>-816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188521.78400000001</v>
      </c>
      <c r="D24" s="44">
        <f>SUM(D18:D23)</f>
        <v>101355.34999999999</v>
      </c>
      <c r="E24" s="45">
        <f>SUM(E18:E23)</f>
        <v>87166.434000000008</v>
      </c>
      <c r="F24" s="36"/>
      <c r="G24" s="43">
        <f t="shared" ref="G24:N24" si="5">SUM(G18:G23)</f>
        <v>88281.349999999991</v>
      </c>
      <c r="H24" s="44">
        <f t="shared" si="5"/>
        <v>0</v>
      </c>
      <c r="I24" s="44">
        <f t="shared" si="5"/>
        <v>0</v>
      </c>
      <c r="J24" s="46">
        <f t="shared" si="5"/>
        <v>88281.349999999991</v>
      </c>
      <c r="K24" s="44">
        <f t="shared" si="5"/>
        <v>0</v>
      </c>
      <c r="L24" s="43">
        <f t="shared" si="5"/>
        <v>-555</v>
      </c>
      <c r="M24" s="44">
        <f t="shared" si="5"/>
        <v>93306.620357188411</v>
      </c>
      <c r="N24" s="44">
        <f t="shared" si="5"/>
        <v>13436.472999999994</v>
      </c>
      <c r="O24" s="46">
        <f>J24-K24-M24-N24-L24</f>
        <v>-17906.743357188414</v>
      </c>
      <c r="P24" s="37"/>
      <c r="Q24" s="43">
        <f t="shared" ref="Q24:V24" si="6">SUM(Q18:Q23)</f>
        <v>-100240.43400000002</v>
      </c>
      <c r="R24" s="44">
        <f t="shared" si="6"/>
        <v>0</v>
      </c>
      <c r="S24" s="44">
        <f t="shared" si="6"/>
        <v>-627</v>
      </c>
      <c r="T24" s="44">
        <f t="shared" si="6"/>
        <v>-2090</v>
      </c>
      <c r="U24" s="44">
        <f t="shared" si="6"/>
        <v>-600</v>
      </c>
      <c r="V24" s="45">
        <f t="shared" si="6"/>
        <v>-103557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-1363</v>
      </c>
      <c r="E26" s="135">
        <f>C26-D26</f>
        <v>1363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-1363</v>
      </c>
      <c r="N26" s="36">
        <f>+'[1]Mgmt Summary'!N27+'[2]Mgmt Summary'!N27+'Mgmt Summary'!N37</f>
        <v>0</v>
      </c>
      <c r="O26" s="136">
        <f>J26-K26-M26-N26-L26</f>
        <v>1363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188521.78400000001</v>
      </c>
      <c r="D28" s="40">
        <f>SUM(D24:D26)</f>
        <v>99992.349999999991</v>
      </c>
      <c r="E28" s="41">
        <f>SUM(E24:E26)</f>
        <v>88529.434000000008</v>
      </c>
      <c r="F28" s="36"/>
      <c r="G28" s="39">
        <f t="shared" ref="G28:N28" si="7">SUM(G24:G26)</f>
        <v>88281.349999999991</v>
      </c>
      <c r="H28" s="40">
        <f t="shared" si="7"/>
        <v>0</v>
      </c>
      <c r="I28" s="40">
        <f t="shared" si="7"/>
        <v>0</v>
      </c>
      <c r="J28" s="42">
        <f t="shared" si="7"/>
        <v>88281.349999999991</v>
      </c>
      <c r="K28" s="40">
        <f t="shared" si="7"/>
        <v>0</v>
      </c>
      <c r="L28" s="39">
        <f t="shared" si="7"/>
        <v>-555</v>
      </c>
      <c r="M28" s="40">
        <f t="shared" si="7"/>
        <v>91943.620357188411</v>
      </c>
      <c r="N28" s="40">
        <f t="shared" si="7"/>
        <v>13436.472999999994</v>
      </c>
      <c r="O28" s="42">
        <f>J28-K28-M28-N28-L28</f>
        <v>-16543.743357188414</v>
      </c>
      <c r="P28" s="37"/>
      <c r="Q28" s="39">
        <f t="shared" ref="Q28:V28" si="8">SUM(Q24:Q26)</f>
        <v>-100240.43400000002</v>
      </c>
      <c r="R28" s="40">
        <f t="shared" si="8"/>
        <v>0</v>
      </c>
      <c r="S28" s="40">
        <f t="shared" si="8"/>
        <v>-627</v>
      </c>
      <c r="T28" s="40">
        <f t="shared" si="8"/>
        <v>-2090</v>
      </c>
      <c r="U28" s="40">
        <f t="shared" si="8"/>
        <v>-600</v>
      </c>
      <c r="V28" s="41">
        <f t="shared" si="8"/>
        <v>-103557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E15" sqref="E15"/>
    </sheetView>
  </sheetViews>
  <sheetFormatPr defaultRowHeight="13.2"/>
  <cols>
    <col min="1" max="1" width="32.4414062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7" width="10.6640625" customWidth="1"/>
    <col min="8" max="8" width="9.6640625" customWidth="1"/>
    <col min="9" max="9" width="9.33203125" customWidth="1"/>
  </cols>
  <sheetData>
    <row r="1" spans="1:9" ht="12.75" hidden="1" customHeight="1"/>
    <row r="2" spans="1:9" ht="15.6">
      <c r="A2" s="298" t="s">
        <v>70</v>
      </c>
      <c r="B2" s="298"/>
      <c r="C2" s="298"/>
      <c r="D2" s="298"/>
      <c r="E2" s="298"/>
      <c r="F2" s="298"/>
      <c r="G2" s="298"/>
      <c r="H2" s="298"/>
      <c r="I2" s="298"/>
    </row>
    <row r="3" spans="1:9" ht="15.6">
      <c r="A3" s="299" t="s">
        <v>144</v>
      </c>
      <c r="B3" s="298"/>
      <c r="C3" s="298"/>
      <c r="D3" s="298"/>
      <c r="E3" s="298"/>
      <c r="F3" s="298"/>
      <c r="G3" s="298"/>
      <c r="H3" s="298"/>
      <c r="I3" s="298"/>
    </row>
    <row r="4" spans="1:9" ht="13.8">
      <c r="A4" s="299" t="str">
        <f>+GrossMargin!B4</f>
        <v>Results based on activity through November 16, 2000</v>
      </c>
      <c r="B4" s="299"/>
      <c r="C4" s="299"/>
      <c r="D4" s="299"/>
      <c r="E4" s="299"/>
      <c r="F4" s="299"/>
      <c r="G4" s="299"/>
      <c r="H4" s="299"/>
      <c r="I4" s="299"/>
    </row>
    <row r="5" spans="1:9" ht="3" customHeight="1"/>
    <row r="6" spans="1:9" s="50" customFormat="1" ht="12">
      <c r="A6" s="124"/>
      <c r="C6" s="322" t="s">
        <v>13</v>
      </c>
      <c r="D6" s="323"/>
      <c r="E6" s="324"/>
      <c r="G6" s="322" t="s">
        <v>26</v>
      </c>
      <c r="H6" s="323"/>
      <c r="I6" s="324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131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302" t="s">
        <v>139</v>
      </c>
      <c r="B11" s="172"/>
      <c r="C11" s="300">
        <f>+C9</f>
        <v>0</v>
      </c>
      <c r="D11" s="30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134</v>
      </c>
      <c r="B13" s="172"/>
      <c r="C13" s="159">
        <v>0</v>
      </c>
      <c r="D13" s="173">
        <v>0</v>
      </c>
      <c r="E13" s="177">
        <f>D13-C13</f>
        <v>0</v>
      </c>
      <c r="F13" s="52"/>
      <c r="G13" s="159">
        <f>+'CapChrg-AllocExp'!D11*0+H13</f>
        <v>847</v>
      </c>
      <c r="H13" s="173">
        <f>+'CapChrg-AllocExp'!E11</f>
        <v>847</v>
      </c>
      <c r="I13" s="177">
        <f>H13-G13</f>
        <v>0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302" t="s">
        <v>140</v>
      </c>
      <c r="B15" s="172"/>
      <c r="C15" s="300">
        <f>+C13</f>
        <v>0</v>
      </c>
      <c r="D15" s="301">
        <f>+D13</f>
        <v>0</v>
      </c>
      <c r="E15" s="183">
        <f>+E13</f>
        <v>0</v>
      </c>
      <c r="F15" s="52"/>
      <c r="G15" s="56">
        <f>+G13</f>
        <v>847</v>
      </c>
      <c r="H15" s="57">
        <f>+H13</f>
        <v>847</v>
      </c>
      <c r="I15" s="183">
        <f>+I13</f>
        <v>0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132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302" t="s">
        <v>141</v>
      </c>
      <c r="B19" s="172"/>
      <c r="C19" s="300">
        <f>+C17</f>
        <v>0</v>
      </c>
      <c r="D19" s="30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133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302" t="s">
        <v>142</v>
      </c>
      <c r="B23" s="172"/>
      <c r="C23" s="300">
        <f>+C21</f>
        <v>0</v>
      </c>
      <c r="D23" s="301">
        <f>+D21</f>
        <v>0</v>
      </c>
      <c r="E23" s="183">
        <f>+E21</f>
        <v>0</v>
      </c>
      <c r="F23" s="52"/>
      <c r="G23" s="56">
        <f>+G21</f>
        <v>652</v>
      </c>
      <c r="H23" s="57">
        <f>+H21</f>
        <v>652</v>
      </c>
      <c r="I23" s="183">
        <f>+I21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135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136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137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138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146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302" t="s">
        <v>145</v>
      </c>
      <c r="B31" s="172"/>
      <c r="C31" s="300">
        <f>SUM(C25:C30)</f>
        <v>0</v>
      </c>
      <c r="D31" s="30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143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>
        <f>+G11+G15+G19+G23+G31</f>
        <v>2049</v>
      </c>
      <c r="H34" s="48">
        <f>+H11+H15+H19+H23+H31</f>
        <v>2049</v>
      </c>
      <c r="I34" s="49">
        <f>+I11+I15+I19+I23+I31</f>
        <v>0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31" t="s">
        <v>49</v>
      </c>
      <c r="D37" s="332"/>
      <c r="E37" s="333"/>
      <c r="F37" s="31"/>
      <c r="G37" s="331"/>
      <c r="H37" s="332"/>
      <c r="I37" s="333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71"/>
      <c r="F44" s="1"/>
      <c r="G44" s="1"/>
      <c r="H44" s="1"/>
      <c r="I44" s="27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40" t="s">
        <v>70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</row>
    <row r="2" spans="1:40" ht="13.8">
      <c r="A2" s="10" t="s">
        <v>45</v>
      </c>
      <c r="B2" s="341" t="s">
        <v>67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</row>
    <row r="3" spans="1:40">
      <c r="A3" s="10" t="s">
        <v>46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7" t="s">
        <v>65</v>
      </c>
      <c r="E6" s="338"/>
      <c r="F6" s="339"/>
      <c r="G6" s="1"/>
      <c r="H6" s="337" t="s">
        <v>66</v>
      </c>
      <c r="I6" s="338"/>
      <c r="J6" s="339"/>
      <c r="K6" s="1"/>
      <c r="L6" s="337" t="s">
        <v>38</v>
      </c>
      <c r="M6" s="338"/>
      <c r="N6" s="33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16,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6" t="s">
        <v>88</v>
      </c>
      <c r="L5" s="317"/>
      <c r="M5" s="318"/>
      <c r="N5" s="303"/>
      <c r="O5" s="316" t="s">
        <v>147</v>
      </c>
      <c r="P5" s="317"/>
      <c r="Q5" s="31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3258.4770000000003</v>
      </c>
      <c r="D8" s="226">
        <f>+'Mgmt Summary'!C10</f>
        <v>12747.2</v>
      </c>
      <c r="E8" s="227">
        <f>-D8+C8</f>
        <v>-9488.723</v>
      </c>
      <c r="F8" s="228"/>
      <c r="G8" s="225">
        <f>+Expenses!D10+'CapChrg-AllocExp'!K11+'CapChrg-AllocExp'!D11</f>
        <v>4677.8999999999996</v>
      </c>
      <c r="H8" s="226">
        <f>+Expenses!E10+'CapChrg-AllocExp'!L11+'CapChrg-AllocExp'!E11</f>
        <v>5246.9</v>
      </c>
      <c r="I8" s="227">
        <f>+H8-G8</f>
        <v>569</v>
      </c>
      <c r="J8" s="228"/>
      <c r="K8" s="225">
        <f t="shared" ref="K8:L12" si="0">C8-G8</f>
        <v>-1419.4229999999993</v>
      </c>
      <c r="L8" s="226">
        <f t="shared" si="0"/>
        <v>7500.3000000000011</v>
      </c>
      <c r="M8" s="227">
        <f>K8-L8</f>
        <v>-8919.723</v>
      </c>
      <c r="N8" s="305"/>
      <c r="O8" s="225">
        <f>+C8-'[3]QTD Mgmt Summary'!C9</f>
        <v>1189.6660000000002</v>
      </c>
      <c r="P8" s="226">
        <f>+G8-'[3]QTD Mgmt Summary'!G9</f>
        <v>0</v>
      </c>
      <c r="Q8" s="227">
        <f>O8-P8</f>
        <v>1189.6660000000002</v>
      </c>
    </row>
    <row r="9" spans="1:22" s="32" customFormat="1" ht="13.5" customHeight="1">
      <c r="A9" s="223" t="s">
        <v>44</v>
      </c>
      <c r="B9" s="224"/>
      <c r="C9" s="225">
        <f>+'Mgmt Summary'!J11</f>
        <v>1626</v>
      </c>
      <c r="D9" s="226">
        <f>+'Mgmt Summary'!C11</f>
        <v>750</v>
      </c>
      <c r="E9" s="227">
        <f>-D9+C9</f>
        <v>876</v>
      </c>
      <c r="F9" s="228"/>
      <c r="G9" s="225">
        <f>+Expenses!D11+'CapChrg-AllocExp'!K12+'CapChrg-AllocExp'!D12</f>
        <v>1498.6</v>
      </c>
      <c r="H9" s="226">
        <f>+Expenses!E11+'CapChrg-AllocExp'!L12+'CapChrg-AllocExp'!E12</f>
        <v>378.6</v>
      </c>
      <c r="I9" s="227">
        <f>+H9-G9</f>
        <v>-1120</v>
      </c>
      <c r="J9" s="228"/>
      <c r="K9" s="225">
        <f t="shared" si="0"/>
        <v>127.40000000000009</v>
      </c>
      <c r="L9" s="226">
        <f t="shared" si="0"/>
        <v>371.4</v>
      </c>
      <c r="M9" s="227">
        <f>K9-L9</f>
        <v>-243.99999999999989</v>
      </c>
      <c r="N9" s="305"/>
      <c r="O9" s="225">
        <f>+C9-'[3]QTD Mgmt Summary'!C10</f>
        <v>777</v>
      </c>
      <c r="P9" s="226">
        <f>+G9-'[3]QTD Mgmt Summary'!G10</f>
        <v>0</v>
      </c>
      <c r="Q9" s="227">
        <f>O9-P9</f>
        <v>777</v>
      </c>
    </row>
    <row r="10" spans="1:22" s="32" customFormat="1" ht="13.5" customHeight="1">
      <c r="A10" s="223" t="s">
        <v>64</v>
      </c>
      <c r="B10" s="224"/>
      <c r="C10" s="225">
        <f>+'Mgmt Summary'!J12</f>
        <v>1339</v>
      </c>
      <c r="D10" s="226">
        <f>+'Mgmt Summary'!C12</f>
        <v>3214.8</v>
      </c>
      <c r="E10" s="227">
        <f>-D10+C10</f>
        <v>-1875.8000000000002</v>
      </c>
      <c r="F10" s="228"/>
      <c r="G10" s="225">
        <f>+Expenses!D12+'CapChrg-AllocExp'!K13+'CapChrg-AllocExp'!D13</f>
        <v>1714.8000000000002</v>
      </c>
      <c r="H10" s="226">
        <f>+Expenses!E12+'CapChrg-AllocExp'!L13+'CapChrg-AllocExp'!E13</f>
        <v>1714.8000000000002</v>
      </c>
      <c r="I10" s="227">
        <f>+H10-G10</f>
        <v>0</v>
      </c>
      <c r="J10" s="228"/>
      <c r="K10" s="225">
        <f t="shared" si="0"/>
        <v>-375.80000000000018</v>
      </c>
      <c r="L10" s="226">
        <f t="shared" si="0"/>
        <v>1500</v>
      </c>
      <c r="M10" s="227">
        <f>K10-L10</f>
        <v>-1875.8000000000002</v>
      </c>
      <c r="N10" s="305"/>
      <c r="O10" s="225">
        <f>+C10-'[3]QTD Mgmt Summary'!C11</f>
        <v>1540</v>
      </c>
      <c r="P10" s="226">
        <f>+G10-'[3]QTD Mgmt Summary'!G11</f>
        <v>0</v>
      </c>
      <c r="Q10" s="227">
        <f>O10-P10</f>
        <v>1540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>
        <f>+'Mgmt Summary'!C13</f>
        <v>7712</v>
      </c>
      <c r="E11" s="227">
        <f>-D11+C11</f>
        <v>-7712</v>
      </c>
      <c r="F11" s="228"/>
      <c r="G11" s="225">
        <f>+Expenses!D13+'CapChrg-AllocExp'!K14+'CapChrg-AllocExp'!D14</f>
        <v>1679.5</v>
      </c>
      <c r="H11" s="226">
        <f>+Expenses!E13+'CapChrg-AllocExp'!L14+'CapChrg-AllocExp'!E14</f>
        <v>1679.5</v>
      </c>
      <c r="I11" s="227">
        <f>+H11-G11</f>
        <v>0</v>
      </c>
      <c r="J11" s="228"/>
      <c r="K11" s="225">
        <f t="shared" si="0"/>
        <v>-1679.5</v>
      </c>
      <c r="L11" s="226">
        <f t="shared" si="0"/>
        <v>6032.5</v>
      </c>
      <c r="M11" s="227">
        <f>K11-L11</f>
        <v>-7712</v>
      </c>
      <c r="N11" s="305"/>
      <c r="O11" s="225">
        <f>+C11-'[3]QTD Mgmt Summary'!C12</f>
        <v>0</v>
      </c>
      <c r="P11" s="226">
        <f>+G11-'[3]QTD Mgmt Summary'!G12</f>
        <v>0</v>
      </c>
      <c r="Q11" s="227">
        <f>O11-P11</f>
        <v>0</v>
      </c>
    </row>
    <row r="12" spans="1:22" s="32" customFormat="1" ht="13.5" customHeight="1">
      <c r="A12" s="223" t="s">
        <v>50</v>
      </c>
      <c r="B12" s="224"/>
      <c r="C12" s="225">
        <f>+'Mgmt Summary'!J14</f>
        <v>-735</v>
      </c>
      <c r="D12" s="226">
        <f>+'Mgmt Summary'!C14</f>
        <v>8983.2109999999993</v>
      </c>
      <c r="E12" s="227">
        <f>-D12+C12</f>
        <v>-9718.2109999999993</v>
      </c>
      <c r="F12" s="228"/>
      <c r="G12" s="225">
        <f>+Expenses!D14+'CapChrg-AllocExp'!K15+'CapChrg-AllocExp'!D15</f>
        <v>3410.25</v>
      </c>
      <c r="H12" s="226">
        <f>+Expenses!E14+'CapChrg-AllocExp'!L15+'CapChrg-AllocExp'!E15</f>
        <v>3410.25</v>
      </c>
      <c r="I12" s="227">
        <f>+H12-G12</f>
        <v>0</v>
      </c>
      <c r="J12" s="228"/>
      <c r="K12" s="225">
        <f t="shared" si="0"/>
        <v>-4145.25</v>
      </c>
      <c r="L12" s="226">
        <f t="shared" si="0"/>
        <v>5572.9609999999993</v>
      </c>
      <c r="M12" s="227">
        <f>K12-L12</f>
        <v>-9718.2109999999993</v>
      </c>
      <c r="N12" s="305"/>
      <c r="O12" s="225">
        <f>+C12-'[3]QTD Mgmt Summary'!C13</f>
        <v>1922</v>
      </c>
      <c r="P12" s="226">
        <f>+G12-'[3]QTD Mgmt Summary'!G13</f>
        <v>0</v>
      </c>
      <c r="Q12" s="227">
        <f>O12-P12</f>
        <v>1922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304"/>
      <c r="O13" s="215"/>
      <c r="P13" s="216"/>
      <c r="Q13" s="217"/>
    </row>
    <row r="14" spans="1:22" s="220" customFormat="1" ht="13.8">
      <c r="A14" s="229" t="s">
        <v>3</v>
      </c>
      <c r="B14" s="219"/>
      <c r="C14" s="234">
        <f t="shared" ref="C14:M14" si="1">SUM(C8:C13)</f>
        <v>5488.4770000000008</v>
      </c>
      <c r="D14" s="235">
        <f t="shared" si="1"/>
        <v>33407.210999999996</v>
      </c>
      <c r="E14" s="236">
        <f t="shared" si="1"/>
        <v>-27918.734</v>
      </c>
      <c r="F14" s="237">
        <f t="shared" si="1"/>
        <v>0</v>
      </c>
      <c r="G14" s="234">
        <f t="shared" si="1"/>
        <v>12981.05</v>
      </c>
      <c r="H14" s="235">
        <f t="shared" si="1"/>
        <v>12430.05</v>
      </c>
      <c r="I14" s="236">
        <f t="shared" si="1"/>
        <v>-551</v>
      </c>
      <c r="J14" s="237">
        <f t="shared" si="1"/>
        <v>0</v>
      </c>
      <c r="K14" s="234">
        <f t="shared" si="1"/>
        <v>-7492.5729999999994</v>
      </c>
      <c r="L14" s="235">
        <f t="shared" si="1"/>
        <v>20977.161</v>
      </c>
      <c r="M14" s="236">
        <f t="shared" si="1"/>
        <v>-28469.734</v>
      </c>
      <c r="N14" s="306"/>
      <c r="O14" s="234">
        <f>SUM(O8:O13)</f>
        <v>5428.6660000000002</v>
      </c>
      <c r="P14" s="235">
        <f>SUM(P8:P13)</f>
        <v>0</v>
      </c>
      <c r="Q14" s="236">
        <f>SUM(Q8:Q13)</f>
        <v>5428.6660000000002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304"/>
      <c r="O15" s="215"/>
      <c r="P15" s="216"/>
      <c r="Q15" s="217"/>
    </row>
    <row r="16" spans="1:22" s="32" customFormat="1" ht="13.5" customHeight="1">
      <c r="A16" s="223" t="s">
        <v>114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>
        <f>+Expenses!D10+Expenses!D11+Expenses!D12+Expenses!D13+Expenses!D14+'CapChrg-AllocExp'!D11+'CapChrg-AllocExp'!K11+'CapChrg-AllocExp'!K12+'CapChrg-AllocExp'!K13+'CapChrg-AllocExp'!K14+'CapChrg-AllocExp'!K15</f>
        <v>12981.050000000001</v>
      </c>
      <c r="H16" s="226">
        <f>+Expenses!E10+Expenses!E11+Expenses!E12+Expenses!E13+Expenses!E14+'CapChrg-AllocExp'!E11+'CapChrg-AllocExp'!L11+'CapChrg-AllocExp'!L12+'CapChrg-AllocExp'!L13+'CapChrg-AllocExp'!L14+'CapChrg-AllocExp'!L15</f>
        <v>12430.050000000001</v>
      </c>
      <c r="I16" s="227">
        <f>+H16-G16</f>
        <v>-551</v>
      </c>
      <c r="J16" s="228"/>
      <c r="K16" s="225">
        <f t="shared" ref="K16:L19" si="2">C16-G16</f>
        <v>-12981.050000000001</v>
      </c>
      <c r="L16" s="226">
        <f t="shared" si="2"/>
        <v>-12430.050000000001</v>
      </c>
      <c r="M16" s="227">
        <f>K16-L16</f>
        <v>-551</v>
      </c>
      <c r="N16" s="305"/>
      <c r="O16" s="225">
        <f>+C16-'[3]QTD Mgmt Summary'!C29</f>
        <v>0</v>
      </c>
      <c r="P16" s="226">
        <f>+G16-'[3]QTD Mgmt Summary'!G29</f>
        <v>-14836.949999999999</v>
      </c>
      <c r="Q16" s="227">
        <f>O16-P16</f>
        <v>14836.949999999999</v>
      </c>
    </row>
    <row r="17" spans="1:17" s="32" customFormat="1" ht="13.5" customHeight="1">
      <c r="A17" s="223" t="s">
        <v>104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>
        <f>-G16</f>
        <v>-12981.050000000001</v>
      </c>
      <c r="H17" s="226">
        <f>-H16</f>
        <v>-12430.050000000001</v>
      </c>
      <c r="I17" s="227">
        <f>+H17-G17</f>
        <v>551</v>
      </c>
      <c r="J17" s="228"/>
      <c r="K17" s="225">
        <f t="shared" si="2"/>
        <v>12981.050000000001</v>
      </c>
      <c r="L17" s="226">
        <f t="shared" si="2"/>
        <v>12430.050000000001</v>
      </c>
      <c r="M17" s="227">
        <f>K17-L17</f>
        <v>551</v>
      </c>
      <c r="N17" s="305"/>
      <c r="O17" s="225">
        <f>+C17-'[3]QTD Mgmt Summary'!C30</f>
        <v>0</v>
      </c>
      <c r="P17" s="226">
        <f>+G17-'[3]QTD Mgmt Summary'!G30</f>
        <v>455.42300000000068</v>
      </c>
      <c r="Q17" s="227">
        <f>O17-P17</f>
        <v>-455.42300000000068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30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>
        <f>-'CapChrg-AllocExp'!E11</f>
        <v>-847</v>
      </c>
      <c r="I19" s="227">
        <f>+H19-G19</f>
        <v>-189</v>
      </c>
      <c r="J19" s="228"/>
      <c r="K19" s="225">
        <f t="shared" si="2"/>
        <v>658</v>
      </c>
      <c r="L19" s="226">
        <f t="shared" si="2"/>
        <v>847</v>
      </c>
      <c r="M19" s="227">
        <f>K19-L19</f>
        <v>-189</v>
      </c>
      <c r="N19" s="30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304"/>
      <c r="O20" s="215"/>
      <c r="P20" s="216"/>
      <c r="Q20" s="217"/>
    </row>
    <row r="21" spans="1:17" s="220" customFormat="1" ht="13.8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>
        <f>SUM(G16:G19)</f>
        <v>-658</v>
      </c>
      <c r="H21" s="235">
        <f>SUM(H16:H19)</f>
        <v>-847</v>
      </c>
      <c r="I21" s="236">
        <f>SUM(I16:I19)</f>
        <v>-189</v>
      </c>
      <c r="J21" s="237"/>
      <c r="K21" s="234">
        <f>SUM(K16:K19)</f>
        <v>138</v>
      </c>
      <c r="L21" s="235">
        <f>SUM(L16:L19)</f>
        <v>327</v>
      </c>
      <c r="M21" s="236">
        <f>SUM(M16:M19)</f>
        <v>-189</v>
      </c>
      <c r="N21" s="306"/>
      <c r="O21" s="234">
        <f>SUM(O16:O19)</f>
        <v>0</v>
      </c>
      <c r="P21" s="235">
        <f>SUM(P16:P19)</f>
        <v>-13826.526999999998</v>
      </c>
      <c r="Q21" s="236">
        <f>SUM(Q16:Q19)</f>
        <v>13826.526999999998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30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>
        <f>+'IntIncome-Expense'!G13</f>
        <v>847</v>
      </c>
      <c r="H23" s="226">
        <f>+'IntIncome-Expense'!H13</f>
        <v>847</v>
      </c>
      <c r="I23" s="227">
        <f>+H23-G23</f>
        <v>0</v>
      </c>
      <c r="J23" s="228"/>
      <c r="K23" s="225">
        <f>C23-G23</f>
        <v>-847</v>
      </c>
      <c r="L23" s="226">
        <f>D23-H23</f>
        <v>-847</v>
      </c>
      <c r="M23" s="227">
        <f>K23-L23</f>
        <v>0</v>
      </c>
      <c r="N23" s="305"/>
      <c r="O23" s="225">
        <f>+C23-'[3]QTD Mgmt Summary'!C36</f>
        <v>0</v>
      </c>
      <c r="P23" s="226">
        <f>+G23-'[3]QTD Mgmt Summary'!G36</f>
        <v>-1202</v>
      </c>
      <c r="Q23" s="227">
        <f>O23-P23</f>
        <v>1202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304"/>
      <c r="O24" s="225"/>
      <c r="P24" s="226"/>
      <c r="Q24" s="227"/>
    </row>
    <row r="25" spans="1:17" s="220" customFormat="1" ht="14.4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74">
        <f>+E21-E23</f>
        <v>0</v>
      </c>
      <c r="F25" s="241"/>
      <c r="G25" s="239">
        <f>SUM(G21:G23)</f>
        <v>189</v>
      </c>
      <c r="H25" s="240">
        <f>SUM(H21:H23)</f>
        <v>0</v>
      </c>
      <c r="I25" s="274">
        <f>SUM(I21:I23)</f>
        <v>-189</v>
      </c>
      <c r="J25" s="241"/>
      <c r="K25" s="239">
        <f>SUM(K21:K23)</f>
        <v>-709</v>
      </c>
      <c r="L25" s="240">
        <f>SUM(L21:L23)</f>
        <v>-520</v>
      </c>
      <c r="M25" s="274">
        <f>SUM(M21:M23)</f>
        <v>-189</v>
      </c>
      <c r="N25" s="306"/>
      <c r="O25" s="239">
        <f>SUM(O21:O23)</f>
        <v>0</v>
      </c>
      <c r="P25" s="240">
        <f>SUM(P21:P23)</f>
        <v>-15028.526999999998</v>
      </c>
      <c r="Q25" s="274">
        <f>SUM(Q21:Q23)</f>
        <v>15028.526999999998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309" t="s">
        <v>152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R34" sqref="R34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16,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6" t="s">
        <v>88</v>
      </c>
      <c r="L5" s="317"/>
      <c r="M5" s="318"/>
      <c r="N5" s="303"/>
      <c r="O5" s="316" t="s">
        <v>147</v>
      </c>
      <c r="P5" s="317"/>
      <c r="Q5" s="31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-19597</v>
      </c>
      <c r="D8" s="226">
        <f>+'Mgmt Summary'!C9</f>
        <v>30000</v>
      </c>
      <c r="E8" s="227">
        <f t="shared" ref="E8:E13" si="0">-D8+C8</f>
        <v>-49597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-34289</v>
      </c>
      <c r="L8" s="226">
        <f t="shared" ref="K8:L13" si="2">D8-H8</f>
        <v>15908</v>
      </c>
      <c r="M8" s="227">
        <f t="shared" ref="M8:M13" si="3">K8-L8</f>
        <v>-50197</v>
      </c>
      <c r="N8" s="305"/>
      <c r="O8" s="225">
        <f>+C8-'[3]QTD Mgmt Summary'!C8</f>
        <v>2509</v>
      </c>
      <c r="P8" s="226">
        <f>+G8-'[3]QTD Mgmt Summary'!G8</f>
        <v>0</v>
      </c>
      <c r="Q8" s="227">
        <f>+O8-P8</f>
        <v>2509</v>
      </c>
    </row>
    <row r="9" spans="1:22" s="32" customFormat="1" ht="13.5" customHeight="1">
      <c r="A9" s="223" t="s">
        <v>1</v>
      </c>
      <c r="B9" s="224"/>
      <c r="C9" s="225">
        <f>+'Mgmt Summary'!J10</f>
        <v>3258.4770000000003</v>
      </c>
      <c r="D9" s="226">
        <f>+'Mgmt Summary'!C10</f>
        <v>12747.2</v>
      </c>
      <c r="E9" s="227">
        <f t="shared" si="0"/>
        <v>-9488.723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-1419.4229999999993</v>
      </c>
      <c r="L9" s="226">
        <f t="shared" si="2"/>
        <v>7500.3000000000011</v>
      </c>
      <c r="M9" s="227">
        <f t="shared" si="3"/>
        <v>-8919.723</v>
      </c>
      <c r="N9" s="305"/>
      <c r="O9" s="225">
        <f>+C9-'[3]QTD Mgmt Summary'!C9</f>
        <v>1189.6660000000002</v>
      </c>
      <c r="P9" s="226">
        <f>+G9-'[3]QTD Mgmt Summary'!G9</f>
        <v>0</v>
      </c>
      <c r="Q9" s="227">
        <f t="shared" ref="Q9:Q14" si="4">O9-P9</f>
        <v>1189.6660000000002</v>
      </c>
    </row>
    <row r="10" spans="1:22" s="32" customFormat="1" ht="13.5" customHeight="1">
      <c r="A10" s="223" t="s">
        <v>44</v>
      </c>
      <c r="B10" s="224"/>
      <c r="C10" s="225">
        <f>+'Mgmt Summary'!J11</f>
        <v>1626</v>
      </c>
      <c r="D10" s="226">
        <f>+'Mgmt Summary'!C11</f>
        <v>750</v>
      </c>
      <c r="E10" s="227">
        <f t="shared" si="0"/>
        <v>876</v>
      </c>
      <c r="F10" s="228"/>
      <c r="G10" s="225">
        <f>+Expenses!D11+'CapChrg-AllocExp'!K12+'CapChrg-AllocExp'!D12</f>
        <v>1498.6</v>
      </c>
      <c r="H10" s="226">
        <f>+Expenses!E11+'CapChrg-AllocExp'!L12+'CapChrg-AllocExp'!E12</f>
        <v>378.6</v>
      </c>
      <c r="I10" s="227">
        <f t="shared" si="1"/>
        <v>-1120</v>
      </c>
      <c r="J10" s="228"/>
      <c r="K10" s="225">
        <f t="shared" si="2"/>
        <v>127.40000000000009</v>
      </c>
      <c r="L10" s="226">
        <f t="shared" si="2"/>
        <v>371.4</v>
      </c>
      <c r="M10" s="227">
        <f t="shared" si="3"/>
        <v>-243.99999999999989</v>
      </c>
      <c r="N10" s="305"/>
      <c r="O10" s="225">
        <f>+C10-'[3]QTD Mgmt Summary'!C10</f>
        <v>777</v>
      </c>
      <c r="P10" s="226">
        <f>+G10-'[3]QTD Mgmt Summary'!G10</f>
        <v>0</v>
      </c>
      <c r="Q10" s="227">
        <f t="shared" si="4"/>
        <v>777</v>
      </c>
    </row>
    <row r="11" spans="1:22" s="32" customFormat="1" ht="13.5" customHeight="1">
      <c r="A11" s="223" t="s">
        <v>64</v>
      </c>
      <c r="B11" s="224"/>
      <c r="C11" s="225">
        <f>+'Mgmt Summary'!J12</f>
        <v>1339</v>
      </c>
      <c r="D11" s="226">
        <f>+'Mgmt Summary'!C12</f>
        <v>3214.8</v>
      </c>
      <c r="E11" s="227">
        <f t="shared" si="0"/>
        <v>-1875.8000000000002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-375.80000000000018</v>
      </c>
      <c r="L11" s="226">
        <f t="shared" si="2"/>
        <v>1500</v>
      </c>
      <c r="M11" s="227">
        <f t="shared" si="3"/>
        <v>-1875.8000000000002</v>
      </c>
      <c r="N11" s="305"/>
      <c r="O11" s="225">
        <f>+C11-'[3]QTD Mgmt Summary'!C11</f>
        <v>1540</v>
      </c>
      <c r="P11" s="226">
        <f>+G11-'[3]QTD Mgmt Summary'!G11</f>
        <v>0</v>
      </c>
      <c r="Q11" s="227">
        <f t="shared" si="4"/>
        <v>1540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</v>
      </c>
      <c r="E12" s="227">
        <f t="shared" si="0"/>
        <v>-7712</v>
      </c>
      <c r="F12" s="228"/>
      <c r="G12" s="225">
        <f>+Expenses!D13+'CapChrg-AllocExp'!K14+'CapChrg-AllocExp'!D14</f>
        <v>1679.5</v>
      </c>
      <c r="H12" s="226">
        <f>+Expenses!E13+'CapChrg-AllocExp'!L14+'CapChrg-AllocExp'!E14</f>
        <v>1679.5</v>
      </c>
      <c r="I12" s="227">
        <f t="shared" si="1"/>
        <v>0</v>
      </c>
      <c r="J12" s="228"/>
      <c r="K12" s="225">
        <f t="shared" si="2"/>
        <v>-1679.5</v>
      </c>
      <c r="L12" s="226">
        <f t="shared" si="2"/>
        <v>6032.5</v>
      </c>
      <c r="M12" s="227">
        <f t="shared" si="3"/>
        <v>-7712</v>
      </c>
      <c r="N12" s="305"/>
      <c r="O12" s="225">
        <f>+C12-'[3]QTD Mgmt Summary'!C12</f>
        <v>0</v>
      </c>
      <c r="P12" s="226">
        <f>+G12-'[3]QTD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-735</v>
      </c>
      <c r="D13" s="226">
        <f>+'Mgmt Summary'!C14</f>
        <v>8983.2109999999993</v>
      </c>
      <c r="E13" s="227">
        <f t="shared" si="0"/>
        <v>-9718.2109999999993</v>
      </c>
      <c r="F13" s="228"/>
      <c r="G13" s="225">
        <f>+Expenses!D14+'CapChrg-AllocExp'!K15+'CapChrg-AllocExp'!D15</f>
        <v>3410.25</v>
      </c>
      <c r="H13" s="226">
        <f>+Expenses!E14+'CapChrg-AllocExp'!L15+'CapChrg-AllocExp'!E15</f>
        <v>3410.25</v>
      </c>
      <c r="I13" s="227">
        <f t="shared" si="1"/>
        <v>0</v>
      </c>
      <c r="J13" s="228"/>
      <c r="K13" s="225">
        <f t="shared" si="2"/>
        <v>-4145.25</v>
      </c>
      <c r="L13" s="226">
        <f t="shared" si="2"/>
        <v>5572.9609999999993</v>
      </c>
      <c r="M13" s="227">
        <f t="shared" si="3"/>
        <v>-9718.2109999999993</v>
      </c>
      <c r="N13" s="305"/>
      <c r="O13" s="225">
        <f>+C13-'[3]QTD Mgmt Summary'!C13</f>
        <v>1922</v>
      </c>
      <c r="P13" s="226">
        <f>+G13-'[3]QTD Mgmt Summary'!G13</f>
        <v>0</v>
      </c>
      <c r="Q13" s="227">
        <f t="shared" si="4"/>
        <v>1922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6">C14-G14</f>
        <v>-980</v>
      </c>
      <c r="L14" s="226">
        <f t="shared" si="6"/>
        <v>0</v>
      </c>
      <c r="M14" s="227">
        <f t="shared" ref="M14:M22" si="7">K14-L14</f>
        <v>-980</v>
      </c>
      <c r="N14" s="305"/>
      <c r="O14" s="225">
        <f>+C14-'[3]QTD Mgmt Summary'!C14</f>
        <v>0</v>
      </c>
      <c r="P14" s="226">
        <f>+G14-'[3]QTD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305"/>
      <c r="O15" s="225">
        <f>+C15-'[3]QTD Mgmt Summary'!C15</f>
        <v>0</v>
      </c>
      <c r="P15" s="226">
        <f>+G15-'[3]QTD Mgmt Summary'!G15</f>
        <v>0</v>
      </c>
      <c r="Q15" s="227">
        <f>O15-P15</f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305"/>
      <c r="O16" s="225">
        <f>+C16-'[3]QTD Mgmt Summary'!C16</f>
        <v>0</v>
      </c>
      <c r="P16" s="226">
        <f>+G16-'[3]QTD Mgmt Summary'!G16</f>
        <v>0</v>
      </c>
      <c r="Q16" s="227">
        <f>O16-P16</f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304"/>
      <c r="O17" s="215"/>
      <c r="P17" s="216"/>
      <c r="Q17" s="217"/>
    </row>
    <row r="18" spans="1:19" s="220" customFormat="1" ht="13.8">
      <c r="A18" s="229" t="s">
        <v>107</v>
      </c>
      <c r="B18" s="219"/>
      <c r="C18" s="234">
        <f>SUM(C8:C17)</f>
        <v>-14108.522999999999</v>
      </c>
      <c r="D18" s="235">
        <f t="shared" ref="D18:M18" si="8">SUM(D8:D17)</f>
        <v>73507.210999999996</v>
      </c>
      <c r="E18" s="236">
        <f t="shared" si="8"/>
        <v>-87615.733999999997</v>
      </c>
      <c r="F18" s="237">
        <f t="shared" si="8"/>
        <v>0</v>
      </c>
      <c r="G18" s="234">
        <f t="shared" si="8"/>
        <v>29403.05</v>
      </c>
      <c r="H18" s="235">
        <f t="shared" si="8"/>
        <v>26522.05</v>
      </c>
      <c r="I18" s="236">
        <f t="shared" si="8"/>
        <v>-2881</v>
      </c>
      <c r="J18" s="237">
        <f t="shared" si="8"/>
        <v>0</v>
      </c>
      <c r="K18" s="234">
        <f t="shared" si="8"/>
        <v>-43511.573000000004</v>
      </c>
      <c r="L18" s="235">
        <f t="shared" si="8"/>
        <v>46985.161000000007</v>
      </c>
      <c r="M18" s="236">
        <f t="shared" si="8"/>
        <v>-90496.733999999997</v>
      </c>
      <c r="N18" s="306"/>
      <c r="O18" s="234">
        <f>SUM(O8:O17)</f>
        <v>7937.6660000000002</v>
      </c>
      <c r="P18" s="235">
        <f>SUM(P8:P17)</f>
        <v>0</v>
      </c>
      <c r="Q18" s="236">
        <f>SUM(Q8:Q17)</f>
        <v>7937.6660000000002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30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305"/>
      <c r="O20" s="225">
        <f>+C20-'[3]QTD Mgmt Summary'!C20</f>
        <v>0</v>
      </c>
      <c r="P20" s="226">
        <f>+G20-'[3]QTD Mgmt Summary'!G20</f>
        <v>0</v>
      </c>
      <c r="Q20" s="227">
        <f>O20-P20</f>
        <v>0</v>
      </c>
      <c r="S20" s="308"/>
    </row>
    <row r="21" spans="1:19" s="32" customFormat="1" ht="13.5" customHeight="1">
      <c r="A21" s="223" t="s">
        <v>100</v>
      </c>
      <c r="B21" s="224"/>
      <c r="C21" s="225">
        <f>+'Mgmt Summary'!J22</f>
        <v>0</v>
      </c>
      <c r="D21" s="226">
        <f>+'Mgmt Summary'!C22</f>
        <v>4617</v>
      </c>
      <c r="E21" s="227">
        <f t="shared" si="5"/>
        <v>-4617</v>
      </c>
      <c r="F21" s="228"/>
      <c r="G21" s="225">
        <f>+Expenses!D21+'CapChrg-AllocExp'!K19+'CapChrg-AllocExp'!D19</f>
        <v>2696</v>
      </c>
      <c r="H21" s="226">
        <f>+Expenses!E21+'CapChrg-AllocExp'!L19+'CapChrg-AllocExp'!E19</f>
        <v>2188</v>
      </c>
      <c r="I21" s="227">
        <f>+H21-G21</f>
        <v>-508</v>
      </c>
      <c r="J21" s="228"/>
      <c r="K21" s="225">
        <f t="shared" si="9"/>
        <v>-2696</v>
      </c>
      <c r="L21" s="226">
        <f t="shared" si="9"/>
        <v>2429</v>
      </c>
      <c r="M21" s="227">
        <f t="shared" si="7"/>
        <v>-5125</v>
      </c>
      <c r="N21" s="305"/>
      <c r="O21" s="225">
        <f>+C21-'[3]QTD Mgmt Summary'!C21</f>
        <v>0</v>
      </c>
      <c r="P21" s="226">
        <f>+G21-'[3]QTD Mgmt Summary'!G21</f>
        <v>0</v>
      </c>
      <c r="Q21" s="227">
        <f>O21-P21</f>
        <v>0</v>
      </c>
    </row>
    <row r="22" spans="1:19" s="32" customFormat="1" ht="13.5" customHeight="1">
      <c r="A22" s="223" t="s">
        <v>101</v>
      </c>
      <c r="B22" s="224"/>
      <c r="C22" s="268">
        <f>+'Mgmt Summary'!J23</f>
        <v>-1930</v>
      </c>
      <c r="D22" s="269">
        <f>+'Mgmt Summary'!C23</f>
        <v>530</v>
      </c>
      <c r="E22" s="270">
        <f t="shared" si="5"/>
        <v>-2460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2146</v>
      </c>
      <c r="I22" s="270">
        <f>+H22-G22</f>
        <v>1090</v>
      </c>
      <c r="J22" s="228"/>
      <c r="K22" s="268">
        <f t="shared" si="9"/>
        <v>-2986</v>
      </c>
      <c r="L22" s="269">
        <f t="shared" si="9"/>
        <v>-1616</v>
      </c>
      <c r="M22" s="270">
        <f t="shared" si="7"/>
        <v>-1370</v>
      </c>
      <c r="N22" s="305"/>
      <c r="O22" s="225">
        <f>+C22-'[3]QTD Mgmt Summary'!C22</f>
        <v>0</v>
      </c>
      <c r="P22" s="226">
        <f>+G22-'[3]QTD Mgmt Summary'!G22</f>
        <v>0</v>
      </c>
      <c r="Q22" s="270">
        <f>O22-P22</f>
        <v>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304"/>
      <c r="O23" s="215"/>
      <c r="P23" s="216"/>
      <c r="Q23" s="217"/>
    </row>
    <row r="24" spans="1:19" s="220" customFormat="1" ht="13.8">
      <c r="A24" s="229" t="s">
        <v>115</v>
      </c>
      <c r="B24" s="219"/>
      <c r="C24" s="234">
        <f>SUM(C20:C23)</f>
        <v>-1844</v>
      </c>
      <c r="D24" s="235">
        <f>SUM(D20:D23)</f>
        <v>6291</v>
      </c>
      <c r="E24" s="236">
        <f>SUM(E20:E23)</f>
        <v>-8135</v>
      </c>
      <c r="F24" s="237"/>
      <c r="G24" s="234">
        <f>SUM(G20:G23)</f>
        <v>6528</v>
      </c>
      <c r="H24" s="235">
        <f>SUM(H20:H23)</f>
        <v>5704</v>
      </c>
      <c r="I24" s="236">
        <f>SUM(I20:I23)</f>
        <v>-824</v>
      </c>
      <c r="J24" s="237"/>
      <c r="K24" s="234">
        <f>SUM(K20:K23)</f>
        <v>-8372</v>
      </c>
      <c r="L24" s="235">
        <f>SUM(L20:L23)</f>
        <v>587</v>
      </c>
      <c r="M24" s="236">
        <f>SUM(M20:M23)</f>
        <v>-8959</v>
      </c>
      <c r="N24" s="306"/>
      <c r="O24" s="234">
        <f>SUM(O20:O23)</f>
        <v>0</v>
      </c>
      <c r="P24" s="235">
        <f>SUM(P20:P23)</f>
        <v>0</v>
      </c>
      <c r="Q24" s="236">
        <f>SUM(Q20:Q23)</f>
        <v>0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30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304"/>
      <c r="O26" s="215"/>
      <c r="P26" s="216"/>
      <c r="Q26" s="217"/>
    </row>
    <row r="27" spans="1:19" s="220" customFormat="1" ht="13.8">
      <c r="A27" s="229" t="s">
        <v>3</v>
      </c>
      <c r="B27" s="219"/>
      <c r="C27" s="234">
        <f>+C18+C24</f>
        <v>-15952.522999999999</v>
      </c>
      <c r="D27" s="235">
        <f>+D18+D24</f>
        <v>79798.210999999996</v>
      </c>
      <c r="E27" s="236">
        <f>+E18+E24</f>
        <v>-95750.733999999997</v>
      </c>
      <c r="F27" s="237">
        <f>SUM(F24:F25)</f>
        <v>0</v>
      </c>
      <c r="G27" s="234">
        <f>+G18+G24</f>
        <v>35931.050000000003</v>
      </c>
      <c r="H27" s="235">
        <f>+H18+H24</f>
        <v>32226.05</v>
      </c>
      <c r="I27" s="236">
        <f>+I18+I24</f>
        <v>-3705</v>
      </c>
      <c r="J27" s="237">
        <f>SUM(J24:J25)</f>
        <v>0</v>
      </c>
      <c r="K27" s="234">
        <f>+K18+K24</f>
        <v>-51883.573000000004</v>
      </c>
      <c r="L27" s="235">
        <f>+L18+L24</f>
        <v>47572.161000000007</v>
      </c>
      <c r="M27" s="236">
        <f>+M18+M24</f>
        <v>-99455.733999999997</v>
      </c>
      <c r="N27" s="306"/>
      <c r="O27" s="234">
        <f>+O18+O24</f>
        <v>7937.6660000000002</v>
      </c>
      <c r="P27" s="235">
        <f>+P18+P24</f>
        <v>0</v>
      </c>
      <c r="Q27" s="236">
        <f>+Q18+Q24</f>
        <v>7937.6660000000002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304"/>
      <c r="O28" s="215"/>
      <c r="P28" s="216"/>
      <c r="Q28" s="217"/>
    </row>
    <row r="29" spans="1:19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27818</v>
      </c>
      <c r="H29" s="226">
        <f>+'Mgmt Summary'!D30</f>
        <v>27218</v>
      </c>
      <c r="I29" s="227">
        <f>+H29-G29</f>
        <v>-600</v>
      </c>
      <c r="J29" s="228"/>
      <c r="K29" s="225">
        <f>C29-G29</f>
        <v>-27818</v>
      </c>
      <c r="L29" s="226">
        <f>D29-H29</f>
        <v>-27218</v>
      </c>
      <c r="M29" s="227">
        <f>K29-L29</f>
        <v>-600</v>
      </c>
      <c r="N29" s="305"/>
      <c r="O29" s="225">
        <f>+C29-'[3]QTD Mgmt Summary'!C29</f>
        <v>0</v>
      </c>
      <c r="P29" s="226">
        <f>+G29-'[3]QTD Mgmt Summary'!G29</f>
        <v>0</v>
      </c>
      <c r="Q29" s="227">
        <f>O29-P29</f>
        <v>0</v>
      </c>
    </row>
    <row r="30" spans="1:19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-13436.473000000002</v>
      </c>
      <c r="H30" s="226">
        <f>+'Mgmt Summary'!D31</f>
        <v>-12836.473000000002</v>
      </c>
      <c r="I30" s="227">
        <f>+H30-G30</f>
        <v>600</v>
      </c>
      <c r="J30" s="228"/>
      <c r="K30" s="225">
        <f t="shared" ref="K30:L32" si="10">C30-G30</f>
        <v>13436.473000000002</v>
      </c>
      <c r="L30" s="226">
        <f t="shared" si="10"/>
        <v>12836.473000000002</v>
      </c>
      <c r="M30" s="227">
        <f>K30-L30</f>
        <v>600</v>
      </c>
      <c r="N30" s="305"/>
      <c r="O30" s="225">
        <f>+C30-'[3]QTD Mgmt Summary'!C30</f>
        <v>0</v>
      </c>
      <c r="P30" s="226">
        <f>+G30-'[3]QTD Mgmt Summary'!G30</f>
        <v>0</v>
      </c>
      <c r="Q30" s="227">
        <f>O30-P30</f>
        <v>0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305"/>
      <c r="O31" s="225">
        <f>+C31-'[3]QTD Mgmt Summary'!C31</f>
        <v>0</v>
      </c>
      <c r="P31" s="226">
        <f>+G31-'[3]QTD Mgmt Summary'!G31</f>
        <v>0</v>
      </c>
      <c r="Q31" s="227">
        <f>O31-P31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-1213</v>
      </c>
      <c r="H32" s="226">
        <f>+'CapChrg-AllocExp'!E28</f>
        <v>-2029</v>
      </c>
      <c r="I32" s="227">
        <f>+H32-G32</f>
        <v>-816</v>
      </c>
      <c r="J32" s="228"/>
      <c r="K32" s="225">
        <f t="shared" si="10"/>
        <v>1213</v>
      </c>
      <c r="L32" s="226">
        <f t="shared" si="10"/>
        <v>2029</v>
      </c>
      <c r="M32" s="227">
        <f>K32-L32</f>
        <v>-816</v>
      </c>
      <c r="N32" s="305"/>
      <c r="O32" s="225">
        <f>+C32-'[3]QTD Mgmt Summary'!C32</f>
        <v>0</v>
      </c>
      <c r="P32" s="226">
        <f>+G32-'[3]QTD Mgmt Summary'!G32</f>
        <v>0</v>
      </c>
      <c r="Q32" s="227">
        <f>O32-P32</f>
        <v>0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304"/>
      <c r="O33" s="215"/>
      <c r="P33" s="216"/>
      <c r="Q33" s="217"/>
    </row>
    <row r="34" spans="1:17" s="220" customFormat="1" ht="13.8">
      <c r="A34" s="229" t="s">
        <v>74</v>
      </c>
      <c r="B34" s="219"/>
      <c r="C34" s="234">
        <f>SUM(C27:C32)</f>
        <v>-16472.523000000001</v>
      </c>
      <c r="D34" s="235">
        <f>SUM(D27:D32)</f>
        <v>79278.210999999996</v>
      </c>
      <c r="E34" s="236">
        <f>SUM(E27:E32)</f>
        <v>-95750.733999999997</v>
      </c>
      <c r="F34" s="237"/>
      <c r="G34" s="234">
        <f>SUM(G27:G32)</f>
        <v>49099.577000000005</v>
      </c>
      <c r="H34" s="235">
        <f>SUM(H27:H32)</f>
        <v>44578.577000000005</v>
      </c>
      <c r="I34" s="236">
        <f>SUM(I27:I32)</f>
        <v>-4521</v>
      </c>
      <c r="J34" s="237"/>
      <c r="K34" s="234">
        <f>SUM(K27:K32)</f>
        <v>-65572.100000000006</v>
      </c>
      <c r="L34" s="235">
        <f>SUM(L27:L32)</f>
        <v>34699.634000000005</v>
      </c>
      <c r="M34" s="236">
        <f>SUM(M27:M32)</f>
        <v>-100271.734</v>
      </c>
      <c r="N34" s="306"/>
      <c r="O34" s="234">
        <f>SUM(O27:O32)</f>
        <v>7937.6660000000002</v>
      </c>
      <c r="P34" s="235">
        <f>SUM(P27:P32)</f>
        <v>0</v>
      </c>
      <c r="Q34" s="236">
        <f>SUM(Q27:Q32)</f>
        <v>7937.6660000000002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30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2049</v>
      </c>
      <c r="H36" s="226">
        <f>+'Mgmt Summary'!D37</f>
        <v>2049</v>
      </c>
      <c r="I36" s="227">
        <f>+H36-G36</f>
        <v>0</v>
      </c>
      <c r="J36" s="228"/>
      <c r="K36" s="225">
        <f>C36-G36</f>
        <v>-2049</v>
      </c>
      <c r="L36" s="226">
        <f>D36-H36</f>
        <v>-2049</v>
      </c>
      <c r="M36" s="227">
        <f>K36-L36</f>
        <v>0</v>
      </c>
      <c r="N36" s="305"/>
      <c r="O36" s="225">
        <f>+C36-'[3]QTD Mgmt Summary'!C36</f>
        <v>0</v>
      </c>
      <c r="P36" s="226">
        <f>+G36-'[3]QTD Mgmt Summary'!G36</f>
        <v>0</v>
      </c>
      <c r="Q36" s="227">
        <f>O36-P36</f>
        <v>0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304"/>
      <c r="O37" s="225"/>
      <c r="P37" s="226"/>
      <c r="Q37" s="227"/>
    </row>
    <row r="38" spans="1:17" s="220" customFormat="1" ht="14.4" thickBot="1">
      <c r="A38" s="230" t="s">
        <v>75</v>
      </c>
      <c r="B38" s="222"/>
      <c r="C38" s="239">
        <f>+C34-C36</f>
        <v>-16472.523000000001</v>
      </c>
      <c r="D38" s="240">
        <f>+D34-D36</f>
        <v>79278.210999999996</v>
      </c>
      <c r="E38" s="274">
        <f>+E34-E36</f>
        <v>-95750.733999999997</v>
      </c>
      <c r="F38" s="241"/>
      <c r="G38" s="239">
        <f>SUM(G34:G36)</f>
        <v>51148.577000000005</v>
      </c>
      <c r="H38" s="240">
        <f>SUM(H34:H36)</f>
        <v>46627.577000000005</v>
      </c>
      <c r="I38" s="274">
        <f>SUM(I34:I36)</f>
        <v>-4521</v>
      </c>
      <c r="J38" s="241"/>
      <c r="K38" s="239">
        <f>SUM(K34:K36)</f>
        <v>-67621.100000000006</v>
      </c>
      <c r="L38" s="240">
        <f>SUM(L34:L36)</f>
        <v>32650.634000000005</v>
      </c>
      <c r="M38" s="274">
        <f>SUM(M34:M36)</f>
        <v>-100271.734</v>
      </c>
      <c r="N38" s="306"/>
      <c r="O38" s="239">
        <f>SUM(O34:O36)</f>
        <v>7937.6660000000002</v>
      </c>
      <c r="P38" s="240">
        <f>SUM(P34:P36)</f>
        <v>0</v>
      </c>
      <c r="Q38" s="274">
        <f>SUM(Q34:Q36)</f>
        <v>7937.6660000000002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3" spans="1:17" ht="13.8">
      <c r="C43" s="292" t="s">
        <v>129</v>
      </c>
      <c r="D43" s="293"/>
      <c r="E43" s="294"/>
      <c r="G43" s="292" t="s">
        <v>130</v>
      </c>
      <c r="H43" s="293"/>
      <c r="I43" s="293"/>
      <c r="J43" s="294"/>
    </row>
    <row r="44" spans="1:17">
      <c r="C44" s="279" t="s">
        <v>118</v>
      </c>
      <c r="D44" s="280"/>
      <c r="E44" s="281">
        <f>+'GM-WeeklyChnge'!C37</f>
        <v>7926</v>
      </c>
      <c r="G44" s="279" t="s">
        <v>119</v>
      </c>
      <c r="H44" s="280"/>
      <c r="I44" s="282">
        <f>+'Expense Weekly Change'!E22+'Expense Weekly Change'!E21</f>
        <v>0</v>
      </c>
      <c r="J44" s="297"/>
    </row>
    <row r="45" spans="1:17">
      <c r="C45" s="279" t="s">
        <v>120</v>
      </c>
      <c r="D45" s="280"/>
      <c r="E45" s="281">
        <f>+'GM-WeeklyChnge'!D37</f>
        <v>11.665999999999997</v>
      </c>
      <c r="G45" s="279" t="s">
        <v>121</v>
      </c>
      <c r="H45" s="280"/>
      <c r="I45" s="28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45" s="283"/>
    </row>
    <row r="46" spans="1:17">
      <c r="C46" s="279" t="s">
        <v>122</v>
      </c>
      <c r="D46" s="280"/>
      <c r="E46" s="281">
        <f>+'GM-WeeklyChnge'!E37+'GM-WeeklyChnge'!F37+'GM-WeeklyChnge'!G37</f>
        <v>0</v>
      </c>
      <c r="G46" s="279" t="s">
        <v>28</v>
      </c>
      <c r="H46" s="280"/>
      <c r="I46" s="282">
        <f>-G36+'[3]QTD Mgmt Summary'!$G$36</f>
        <v>0</v>
      </c>
      <c r="J46" s="283"/>
    </row>
    <row r="47" spans="1:17">
      <c r="C47" s="284"/>
      <c r="D47" s="285"/>
      <c r="E47" s="286"/>
      <c r="G47" s="284"/>
      <c r="H47" s="285"/>
      <c r="I47" s="287"/>
      <c r="J47" s="288"/>
    </row>
    <row r="48" spans="1:17" ht="13.8">
      <c r="C48" s="289" t="s">
        <v>123</v>
      </c>
      <c r="D48" s="290"/>
      <c r="E48" s="291">
        <f>SUM(E44:E47)</f>
        <v>7937.6660000000002</v>
      </c>
      <c r="G48" s="289" t="s">
        <v>123</v>
      </c>
      <c r="H48" s="290"/>
      <c r="I48" s="295">
        <f>SUM(I44:I47)</f>
        <v>0</v>
      </c>
      <c r="J48" s="296"/>
    </row>
    <row r="50" spans="3:10" ht="13.8">
      <c r="C50" s="292" t="s">
        <v>127</v>
      </c>
      <c r="D50" s="293"/>
      <c r="E50" s="294"/>
      <c r="G50" s="292" t="s">
        <v>128</v>
      </c>
      <c r="H50" s="293"/>
      <c r="I50" s="293"/>
      <c r="J50" s="294"/>
    </row>
    <row r="51" spans="3:10">
      <c r="C51" s="279" t="s">
        <v>124</v>
      </c>
      <c r="D51" s="280"/>
      <c r="E51" s="281">
        <f>+[3]GrossMargin!$I$38</f>
        <v>-24410.188999999998</v>
      </c>
      <c r="G51" s="279" t="s">
        <v>124</v>
      </c>
      <c r="H51" s="280"/>
      <c r="I51" s="282">
        <f>+'[3]QTD Mgmt Summary'!$G$38</f>
        <v>51148.577000000005</v>
      </c>
      <c r="J51" s="297"/>
    </row>
    <row r="52" spans="3:10">
      <c r="C52" s="279" t="s">
        <v>125</v>
      </c>
      <c r="D52" s="280"/>
      <c r="E52" s="281">
        <f>+GrossMargin!I38</f>
        <v>-16472.523000000001</v>
      </c>
      <c r="G52" s="279" t="s">
        <v>125</v>
      </c>
      <c r="H52" s="280"/>
      <c r="I52" s="282">
        <f>+G38</f>
        <v>51148.577000000005</v>
      </c>
      <c r="J52" s="283"/>
    </row>
    <row r="53" spans="3:10">
      <c r="C53" s="279"/>
      <c r="D53" s="280"/>
      <c r="E53" s="281"/>
      <c r="G53" s="279"/>
      <c r="H53" s="280"/>
      <c r="I53" s="282"/>
      <c r="J53" s="283"/>
    </row>
    <row r="54" spans="3:10" ht="13.8">
      <c r="C54" s="289" t="s">
        <v>126</v>
      </c>
      <c r="D54" s="290"/>
      <c r="E54" s="291">
        <f>+E52-E51</f>
        <v>7937.6659999999974</v>
      </c>
      <c r="G54" s="289" t="s">
        <v>126</v>
      </c>
      <c r="H54" s="290"/>
      <c r="I54" s="295">
        <f>+I52-I51</f>
        <v>0</v>
      </c>
      <c r="J54" s="29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zoomScaleNormal="100" workbookViewId="0">
      <selection activeCell="E15" sqref="E15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3" t="s">
        <v>70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60"/>
    </row>
    <row r="2" spans="1:24" ht="13.8">
      <c r="A2" s="314" t="s">
        <v>91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61"/>
    </row>
    <row r="3" spans="1:24" ht="13.8">
      <c r="A3" s="315" t="s">
        <v>153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62"/>
    </row>
    <row r="4" spans="1:24" ht="3" customHeight="1"/>
    <row r="5" spans="1:24" s="34" customFormat="1" ht="15" customHeight="1">
      <c r="A5" s="106"/>
      <c r="C5" s="310" t="s">
        <v>8</v>
      </c>
      <c r="D5" s="311"/>
      <c r="E5" s="312"/>
      <c r="G5" s="310" t="s">
        <v>41</v>
      </c>
      <c r="H5" s="311"/>
      <c r="I5" s="311"/>
      <c r="J5" s="311"/>
      <c r="K5" s="311"/>
      <c r="L5" s="311"/>
      <c r="M5" s="311"/>
      <c r="N5" s="311"/>
      <c r="O5" s="312"/>
      <c r="Q5" s="310" t="s">
        <v>36</v>
      </c>
      <c r="R5" s="311"/>
      <c r="S5" s="311"/>
      <c r="T5" s="311"/>
      <c r="U5" s="311"/>
      <c r="V5" s="31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-19597</v>
      </c>
      <c r="H9" s="36">
        <f>GrossMargin!J10</f>
        <v>0</v>
      </c>
      <c r="I9" s="36">
        <f>GrossMargin!K10</f>
        <v>0</v>
      </c>
      <c r="J9" s="136">
        <f t="shared" ref="J9:J15" si="1">SUM(G9:I9)</f>
        <v>-19597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-34289</v>
      </c>
      <c r="P9" s="37"/>
      <c r="Q9" s="133">
        <f t="shared" ref="Q9:Q15" si="3">+J9-C9</f>
        <v>-49597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-50197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3258.4770000000003</v>
      </c>
      <c r="H10" s="36">
        <f>GrossMargin!J11</f>
        <v>0</v>
      </c>
      <c r="I10" s="36">
        <f>GrossMargin!K11</f>
        <v>0</v>
      </c>
      <c r="J10" s="136">
        <f t="shared" si="1"/>
        <v>3258.4770000000003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-1419.4229999999995</v>
      </c>
      <c r="P10" s="37"/>
      <c r="Q10" s="133">
        <f t="shared" si="3"/>
        <v>-9488.723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-8920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1626</v>
      </c>
      <c r="H11" s="36">
        <f>GrossMargin!J12</f>
        <v>0</v>
      </c>
      <c r="I11" s="36">
        <f>GrossMargin!K12</f>
        <v>0</v>
      </c>
      <c r="J11" s="136">
        <f t="shared" si="1"/>
        <v>1626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127.40000000000009</v>
      </c>
      <c r="P11" s="37"/>
      <c r="Q11" s="133">
        <f t="shared" si="3"/>
        <v>876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-244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1339</v>
      </c>
      <c r="H12" s="36">
        <f>GrossMargin!J13</f>
        <v>0</v>
      </c>
      <c r="I12" s="36">
        <f>GrossMargin!K13</f>
        <v>0</v>
      </c>
      <c r="J12" s="136">
        <f t="shared" si="1"/>
        <v>1339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-375.80000000000007</v>
      </c>
      <c r="P12" s="37"/>
      <c r="Q12" s="133">
        <f t="shared" si="3"/>
        <v>-1875.8000000000002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-1876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 t="shared" si="0"/>
        <v>5572.9609999999993</v>
      </c>
      <c r="F14" s="140"/>
      <c r="G14" s="139">
        <f>+GrossMargin!I20</f>
        <v>-735</v>
      </c>
      <c r="H14" s="140">
        <f>GrossMargin!J15</f>
        <v>0</v>
      </c>
      <c r="I14" s="140">
        <f>+GrossMargin!K20</f>
        <v>0</v>
      </c>
      <c r="J14" s="179">
        <f t="shared" si="1"/>
        <v>-735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 t="shared" si="2"/>
        <v>-4145.25</v>
      </c>
      <c r="P14" s="181"/>
      <c r="Q14" s="139">
        <f t="shared" si="3"/>
        <v>-9718.2109999999993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-9718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>
        <f>SUM(C9:C18)</f>
        <v>73507.210999999996</v>
      </c>
      <c r="D19" s="44">
        <f>SUM(D9:D18)</f>
        <v>26522.05</v>
      </c>
      <c r="E19" s="45">
        <f>SUM(E9:E18)</f>
        <v>46985.161000000007</v>
      </c>
      <c r="F19" s="36"/>
      <c r="G19" s="43">
        <f t="shared" ref="G19:O19" si="5">SUM(G9:G18)</f>
        <v>-14108.522999999999</v>
      </c>
      <c r="H19" s="44">
        <f t="shared" si="5"/>
        <v>0</v>
      </c>
      <c r="I19" s="45">
        <f t="shared" si="5"/>
        <v>0</v>
      </c>
      <c r="J19" s="46">
        <f t="shared" si="5"/>
        <v>-14108.522999999999</v>
      </c>
      <c r="K19" s="44">
        <f t="shared" si="5"/>
        <v>0</v>
      </c>
      <c r="L19" s="43">
        <f t="shared" si="5"/>
        <v>658</v>
      </c>
      <c r="M19" s="44">
        <f t="shared" si="5"/>
        <v>15308.577000000001</v>
      </c>
      <c r="N19" s="44">
        <f t="shared" si="5"/>
        <v>13436.473000000002</v>
      </c>
      <c r="O19" s="46">
        <f t="shared" si="5"/>
        <v>-43511.573000000004</v>
      </c>
      <c r="P19" s="180"/>
      <c r="Q19" s="43">
        <f t="shared" ref="Q19:V19" si="6">SUM(Q9:Q18)</f>
        <v>-87615.733999999997</v>
      </c>
      <c r="R19" s="44">
        <f t="shared" si="6"/>
        <v>0</v>
      </c>
      <c r="S19" s="44">
        <f t="shared" si="6"/>
        <v>189</v>
      </c>
      <c r="T19" s="44">
        <f t="shared" si="6"/>
        <v>-2470</v>
      </c>
      <c r="U19" s="44">
        <f t="shared" si="6"/>
        <v>-600</v>
      </c>
      <c r="V19" s="45">
        <f t="shared" si="6"/>
        <v>-90497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+GrossMargin!I28</f>
        <v>0</v>
      </c>
      <c r="H22" s="140">
        <f>GrossMargin!J18</f>
        <v>0</v>
      </c>
      <c r="I22" s="140">
        <f>+GrossMargin!K28</f>
        <v>0</v>
      </c>
      <c r="J22" s="179">
        <f>SUM(G22:I22)</f>
        <v>0</v>
      </c>
      <c r="K22" s="180"/>
      <c r="L22" s="139">
        <f>+'CapChrg-AllocExp'!D19</f>
        <v>652</v>
      </c>
      <c r="M22" s="36">
        <f>Expenses!D21</f>
        <v>2044</v>
      </c>
      <c r="N22" s="140">
        <f>+'CapChrg-AllocExp'!K19</f>
        <v>0</v>
      </c>
      <c r="O22" s="179">
        <f>J22-K22-M22-N22-L22</f>
        <v>-2696</v>
      </c>
      <c r="P22" s="181"/>
      <c r="Q22" s="139">
        <f>+J22-C22</f>
        <v>-4617</v>
      </c>
      <c r="R22" s="140"/>
      <c r="S22" s="140">
        <f>+'CapChrg-AllocExp'!F19</f>
        <v>0</v>
      </c>
      <c r="T22" s="36">
        <f>Expenses!F21</f>
        <v>-508</v>
      </c>
      <c r="U22" s="140">
        <f>+'CapChrg-AllocExp'!M19</f>
        <v>0</v>
      </c>
      <c r="V22" s="164">
        <f>ROUND(SUM(Q22:U22),0)</f>
        <v>-5125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+GrossMargin!I29</f>
        <v>-1930</v>
      </c>
      <c r="H23" s="140">
        <f>GrossMargin!J19</f>
        <v>0</v>
      </c>
      <c r="I23" s="140">
        <f>+GrossMargin!K29</f>
        <v>0</v>
      </c>
      <c r="J23" s="179">
        <f>SUM(G23:I23)</f>
        <v>-1930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-2986</v>
      </c>
      <c r="P23" s="181"/>
      <c r="Q23" s="139">
        <f>+J23-C23</f>
        <v>-2460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-1370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-1844</v>
      </c>
      <c r="H25" s="44">
        <f t="shared" si="7"/>
        <v>0</v>
      </c>
      <c r="I25" s="45">
        <f t="shared" si="7"/>
        <v>0</v>
      </c>
      <c r="J25" s="46">
        <f t="shared" si="7"/>
        <v>-1844</v>
      </c>
      <c r="K25" s="44">
        <f t="shared" si="7"/>
        <v>0</v>
      </c>
      <c r="L25" s="43">
        <f t="shared" si="7"/>
        <v>555</v>
      </c>
      <c r="M25" s="44">
        <f t="shared" si="7"/>
        <v>5973</v>
      </c>
      <c r="N25" s="44">
        <f t="shared" si="7"/>
        <v>0</v>
      </c>
      <c r="O25" s="46">
        <f t="shared" si="7"/>
        <v>-8372</v>
      </c>
      <c r="P25" s="180"/>
      <c r="Q25" s="43">
        <f t="shared" ref="Q25:V25" si="8">SUM(Q21:Q24)</f>
        <v>-8135</v>
      </c>
      <c r="R25" s="44">
        <f t="shared" si="8"/>
        <v>0</v>
      </c>
      <c r="S25" s="44">
        <f t="shared" si="8"/>
        <v>627</v>
      </c>
      <c r="T25" s="44">
        <f t="shared" si="8"/>
        <v>-1451</v>
      </c>
      <c r="U25" s="44">
        <f t="shared" si="8"/>
        <v>0</v>
      </c>
      <c r="V25" s="45">
        <f t="shared" si="8"/>
        <v>-8959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79798.210999999996</v>
      </c>
      <c r="D28" s="44">
        <f>+D19+D25</f>
        <v>32226.05</v>
      </c>
      <c r="E28" s="45">
        <f>+E19+E25</f>
        <v>47572.161000000007</v>
      </c>
      <c r="F28" s="36">
        <f>SUM(F25:F26)</f>
        <v>0</v>
      </c>
      <c r="G28" s="43">
        <f t="shared" ref="G28:O28" si="9">+G19+G25</f>
        <v>-15952.522999999999</v>
      </c>
      <c r="H28" s="44">
        <f t="shared" si="9"/>
        <v>0</v>
      </c>
      <c r="I28" s="45">
        <f t="shared" si="9"/>
        <v>0</v>
      </c>
      <c r="J28" s="46">
        <f t="shared" si="9"/>
        <v>-15952.522999999999</v>
      </c>
      <c r="K28" s="44">
        <f t="shared" si="9"/>
        <v>0</v>
      </c>
      <c r="L28" s="43">
        <f t="shared" si="9"/>
        <v>1213</v>
      </c>
      <c r="M28" s="44">
        <f t="shared" si="9"/>
        <v>21281.577000000001</v>
      </c>
      <c r="N28" s="44">
        <f t="shared" si="9"/>
        <v>13436.473000000002</v>
      </c>
      <c r="O28" s="46">
        <f t="shared" si="9"/>
        <v>-51883.573000000004</v>
      </c>
      <c r="P28" s="180"/>
      <c r="Q28" s="43">
        <f t="shared" ref="Q28:V28" si="10">+Q19+Q25</f>
        <v>-95750.733999999997</v>
      </c>
      <c r="R28" s="44">
        <f t="shared" si="10"/>
        <v>0</v>
      </c>
      <c r="S28" s="44">
        <f t="shared" si="10"/>
        <v>816</v>
      </c>
      <c r="T28" s="44">
        <f t="shared" si="10"/>
        <v>-3921</v>
      </c>
      <c r="U28" s="44">
        <f t="shared" si="10"/>
        <v>-600</v>
      </c>
      <c r="V28" s="45">
        <f t="shared" si="10"/>
        <v>-99456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27218</v>
      </c>
      <c r="E30" s="135">
        <f>C30-D30</f>
        <v>-27218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27818</v>
      </c>
      <c r="N30" s="36">
        <v>0</v>
      </c>
      <c r="O30" s="136">
        <f>J30-K30-M30-N30-L30</f>
        <v>-27818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104</v>
      </c>
      <c r="B31" s="35"/>
      <c r="C31" s="133">
        <v>0</v>
      </c>
      <c r="D31" s="36">
        <f>+'CapChrg-AllocExp'!L29</f>
        <v>-12836.473000000002</v>
      </c>
      <c r="E31" s="135">
        <f>C31-D31</f>
        <v>12836.473000000002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-13436.473000000002</v>
      </c>
      <c r="O31" s="136">
        <f>J31-K31-M31-N31-L31</f>
        <v>13436.473000000002</v>
      </c>
      <c r="P31" s="37"/>
      <c r="Q31" s="133">
        <f>+J31-C31</f>
        <v>0</v>
      </c>
      <c r="R31" s="36"/>
      <c r="S31" s="36">
        <v>0</v>
      </c>
      <c r="T31" s="36">
        <f>-T30</f>
        <v>600</v>
      </c>
      <c r="U31" s="36">
        <v>0</v>
      </c>
      <c r="V31" s="135">
        <f>ROUND(SUM(Q31:U31),0)</f>
        <v>600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-2029</v>
      </c>
      <c r="E33" s="135">
        <f>C33-D33</f>
        <v>2029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-1213</v>
      </c>
      <c r="M33" s="36">
        <v>0</v>
      </c>
      <c r="N33" s="36">
        <v>0</v>
      </c>
      <c r="O33" s="136">
        <f>J33-K33-M33-N33-L33</f>
        <v>1213</v>
      </c>
      <c r="P33" s="37"/>
      <c r="Q33" s="133">
        <f>+J33-C33</f>
        <v>0</v>
      </c>
      <c r="R33" s="36"/>
      <c r="S33" s="36">
        <f>'CapChrg-AllocExp'!F28</f>
        <v>-816</v>
      </c>
      <c r="T33" s="36">
        <v>0</v>
      </c>
      <c r="U33" s="36">
        <v>0</v>
      </c>
      <c r="V33" s="135">
        <f>ROUND(SUM(Q33:U33),0)</f>
        <v>-816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79278.210999999996</v>
      </c>
      <c r="D35" s="44">
        <f>SUM(D28:D34)</f>
        <v>44578.577000000005</v>
      </c>
      <c r="E35" s="45">
        <f>SUM(E28:E34)</f>
        <v>34699.634000000005</v>
      </c>
      <c r="F35" s="36"/>
      <c r="G35" s="43">
        <f t="shared" ref="G35:N35" si="11">SUM(G28:G34)</f>
        <v>-16472.523000000001</v>
      </c>
      <c r="H35" s="44">
        <f t="shared" si="11"/>
        <v>0</v>
      </c>
      <c r="I35" s="44">
        <f t="shared" si="11"/>
        <v>0</v>
      </c>
      <c r="J35" s="46">
        <f t="shared" si="11"/>
        <v>-16472.523000000001</v>
      </c>
      <c r="K35" s="44">
        <f t="shared" si="11"/>
        <v>0</v>
      </c>
      <c r="L35" s="43">
        <f t="shared" si="11"/>
        <v>0</v>
      </c>
      <c r="M35" s="44">
        <f t="shared" si="11"/>
        <v>49099.577000000005</v>
      </c>
      <c r="N35" s="44">
        <f t="shared" si="11"/>
        <v>0</v>
      </c>
      <c r="O35" s="46">
        <f>J35-K35-M35-N35-L35</f>
        <v>-65572.100000000006</v>
      </c>
      <c r="P35" s="37"/>
      <c r="Q35" s="43">
        <f t="shared" ref="Q35:V35" si="12">SUM(Q28:Q34)</f>
        <v>-95750.733999999997</v>
      </c>
      <c r="R35" s="44">
        <f t="shared" si="12"/>
        <v>0</v>
      </c>
      <c r="S35" s="44">
        <f t="shared" si="12"/>
        <v>0</v>
      </c>
      <c r="T35" s="44">
        <f t="shared" si="12"/>
        <v>-3921</v>
      </c>
      <c r="U35" s="44">
        <f t="shared" si="12"/>
        <v>-600</v>
      </c>
      <c r="V35" s="45">
        <f t="shared" si="12"/>
        <v>-100272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+'IntIncome-Expense'!H34</f>
        <v>2049</v>
      </c>
      <c r="E37" s="135">
        <f>C37-D37</f>
        <v>-2049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+'IntIncome-Expense'!G34</f>
        <v>2049</v>
      </c>
      <c r="N37" s="36">
        <v>0</v>
      </c>
      <c r="O37" s="136">
        <f>J37-K37-M37-N37-L37</f>
        <v>-2049</v>
      </c>
      <c r="P37" s="37"/>
      <c r="Q37" s="133">
        <f>+J37-C37</f>
        <v>0</v>
      </c>
      <c r="R37" s="36"/>
      <c r="S37" s="36">
        <v>0</v>
      </c>
      <c r="T37" s="36">
        <f>D37-M37</f>
        <v>0</v>
      </c>
      <c r="U37" s="36"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79278.210999999996</v>
      </c>
      <c r="D39" s="40">
        <f>SUM(D35:D37)</f>
        <v>46627.577000000005</v>
      </c>
      <c r="E39" s="41">
        <f>SUM(E35:E37)</f>
        <v>32650.634000000005</v>
      </c>
      <c r="F39" s="36"/>
      <c r="G39" s="39">
        <f t="shared" ref="G39:V39" si="13">SUM(G35:G37)</f>
        <v>-16472.523000000001</v>
      </c>
      <c r="H39" s="40">
        <f t="shared" si="13"/>
        <v>0</v>
      </c>
      <c r="I39" s="40">
        <f t="shared" si="13"/>
        <v>0</v>
      </c>
      <c r="J39" s="42">
        <f t="shared" si="13"/>
        <v>-16472.523000000001</v>
      </c>
      <c r="K39" s="40">
        <f t="shared" si="13"/>
        <v>0</v>
      </c>
      <c r="L39" s="39">
        <f t="shared" si="13"/>
        <v>0</v>
      </c>
      <c r="M39" s="40">
        <f t="shared" si="13"/>
        <v>51148.577000000005</v>
      </c>
      <c r="N39" s="40">
        <f t="shared" si="13"/>
        <v>0</v>
      </c>
      <c r="O39" s="42">
        <f>J39-K39-M39-N39-L39</f>
        <v>-67621.100000000006</v>
      </c>
      <c r="P39" s="37"/>
      <c r="Q39" s="39">
        <f t="shared" si="13"/>
        <v>-95750.733999999997</v>
      </c>
      <c r="R39" s="40">
        <f t="shared" si="13"/>
        <v>0</v>
      </c>
      <c r="S39" s="40">
        <f t="shared" si="13"/>
        <v>0</v>
      </c>
      <c r="T39" s="40">
        <f t="shared" si="13"/>
        <v>-3921</v>
      </c>
      <c r="U39" s="40">
        <f t="shared" si="13"/>
        <v>-600</v>
      </c>
      <c r="V39" s="41">
        <f t="shared" si="13"/>
        <v>-100272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topLeftCell="A4" zoomScaleNormal="100" workbookViewId="0">
      <selection activeCell="C9" sqref="C9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November 16,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2509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2509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2509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1178</v>
      </c>
      <c r="D10" s="36">
        <f>+GrossMargin!E11-[3]GrossMargin!E11</f>
        <v>11.665999999999997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1189.6659999999999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1189.6659999999999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777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777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777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1540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1540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1540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customHeight="1">
      <c r="A14" s="242" t="s">
        <v>81</v>
      </c>
      <c r="B14" s="249"/>
      <c r="C14" s="253">
        <f>+GrossMargin!D15-[3]GrossMargin!D15</f>
        <v>1506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1506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1506</v>
      </c>
    </row>
    <row r="15" spans="1:11" ht="13.5" customHeight="1">
      <c r="A15" s="242" t="s">
        <v>84</v>
      </c>
      <c r="B15" s="249"/>
      <c r="C15" s="253">
        <f>+GrossMargin!D16-[3]GrossMargin!D16</f>
        <v>436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436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436</v>
      </c>
    </row>
    <row r="16" spans="1:11" ht="13.5" customHeight="1">
      <c r="A16" s="242" t="s">
        <v>82</v>
      </c>
      <c r="B16" s="249"/>
      <c r="C16" s="253">
        <f>+GrossMargin!D17-[3]GrossMargin!D17</f>
        <v>0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0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0</v>
      </c>
    </row>
    <row r="17" spans="1:11" ht="13.5" customHeight="1">
      <c r="A17" s="242" t="s">
        <v>83</v>
      </c>
      <c r="B17" s="249"/>
      <c r="C17" s="253">
        <f>+GrossMargin!D18-[3]GrossMargin!D18</f>
        <v>1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1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1</v>
      </c>
    </row>
    <row r="18" spans="1:11" ht="13.5" customHeight="1">
      <c r="A18" s="242" t="s">
        <v>85</v>
      </c>
      <c r="B18" s="249"/>
      <c r="C18" s="256">
        <f>+GrossMargin!D19-[3]GrossMargin!D19</f>
        <v>-21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-21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-21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1922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1922</v>
      </c>
      <c r="I19" s="133">
        <f t="shared" si="2"/>
        <v>0</v>
      </c>
      <c r="J19" s="36">
        <f t="shared" si="2"/>
        <v>0</v>
      </c>
      <c r="K19" s="135">
        <f t="shared" si="2"/>
        <v>1922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7926</v>
      </c>
      <c r="D24" s="44">
        <f t="shared" si="3"/>
        <v>11.665999999999997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7937.6660000000002</v>
      </c>
      <c r="I24" s="44">
        <f t="shared" si="3"/>
        <v>0</v>
      </c>
      <c r="J24" s="44">
        <f t="shared" si="3"/>
        <v>0</v>
      </c>
      <c r="K24" s="45">
        <f t="shared" si="3"/>
        <v>7937.6660000000002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0</v>
      </c>
      <c r="F30" s="44">
        <f t="shared" si="4"/>
        <v>0</v>
      </c>
      <c r="G30" s="45">
        <f t="shared" si="4"/>
        <v>0</v>
      </c>
      <c r="H30" s="46">
        <f t="shared" si="4"/>
        <v>0</v>
      </c>
      <c r="I30" s="44">
        <f t="shared" si="4"/>
        <v>0</v>
      </c>
      <c r="J30" s="44">
        <f t="shared" si="4"/>
        <v>0</v>
      </c>
      <c r="K30" s="45">
        <f t="shared" si="4"/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7926</v>
      </c>
      <c r="D33" s="44">
        <f t="shared" ref="D33:K33" si="5">+D24+D30</f>
        <v>11.665999999999997</v>
      </c>
      <c r="E33" s="44">
        <f t="shared" si="5"/>
        <v>0</v>
      </c>
      <c r="F33" s="44">
        <f t="shared" si="5"/>
        <v>0</v>
      </c>
      <c r="G33" s="45">
        <f t="shared" si="5"/>
        <v>0</v>
      </c>
      <c r="H33" s="46">
        <f t="shared" si="5"/>
        <v>7937.6660000000002</v>
      </c>
      <c r="I33" s="44">
        <f t="shared" si="5"/>
        <v>0</v>
      </c>
      <c r="J33" s="44">
        <f t="shared" si="5"/>
        <v>0</v>
      </c>
      <c r="K33" s="45">
        <f t="shared" si="5"/>
        <v>7937.6660000000002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7926</v>
      </c>
      <c r="D37" s="40">
        <f>SUM(D33:D35)</f>
        <v>11.665999999999997</v>
      </c>
      <c r="E37" s="40">
        <f>SUM(E33:E36)</f>
        <v>0</v>
      </c>
      <c r="F37" s="40">
        <f>SUM(F33:F35)</f>
        <v>0</v>
      </c>
      <c r="G37" s="41">
        <f>SUM(G33:G35)</f>
        <v>0</v>
      </c>
      <c r="H37" s="39">
        <f>SUM(C37:G37)</f>
        <v>7937.6660000000002</v>
      </c>
      <c r="I37" s="39">
        <f>SUM(I33:I35)</f>
        <v>0</v>
      </c>
      <c r="J37" s="40">
        <f>SUM(J33:J35)</f>
        <v>0</v>
      </c>
      <c r="K37" s="41">
        <f>SUM(H37:J37)</f>
        <v>7937.6660000000002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8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6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5" zoomScaleNormal="100" workbookViewId="0">
      <selection activeCell="D11" sqref="D11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November 16,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-19597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-19597</v>
      </c>
      <c r="J10" s="137"/>
      <c r="K10" s="36">
        <v>0</v>
      </c>
      <c r="L10" s="36">
        <f>+I10+K10</f>
        <v>-19597</v>
      </c>
      <c r="M10" s="257">
        <v>30000</v>
      </c>
      <c r="N10" s="135">
        <f t="shared" ref="N10:N29" si="1">L10-M10</f>
        <v>-49597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3075</v>
      </c>
      <c r="E11" s="140">
        <f>366.46153-262.70853</f>
        <v>103.75299999999999</v>
      </c>
      <c r="F11" s="140">
        <v>79.724000000000004</v>
      </c>
      <c r="G11" s="140">
        <v>0</v>
      </c>
      <c r="H11" s="138">
        <v>0</v>
      </c>
      <c r="I11" s="136">
        <f t="shared" si="0"/>
        <v>3258.4770000000003</v>
      </c>
      <c r="J11" s="137"/>
      <c r="K11" s="36">
        <v>0</v>
      </c>
      <c r="L11" s="36">
        <f t="shared" ref="L11:L29" si="2">+I11+K11</f>
        <v>3258.4770000000003</v>
      </c>
      <c r="M11" s="257">
        <f>ROUND(_xll.HPVAL($A11,$A$1,$A$2,$A$3,$A$4,$A$6)/1000,1)</f>
        <v>12747.2</v>
      </c>
      <c r="N11" s="135">
        <f t="shared" si="1"/>
        <v>-9488.723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1626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1626</v>
      </c>
      <c r="J12" s="137"/>
      <c r="K12" s="36">
        <v>0</v>
      </c>
      <c r="L12" s="36">
        <f t="shared" si="2"/>
        <v>1626</v>
      </c>
      <c r="M12" s="257">
        <f>ROUND(_xll.HPVAL($A12,$A$1,$A$2,$A$3,$A$4,$A$6)/1000,1)</f>
        <v>750</v>
      </c>
      <c r="N12" s="135">
        <f t="shared" si="1"/>
        <v>876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1339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1339</v>
      </c>
      <c r="J13" s="137"/>
      <c r="K13" s="36">
        <v>0</v>
      </c>
      <c r="L13" s="36">
        <f t="shared" si="2"/>
        <v>1339</v>
      </c>
      <c r="M13" s="257">
        <f>ROUND(_xll.HPVAL($A13,$A$1,$A$2,$A$3,$A$4,$A$6)/1000,1)</f>
        <v>3214.8</v>
      </c>
      <c r="N13" s="135">
        <f t="shared" si="1"/>
        <v>-1875.8000000000002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>
        <f>ROUND(_xll.HPVAL($A14,$A$1,$A$2,$A$3,$A$4,$A$6)/1000,0)</f>
        <v>7712</v>
      </c>
      <c r="N14" s="135">
        <f t="shared" si="1"/>
        <v>-7712</v>
      </c>
    </row>
    <row r="15" spans="1:16" ht="13.5" customHeight="1">
      <c r="A15" s="12" t="s">
        <v>51</v>
      </c>
      <c r="B15" s="242" t="s">
        <v>81</v>
      </c>
      <c r="C15" s="243"/>
      <c r="D15" s="244">
        <v>-1579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-1579</v>
      </c>
      <c r="J15" s="246"/>
      <c r="K15" s="246">
        <v>0</v>
      </c>
      <c r="L15" s="36">
        <f t="shared" si="2"/>
        <v>-1579</v>
      </c>
      <c r="M15" s="257">
        <v>0</v>
      </c>
      <c r="N15" s="247">
        <f>L15-M15</f>
        <v>-1579</v>
      </c>
    </row>
    <row r="16" spans="1:16" ht="13.5" customHeight="1">
      <c r="B16" s="242" t="s">
        <v>84</v>
      </c>
      <c r="C16" s="243"/>
      <c r="D16" s="244">
        <v>934</v>
      </c>
      <c r="E16" s="245">
        <v>0</v>
      </c>
      <c r="F16" s="245">
        <v>0</v>
      </c>
      <c r="G16" s="245">
        <v>0</v>
      </c>
      <c r="H16" s="247">
        <v>0</v>
      </c>
      <c r="I16" s="248">
        <f t="shared" si="0"/>
        <v>934</v>
      </c>
      <c r="J16" s="246"/>
      <c r="K16" s="246">
        <v>0</v>
      </c>
      <c r="L16" s="36">
        <f t="shared" si="2"/>
        <v>934</v>
      </c>
      <c r="M16" s="265">
        <v>0</v>
      </c>
      <c r="N16" s="247">
        <f>L16-M16</f>
        <v>934</v>
      </c>
    </row>
    <row r="17" spans="1:15" ht="13.5" customHeight="1">
      <c r="B17" s="242" t="s">
        <v>82</v>
      </c>
      <c r="C17" s="243"/>
      <c r="D17" s="244">
        <v>-87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-87</v>
      </c>
      <c r="J17" s="246"/>
      <c r="K17" s="246">
        <v>0</v>
      </c>
      <c r="L17" s="36">
        <f t="shared" si="2"/>
        <v>-87</v>
      </c>
      <c r="M17" s="265">
        <v>0</v>
      </c>
      <c r="N17" s="247">
        <f t="shared" si="1"/>
        <v>-87</v>
      </c>
      <c r="O17" s="166"/>
    </row>
    <row r="18" spans="1:15" ht="13.5" customHeight="1">
      <c r="B18" s="242" t="s">
        <v>83</v>
      </c>
      <c r="C18" s="243"/>
      <c r="D18" s="244">
        <v>39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39</v>
      </c>
      <c r="J18" s="246"/>
      <c r="K18" s="246">
        <v>0</v>
      </c>
      <c r="L18" s="36">
        <f t="shared" si="2"/>
        <v>39</v>
      </c>
      <c r="M18" s="265">
        <v>0</v>
      </c>
      <c r="N18" s="247">
        <f t="shared" si="1"/>
        <v>39</v>
      </c>
    </row>
    <row r="19" spans="1:15" ht="13.5" customHeight="1">
      <c r="B19" s="242" t="s">
        <v>85</v>
      </c>
      <c r="C19" s="243"/>
      <c r="D19" s="252">
        <v>-42</v>
      </c>
      <c r="E19" s="264">
        <v>0</v>
      </c>
      <c r="F19" s="264">
        <v>0</v>
      </c>
      <c r="G19" s="264">
        <v>0</v>
      </c>
      <c r="H19" s="267">
        <v>0</v>
      </c>
      <c r="I19" s="276">
        <f t="shared" si="0"/>
        <v>-42</v>
      </c>
      <c r="J19" s="266"/>
      <c r="K19" s="266">
        <v>0</v>
      </c>
      <c r="L19" s="277">
        <f t="shared" si="2"/>
        <v>-42</v>
      </c>
      <c r="M19" s="278">
        <v>0</v>
      </c>
      <c r="N19" s="267">
        <f>L19-M19</f>
        <v>-42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-735</v>
      </c>
      <c r="E20" s="140">
        <f t="shared" si="3"/>
        <v>0</v>
      </c>
      <c r="F20" s="140">
        <f t="shared" si="3"/>
        <v>0</v>
      </c>
      <c r="G20" s="140">
        <f t="shared" si="3"/>
        <v>0</v>
      </c>
      <c r="H20" s="138">
        <f t="shared" si="3"/>
        <v>0</v>
      </c>
      <c r="I20" s="136">
        <f t="shared" si="3"/>
        <v>-735</v>
      </c>
      <c r="J20" s="137"/>
      <c r="K20" s="36">
        <f>SUM(K15:K19)</f>
        <v>0</v>
      </c>
      <c r="L20" s="36">
        <f t="shared" si="2"/>
        <v>-735</v>
      </c>
      <c r="M20" s="257">
        <f>33848.881-22365.668-2500.002</f>
        <v>8983.2109999999993</v>
      </c>
      <c r="N20" s="135">
        <f>L20-M20</f>
        <v>-9718.2109999999993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9"/>
      <c r="E24" s="140"/>
      <c r="F24" s="140"/>
      <c r="G24" s="140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-14292</v>
      </c>
      <c r="E25" s="44">
        <f t="shared" ref="E25:N25" si="4">+E10+E11+E12+E13+E14+E20+E21+E22+E23</f>
        <v>103.75299999999999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-14108.522999999999</v>
      </c>
      <c r="J25" s="44">
        <f t="shared" si="4"/>
        <v>0</v>
      </c>
      <c r="K25" s="44">
        <f t="shared" si="4"/>
        <v>0</v>
      </c>
      <c r="L25" s="44">
        <f t="shared" si="4"/>
        <v>-14108.522999999999</v>
      </c>
      <c r="M25" s="45">
        <f t="shared" si="4"/>
        <v>73507.210999999996</v>
      </c>
      <c r="N25" s="45">
        <f t="shared" si="4"/>
        <v>-87615.733999999997</v>
      </c>
    </row>
    <row r="26" spans="1:15" ht="3" customHeight="1">
      <c r="B26" s="107"/>
      <c r="C26" s="34"/>
      <c r="D26" s="139"/>
      <c r="E26" s="140"/>
      <c r="F26" s="140"/>
      <c r="G26" s="140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v>0</v>
      </c>
      <c r="G28" s="140">
        <v>0</v>
      </c>
      <c r="H28" s="138">
        <v>0</v>
      </c>
      <c r="I28" s="136">
        <f>SUM(D28:H28)</f>
        <v>0</v>
      </c>
      <c r="J28" s="137"/>
      <c r="K28" s="36">
        <v>0</v>
      </c>
      <c r="L28" s="36">
        <f t="shared" si="2"/>
        <v>0</v>
      </c>
      <c r="M28" s="138">
        <v>4617</v>
      </c>
      <c r="N28" s="135">
        <f t="shared" si="1"/>
        <v>-4617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-2195+265</f>
        <v>-1930</v>
      </c>
      <c r="G29" s="140">
        <v>0</v>
      </c>
      <c r="H29" s="138">
        <v>0</v>
      </c>
      <c r="I29" s="136">
        <f>SUM(D29:H29)</f>
        <v>-1930</v>
      </c>
      <c r="J29" s="137"/>
      <c r="K29" s="36">
        <v>0</v>
      </c>
      <c r="L29" s="36">
        <f t="shared" si="2"/>
        <v>-1930</v>
      </c>
      <c r="M29" s="257">
        <v>530</v>
      </c>
      <c r="N29" s="135">
        <f t="shared" si="1"/>
        <v>-2460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-1844</v>
      </c>
      <c r="G31" s="44">
        <f t="shared" si="5"/>
        <v>0</v>
      </c>
      <c r="H31" s="45">
        <f t="shared" si="5"/>
        <v>0</v>
      </c>
      <c r="I31" s="46">
        <f t="shared" si="5"/>
        <v>-1844</v>
      </c>
      <c r="J31" s="44">
        <f t="shared" si="5"/>
        <v>0</v>
      </c>
      <c r="K31" s="44">
        <f t="shared" si="5"/>
        <v>0</v>
      </c>
      <c r="L31" s="44">
        <f t="shared" si="5"/>
        <v>-1844</v>
      </c>
      <c r="M31" s="45">
        <f t="shared" si="5"/>
        <v>6291</v>
      </c>
      <c r="N31" s="45">
        <f t="shared" si="5"/>
        <v>-8135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-14292</v>
      </c>
      <c r="E34" s="44">
        <f t="shared" ref="E34:N34" si="6">+E25+E31</f>
        <v>103.75299999999999</v>
      </c>
      <c r="F34" s="44">
        <f t="shared" si="6"/>
        <v>-1764.2760000000001</v>
      </c>
      <c r="G34" s="44">
        <f t="shared" si="6"/>
        <v>0</v>
      </c>
      <c r="H34" s="45">
        <f t="shared" si="6"/>
        <v>0</v>
      </c>
      <c r="I34" s="46">
        <f t="shared" si="6"/>
        <v>-15952.522999999999</v>
      </c>
      <c r="J34" s="44">
        <f t="shared" si="6"/>
        <v>0</v>
      </c>
      <c r="K34" s="44">
        <f t="shared" si="6"/>
        <v>0</v>
      </c>
      <c r="L34" s="44">
        <f t="shared" si="6"/>
        <v>-15952.522999999999</v>
      </c>
      <c r="M34" s="45">
        <f t="shared" si="6"/>
        <v>79798.210999999996</v>
      </c>
      <c r="N34" s="45">
        <f t="shared" si="6"/>
        <v>-95750.733999999997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-14292</v>
      </c>
      <c r="E38" s="40">
        <f>+E34+E36</f>
        <v>103.75299999999999</v>
      </c>
      <c r="F38" s="40">
        <f>+F34+F36</f>
        <v>-1764.2760000000001</v>
      </c>
      <c r="G38" s="40">
        <f>+G34+G36</f>
        <v>-520</v>
      </c>
      <c r="H38" s="41">
        <f>+H34+H36</f>
        <v>0</v>
      </c>
      <c r="I38" s="42">
        <f>SUM(I34:I36)</f>
        <v>-16472.523000000001</v>
      </c>
      <c r="J38" s="40">
        <f>SUM(J34:J36)</f>
        <v>0</v>
      </c>
      <c r="K38" s="39">
        <f>+K34+K36</f>
        <v>0</v>
      </c>
      <c r="L38" s="40">
        <f>+L34+L36</f>
        <v>-16472.523000000001</v>
      </c>
      <c r="M38" s="41">
        <f>+M34+M36</f>
        <v>79278.210999999996</v>
      </c>
      <c r="N38" s="41">
        <f>SUM(N34:N36)</f>
        <v>-95750.733999999997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E15" sqref="E15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8" t="s">
        <v>70</v>
      </c>
      <c r="C2" s="328"/>
      <c r="D2" s="328"/>
      <c r="E2" s="328"/>
      <c r="F2" s="328"/>
      <c r="G2" s="328"/>
      <c r="H2" s="328"/>
      <c r="I2" s="328"/>
      <c r="J2" s="328"/>
      <c r="K2" s="328"/>
      <c r="Q2" t="s">
        <v>59</v>
      </c>
    </row>
    <row r="3" spans="1:37" ht="13.8">
      <c r="A3" s="11">
        <v>36861</v>
      </c>
      <c r="B3" s="329" t="s">
        <v>95</v>
      </c>
      <c r="C3" s="329"/>
      <c r="D3" s="329"/>
      <c r="E3" s="329"/>
      <c r="F3" s="329"/>
      <c r="G3" s="329"/>
      <c r="H3" s="329"/>
      <c r="I3" s="329"/>
      <c r="J3" s="329"/>
      <c r="K3" s="329"/>
    </row>
    <row r="4" spans="1:37">
      <c r="A4" s="10" t="s">
        <v>22</v>
      </c>
      <c r="B4" s="330" t="str">
        <f>+GrossMargin!B4</f>
        <v>Results based on activity through November 16, 2000</v>
      </c>
      <c r="C4" s="330"/>
      <c r="D4" s="330"/>
      <c r="E4" s="330"/>
      <c r="F4" s="330"/>
      <c r="G4" s="330"/>
      <c r="H4" s="330"/>
      <c r="I4" s="330"/>
      <c r="J4" s="330"/>
      <c r="K4" s="330"/>
    </row>
    <row r="5" spans="1:37" ht="3" customHeight="1"/>
    <row r="6" spans="1:37" s="50" customFormat="1" ht="12">
      <c r="A6" s="10" t="s">
        <v>47</v>
      </c>
      <c r="B6" s="124"/>
      <c r="D6" s="322" t="s">
        <v>26</v>
      </c>
      <c r="E6" s="323"/>
      <c r="F6" s="324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5" t="s">
        <v>39</v>
      </c>
      <c r="I7" s="326"/>
      <c r="J7" s="326"/>
      <c r="K7" s="32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 t="s">
        <v>149</v>
      </c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>
        <f>SUM(D9:D17)</f>
        <v>15308.577000000001</v>
      </c>
      <c r="E18" s="57">
        <f>SUM(E9:E17)</f>
        <v>12838.577000000001</v>
      </c>
      <c r="F18" s="183">
        <f>SUM(F9:F17)</f>
        <v>-2470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150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2044</v>
      </c>
      <c r="E21" s="173">
        <v>1536</v>
      </c>
      <c r="F21" s="177">
        <f>E21-D21</f>
        <v>-508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5973</v>
      </c>
      <c r="E24" s="57">
        <f>SUM(E20:E23)</f>
        <v>4522</v>
      </c>
      <c r="F24" s="183">
        <f>SUM(F20:F23)</f>
        <v>-1451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21281.577000000001</v>
      </c>
      <c r="E27" s="57">
        <f>+E18+E24</f>
        <v>17360.577000000001</v>
      </c>
      <c r="F27" s="183">
        <f>+F18+F24</f>
        <v>-3921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26030+'CapChrg-AllocExp'!M29+1188</f>
        <v>27818</v>
      </c>
      <c r="E29" s="142">
        <f>26030+1188</f>
        <v>27218</v>
      </c>
      <c r="F29" s="143">
        <f>E29-D29</f>
        <v>-600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49099.577000000005</v>
      </c>
      <c r="E32" s="48">
        <f>SUM(E27:E30)</f>
        <v>44578.577000000005</v>
      </c>
      <c r="F32" s="49">
        <f>SUM(F27:F30)</f>
        <v>-4521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31" t="s">
        <v>49</v>
      </c>
      <c r="E35" s="332"/>
      <c r="F35" s="333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9" t="s">
        <v>39</v>
      </c>
      <c r="I36" s="320"/>
      <c r="J36" s="320"/>
      <c r="K36" s="321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E15" sqref="E15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8" t="s">
        <v>70</v>
      </c>
      <c r="B2" s="328"/>
      <c r="C2" s="328"/>
      <c r="D2" s="328"/>
      <c r="E2" s="328"/>
      <c r="F2" s="328"/>
      <c r="G2" s="328"/>
      <c r="H2" s="328"/>
      <c r="I2" s="328"/>
      <c r="J2" s="328"/>
    </row>
    <row r="3" spans="1:33" ht="13.8">
      <c r="A3" s="329" t="s">
        <v>96</v>
      </c>
      <c r="B3" s="329"/>
      <c r="C3" s="329"/>
      <c r="D3" s="329"/>
      <c r="E3" s="329"/>
      <c r="F3" s="329"/>
      <c r="G3" s="329"/>
      <c r="H3" s="329"/>
      <c r="I3" s="329"/>
      <c r="J3" s="329"/>
    </row>
    <row r="4" spans="1:33">
      <c r="A4" s="330" t="str">
        <f>+Expenses!B4</f>
        <v>Results based on activity through November 16, 2000</v>
      </c>
      <c r="B4" s="330"/>
      <c r="C4" s="330"/>
      <c r="D4" s="330"/>
      <c r="E4" s="330"/>
      <c r="F4" s="330"/>
      <c r="G4" s="330"/>
      <c r="H4" s="330"/>
      <c r="I4" s="330"/>
      <c r="J4" s="330"/>
    </row>
    <row r="5" spans="1:33" ht="3" customHeight="1"/>
    <row r="6" spans="1:33" s="31" customFormat="1">
      <c r="A6" s="124"/>
      <c r="B6" s="50"/>
      <c r="C6" s="322" t="s">
        <v>26</v>
      </c>
      <c r="D6" s="323"/>
      <c r="E6" s="324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5" t="s">
        <v>39</v>
      </c>
      <c r="H7" s="326"/>
      <c r="I7" s="326"/>
      <c r="J7" s="32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0</v>
      </c>
      <c r="D27" s="48">
        <f>+D18+D24</f>
        <v>0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0</v>
      </c>
      <c r="D32" s="48">
        <f>SUM(D27:D30)</f>
        <v>0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2" t="s">
        <v>49</v>
      </c>
      <c r="D35" s="323"/>
      <c r="E35" s="324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5" t="s">
        <v>39</v>
      </c>
      <c r="H36" s="326"/>
      <c r="I36" s="326"/>
      <c r="J36" s="327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E15" sqref="E15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8" t="s">
        <v>70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t="s">
        <v>59</v>
      </c>
    </row>
    <row r="3" spans="1:20" ht="13.8">
      <c r="A3" s="10" t="s">
        <v>31</v>
      </c>
      <c r="B3" s="329" t="s">
        <v>97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</row>
    <row r="4" spans="1:20">
      <c r="A4" s="11">
        <v>36861</v>
      </c>
      <c r="B4" s="330" t="str">
        <f>'Mgmt Summary'!A3</f>
        <v>Results based on activity through November 16, 2000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5" t="s">
        <v>32</v>
      </c>
      <c r="E7" s="326"/>
      <c r="F7" s="326"/>
      <c r="G7" s="326"/>
      <c r="H7" s="326"/>
      <c r="I7" s="327"/>
      <c r="J7" s="50"/>
      <c r="K7" s="325" t="s">
        <v>55</v>
      </c>
      <c r="L7" s="326"/>
      <c r="M7" s="326"/>
      <c r="N7" s="326"/>
      <c r="O7" s="326"/>
      <c r="P7" s="327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4" t="s">
        <v>33</v>
      </c>
      <c r="H8" s="335"/>
      <c r="I8" s="336"/>
      <c r="J8" s="50"/>
      <c r="K8" s="86" t="s">
        <v>6</v>
      </c>
      <c r="L8" s="87" t="s">
        <v>8</v>
      </c>
      <c r="M8" s="74" t="s">
        <v>12</v>
      </c>
      <c r="N8" s="322" t="s">
        <v>33</v>
      </c>
      <c r="O8" s="323"/>
      <c r="P8" s="324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13436.473000000002</v>
      </c>
      <c r="L17" s="57">
        <f>SUM(L10:L16)</f>
        <v>12836.473000000002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>
        <f>SUM(K17:K20)</f>
        <v>13436.473000000002</v>
      </c>
      <c r="L22" s="57">
        <f>SUM(L17:L20)</f>
        <v>12836.473000000002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627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1213</v>
      </c>
      <c r="E26" s="57">
        <f>+E17+E22</f>
        <v>2029</v>
      </c>
      <c r="F26" s="57">
        <f>+F17+F22</f>
        <v>816</v>
      </c>
      <c r="G26" s="54"/>
      <c r="H26" s="54"/>
      <c r="I26" s="55"/>
      <c r="J26" s="50"/>
      <c r="K26" s="56">
        <f>+K22+K24</f>
        <v>13436.473000000002</v>
      </c>
      <c r="L26" s="57">
        <f>+L22+L24</f>
        <v>12836.473000000002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-1213</v>
      </c>
      <c r="E28" s="142">
        <f>-(E26)</f>
        <v>-2029</v>
      </c>
      <c r="F28" s="158">
        <f>E28-D28</f>
        <v>-816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-13436.473000000002</v>
      </c>
      <c r="L29" s="142">
        <f>-L26</f>
        <v>-12836.473000000002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2000-11-17T15:25:25Z</cp:lastPrinted>
  <dcterms:created xsi:type="dcterms:W3CDTF">1999-10-18T12:36:30Z</dcterms:created>
  <dcterms:modified xsi:type="dcterms:W3CDTF">2023-09-10T15:24:05Z</dcterms:modified>
</cp:coreProperties>
</file>