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7">'CapChrg-AllocExp'!$B$2:$P$32</definedName>
    <definedName name="_xlnm.Print_Area" localSheetId="6">'Expense Weekly Change'!$A$2:$J$40</definedName>
    <definedName name="_xlnm.Print_Area" localSheetId="5">Expenses!$B$2:$K$39</definedName>
    <definedName name="_xlnm.Print_Area" localSheetId="3">'GM-WeeklyChnge'!$A$1:$K$38</definedName>
    <definedName name="_xlnm.Print_Area" localSheetId="4">GrossMargin!$B$2:$N$40</definedName>
    <definedName name="_xlnm.Print_Area" localSheetId="8">Headcount!$B$1:$N$19</definedName>
    <definedName name="_xlnm.Print_Area" localSheetId="2">'Mgmt Summary'!$A$1:$V$43</definedName>
    <definedName name="_xlnm.Print_Area" localSheetId="1">'QTD Mgmt Summary'!$A$1:$M$40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E18" i="4"/>
  <c r="F18" i="4"/>
  <c r="M18" i="4"/>
  <c r="F19" i="4"/>
  <c r="M19" i="4"/>
  <c r="F20" i="4"/>
  <c r="M20" i="4"/>
  <c r="D22" i="4"/>
  <c r="E22" i="4"/>
  <c r="F22" i="4"/>
  <c r="K22" i="4"/>
  <c r="L22" i="4"/>
  <c r="M22" i="4"/>
  <c r="F23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F15" i="3"/>
  <c r="F16" i="3"/>
  <c r="D18" i="3"/>
  <c r="E18" i="3"/>
  <c r="F18" i="3"/>
  <c r="D20" i="3"/>
  <c r="F20" i="3"/>
  <c r="D21" i="3"/>
  <c r="F21" i="3"/>
  <c r="E22" i="3"/>
  <c r="F22" i="3"/>
  <c r="D24" i="3"/>
  <c r="E24" i="3"/>
  <c r="F24" i="3"/>
  <c r="D27" i="3"/>
  <c r="E27" i="3"/>
  <c r="F27" i="3"/>
  <c r="D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4" i="9"/>
  <c r="D24" i="9"/>
  <c r="E24" i="9"/>
  <c r="F24" i="9"/>
  <c r="G24" i="9"/>
  <c r="H24" i="9"/>
  <c r="I24" i="9"/>
  <c r="J24" i="9"/>
  <c r="K24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3" i="9"/>
  <c r="D33" i="9"/>
  <c r="E33" i="9"/>
  <c r="F33" i="9"/>
  <c r="G33" i="9"/>
  <c r="H33" i="9"/>
  <c r="I33" i="9"/>
  <c r="J33" i="9"/>
  <c r="K33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B4" i="2"/>
  <c r="I10" i="2"/>
  <c r="L10" i="2"/>
  <c r="N10" i="2"/>
  <c r="E11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1" i="2"/>
  <c r="L21" i="2"/>
  <c r="N21" i="2"/>
  <c r="I22" i="2"/>
  <c r="L22" i="2"/>
  <c r="N22" i="2"/>
  <c r="I23" i="2"/>
  <c r="L23" i="2"/>
  <c r="N23" i="2"/>
  <c r="D25" i="2"/>
  <c r="E25" i="2"/>
  <c r="F25" i="2"/>
  <c r="G25" i="2"/>
  <c r="H25" i="2"/>
  <c r="I25" i="2"/>
  <c r="J25" i="2"/>
  <c r="K25" i="2"/>
  <c r="L25" i="2"/>
  <c r="M25" i="2"/>
  <c r="N25" i="2"/>
  <c r="F27" i="2"/>
  <c r="I27" i="2"/>
  <c r="L27" i="2"/>
  <c r="M27" i="2"/>
  <c r="N27" i="2"/>
  <c r="F28" i="2"/>
  <c r="I28" i="2"/>
  <c r="L28" i="2"/>
  <c r="N28" i="2"/>
  <c r="F29" i="2"/>
  <c r="I29" i="2"/>
  <c r="L29" i="2"/>
  <c r="M29" i="2"/>
  <c r="N29" i="2"/>
  <c r="D31" i="2"/>
  <c r="E31" i="2"/>
  <c r="F31" i="2"/>
  <c r="G31" i="2"/>
  <c r="H31" i="2"/>
  <c r="I31" i="2"/>
  <c r="J31" i="2"/>
  <c r="K31" i="2"/>
  <c r="L31" i="2"/>
  <c r="M31" i="2"/>
  <c r="N31" i="2"/>
  <c r="D34" i="2"/>
  <c r="E34" i="2"/>
  <c r="F34" i="2"/>
  <c r="G34" i="2"/>
  <c r="H34" i="2"/>
  <c r="I34" i="2"/>
  <c r="J34" i="2"/>
  <c r="K34" i="2"/>
  <c r="L34" i="2"/>
  <c r="M34" i="2"/>
  <c r="N34" i="2"/>
  <c r="I36" i="2"/>
  <c r="L36" i="2"/>
  <c r="M36" i="2"/>
  <c r="N36" i="2"/>
  <c r="D38" i="2"/>
  <c r="E38" i="2"/>
  <c r="F38" i="2"/>
  <c r="G38" i="2"/>
  <c r="H38" i="2"/>
  <c r="I38" i="2"/>
  <c r="J38" i="2"/>
  <c r="K38" i="2"/>
  <c r="L38" i="2"/>
  <c r="M38" i="2"/>
  <c r="N38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M3" i="37"/>
  <c r="C8" i="37"/>
  <c r="D8" i="37"/>
  <c r="E8" i="37"/>
  <c r="G8" i="37"/>
  <c r="H8" i="37"/>
  <c r="I8" i="37"/>
  <c r="K8" i="37"/>
  <c r="L8" i="37"/>
  <c r="M8" i="37"/>
  <c r="C9" i="37"/>
  <c r="D9" i="37"/>
  <c r="E9" i="37"/>
  <c r="G9" i="37"/>
  <c r="H9" i="37"/>
  <c r="I9" i="37"/>
  <c r="K9" i="37"/>
  <c r="L9" i="37"/>
  <c r="M9" i="37"/>
  <c r="C10" i="37"/>
  <c r="D10" i="37"/>
  <c r="E10" i="37"/>
  <c r="G10" i="37"/>
  <c r="H10" i="37"/>
  <c r="I10" i="37"/>
  <c r="K10" i="37"/>
  <c r="L10" i="37"/>
  <c r="M10" i="37"/>
  <c r="C11" i="37"/>
  <c r="D11" i="37"/>
  <c r="E11" i="37"/>
  <c r="G11" i="37"/>
  <c r="H11" i="37"/>
  <c r="I11" i="37"/>
  <c r="K11" i="37"/>
  <c r="L11" i="37"/>
  <c r="M11" i="37"/>
  <c r="C12" i="37"/>
  <c r="D12" i="37"/>
  <c r="E12" i="37"/>
  <c r="G12" i="37"/>
  <c r="H12" i="37"/>
  <c r="I12" i="37"/>
  <c r="K12" i="37"/>
  <c r="L12" i="37"/>
  <c r="M12" i="37"/>
  <c r="C13" i="37"/>
  <c r="D13" i="37"/>
  <c r="E13" i="37"/>
  <c r="G13" i="37"/>
  <c r="H13" i="37"/>
  <c r="I13" i="37"/>
  <c r="K13" i="37"/>
  <c r="L13" i="37"/>
  <c r="M13" i="37"/>
  <c r="C14" i="37"/>
  <c r="D14" i="37"/>
  <c r="E14" i="37"/>
  <c r="G14" i="37"/>
  <c r="H14" i="37"/>
  <c r="I14" i="37"/>
  <c r="K14" i="37"/>
  <c r="L14" i="37"/>
  <c r="M14" i="37"/>
  <c r="C15" i="37"/>
  <c r="D15" i="37"/>
  <c r="E15" i="37"/>
  <c r="I15" i="37"/>
  <c r="K15" i="37"/>
  <c r="L15" i="37"/>
  <c r="M15" i="37"/>
  <c r="C16" i="37"/>
  <c r="D16" i="37"/>
  <c r="E16" i="37"/>
  <c r="G16" i="37"/>
  <c r="H16" i="37"/>
  <c r="I16" i="37"/>
  <c r="K16" i="37"/>
  <c r="L16" i="37"/>
  <c r="M16" i="37"/>
  <c r="C18" i="37"/>
  <c r="D18" i="37"/>
  <c r="E18" i="37"/>
  <c r="F18" i="37"/>
  <c r="G18" i="37"/>
  <c r="H18" i="37"/>
  <c r="I18" i="37"/>
  <c r="J18" i="37"/>
  <c r="K18" i="37"/>
  <c r="L18" i="37"/>
  <c r="M18" i="37"/>
  <c r="C20" i="37"/>
  <c r="D20" i="37"/>
  <c r="E20" i="37"/>
  <c r="G20" i="37"/>
  <c r="H20" i="37"/>
  <c r="I20" i="37"/>
  <c r="K20" i="37"/>
  <c r="L20" i="37"/>
  <c r="M20" i="37"/>
  <c r="C21" i="37"/>
  <c r="D21" i="37"/>
  <c r="E21" i="37"/>
  <c r="G21" i="37"/>
  <c r="H21" i="37"/>
  <c r="I21" i="37"/>
  <c r="K21" i="37"/>
  <c r="L21" i="37"/>
  <c r="M21" i="37"/>
  <c r="C22" i="37"/>
  <c r="D22" i="37"/>
  <c r="E22" i="37"/>
  <c r="G22" i="37"/>
  <c r="H22" i="37"/>
  <c r="I22" i="37"/>
  <c r="K22" i="37"/>
  <c r="L22" i="37"/>
  <c r="M22" i="37"/>
  <c r="C24" i="37"/>
  <c r="D24" i="37"/>
  <c r="E24" i="37"/>
  <c r="G24" i="37"/>
  <c r="H24" i="37"/>
  <c r="I24" i="37"/>
  <c r="K24" i="37"/>
  <c r="L24" i="37"/>
  <c r="M24" i="37"/>
  <c r="C27" i="37"/>
  <c r="D27" i="37"/>
  <c r="E27" i="37"/>
  <c r="F27" i="37"/>
  <c r="G27" i="37"/>
  <c r="H27" i="37"/>
  <c r="I27" i="37"/>
  <c r="J27" i="37"/>
  <c r="K27" i="37"/>
  <c r="L27" i="37"/>
  <c r="M27" i="37"/>
  <c r="E29" i="37"/>
  <c r="G29" i="37"/>
  <c r="H29" i="37"/>
  <c r="I29" i="37"/>
  <c r="K29" i="37"/>
  <c r="L29" i="37"/>
  <c r="M29" i="37"/>
  <c r="E30" i="37"/>
  <c r="G30" i="37"/>
  <c r="H30" i="37"/>
  <c r="I30" i="37"/>
  <c r="K30" i="37"/>
  <c r="L30" i="37"/>
  <c r="M30" i="37"/>
  <c r="C31" i="37"/>
  <c r="D31" i="37"/>
  <c r="E31" i="37"/>
  <c r="G31" i="37"/>
  <c r="H31" i="37"/>
  <c r="I31" i="37"/>
  <c r="K31" i="37"/>
  <c r="L31" i="37"/>
  <c r="M31" i="37"/>
  <c r="C32" i="37"/>
  <c r="D32" i="37"/>
  <c r="E32" i="37"/>
  <c r="G32" i="37"/>
  <c r="H32" i="37"/>
  <c r="I32" i="37"/>
  <c r="K32" i="37"/>
  <c r="L32" i="37"/>
  <c r="M32" i="37"/>
  <c r="C34" i="37"/>
  <c r="D34" i="37"/>
  <c r="E34" i="37"/>
  <c r="G34" i="37"/>
  <c r="H34" i="37"/>
  <c r="I34" i="37"/>
  <c r="K34" i="37"/>
  <c r="L34" i="37"/>
  <c r="M34" i="37"/>
  <c r="C36" i="37"/>
  <c r="D36" i="37"/>
  <c r="E36" i="37"/>
  <c r="G36" i="37"/>
  <c r="H36" i="37"/>
  <c r="I36" i="37"/>
  <c r="K36" i="37"/>
  <c r="L36" i="37"/>
  <c r="M36" i="37"/>
  <c r="C38" i="37"/>
  <c r="D38" i="37"/>
  <c r="E38" i="37"/>
  <c r="G38" i="37"/>
  <c r="H38" i="37"/>
  <c r="I38" i="37"/>
  <c r="K38" i="37"/>
  <c r="L38" i="37"/>
  <c r="M3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  <author>Trey Hardy</author>
  </authors>
  <commentList>
    <comment ref="D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= ($127K)
Interest Expense in San Juan Gas = $147
Preferred Stock Dividend - Little Eco = ($503)
Preferred Stock Dividend - Big Eco = ($1,876)
Interest Income - Big Eco = $645
Interest Income - Little Eco = $1,544
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Income= ($127K)
Interest expense in San Juan Gas = $240K
</t>
        </r>
      </text>
    </comment>
    <comment ref="G41" authorId="1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Adjust for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$4617 plan reported less $652 capital charge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($813)     Total Margin
 $240       Interest Exp in San Juan Gas
$503        Preferred Stock Dividend - Little Eco
$1,876    Preferred Stock Dividend - Big Eco 
($645)     Interest Income - Big Eco
($1,544)  Interest Income - Little Eco</t>
        </r>
      </text>
    </comment>
    <comment ref="M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$85      Plan Margin
 $147   Plan Interest Exp in San Juan Gas   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<sst xmlns="http://schemas.openxmlformats.org/spreadsheetml/2006/main" count="409" uniqueCount="120">
  <si>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</si>
  <si>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</si>
  <si>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</si>
  <si>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</si>
  <si>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</si>
  <si>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</si>
  <si>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</si>
  <si>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</si>
  <si>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</si>
  <si>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</si>
  <si>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</si>
  <si>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</si>
  <si>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</si>
  <si>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</si>
  <si>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</si>
  <si>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</si>
  <si>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</si>
  <si>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</si>
  <si>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</si>
  <si>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</si>
  <si>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</si>
  <si>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</si>
  <si>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</si>
  <si>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</si>
  <si>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</si>
  <si>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</si>
  <si>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</si>
  <si>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</si>
  <si>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</si>
  <si>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</si>
  <si>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</si>
  <si>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</si>
  <si>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</si>
  <si>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</si>
  <si>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</si>
  <si>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</si>
  <si>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</si>
  <si>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</si>
  <si>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</si>
  <si>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</si>
  <si>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</si>
  <si>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</si>
  <si>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</si>
  <si>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</si>
  <si>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</si>
  <si>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</si>
  <si>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</si>
  <si>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</si>
  <si>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</si>
  <si>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</si>
  <si>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</si>
  <si>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</si>
  <si>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</si>
  <si>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</si>
  <si>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</si>
  <si>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</si>
  <si>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</si>
  <si>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</si>
  <si>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</si>
  <si>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</si>
  <si>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</si>
  <si>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</si>
  <si>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</si>
  <si>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</si>
  <si>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</si>
  <si>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</si>
  <si>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</si>
  <si>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</si>
  <si>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</si>
  <si>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</si>
  <si>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</si>
  <si>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</si>
  <si>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</si>
  <si>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</si>
  <si>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</si>
  <si>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</si>
  <si>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</si>
  <si>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</si>
  <si>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</si>
  <si>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</si>
  <si>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</si>
  <si>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</si>
  <si>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</si>
  <si>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</si>
  <si>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</si>
  <si>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</si>
  <si>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</si>
  <si>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</si>
  <si>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</si>
  <si>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</si>
  <si>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</si>
  <si>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</si>
  <si>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</si>
  <si>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</si>
  <si>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</si>
  <si>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</si>
  <si>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</si>
  <si>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</si>
  <si>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</si>
  <si>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</si>
  <si>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</si>
  <si>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</si>
  <si>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</si>
  <si>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</si>
  <si>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</si>
  <si>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</si>
  <si>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</si>
  <si>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</si>
  <si>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</si>
  <si>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</si>
  <si>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</si>
  <si>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</si>
  <si>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</si>
  <si>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</si>
  <si>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Group Support Cost</t>
  </si>
  <si>
    <t>Subtotal LNG / ME / PR</t>
  </si>
  <si>
    <t>Subtotal LNG / ME / PR Change</t>
  </si>
  <si>
    <t>Subtotal</t>
  </si>
  <si>
    <t>Results based on activity through October 26, 2000</t>
  </si>
  <si>
    <t>San Juan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</si>
</sst>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1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143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9">
          <cell r="C9">
            <v>30000</v>
          </cell>
          <cell r="D9">
            <v>14092</v>
          </cell>
          <cell r="E9">
            <v>15908</v>
          </cell>
          <cell r="J9">
            <v>-5122</v>
          </cell>
          <cell r="O9">
            <v>-19814</v>
          </cell>
        </row>
        <row r="10">
          <cell r="C10">
            <v>12747.2</v>
          </cell>
          <cell r="D10">
            <v>5246.9</v>
          </cell>
          <cell r="E10">
            <v>7500.3000000000011</v>
          </cell>
          <cell r="J10">
            <v>2521.2348000000002</v>
          </cell>
          <cell r="O10">
            <v>-2156.6651999999995</v>
          </cell>
        </row>
        <row r="11">
          <cell r="C11">
            <v>750</v>
          </cell>
          <cell r="D11">
            <v>378.6</v>
          </cell>
          <cell r="E11">
            <v>371.4</v>
          </cell>
          <cell r="J11">
            <v>502</v>
          </cell>
          <cell r="O11">
            <v>-996.59999999999991</v>
          </cell>
        </row>
        <row r="12">
          <cell r="C12">
            <v>3214.8</v>
          </cell>
          <cell r="D12">
            <v>1714.8000000000002</v>
          </cell>
          <cell r="E12">
            <v>1500</v>
          </cell>
          <cell r="J12">
            <v>684.53</v>
          </cell>
          <cell r="O12">
            <v>-1030.27</v>
          </cell>
        </row>
        <row r="13">
          <cell r="C13">
            <v>7712</v>
          </cell>
          <cell r="D13">
            <v>1679.5</v>
          </cell>
          <cell r="E13">
            <v>6032.5</v>
          </cell>
          <cell r="J13">
            <v>0</v>
          </cell>
          <cell r="O13">
            <v>-1679.5</v>
          </cell>
        </row>
        <row r="14">
          <cell r="C14">
            <v>8983.2109999999993</v>
          </cell>
          <cell r="D14">
            <v>3410.25</v>
          </cell>
          <cell r="E14">
            <v>5572.9609999999993</v>
          </cell>
          <cell r="J14">
            <v>-1731</v>
          </cell>
          <cell r="O14">
            <v>-5141.25</v>
          </cell>
        </row>
        <row r="15">
          <cell r="C15">
            <v>0</v>
          </cell>
          <cell r="D15">
            <v>0</v>
          </cell>
          <cell r="E15">
            <v>0</v>
          </cell>
          <cell r="J15">
            <v>0</v>
          </cell>
          <cell r="O15">
            <v>-980</v>
          </cell>
        </row>
        <row r="16">
          <cell r="C16">
            <v>10100</v>
          </cell>
          <cell r="D16">
            <v>0</v>
          </cell>
          <cell r="E16">
            <v>10100</v>
          </cell>
          <cell r="J16">
            <v>0</v>
          </cell>
          <cell r="O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J17">
            <v>0</v>
          </cell>
          <cell r="O17">
            <v>-350</v>
          </cell>
        </row>
        <row r="21">
          <cell r="C21">
            <v>1144</v>
          </cell>
          <cell r="D21">
            <v>1370</v>
          </cell>
          <cell r="E21">
            <v>-226</v>
          </cell>
          <cell r="J21">
            <v>86</v>
          </cell>
          <cell r="O21">
            <v>-1103</v>
          </cell>
        </row>
        <row r="22">
          <cell r="C22">
            <v>3965</v>
          </cell>
          <cell r="D22">
            <v>2188</v>
          </cell>
          <cell r="E22">
            <v>1777</v>
          </cell>
          <cell r="J22">
            <v>135</v>
          </cell>
          <cell r="O22">
            <v>-2055</v>
          </cell>
        </row>
        <row r="23">
          <cell r="C23">
            <v>-143</v>
          </cell>
          <cell r="D23">
            <v>1601</v>
          </cell>
          <cell r="E23">
            <v>-1744</v>
          </cell>
          <cell r="J23">
            <v>-1079</v>
          </cell>
          <cell r="O23">
            <v>-1694</v>
          </cell>
        </row>
        <row r="30">
          <cell r="C30">
            <v>0</v>
          </cell>
          <cell r="D30">
            <v>26030</v>
          </cell>
          <cell r="E30">
            <v>-26030</v>
          </cell>
          <cell r="J30">
            <v>0</v>
          </cell>
          <cell r="O30">
            <v>-26630</v>
          </cell>
        </row>
        <row r="31">
          <cell r="C31">
            <v>0</v>
          </cell>
          <cell r="D31">
            <v>-12836.473000000002</v>
          </cell>
          <cell r="E31">
            <v>12836.473000000002</v>
          </cell>
          <cell r="J31">
            <v>0</v>
          </cell>
          <cell r="O31">
            <v>13436.473000000002</v>
          </cell>
        </row>
        <row r="32">
          <cell r="C32">
            <v>-520</v>
          </cell>
          <cell r="D32">
            <v>0</v>
          </cell>
          <cell r="E32">
            <v>-520</v>
          </cell>
          <cell r="J32">
            <v>-520</v>
          </cell>
          <cell r="O32">
            <v>-520</v>
          </cell>
        </row>
        <row r="33">
          <cell r="C33">
            <v>0</v>
          </cell>
          <cell r="D33">
            <v>-1484</v>
          </cell>
          <cell r="E33">
            <v>1484</v>
          </cell>
          <cell r="J33">
            <v>0</v>
          </cell>
          <cell r="O33">
            <v>1122</v>
          </cell>
        </row>
        <row r="37">
          <cell r="C37">
            <v>0</v>
          </cell>
          <cell r="D37">
            <v>175</v>
          </cell>
          <cell r="E37">
            <v>-175</v>
          </cell>
          <cell r="J37">
            <v>0</v>
          </cell>
          <cell r="O37">
            <v>-71</v>
          </cell>
        </row>
      </sheetData>
      <sheetData sheetId="3"/>
      <sheetData sheetId="4">
        <row r="10">
          <cell r="D10">
            <v>-5122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2371</v>
          </cell>
          <cell r="E11">
            <v>70.510800000000003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502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684.53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-1690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-58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28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-17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86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135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-1079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980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1377</v>
          </cell>
          <cell r="E20">
            <v>1385</v>
          </cell>
        </row>
        <row r="21">
          <cell r="D21">
            <v>1538</v>
          </cell>
          <cell r="E21">
            <v>1536</v>
          </cell>
        </row>
        <row r="22">
          <cell r="D22">
            <v>615</v>
          </cell>
          <cell r="E22">
            <v>1601</v>
          </cell>
        </row>
        <row r="29">
          <cell r="D29">
            <v>26630</v>
          </cell>
          <cell r="E29">
            <v>26030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82" t="s">
        <v>70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60"/>
    </row>
    <row r="2" spans="1:24" ht="13.8">
      <c r="A2" s="283" t="s">
        <v>86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61"/>
    </row>
    <row r="3" spans="1:24" ht="13.8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62"/>
    </row>
    <row r="4" spans="1:24" ht="3" customHeight="1"/>
    <row r="5" spans="1:24" s="34" customFormat="1" ht="15" customHeight="1">
      <c r="A5" s="106"/>
      <c r="C5" s="279" t="s">
        <v>8</v>
      </c>
      <c r="D5" s="280"/>
      <c r="E5" s="281"/>
      <c r="G5" s="279" t="s">
        <v>41</v>
      </c>
      <c r="H5" s="280"/>
      <c r="I5" s="280"/>
      <c r="J5" s="280"/>
      <c r="K5" s="280"/>
      <c r="L5" s="280"/>
      <c r="M5" s="280"/>
      <c r="N5" s="280"/>
      <c r="O5" s="281"/>
      <c r="Q5" s="279" t="s">
        <v>36</v>
      </c>
      <c r="R5" s="280"/>
      <c r="S5" s="280"/>
      <c r="T5" s="280"/>
      <c r="U5" s="280"/>
      <c r="V5" s="28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27495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27495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-13706.743357188407</v>
      </c>
      <c r="P9" s="37"/>
      <c r="Q9" s="133">
        <f t="shared" ref="Q9:Q16" si="3">+J9-C9</f>
        <v>-52505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-53105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38241.600000000006</v>
      </c>
      <c r="D10" s="36">
        <f>+'[1]Mgmt Summary'!D10+'[2]Mgmt Summary'!D10+'Mgmt Summary'!D10</f>
        <v>14767.6</v>
      </c>
      <c r="E10" s="135">
        <f t="shared" si="0"/>
        <v>23474.000000000007</v>
      </c>
      <c r="F10" s="36"/>
      <c r="G10" s="133">
        <f>+'[1]Mgmt Summary'!G10+'[2]Mgmt Summary'!G10+'Mgmt Summary'!G10</f>
        <v>10285.480579999999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10285.480579999999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-6102.2194200000013</v>
      </c>
      <c r="P10" s="37"/>
      <c r="Q10" s="133">
        <f t="shared" si="3"/>
        <v>-27956.119420000006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-27387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-2580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-2580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1386.1</v>
      </c>
      <c r="N11" s="36">
        <f>+'[1]Mgmt Summary'!N11+'[2]Mgmt Summary'!N11+'Mgmt Summary'!N11</f>
        <v>691.1</v>
      </c>
      <c r="O11" s="136">
        <f t="shared" si="2"/>
        <v>-4657.2</v>
      </c>
      <c r="P11" s="37"/>
      <c r="Q11" s="133">
        <f t="shared" si="3"/>
        <v>-4830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-5950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9644.4000000000015</v>
      </c>
      <c r="D12" s="36">
        <f>+'[1]Mgmt Summary'!D12+'[2]Mgmt Summary'!D12+'Mgmt Summary'!D12</f>
        <v>5097.3999999999996</v>
      </c>
      <c r="E12" s="135">
        <f t="shared" si="0"/>
        <v>4547.0000000000018</v>
      </c>
      <c r="F12" s="36"/>
      <c r="G12" s="133">
        <f>+'[1]Mgmt Summary'!G12+'[2]Mgmt Summary'!G12+'Mgmt Summary'!G12</f>
        <v>9623.3709999999992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9623.3709999999992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3901.8709999999992</v>
      </c>
      <c r="P12" s="37"/>
      <c r="Q12" s="133">
        <f t="shared" si="3"/>
        <v>-21.02900000000227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-21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23136.6</v>
      </c>
      <c r="D13" s="36">
        <f>+'[1]Mgmt Summary'!D13+'[2]Mgmt Summary'!D13+'Mgmt Summary'!D13</f>
        <v>4230.8999999999996</v>
      </c>
      <c r="E13" s="135">
        <f t="shared" si="0"/>
        <v>18905.699999999997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4039.8</v>
      </c>
      <c r="N13" s="36">
        <f>+'[1]Mgmt Summary'!N13+'[2]Mgmt Summary'!N13+'Mgmt Summary'!N13</f>
        <v>936.6</v>
      </c>
      <c r="O13" s="136">
        <f t="shared" si="2"/>
        <v>-3756.4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-21917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>
        <f>+'[1]Mgmt Summary'!D14+'[2]Mgmt Summary'!D14+'Mgmt Summary'!D14</f>
        <v>10202.450000000001</v>
      </c>
      <c r="E14" s="164">
        <f t="shared" si="0"/>
        <v>16674.560999999998</v>
      </c>
      <c r="F14" s="140"/>
      <c r="G14" s="139">
        <f>+'[1]Mgmt Summary'!G14+'[2]Mgmt Summary'!G14+'Mgmt Summary'!G14</f>
        <v>44350.61419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44350.61419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>
        <f t="shared" si="2"/>
        <v>34621.564190000005</v>
      </c>
      <c r="P14" s="181"/>
      <c r="Q14" s="139">
        <f t="shared" si="3"/>
        <v>17473.603190000002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17474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350</v>
      </c>
      <c r="N16" s="36">
        <f>+'[1]Mgmt Summary'!N17+'[2]Mgmt Summary'!N17+'Mgmt Summary'!N17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-350</v>
      </c>
      <c r="U16" s="36">
        <f>'CapChrg-AllocExp'!M24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190249.611</v>
      </c>
      <c r="D18" s="44">
        <f>SUM(D9:D17)</f>
        <v>77536.349999999991</v>
      </c>
      <c r="E18" s="45">
        <f>+C18-D18</f>
        <v>112713.26100000001</v>
      </c>
      <c r="F18" s="36"/>
      <c r="G18" s="43">
        <f>SUM(G9:G17)</f>
        <v>90394.46577000001</v>
      </c>
      <c r="H18" s="44">
        <f>SUM(H9:H16)</f>
        <v>0</v>
      </c>
      <c r="I18" s="45">
        <f>SUM(I15:I17)</f>
        <v>0</v>
      </c>
      <c r="J18" s="46">
        <f>SUM(J9:J17)</f>
        <v>90394.46577000001</v>
      </c>
      <c r="K18" s="44">
        <f>SUM(K15:K16)</f>
        <v>0</v>
      </c>
      <c r="L18" s="43">
        <f>SUM(L9:L17)</f>
        <v>1918.5</v>
      </c>
      <c r="M18" s="44">
        <f>SUM(M9:M17)</f>
        <v>45808.107468399008</v>
      </c>
      <c r="N18" s="44">
        <f>SUM(N9:N17)</f>
        <v>32716.985888789397</v>
      </c>
      <c r="O18" s="46">
        <f>SUM(O9:O17)</f>
        <v>9950.8724128115937</v>
      </c>
      <c r="P18" s="44">
        <f>SUM(P15:P16)</f>
        <v>0</v>
      </c>
      <c r="Q18" s="43">
        <f>SUM(Q9:Q17)</f>
        <v>-99855.145230000024</v>
      </c>
      <c r="R18" s="44">
        <f>SUM(R15:R17)</f>
        <v>0</v>
      </c>
      <c r="S18" s="44">
        <f>SUM(S9:S17)</f>
        <v>189</v>
      </c>
      <c r="T18" s="44">
        <f>SUM(T9:T17)</f>
        <v>-1090</v>
      </c>
      <c r="U18" s="44">
        <f>SUM(U9:U17)</f>
        <v>-600</v>
      </c>
      <c r="V18" s="45">
        <f>SUM(V9:V17)</f>
        <v>-101356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26030</v>
      </c>
      <c r="E20" s="135">
        <f>C20-D20</f>
        <v>-26030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45910.512888789402</v>
      </c>
      <c r="N20" s="36">
        <f>+'[1]Mgmt Summary'!N21+'[2]Mgmt Summary'!N21+'Mgmt Summary'!N30</f>
        <v>-19280.512888789402</v>
      </c>
      <c r="O20" s="136">
        <f>J20-K20-M20-N20-L20</f>
        <v>-26630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-2854</v>
      </c>
      <c r="E22" s="135">
        <f>C22-D22</f>
        <v>2854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-2382.5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2382.5</v>
      </c>
      <c r="P22" s="37"/>
      <c r="Q22" s="133">
        <f>+J22-C22</f>
        <v>0</v>
      </c>
      <c r="R22" s="36"/>
      <c r="S22" s="36">
        <f>'CapChrg-AllocExp'!F28</f>
        <v>-362</v>
      </c>
      <c r="T22" s="36">
        <v>0</v>
      </c>
      <c r="U22" s="36">
        <v>0</v>
      </c>
      <c r="V22" s="135">
        <f>ROUND(SUM(Q22:U22),0)</f>
        <v>-362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188521.78400000001</v>
      </c>
      <c r="D24" s="44">
        <f>SUM(D18:D23)</f>
        <v>100712.34999999999</v>
      </c>
      <c r="E24" s="45">
        <f>SUM(E18:E23)</f>
        <v>87809.434000000008</v>
      </c>
      <c r="F24" s="36"/>
      <c r="G24" s="43">
        <f t="shared" ref="G24:N24" si="5">SUM(G18:G23)</f>
        <v>88666.638770000005</v>
      </c>
      <c r="H24" s="44">
        <f t="shared" si="5"/>
        <v>0</v>
      </c>
      <c r="I24" s="44">
        <f t="shared" si="5"/>
        <v>0</v>
      </c>
      <c r="J24" s="46">
        <f t="shared" si="5"/>
        <v>88666.638770000005</v>
      </c>
      <c r="K24" s="44">
        <f t="shared" si="5"/>
        <v>0</v>
      </c>
      <c r="L24" s="43">
        <f t="shared" si="5"/>
        <v>-464</v>
      </c>
      <c r="M24" s="44">
        <f t="shared" si="5"/>
        <v>91718.620357188411</v>
      </c>
      <c r="N24" s="44">
        <f t="shared" si="5"/>
        <v>13436.472999999994</v>
      </c>
      <c r="O24" s="46">
        <f>J24-K24-M24-N24-L24</f>
        <v>-16024.4545871884</v>
      </c>
      <c r="P24" s="37"/>
      <c r="Q24" s="43">
        <f t="shared" ref="Q24:V24" si="6">SUM(Q18:Q23)</f>
        <v>-99855.145230000024</v>
      </c>
      <c r="R24" s="44">
        <f t="shared" si="6"/>
        <v>0</v>
      </c>
      <c r="S24" s="44">
        <f t="shared" si="6"/>
        <v>-173</v>
      </c>
      <c r="T24" s="44">
        <f t="shared" si="6"/>
        <v>-1690</v>
      </c>
      <c r="U24" s="44">
        <f t="shared" si="6"/>
        <v>-600</v>
      </c>
      <c r="V24" s="45">
        <f t="shared" si="6"/>
        <v>-102318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-3582</v>
      </c>
      <c r="E26" s="135">
        <f>C26-D26</f>
        <v>3582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-3299</v>
      </c>
      <c r="N26" s="36">
        <f>+'[1]Mgmt Summary'!N27+'[2]Mgmt Summary'!N27+'Mgmt Summary'!N37</f>
        <v>0</v>
      </c>
      <c r="O26" s="136">
        <f>J26-K26-M26-N26-L26</f>
        <v>3299</v>
      </c>
      <c r="P26" s="37"/>
      <c r="Q26" s="133">
        <f>+J26-C26</f>
        <v>0</v>
      </c>
      <c r="R26" s="36"/>
      <c r="S26" s="36">
        <v>0</v>
      </c>
      <c r="T26" s="36">
        <f>D26-M26</f>
        <v>-283</v>
      </c>
      <c r="U26" s="36">
        <v>0</v>
      </c>
      <c r="V26" s="135">
        <f>ROUND(SUM(Q26:U26),0)</f>
        <v>-283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188521.78400000001</v>
      </c>
      <c r="D28" s="40">
        <f>SUM(D24:D26)</f>
        <v>97130.349999999991</v>
      </c>
      <c r="E28" s="41">
        <f>SUM(E24:E26)</f>
        <v>91391.434000000008</v>
      </c>
      <c r="F28" s="36"/>
      <c r="G28" s="39">
        <f t="shared" ref="G28:N28" si="7">SUM(G24:G26)</f>
        <v>88666.638770000005</v>
      </c>
      <c r="H28" s="40">
        <f t="shared" si="7"/>
        <v>0</v>
      </c>
      <c r="I28" s="40">
        <f t="shared" si="7"/>
        <v>0</v>
      </c>
      <c r="J28" s="42">
        <f t="shared" si="7"/>
        <v>88666.638770000005</v>
      </c>
      <c r="K28" s="40">
        <f t="shared" si="7"/>
        <v>0</v>
      </c>
      <c r="L28" s="39">
        <f t="shared" si="7"/>
        <v>-464</v>
      </c>
      <c r="M28" s="40">
        <f t="shared" si="7"/>
        <v>88419.620357188411</v>
      </c>
      <c r="N28" s="40">
        <f t="shared" si="7"/>
        <v>13436.472999999994</v>
      </c>
      <c r="O28" s="42">
        <f>J28-K28-M28-N28-L28</f>
        <v>-12725.4545871884</v>
      </c>
      <c r="P28" s="37"/>
      <c r="Q28" s="39">
        <f t="shared" ref="Q28:V28" si="8">SUM(Q24:Q26)</f>
        <v>-99855.145230000024</v>
      </c>
      <c r="R28" s="40">
        <f t="shared" si="8"/>
        <v>0</v>
      </c>
      <c r="S28" s="40">
        <f t="shared" si="8"/>
        <v>-173</v>
      </c>
      <c r="T28" s="40">
        <f t="shared" si="8"/>
        <v>-1973</v>
      </c>
      <c r="U28" s="40">
        <f t="shared" si="8"/>
        <v>-600</v>
      </c>
      <c r="V28" s="41">
        <f t="shared" si="8"/>
        <v>-102601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8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1"/>
  <sheetViews>
    <sheetView tabSelected="1" zoomScale="95" workbookViewId="0">
      <selection activeCell="P18" sqref="P18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5" width="8.66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3" width="8.6640625" style="14" customWidth="1"/>
    <col min="14" max="14" width="0.88671875" style="14" customWidth="1"/>
    <col min="15" max="15" width="8.6640625" style="14" customWidth="1"/>
    <col min="16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 t="s">
        <v>92</v>
      </c>
      <c r="N2" s="194"/>
      <c r="O2" s="194"/>
      <c r="P2" s="194"/>
      <c r="Q2" s="194"/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 t="str">
        <f>+'Mgmt Summary'!A3</f>
        <v>Results based on activity through October 26, 2000</v>
      </c>
      <c r="N3"/>
      <c r="O3"/>
      <c r="P3"/>
      <c r="Q3"/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285" t="s">
        <v>88</v>
      </c>
      <c r="L5" s="286"/>
      <c r="M5" s="287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</row>
    <row r="8" spans="1:22" s="32" customFormat="1" ht="13.5" customHeight="1">
      <c r="A8" s="223" t="s">
        <v>79</v>
      </c>
      <c r="B8" s="224"/>
      <c r="C8" s="225">
        <f>+'Mgmt Summary'!J9</f>
        <v>-16704</v>
      </c>
      <c r="D8" s="226">
        <f>+'Mgmt Summary'!C9</f>
        <v>30000</v>
      </c>
      <c r="E8" s="227">
        <f t="shared" ref="E8:E13" si="0">-D8+C8</f>
        <v>-46704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-31396</v>
      </c>
      <c r="L8" s="226">
        <f t="shared" ref="K8:L13" si="2">D8-H8</f>
        <v>15908</v>
      </c>
      <c r="M8" s="227">
        <f t="shared" ref="M8:M13" si="3">K8-L8</f>
        <v>-47304</v>
      </c>
    </row>
    <row r="9" spans="1:22" s="32" customFormat="1" ht="13.5" customHeight="1">
      <c r="A9" s="223" t="s">
        <v>1</v>
      </c>
      <c r="B9" s="224"/>
      <c r="C9" s="225">
        <f>+'Mgmt Summary'!J10</f>
        <v>3917.4805800000004</v>
      </c>
      <c r="D9" s="226">
        <f>+'Mgmt Summary'!C10</f>
        <v>12747.2</v>
      </c>
      <c r="E9" s="227">
        <f t="shared" si="0"/>
        <v>-8829.7194200000013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-760.41941999999926</v>
      </c>
      <c r="L9" s="226">
        <f t="shared" si="2"/>
        <v>7500.3000000000011</v>
      </c>
      <c r="M9" s="227">
        <f t="shared" si="3"/>
        <v>-8260.7194200000013</v>
      </c>
    </row>
    <row r="10" spans="1:22" s="32" customFormat="1" ht="13.5" customHeight="1">
      <c r="A10" s="223" t="s">
        <v>44</v>
      </c>
      <c r="B10" s="224"/>
      <c r="C10" s="225">
        <f>+'Mgmt Summary'!J11</f>
        <v>664</v>
      </c>
      <c r="D10" s="226">
        <f>+'Mgmt Summary'!C11</f>
        <v>750</v>
      </c>
      <c r="E10" s="227">
        <f t="shared" si="0"/>
        <v>-86</v>
      </c>
      <c r="F10" s="228"/>
      <c r="G10" s="225">
        <f>+Expenses!D11+'CapChrg-AllocExp'!K12+'CapChrg-AllocExp'!D12</f>
        <v>1498.6</v>
      </c>
      <c r="H10" s="226">
        <f>+Expenses!E11+'CapChrg-AllocExp'!L12+'CapChrg-AllocExp'!E12</f>
        <v>378.6</v>
      </c>
      <c r="I10" s="227">
        <f t="shared" si="1"/>
        <v>-1120</v>
      </c>
      <c r="J10" s="228"/>
      <c r="K10" s="225">
        <f t="shared" si="2"/>
        <v>-834.59999999999991</v>
      </c>
      <c r="L10" s="226">
        <f t="shared" si="2"/>
        <v>371.4</v>
      </c>
      <c r="M10" s="227">
        <f t="shared" si="3"/>
        <v>-1206</v>
      </c>
    </row>
    <row r="11" spans="1:22" s="32" customFormat="1" ht="13.5" customHeight="1">
      <c r="A11" s="223" t="s">
        <v>64</v>
      </c>
      <c r="B11" s="224"/>
      <c r="C11" s="225">
        <f>+'Mgmt Summary'!J12</f>
        <v>163.37100000000001</v>
      </c>
      <c r="D11" s="226">
        <f>+'Mgmt Summary'!C12</f>
        <v>3214.8</v>
      </c>
      <c r="E11" s="227">
        <f t="shared" si="0"/>
        <v>-3051.4290000000001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-1551.4290000000001</v>
      </c>
      <c r="L11" s="226">
        <f t="shared" si="2"/>
        <v>1500</v>
      </c>
      <c r="M11" s="227">
        <f t="shared" si="3"/>
        <v>-3051.4290000000001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</v>
      </c>
      <c r="E12" s="227">
        <f t="shared" si="0"/>
        <v>-7712</v>
      </c>
      <c r="F12" s="228"/>
      <c r="G12" s="225">
        <f>+Expenses!D13+'CapChrg-AllocExp'!K14+'CapChrg-AllocExp'!D14</f>
        <v>1679.5</v>
      </c>
      <c r="H12" s="226">
        <f>+Expenses!E13+'CapChrg-AllocExp'!L14+'CapChrg-AllocExp'!E14</f>
        <v>1679.5</v>
      </c>
      <c r="I12" s="227">
        <f t="shared" si="1"/>
        <v>0</v>
      </c>
      <c r="J12" s="228"/>
      <c r="K12" s="225">
        <f t="shared" si="2"/>
        <v>-1679.5</v>
      </c>
      <c r="L12" s="226">
        <f t="shared" si="2"/>
        <v>6032.5</v>
      </c>
      <c r="M12" s="227">
        <f t="shared" si="3"/>
        <v>-7712</v>
      </c>
    </row>
    <row r="13" spans="1:22" s="32" customFormat="1" ht="13.5" customHeight="1">
      <c r="A13" s="223" t="s">
        <v>50</v>
      </c>
      <c r="B13" s="224"/>
      <c r="C13" s="225">
        <f>+'Mgmt Summary'!J14</f>
        <v>-1764.08581</v>
      </c>
      <c r="D13" s="226">
        <f>+'Mgmt Summary'!C14</f>
        <v>8983.2109999999993</v>
      </c>
      <c r="E13" s="227">
        <f t="shared" si="0"/>
        <v>-10747.29681</v>
      </c>
      <c r="F13" s="228"/>
      <c r="G13" s="225">
        <f>+Expenses!D14+'CapChrg-AllocExp'!K15+'CapChrg-AllocExp'!D15</f>
        <v>3410.25</v>
      </c>
      <c r="H13" s="226">
        <f>+Expenses!E14+'CapChrg-AllocExp'!L15+'CapChrg-AllocExp'!E15</f>
        <v>3410.25</v>
      </c>
      <c r="I13" s="227">
        <f t="shared" si="1"/>
        <v>0</v>
      </c>
      <c r="J13" s="228"/>
      <c r="K13" s="225">
        <f t="shared" si="2"/>
        <v>-5174.3358100000005</v>
      </c>
      <c r="L13" s="226">
        <f t="shared" si="2"/>
        <v>5572.9609999999993</v>
      </c>
      <c r="M13" s="227">
        <f t="shared" si="3"/>
        <v>-10747.29681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4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5">C14-G14</f>
        <v>-980</v>
      </c>
      <c r="L14" s="226">
        <f t="shared" si="5"/>
        <v>0</v>
      </c>
      <c r="M14" s="227">
        <f t="shared" ref="M14:M22" si="6">K14-L14</f>
        <v>-980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5"/>
        <v>0</v>
      </c>
      <c r="L15" s="226">
        <f t="shared" si="5"/>
        <v>10100</v>
      </c>
      <c r="M15" s="227">
        <f>K15-L15</f>
        <v>-10100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350</v>
      </c>
      <c r="H16" s="226">
        <f>+Expenses!E16+'CapChrg-AllocExp'!L24</f>
        <v>0</v>
      </c>
      <c r="I16" s="227">
        <f>+H16-G16</f>
        <v>-350</v>
      </c>
      <c r="J16" s="228"/>
      <c r="K16" s="225">
        <f t="shared" si="5"/>
        <v>-350</v>
      </c>
      <c r="L16" s="226">
        <f t="shared" si="5"/>
        <v>0</v>
      </c>
      <c r="M16" s="227">
        <f>K16-L16</f>
        <v>-350</v>
      </c>
    </row>
    <row r="17" spans="1:13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</row>
    <row r="18" spans="1:13" s="220" customFormat="1" ht="13.8">
      <c r="A18" s="229" t="s">
        <v>107</v>
      </c>
      <c r="B18" s="219"/>
      <c r="C18" s="234">
        <f>SUM(C8:C17)</f>
        <v>-13723.234230000002</v>
      </c>
      <c r="D18" s="235">
        <f t="shared" ref="D18:M18" si="7">SUM(D8:D17)</f>
        <v>73507.210999999996</v>
      </c>
      <c r="E18" s="236">
        <f t="shared" si="7"/>
        <v>-87230.445229999998</v>
      </c>
      <c r="F18" s="237">
        <f t="shared" si="7"/>
        <v>0</v>
      </c>
      <c r="G18" s="234">
        <f t="shared" si="7"/>
        <v>29003.05</v>
      </c>
      <c r="H18" s="235">
        <f t="shared" si="7"/>
        <v>26522.05</v>
      </c>
      <c r="I18" s="236">
        <f t="shared" si="7"/>
        <v>-2481</v>
      </c>
      <c r="J18" s="237">
        <f t="shared" si="7"/>
        <v>0</v>
      </c>
      <c r="K18" s="234">
        <f t="shared" si="7"/>
        <v>-42726.284230000005</v>
      </c>
      <c r="L18" s="235">
        <f t="shared" si="7"/>
        <v>46985.161000000007</v>
      </c>
      <c r="M18" s="236">
        <f t="shared" si="7"/>
        <v>-89711.445229999998</v>
      </c>
    </row>
    <row r="19" spans="1:13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</row>
    <row r="20" spans="1:13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4"/>
        <v>-1058</v>
      </c>
      <c r="F20" s="228"/>
      <c r="G20" s="225">
        <f>+Expenses!D20+'CapChrg-AllocExp'!K18+'CapChrg-AllocExp'!D18</f>
        <v>1197</v>
      </c>
      <c r="H20" s="226">
        <f>+Expenses!E20+'CapChrg-AllocExp'!L18+'CapChrg-AllocExp'!E18</f>
        <v>1370</v>
      </c>
      <c r="I20" s="227">
        <f>+H20-G20</f>
        <v>173</v>
      </c>
      <c r="J20" s="228"/>
      <c r="K20" s="225">
        <f t="shared" ref="K20:L22" si="8">C20-G20</f>
        <v>-1111</v>
      </c>
      <c r="L20" s="226">
        <f t="shared" si="8"/>
        <v>-226</v>
      </c>
      <c r="M20" s="227">
        <f t="shared" si="6"/>
        <v>-885</v>
      </c>
    </row>
    <row r="21" spans="1:13" s="32" customFormat="1" ht="13.5" customHeight="1">
      <c r="A21" s="223" t="s">
        <v>100</v>
      </c>
      <c r="B21" s="224"/>
      <c r="C21" s="225">
        <f>+'Mgmt Summary'!J22</f>
        <v>135</v>
      </c>
      <c r="D21" s="226">
        <f>+'Mgmt Summary'!C22</f>
        <v>3965</v>
      </c>
      <c r="E21" s="227">
        <f t="shared" si="4"/>
        <v>-3830</v>
      </c>
      <c r="F21" s="228"/>
      <c r="G21" s="225">
        <f>+Expenses!D21+'CapChrg-AllocExp'!K19+'CapChrg-AllocExp'!D19</f>
        <v>2188</v>
      </c>
      <c r="H21" s="226">
        <f>+Expenses!E21+'CapChrg-AllocExp'!L19+'CapChrg-AllocExp'!E19</f>
        <v>2188</v>
      </c>
      <c r="I21" s="227">
        <f>+H21-G21</f>
        <v>0</v>
      </c>
      <c r="J21" s="228"/>
      <c r="K21" s="225">
        <f t="shared" si="8"/>
        <v>-2053</v>
      </c>
      <c r="L21" s="226">
        <f t="shared" si="8"/>
        <v>1777</v>
      </c>
      <c r="M21" s="227">
        <f t="shared" si="6"/>
        <v>-3830</v>
      </c>
    </row>
    <row r="22" spans="1:13" s="32" customFormat="1" ht="13.5" customHeight="1">
      <c r="A22" s="223" t="s">
        <v>101</v>
      </c>
      <c r="B22" s="224"/>
      <c r="C22" s="268">
        <f>+'Mgmt Summary'!J23</f>
        <v>-357</v>
      </c>
      <c r="D22" s="269">
        <f>+'Mgmt Summary'!C23</f>
        <v>232</v>
      </c>
      <c r="E22" s="270">
        <f t="shared" si="4"/>
        <v>-589</v>
      </c>
      <c r="F22" s="228"/>
      <c r="G22" s="268">
        <f>+Expenses!D22+'CapChrg-AllocExp'!K20+'CapChrg-AllocExp'!D20</f>
        <v>1056</v>
      </c>
      <c r="H22" s="269">
        <f>+Expenses!E22+'CapChrg-AllocExp'!L20+'CapChrg-AllocExp'!E20</f>
        <v>1601</v>
      </c>
      <c r="I22" s="270">
        <f>+H22-G22</f>
        <v>545</v>
      </c>
      <c r="J22" s="228"/>
      <c r="K22" s="268">
        <f t="shared" si="8"/>
        <v>-1413</v>
      </c>
      <c r="L22" s="269">
        <f t="shared" si="8"/>
        <v>-1369</v>
      </c>
      <c r="M22" s="270">
        <f t="shared" si="6"/>
        <v>-44</v>
      </c>
    </row>
    <row r="23" spans="1:13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</row>
    <row r="24" spans="1:13" s="220" customFormat="1" ht="13.8">
      <c r="A24" s="229" t="s">
        <v>115</v>
      </c>
      <c r="B24" s="219"/>
      <c r="C24" s="234">
        <f>SUM(C20:C23)</f>
        <v>-136</v>
      </c>
      <c r="D24" s="235">
        <f>SUM(D20:D23)</f>
        <v>5341</v>
      </c>
      <c r="E24" s="236">
        <f>SUM(E20:E23)</f>
        <v>-5477</v>
      </c>
      <c r="F24" s="237"/>
      <c r="G24" s="234">
        <f>SUM(G20:G23)</f>
        <v>4441</v>
      </c>
      <c r="H24" s="235">
        <f>SUM(H20:H23)</f>
        <v>5159</v>
      </c>
      <c r="I24" s="236">
        <f>SUM(I20:I23)</f>
        <v>718</v>
      </c>
      <c r="J24" s="237"/>
      <c r="K24" s="234">
        <f>SUM(K20:K23)</f>
        <v>-4577</v>
      </c>
      <c r="L24" s="235">
        <f>SUM(L20:L23)</f>
        <v>182</v>
      </c>
      <c r="M24" s="236">
        <f>SUM(M20:M23)</f>
        <v>-4759</v>
      </c>
    </row>
    <row r="25" spans="1:13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</row>
    <row r="26" spans="1:13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</row>
    <row r="27" spans="1:13" s="220" customFormat="1" ht="13.8">
      <c r="A27" s="229" t="s">
        <v>3</v>
      </c>
      <c r="B27" s="219"/>
      <c r="C27" s="234">
        <f>+C18+C24</f>
        <v>-13859.234230000002</v>
      </c>
      <c r="D27" s="235">
        <f>+D18+D24</f>
        <v>78848.210999999996</v>
      </c>
      <c r="E27" s="236">
        <f>+E18+E24</f>
        <v>-92707.445229999998</v>
      </c>
      <c r="F27" s="237">
        <f>SUM(F24:F25)</f>
        <v>0</v>
      </c>
      <c r="G27" s="234">
        <f>+G18+G24</f>
        <v>33444.050000000003</v>
      </c>
      <c r="H27" s="235">
        <f>+H18+H24</f>
        <v>31681.05</v>
      </c>
      <c r="I27" s="236">
        <f>+I18+I24</f>
        <v>-1763</v>
      </c>
      <c r="J27" s="237">
        <f>SUM(J24:J25)</f>
        <v>0</v>
      </c>
      <c r="K27" s="234">
        <f>+K18+K24</f>
        <v>-47303.284230000005</v>
      </c>
      <c r="L27" s="235">
        <f>+L18+L24</f>
        <v>47167.161000000007</v>
      </c>
      <c r="M27" s="236">
        <f>+M18+M24</f>
        <v>-94470.445229999998</v>
      </c>
    </row>
    <row r="28" spans="1:13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</row>
    <row r="29" spans="1:13" s="32" customFormat="1" ht="13.5" customHeight="1">
      <c r="A29" s="223" t="s">
        <v>114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26630</v>
      </c>
      <c r="H29" s="226">
        <f>+'Mgmt Summary'!D30</f>
        <v>26030</v>
      </c>
      <c r="I29" s="227">
        <f>+H29-G29</f>
        <v>-600</v>
      </c>
      <c r="J29" s="228"/>
      <c r="K29" s="225">
        <f>C29-G29</f>
        <v>-26630</v>
      </c>
      <c r="L29" s="226">
        <f>D29-H29</f>
        <v>-26030</v>
      </c>
      <c r="M29" s="227">
        <f>K29-L29</f>
        <v>-600</v>
      </c>
    </row>
    <row r="30" spans="1:13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-13436.473000000002</v>
      </c>
      <c r="H30" s="226">
        <f>+'Mgmt Summary'!D31</f>
        <v>-12836.473000000002</v>
      </c>
      <c r="I30" s="227">
        <f>+H30-G30</f>
        <v>600</v>
      </c>
      <c r="J30" s="228"/>
      <c r="K30" s="225">
        <f t="shared" ref="K30:L32" si="9">C30-G30</f>
        <v>13436.473000000002</v>
      </c>
      <c r="L30" s="226">
        <f t="shared" si="9"/>
        <v>12836.473000000002</v>
      </c>
      <c r="M30" s="227">
        <f>K30-L30</f>
        <v>600</v>
      </c>
    </row>
    <row r="31" spans="1:13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9"/>
        <v>-520</v>
      </c>
      <c r="L31" s="226">
        <f t="shared" si="9"/>
        <v>-520</v>
      </c>
      <c r="M31" s="227">
        <f>K31-L31</f>
        <v>0</v>
      </c>
    </row>
    <row r="32" spans="1:13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-1122</v>
      </c>
      <c r="H32" s="226">
        <f>+'CapChrg-AllocExp'!E28</f>
        <v>-1484</v>
      </c>
      <c r="I32" s="227">
        <f>+H32-G32</f>
        <v>-362</v>
      </c>
      <c r="J32" s="228"/>
      <c r="K32" s="225">
        <f t="shared" si="9"/>
        <v>1122</v>
      </c>
      <c r="L32" s="226">
        <f t="shared" si="9"/>
        <v>1484</v>
      </c>
      <c r="M32" s="227">
        <f>K32-L32</f>
        <v>-362</v>
      </c>
    </row>
    <row r="33" spans="1:13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</row>
    <row r="34" spans="1:13" s="220" customFormat="1" ht="13.8">
      <c r="A34" s="229" t="s">
        <v>74</v>
      </c>
      <c r="B34" s="219"/>
      <c r="C34" s="234">
        <f>SUM(C27:C32)</f>
        <v>-14379.234230000002</v>
      </c>
      <c r="D34" s="235">
        <f>SUM(D27:D32)</f>
        <v>78328.210999999996</v>
      </c>
      <c r="E34" s="236">
        <f>SUM(E27:E32)</f>
        <v>-92707.445229999998</v>
      </c>
      <c r="F34" s="237"/>
      <c r="G34" s="234">
        <f>SUM(G27:G32)</f>
        <v>45515.577000000005</v>
      </c>
      <c r="H34" s="235">
        <f>SUM(H27:H32)</f>
        <v>43390.577000000005</v>
      </c>
      <c r="I34" s="236">
        <f>SUM(I27:I32)</f>
        <v>-2125</v>
      </c>
      <c r="J34" s="237"/>
      <c r="K34" s="234">
        <f>SUM(K27:K32)</f>
        <v>-59894.811230000007</v>
      </c>
      <c r="L34" s="235">
        <f>SUM(L27:L32)</f>
        <v>34937.634000000005</v>
      </c>
      <c r="M34" s="236">
        <f>SUM(M27:M32)</f>
        <v>-94832.445229999998</v>
      </c>
    </row>
    <row r="35" spans="1:13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</row>
    <row r="36" spans="1:13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113</v>
      </c>
      <c r="H36" s="226">
        <f>+'Mgmt Summary'!D37</f>
        <v>-170</v>
      </c>
      <c r="I36" s="227">
        <f>+H36-G36</f>
        <v>-283</v>
      </c>
      <c r="J36" s="228"/>
      <c r="K36" s="225">
        <f>C36-G36</f>
        <v>-113</v>
      </c>
      <c r="L36" s="226">
        <f>D36-H36</f>
        <v>170</v>
      </c>
      <c r="M36" s="227">
        <f>K36-L36</f>
        <v>-283</v>
      </c>
    </row>
    <row r="37" spans="1:13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</row>
    <row r="38" spans="1:13" s="220" customFormat="1" ht="14.4" thickBot="1">
      <c r="A38" s="230" t="s">
        <v>75</v>
      </c>
      <c r="B38" s="222"/>
      <c r="C38" s="239">
        <f>+C34-C36</f>
        <v>-14379.234230000002</v>
      </c>
      <c r="D38" s="240">
        <f>+D34-D36</f>
        <v>78328.210999999996</v>
      </c>
      <c r="E38" s="274">
        <f>+E34-E36</f>
        <v>-92707.445229999998</v>
      </c>
      <c r="F38" s="241"/>
      <c r="G38" s="239">
        <f>SUM(G34:G36)</f>
        <v>45628.577000000005</v>
      </c>
      <c r="H38" s="240">
        <f>SUM(H34:H36)</f>
        <v>43220.577000000005</v>
      </c>
      <c r="I38" s="274">
        <f>SUM(I34:I36)</f>
        <v>-2408</v>
      </c>
      <c r="J38" s="241"/>
      <c r="K38" s="239">
        <f>SUM(K34:K36)</f>
        <v>-60007.811230000007</v>
      </c>
      <c r="L38" s="240">
        <f>SUM(L34:L36)</f>
        <v>35107.634000000005</v>
      </c>
      <c r="M38" s="274">
        <f>SUM(M34:M36)</f>
        <v>-95115.445229999998</v>
      </c>
    </row>
    <row r="39" spans="1:13" ht="3" customHeight="1">
      <c r="A39" s="66"/>
      <c r="C39" s="67"/>
      <c r="D39" s="22"/>
      <c r="E39" s="66"/>
      <c r="F39" s="23"/>
      <c r="I39" s="66"/>
    </row>
    <row r="40" spans="1:13">
      <c r="A40" s="250" t="s">
        <v>89</v>
      </c>
      <c r="C40" s="23"/>
      <c r="D40" s="22"/>
      <c r="E40" s="23"/>
      <c r="F40" s="23"/>
      <c r="I40" s="23"/>
    </row>
    <row r="41" spans="1:13">
      <c r="M41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13" zoomScaleNormal="100" workbookViewId="0">
      <selection activeCell="P18" sqref="P18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82" t="s">
        <v>70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60"/>
    </row>
    <row r="2" spans="1:24" ht="13.8">
      <c r="A2" s="283" t="s">
        <v>91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61"/>
    </row>
    <row r="3" spans="1:24" ht="13.8">
      <c r="A3" s="284" t="s">
        <v>118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62"/>
    </row>
    <row r="4" spans="1:24" ht="3" customHeight="1"/>
    <row r="5" spans="1:24" s="34" customFormat="1" ht="15" customHeight="1">
      <c r="A5" s="106"/>
      <c r="C5" s="279" t="s">
        <v>8</v>
      </c>
      <c r="D5" s="280"/>
      <c r="E5" s="281"/>
      <c r="G5" s="279" t="s">
        <v>41</v>
      </c>
      <c r="H5" s="280"/>
      <c r="I5" s="280"/>
      <c r="J5" s="280"/>
      <c r="K5" s="280"/>
      <c r="L5" s="280"/>
      <c r="M5" s="280"/>
      <c r="N5" s="280"/>
      <c r="O5" s="281"/>
      <c r="Q5" s="279" t="s">
        <v>36</v>
      </c>
      <c r="R5" s="280"/>
      <c r="S5" s="280"/>
      <c r="T5" s="280"/>
      <c r="U5" s="280"/>
      <c r="V5" s="28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-16704</v>
      </c>
      <c r="H9" s="36">
        <f>GrossMargin!J10</f>
        <v>0</v>
      </c>
      <c r="I9" s="36">
        <f>GrossMargin!K10</f>
        <v>0</v>
      </c>
      <c r="J9" s="136">
        <f t="shared" ref="J9:J15" si="1">SUM(G9:I9)</f>
        <v>-16704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-31396</v>
      </c>
      <c r="P9" s="37"/>
      <c r="Q9" s="133">
        <f t="shared" ref="Q9:Q15" si="3">+J9-C9</f>
        <v>-46704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-47304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12747.2</v>
      </c>
      <c r="D10" s="36">
        <f>Expenses!E10+'CapChrg-AllocExp'!E11+'CapChrg-AllocExp'!L11</f>
        <v>5246.9</v>
      </c>
      <c r="E10" s="135">
        <f t="shared" si="0"/>
        <v>7500.3000000000011</v>
      </c>
      <c r="F10" s="36"/>
      <c r="G10" s="133">
        <f>GrossMargin!I11</f>
        <v>3917.4805800000004</v>
      </c>
      <c r="H10" s="36">
        <f>GrossMargin!J11</f>
        <v>0</v>
      </c>
      <c r="I10" s="36">
        <f>GrossMargin!K11</f>
        <v>0</v>
      </c>
      <c r="J10" s="136">
        <f t="shared" si="1"/>
        <v>3917.4805800000004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-760.41941999999949</v>
      </c>
      <c r="P10" s="37"/>
      <c r="Q10" s="133">
        <f t="shared" si="3"/>
        <v>-8829.7194200000013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-8261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664</v>
      </c>
      <c r="H11" s="36">
        <f>GrossMargin!J12</f>
        <v>0</v>
      </c>
      <c r="I11" s="36">
        <f>GrossMargin!K12</f>
        <v>0</v>
      </c>
      <c r="J11" s="136">
        <f t="shared" si="1"/>
        <v>664</v>
      </c>
      <c r="K11" s="137"/>
      <c r="L11" s="133">
        <f>'CapChrg-AllocExp'!D12</f>
        <v>0</v>
      </c>
      <c r="M11" s="36">
        <f>Expenses!D11</f>
        <v>1224.0999999999999</v>
      </c>
      <c r="N11" s="36">
        <f>'CapChrg-AllocExp'!K12</f>
        <v>274.5</v>
      </c>
      <c r="O11" s="136">
        <f t="shared" si="2"/>
        <v>-834.59999999999991</v>
      </c>
      <c r="P11" s="37"/>
      <c r="Q11" s="133">
        <f t="shared" si="3"/>
        <v>-86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-1206</v>
      </c>
      <c r="W11" s="32"/>
    </row>
    <row r="12" spans="1:24" ht="13.5" customHeight="1">
      <c r="A12" s="107" t="s">
        <v>64</v>
      </c>
      <c r="B12" s="35"/>
      <c r="C12" s="133">
        <f>GrossMargin!M13</f>
        <v>3214.8</v>
      </c>
      <c r="D12" s="36">
        <f>Expenses!E12+'CapChrg-AllocExp'!E13+'CapChrg-AllocExp'!L13</f>
        <v>1714.8000000000002</v>
      </c>
      <c r="E12" s="135">
        <f t="shared" si="0"/>
        <v>1500</v>
      </c>
      <c r="F12" s="36"/>
      <c r="G12" s="133">
        <f>GrossMargin!I13</f>
        <v>163.37100000000001</v>
      </c>
      <c r="H12" s="36">
        <f>GrossMargin!J13</f>
        <v>0</v>
      </c>
      <c r="I12" s="36">
        <f>GrossMargin!K13</f>
        <v>0</v>
      </c>
      <c r="J12" s="136">
        <f t="shared" si="1"/>
        <v>163.37100000000001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-1551.4290000000001</v>
      </c>
      <c r="P12" s="37"/>
      <c r="Q12" s="133">
        <f t="shared" si="3"/>
        <v>-3051.4290000000001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-3051</v>
      </c>
      <c r="W12" s="32"/>
    </row>
    <row r="13" spans="1:24" ht="13.5" customHeight="1">
      <c r="A13" s="107" t="s">
        <v>71</v>
      </c>
      <c r="B13" s="35"/>
      <c r="C13" s="133">
        <f>GrossMargin!M14</f>
        <v>7712</v>
      </c>
      <c r="D13" s="36">
        <f>Expenses!E13+'CapChrg-AllocExp'!E14+'CapChrg-AllocExp'!L14</f>
        <v>1679.5</v>
      </c>
      <c r="E13" s="135">
        <f t="shared" si="0"/>
        <v>6032.5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1643.5</v>
      </c>
      <c r="N13" s="36">
        <f>'CapChrg-AllocExp'!K14</f>
        <v>36</v>
      </c>
      <c r="O13" s="136">
        <f t="shared" si="2"/>
        <v>-1679.5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-7712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>
        <f>+Expenses!E14+'CapChrg-AllocExp'!E15+'CapChrg-AllocExp'!L15</f>
        <v>3410.25</v>
      </c>
      <c r="E14" s="164">
        <f t="shared" si="0"/>
        <v>5572.9609999999993</v>
      </c>
      <c r="F14" s="140"/>
      <c r="G14" s="139">
        <f>+GrossMargin!I20</f>
        <v>-1764.08581</v>
      </c>
      <c r="H14" s="140">
        <f>GrossMargin!J15</f>
        <v>0</v>
      </c>
      <c r="I14" s="140">
        <f>+GrossMargin!K20</f>
        <v>0</v>
      </c>
      <c r="J14" s="179">
        <f t="shared" si="1"/>
        <v>-1764.08581</v>
      </c>
      <c r="K14" s="180"/>
      <c r="L14" s="139">
        <f>+'CapChrg-AllocExp'!D15</f>
        <v>0</v>
      </c>
      <c r="M14" s="36">
        <f>Expenses!D14</f>
        <v>1513.1770000000001</v>
      </c>
      <c r="N14" s="140">
        <f>+'CapChrg-AllocExp'!K15</f>
        <v>1897.0730000000001</v>
      </c>
      <c r="O14" s="179">
        <f t="shared" si="2"/>
        <v>-5174.3358100000005</v>
      </c>
      <c r="P14" s="181"/>
      <c r="Q14" s="139">
        <f t="shared" si="3"/>
        <v>-10747.29681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-10747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350</v>
      </c>
      <c r="N17" s="36">
        <f>'CapChrg-AllocExp'!K24</f>
        <v>0</v>
      </c>
      <c r="O17" s="136">
        <f>J17-K17-M17-N17-L17</f>
        <v>-350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-350</v>
      </c>
      <c r="U17" s="36">
        <f>'CapChrg-AllocExp'!M24</f>
        <v>0</v>
      </c>
      <c r="V17" s="135">
        <f>ROUND(SUM(Q17:U17),0)</f>
        <v>-350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>
        <f>SUM(C9:C18)</f>
        <v>73507.210999999996</v>
      </c>
      <c r="D19" s="44">
        <f>SUM(D9:D18)</f>
        <v>26522.05</v>
      </c>
      <c r="E19" s="45">
        <f>SUM(E9:E18)</f>
        <v>46985.161000000007</v>
      </c>
      <c r="F19" s="36"/>
      <c r="G19" s="43">
        <f t="shared" ref="G19:O19" si="5">SUM(G9:G18)</f>
        <v>-13723.234230000002</v>
      </c>
      <c r="H19" s="44">
        <f t="shared" si="5"/>
        <v>0</v>
      </c>
      <c r="I19" s="45">
        <f t="shared" si="5"/>
        <v>0</v>
      </c>
      <c r="J19" s="46">
        <f t="shared" si="5"/>
        <v>-13723.234230000002</v>
      </c>
      <c r="K19" s="44">
        <f t="shared" si="5"/>
        <v>0</v>
      </c>
      <c r="L19" s="43">
        <f t="shared" si="5"/>
        <v>658</v>
      </c>
      <c r="M19" s="44">
        <f t="shared" si="5"/>
        <v>14908.577000000001</v>
      </c>
      <c r="N19" s="44">
        <f t="shared" si="5"/>
        <v>13436.473000000002</v>
      </c>
      <c r="O19" s="46">
        <f t="shared" si="5"/>
        <v>-42726.284230000005</v>
      </c>
      <c r="P19" s="180"/>
      <c r="Q19" s="43">
        <f t="shared" ref="Q19:V19" si="6">SUM(Q9:Q18)</f>
        <v>-87230.445229999998</v>
      </c>
      <c r="R19" s="44">
        <f t="shared" si="6"/>
        <v>0</v>
      </c>
      <c r="S19" s="44">
        <f t="shared" si="6"/>
        <v>189</v>
      </c>
      <c r="T19" s="44">
        <f t="shared" si="6"/>
        <v>-2070</v>
      </c>
      <c r="U19" s="44">
        <f t="shared" si="6"/>
        <v>-600</v>
      </c>
      <c r="V19" s="45">
        <f t="shared" si="6"/>
        <v>-89711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-188</v>
      </c>
      <c r="M21" s="36">
        <f>Expenses!D20</f>
        <v>1385</v>
      </c>
      <c r="N21" s="140">
        <f>+'CapChrg-AllocExp'!K18</f>
        <v>0</v>
      </c>
      <c r="O21" s="179">
        <f>J21-K21-M21-N21-L21</f>
        <v>-1111</v>
      </c>
      <c r="P21" s="181"/>
      <c r="Q21" s="139">
        <f>+J21-C21</f>
        <v>-1058</v>
      </c>
      <c r="R21" s="140"/>
      <c r="S21" s="140">
        <f>+'CapChrg-AllocExp'!F18</f>
        <v>173</v>
      </c>
      <c r="T21" s="36">
        <f>Expenses!F20</f>
        <v>0</v>
      </c>
      <c r="U21" s="140">
        <f>+'CapChrg-AllocExp'!M18</f>
        <v>0</v>
      </c>
      <c r="V21" s="164">
        <f>ROUND(SUM(Q21:U21),0)</f>
        <v>-885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3965</v>
      </c>
      <c r="D22" s="140">
        <f>+Expenses!E21+'CapChrg-AllocExp'!E19+'CapChrg-AllocExp'!L19</f>
        <v>2188</v>
      </c>
      <c r="E22" s="164">
        <f>C22-D22</f>
        <v>1777</v>
      </c>
      <c r="F22" s="140"/>
      <c r="G22" s="139">
        <f>+GrossMargin!I28</f>
        <v>135</v>
      </c>
      <c r="H22" s="140">
        <f>GrossMargin!J18</f>
        <v>0</v>
      </c>
      <c r="I22" s="140">
        <f>+GrossMargin!K28</f>
        <v>0</v>
      </c>
      <c r="J22" s="179">
        <f>SUM(G22:I22)</f>
        <v>135</v>
      </c>
      <c r="K22" s="180"/>
      <c r="L22" s="139">
        <f>+'CapChrg-AllocExp'!D19</f>
        <v>652</v>
      </c>
      <c r="M22" s="36">
        <f>Expenses!D21</f>
        <v>1536</v>
      </c>
      <c r="N22" s="140">
        <f>+'CapChrg-AllocExp'!K19</f>
        <v>0</v>
      </c>
      <c r="O22" s="179">
        <f>J22-K22-M22-N22-L22</f>
        <v>-2053</v>
      </c>
      <c r="P22" s="181"/>
      <c r="Q22" s="139">
        <f>+J22-C22</f>
        <v>-3830</v>
      </c>
      <c r="R22" s="140"/>
      <c r="S22" s="140">
        <f>+'CapChrg-AllocExp'!F19</f>
        <v>0</v>
      </c>
      <c r="T22" s="36">
        <f>Expenses!F21</f>
        <v>0</v>
      </c>
      <c r="U22" s="140">
        <f>+'CapChrg-AllocExp'!M19</f>
        <v>0</v>
      </c>
      <c r="V22" s="164">
        <f>ROUND(SUM(Q22:U22),0)</f>
        <v>-3830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232</v>
      </c>
      <c r="D23" s="140">
        <f>+Expenses!E22+'CapChrg-AllocExp'!E20+'CapChrg-AllocExp'!L20</f>
        <v>1601</v>
      </c>
      <c r="E23" s="164">
        <f>C23-D23</f>
        <v>-1369</v>
      </c>
      <c r="F23" s="140"/>
      <c r="G23" s="139">
        <f>+GrossMargin!I29</f>
        <v>-357</v>
      </c>
      <c r="H23" s="140">
        <f>GrossMargin!J19</f>
        <v>0</v>
      </c>
      <c r="I23" s="140">
        <f>+GrossMargin!K29</f>
        <v>0</v>
      </c>
      <c r="J23" s="179">
        <f>SUM(G23:I23)</f>
        <v>-357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-1413</v>
      </c>
      <c r="P23" s="181"/>
      <c r="Q23" s="139">
        <f>+J23-C23</f>
        <v>-589</v>
      </c>
      <c r="R23" s="140"/>
      <c r="S23" s="140">
        <f>+'CapChrg-AllocExp'!F20</f>
        <v>0</v>
      </c>
      <c r="T23" s="36">
        <f>Expenses!F22</f>
        <v>545</v>
      </c>
      <c r="U23" s="140">
        <f>+'CapChrg-AllocExp'!M20</f>
        <v>0</v>
      </c>
      <c r="V23" s="164">
        <f>ROUND(SUM(Q23:U23),0)</f>
        <v>-44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115</v>
      </c>
      <c r="B25" s="35"/>
      <c r="C25" s="43">
        <f>SUM(C21:C24)</f>
        <v>5341</v>
      </c>
      <c r="D25" s="44">
        <f>SUM(D21:D24)</f>
        <v>5159</v>
      </c>
      <c r="E25" s="45">
        <f>SUM(E21:E24)</f>
        <v>182</v>
      </c>
      <c r="F25" s="36">
        <f>SUM(F19:F23)</f>
        <v>0</v>
      </c>
      <c r="G25" s="43">
        <f t="shared" ref="G25:O25" si="7">SUM(G21:G24)</f>
        <v>-136</v>
      </c>
      <c r="H25" s="44">
        <f t="shared" si="7"/>
        <v>0</v>
      </c>
      <c r="I25" s="45">
        <f t="shared" si="7"/>
        <v>0</v>
      </c>
      <c r="J25" s="46">
        <f t="shared" si="7"/>
        <v>-136</v>
      </c>
      <c r="K25" s="44">
        <f t="shared" si="7"/>
        <v>0</v>
      </c>
      <c r="L25" s="43">
        <f t="shared" si="7"/>
        <v>464</v>
      </c>
      <c r="M25" s="44">
        <f t="shared" si="7"/>
        <v>3977</v>
      </c>
      <c r="N25" s="44">
        <f t="shared" si="7"/>
        <v>0</v>
      </c>
      <c r="O25" s="46">
        <f t="shared" si="7"/>
        <v>-4577</v>
      </c>
      <c r="P25" s="180"/>
      <c r="Q25" s="43">
        <f t="shared" ref="Q25:V25" si="8">SUM(Q21:Q24)</f>
        <v>-5477</v>
      </c>
      <c r="R25" s="44">
        <f t="shared" si="8"/>
        <v>0</v>
      </c>
      <c r="S25" s="44">
        <f t="shared" si="8"/>
        <v>173</v>
      </c>
      <c r="T25" s="44">
        <f t="shared" si="8"/>
        <v>545</v>
      </c>
      <c r="U25" s="44">
        <f t="shared" si="8"/>
        <v>0</v>
      </c>
      <c r="V25" s="45">
        <f t="shared" si="8"/>
        <v>-4759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78848.210999999996</v>
      </c>
      <c r="D28" s="44">
        <f>+D19+D25</f>
        <v>31681.05</v>
      </c>
      <c r="E28" s="45">
        <f>+E19+E25</f>
        <v>47167.161000000007</v>
      </c>
      <c r="F28" s="36">
        <f>SUM(F25:F26)</f>
        <v>0</v>
      </c>
      <c r="G28" s="43">
        <f t="shared" ref="G28:O28" si="9">+G19+G25</f>
        <v>-13859.234230000002</v>
      </c>
      <c r="H28" s="44">
        <f t="shared" si="9"/>
        <v>0</v>
      </c>
      <c r="I28" s="45">
        <f t="shared" si="9"/>
        <v>0</v>
      </c>
      <c r="J28" s="46">
        <f t="shared" si="9"/>
        <v>-13859.234230000002</v>
      </c>
      <c r="K28" s="44">
        <f t="shared" si="9"/>
        <v>0</v>
      </c>
      <c r="L28" s="43">
        <f t="shared" si="9"/>
        <v>1122</v>
      </c>
      <c r="M28" s="44">
        <f t="shared" si="9"/>
        <v>18885.577000000001</v>
      </c>
      <c r="N28" s="44">
        <f t="shared" si="9"/>
        <v>13436.473000000002</v>
      </c>
      <c r="O28" s="46">
        <f t="shared" si="9"/>
        <v>-47303.284230000005</v>
      </c>
      <c r="P28" s="180"/>
      <c r="Q28" s="43">
        <f t="shared" ref="Q28:V28" si="10">+Q19+Q25</f>
        <v>-92707.445229999998</v>
      </c>
      <c r="R28" s="44">
        <f t="shared" si="10"/>
        <v>0</v>
      </c>
      <c r="S28" s="44">
        <f t="shared" si="10"/>
        <v>362</v>
      </c>
      <c r="T28" s="44">
        <f t="shared" si="10"/>
        <v>-1525</v>
      </c>
      <c r="U28" s="44">
        <f t="shared" si="10"/>
        <v>-600</v>
      </c>
      <c r="V28" s="45">
        <f t="shared" si="10"/>
        <v>-94470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114</v>
      </c>
      <c r="B30" s="35"/>
      <c r="C30" s="133">
        <v>0</v>
      </c>
      <c r="D30" s="36">
        <f>Expenses!E29</f>
        <v>26030</v>
      </c>
      <c r="E30" s="135">
        <f>C30-D30</f>
        <v>-26030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26630</v>
      </c>
      <c r="N30" s="36">
        <v>0</v>
      </c>
      <c r="O30" s="136">
        <f>J30-K30-M30-N30-L30</f>
        <v>-26630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104</v>
      </c>
      <c r="B31" s="35"/>
      <c r="C31" s="133">
        <v>0</v>
      </c>
      <c r="D31" s="36">
        <f>+'CapChrg-AllocExp'!L29</f>
        <v>-12836.473000000002</v>
      </c>
      <c r="E31" s="135">
        <f>C31-D31</f>
        <v>12836.473000000002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-13436.473000000002</v>
      </c>
      <c r="O31" s="136">
        <f>J31-K31-M31-N31-L31</f>
        <v>13436.473000000002</v>
      </c>
      <c r="P31" s="37"/>
      <c r="Q31" s="133">
        <f>+J31-C31</f>
        <v>0</v>
      </c>
      <c r="R31" s="36"/>
      <c r="S31" s="36">
        <v>0</v>
      </c>
      <c r="T31" s="36">
        <f>Expenses!F30</f>
        <v>0</v>
      </c>
      <c r="U31" s="36"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-1484</v>
      </c>
      <c r="E33" s="135">
        <f>C33-D33</f>
        <v>1484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-1122</v>
      </c>
      <c r="M33" s="36">
        <v>0</v>
      </c>
      <c r="N33" s="36">
        <v>0</v>
      </c>
      <c r="O33" s="136">
        <f>J33-K33-M33-N33-L33</f>
        <v>1122</v>
      </c>
      <c r="P33" s="37"/>
      <c r="Q33" s="133">
        <f>+J33-C33</f>
        <v>0</v>
      </c>
      <c r="R33" s="36"/>
      <c r="S33" s="36">
        <f>'CapChrg-AllocExp'!F28</f>
        <v>-362</v>
      </c>
      <c r="T33" s="36">
        <v>0</v>
      </c>
      <c r="U33" s="36">
        <v>0</v>
      </c>
      <c r="V33" s="135">
        <f>ROUND(SUM(Q33:U33),0)</f>
        <v>-362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78328.210999999996</v>
      </c>
      <c r="D35" s="44">
        <f>SUM(D28:D34)</f>
        <v>43390.577000000005</v>
      </c>
      <c r="E35" s="45">
        <f>SUM(E28:E34)</f>
        <v>34937.634000000005</v>
      </c>
      <c r="F35" s="36"/>
      <c r="G35" s="43">
        <f t="shared" ref="G35:N35" si="11">SUM(G28:G34)</f>
        <v>-14379.234230000002</v>
      </c>
      <c r="H35" s="44">
        <f t="shared" si="11"/>
        <v>0</v>
      </c>
      <c r="I35" s="44">
        <f t="shared" si="11"/>
        <v>0</v>
      </c>
      <c r="J35" s="46">
        <f t="shared" si="11"/>
        <v>-14379.234230000002</v>
      </c>
      <c r="K35" s="44">
        <f t="shared" si="11"/>
        <v>0</v>
      </c>
      <c r="L35" s="43">
        <f t="shared" si="11"/>
        <v>0</v>
      </c>
      <c r="M35" s="44">
        <f t="shared" si="11"/>
        <v>45515.577000000005</v>
      </c>
      <c r="N35" s="44">
        <f t="shared" si="11"/>
        <v>0</v>
      </c>
      <c r="O35" s="46">
        <f>J35-K35-M35-N35-L35</f>
        <v>-59894.811230000007</v>
      </c>
      <c r="P35" s="37"/>
      <c r="Q35" s="43">
        <f t="shared" ref="Q35:V35" si="12">SUM(Q28:Q34)</f>
        <v>-92707.445229999998</v>
      </c>
      <c r="R35" s="44">
        <f t="shared" si="12"/>
        <v>0</v>
      </c>
      <c r="S35" s="44">
        <f t="shared" si="12"/>
        <v>0</v>
      </c>
      <c r="T35" s="44">
        <f t="shared" si="12"/>
        <v>-2125</v>
      </c>
      <c r="U35" s="44">
        <f t="shared" si="12"/>
        <v>-600</v>
      </c>
      <c r="V35" s="45">
        <f t="shared" si="12"/>
        <v>-95432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-127+147-503-1876+645+1544</f>
        <v>-170</v>
      </c>
      <c r="E37" s="135">
        <f>C37-D37</f>
        <v>170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>
        <f>-127+240</f>
        <v>113</v>
      </c>
      <c r="N37" s="36">
        <v>0</v>
      </c>
      <c r="O37" s="136">
        <f>J37-K37-M37-N37-L37</f>
        <v>-113</v>
      </c>
      <c r="P37" s="37"/>
      <c r="Q37" s="133">
        <f>+J37-C37</f>
        <v>0</v>
      </c>
      <c r="R37" s="36"/>
      <c r="S37" s="36">
        <v>0</v>
      </c>
      <c r="T37" s="36">
        <f>D37-M37</f>
        <v>-283</v>
      </c>
      <c r="U37" s="36">
        <v>0</v>
      </c>
      <c r="V37" s="135">
        <f>ROUND(SUM(Q37:U37),0)</f>
        <v>-283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78328.210999999996</v>
      </c>
      <c r="D39" s="40">
        <f>SUM(D35:D37)</f>
        <v>43220.577000000005</v>
      </c>
      <c r="E39" s="41">
        <f>SUM(E35:E37)</f>
        <v>35107.634000000005</v>
      </c>
      <c r="F39" s="36"/>
      <c r="G39" s="39">
        <f t="shared" ref="G39:V39" si="13">SUM(G35:G37)</f>
        <v>-14379.234230000002</v>
      </c>
      <c r="H39" s="40">
        <f t="shared" si="13"/>
        <v>0</v>
      </c>
      <c r="I39" s="40">
        <f t="shared" si="13"/>
        <v>0</v>
      </c>
      <c r="J39" s="42">
        <f t="shared" si="13"/>
        <v>-14379.234230000002</v>
      </c>
      <c r="K39" s="40">
        <f t="shared" si="13"/>
        <v>0</v>
      </c>
      <c r="L39" s="39">
        <f t="shared" si="13"/>
        <v>0</v>
      </c>
      <c r="M39" s="40">
        <f t="shared" si="13"/>
        <v>45628.577000000005</v>
      </c>
      <c r="N39" s="40">
        <f t="shared" si="13"/>
        <v>0</v>
      </c>
      <c r="O39" s="42">
        <f>J39-K39-M39-N39-L39</f>
        <v>-60007.811230000007</v>
      </c>
      <c r="P39" s="37"/>
      <c r="Q39" s="39">
        <f t="shared" si="13"/>
        <v>-92707.445229999998</v>
      </c>
      <c r="R39" s="40">
        <f t="shared" si="13"/>
        <v>0</v>
      </c>
      <c r="S39" s="40">
        <f t="shared" si="13"/>
        <v>0</v>
      </c>
      <c r="T39" s="40">
        <f t="shared" si="13"/>
        <v>-2408</v>
      </c>
      <c r="U39" s="40">
        <f t="shared" si="13"/>
        <v>-600</v>
      </c>
      <c r="V39" s="41">
        <f t="shared" si="13"/>
        <v>-95715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zoomScaleNormal="100" workbookViewId="0">
      <selection activeCell="D40" sqref="D40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October 26,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-11582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-11582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-11582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1389</v>
      </c>
      <c r="D10" s="36">
        <f>+GrossMargin!E11-[3]GrossMargin!E11</f>
        <v>7.2457799999999821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1396.24578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1396.24578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162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162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162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-521.15899999999999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-521.15899999999999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-521.15899999999999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53">
        <f>+GrossMargin!D15-[3]GrossMargin!D15</f>
        <v>-82.260560000000169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-82.260560000000169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-82.260560000000169</v>
      </c>
    </row>
    <row r="15" spans="1:11" ht="13.5" hidden="1" customHeight="1">
      <c r="A15" s="242" t="s">
        <v>84</v>
      </c>
      <c r="B15" s="249"/>
      <c r="C15" s="253">
        <f>+GrossMargin!D16-[3]GrossMargin!D16</f>
        <v>-22.176000000000002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-22.176000000000002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-22.176000000000002</v>
      </c>
    </row>
    <row r="16" spans="1:11" ht="13.5" hidden="1" customHeight="1">
      <c r="A16" s="242" t="s">
        <v>82</v>
      </c>
      <c r="B16" s="249"/>
      <c r="C16" s="253">
        <f>+GrossMargin!D17-[3]GrossMargin!D17</f>
        <v>59.333749999999995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59.333749999999995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59.333749999999995</v>
      </c>
    </row>
    <row r="17" spans="1:11" ht="13.5" hidden="1" customHeight="1">
      <c r="A17" s="242" t="s">
        <v>83</v>
      </c>
      <c r="B17" s="249"/>
      <c r="C17" s="253">
        <f>+GrossMargin!D18-[3]GrossMargin!D18</f>
        <v>28.332500000000003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28.332500000000003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28.332500000000003</v>
      </c>
    </row>
    <row r="18" spans="1:11" ht="13.5" hidden="1" customHeight="1">
      <c r="A18" s="242" t="s">
        <v>85</v>
      </c>
      <c r="B18" s="249"/>
      <c r="C18" s="256">
        <f>+GrossMargin!D19-[3]GrossMargin!D19</f>
        <v>-16.3155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-16.3155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-16.3155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-33.085810000000173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-33.085810000000173</v>
      </c>
      <c r="I19" s="133">
        <f t="shared" si="2"/>
        <v>0</v>
      </c>
      <c r="J19" s="36">
        <f t="shared" si="2"/>
        <v>0</v>
      </c>
      <c r="K19" s="135">
        <f t="shared" si="2"/>
        <v>-33.085810000000173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-10585.24481</v>
      </c>
      <c r="D24" s="44">
        <f t="shared" si="3"/>
        <v>7.2457799999999821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-10577.999030000001</v>
      </c>
      <c r="I24" s="44">
        <f t="shared" si="3"/>
        <v>0</v>
      </c>
      <c r="J24" s="44">
        <f t="shared" si="3"/>
        <v>0</v>
      </c>
      <c r="K24" s="45">
        <f t="shared" si="3"/>
        <v>-10577.999030000001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722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722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722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116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722</v>
      </c>
      <c r="F30" s="44">
        <f t="shared" si="4"/>
        <v>0</v>
      </c>
      <c r="G30" s="45">
        <f t="shared" si="4"/>
        <v>0</v>
      </c>
      <c r="H30" s="46">
        <f t="shared" si="4"/>
        <v>722</v>
      </c>
      <c r="I30" s="44">
        <f t="shared" si="4"/>
        <v>0</v>
      </c>
      <c r="J30" s="44">
        <f t="shared" si="4"/>
        <v>0</v>
      </c>
      <c r="K30" s="45">
        <f t="shared" si="4"/>
        <v>722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-10585.24481</v>
      </c>
      <c r="D33" s="44">
        <f t="shared" ref="D33:K33" si="5">+D24+D30</f>
        <v>7.2457799999999821</v>
      </c>
      <c r="E33" s="44">
        <f t="shared" si="5"/>
        <v>722</v>
      </c>
      <c r="F33" s="44">
        <f t="shared" si="5"/>
        <v>0</v>
      </c>
      <c r="G33" s="45">
        <f t="shared" si="5"/>
        <v>0</v>
      </c>
      <c r="H33" s="46">
        <f t="shared" si="5"/>
        <v>-9855.9990300000009</v>
      </c>
      <c r="I33" s="44">
        <f t="shared" si="5"/>
        <v>0</v>
      </c>
      <c r="J33" s="44">
        <f t="shared" si="5"/>
        <v>0</v>
      </c>
      <c r="K33" s="45">
        <f t="shared" si="5"/>
        <v>-9855.9990300000009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-10585.24481</v>
      </c>
      <c r="D37" s="40">
        <f>SUM(D33:D35)</f>
        <v>7.2457799999999821</v>
      </c>
      <c r="E37" s="40">
        <f>SUM(E33:E36)</f>
        <v>722</v>
      </c>
      <c r="F37" s="40">
        <f>SUM(F33:F35)</f>
        <v>0</v>
      </c>
      <c r="G37" s="41">
        <f>SUM(G33:G35)</f>
        <v>0</v>
      </c>
      <c r="H37" s="39">
        <f>SUM(C37:G37)</f>
        <v>-9855.9990300000009</v>
      </c>
      <c r="I37" s="39">
        <f>SUM(I33:I35)</f>
        <v>0</v>
      </c>
      <c r="J37" s="40">
        <f>SUM(J33:J35)</f>
        <v>0</v>
      </c>
      <c r="K37" s="41">
        <f>SUM(H37:J37)</f>
        <v>-9855.9990300000009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8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6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5"/>
  <sheetViews>
    <sheetView topLeftCell="B1" zoomScaleNormal="100" workbookViewId="0">
      <selection activeCell="B15" sqref="A15:IV19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October 26,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117"/>
      <c r="F7" s="27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-16704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-16704</v>
      </c>
      <c r="J10" s="137"/>
      <c r="K10" s="36">
        <v>0</v>
      </c>
      <c r="L10" s="36">
        <f>+I10+K10</f>
        <v>-16704</v>
      </c>
      <c r="M10" s="257">
        <v>30000</v>
      </c>
      <c r="N10" s="135">
        <f t="shared" ref="N10:N29" si="1">L10-M10</f>
        <v>-46704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3760</v>
      </c>
      <c r="E11" s="140">
        <f>340.46511-262.70853</f>
        <v>77.756579999999985</v>
      </c>
      <c r="F11" s="140">
        <v>79.724000000000004</v>
      </c>
      <c r="G11" s="140">
        <v>0</v>
      </c>
      <c r="H11" s="138">
        <v>0</v>
      </c>
      <c r="I11" s="136">
        <f t="shared" si="0"/>
        <v>3917.4805800000004</v>
      </c>
      <c r="J11" s="137"/>
      <c r="K11" s="36">
        <v>0</v>
      </c>
      <c r="L11" s="36">
        <f t="shared" ref="L11:L29" si="2">+I11+K11</f>
        <v>3917.4805800000004</v>
      </c>
      <c r="M11" s="257">
        <f>ROUND(_xll.HPVAL($A11,$A$1,$A$2,$A$3,$A$4,$A$6)/1000,1)</f>
        <v>12747.2</v>
      </c>
      <c r="N11" s="135">
        <f t="shared" si="1"/>
        <v>-8829.7194200000013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664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664</v>
      </c>
      <c r="J12" s="137"/>
      <c r="K12" s="36">
        <v>0</v>
      </c>
      <c r="L12" s="36">
        <f t="shared" si="2"/>
        <v>664</v>
      </c>
      <c r="M12" s="257">
        <f>ROUND(_xll.HPVAL($A12,$A$1,$A$2,$A$3,$A$4,$A$6)/1000,1)</f>
        <v>750</v>
      </c>
      <c r="N12" s="135">
        <f t="shared" si="1"/>
        <v>-86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163.37100000000001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163.37100000000001</v>
      </c>
      <c r="J13" s="137"/>
      <c r="K13" s="36">
        <v>0</v>
      </c>
      <c r="L13" s="36">
        <f t="shared" si="2"/>
        <v>163.37100000000001</v>
      </c>
      <c r="M13" s="257">
        <f>ROUND(_xll.HPVAL($A13,$A$1,$A$2,$A$3,$A$4,$A$6)/1000,1)</f>
        <v>3214.8</v>
      </c>
      <c r="N13" s="135">
        <f t="shared" si="1"/>
        <v>-3051.4290000000001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>
        <f>ROUND(_xll.HPVAL($A14,$A$1,$A$2,$A$3,$A$4,$A$6)/1000,0)</f>
        <v>7712</v>
      </c>
      <c r="N14" s="135">
        <f t="shared" si="1"/>
        <v>-7712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-1772.2605600000002</v>
      </c>
      <c r="E15" s="245">
        <v>0</v>
      </c>
      <c r="F15" s="245">
        <v>0</v>
      </c>
      <c r="G15" s="246">
        <v>0</v>
      </c>
      <c r="H15" s="247">
        <v>0</v>
      </c>
      <c r="I15" s="248">
        <f t="shared" si="0"/>
        <v>-1772.2605600000002</v>
      </c>
      <c r="J15" s="246"/>
      <c r="K15" s="246">
        <v>0</v>
      </c>
      <c r="L15" s="36">
        <f t="shared" si="2"/>
        <v>-1772.2605600000002</v>
      </c>
      <c r="M15" s="257">
        <v>0</v>
      </c>
      <c r="N15" s="247">
        <f>L15-M15</f>
        <v>-1772.2605600000002</v>
      </c>
    </row>
    <row r="16" spans="1:16" ht="13.5" hidden="1" customHeight="1">
      <c r="B16" s="242" t="s">
        <v>84</v>
      </c>
      <c r="C16" s="243"/>
      <c r="D16" s="244">
        <v>-80.176000000000002</v>
      </c>
      <c r="E16" s="245">
        <v>0</v>
      </c>
      <c r="F16" s="245">
        <v>0</v>
      </c>
      <c r="G16" s="246">
        <v>0</v>
      </c>
      <c r="H16" s="247">
        <v>0</v>
      </c>
      <c r="I16" s="248">
        <f t="shared" si="0"/>
        <v>-80.176000000000002</v>
      </c>
      <c r="J16" s="246"/>
      <c r="K16" s="246">
        <v>0</v>
      </c>
      <c r="L16" s="36">
        <f t="shared" si="2"/>
        <v>-80.176000000000002</v>
      </c>
      <c r="M16" s="265">
        <v>0</v>
      </c>
      <c r="N16" s="247">
        <f>L16-M16</f>
        <v>-80.176000000000002</v>
      </c>
    </row>
    <row r="17" spans="1:15" ht="13.5" hidden="1" customHeight="1">
      <c r="B17" s="242" t="s">
        <v>82</v>
      </c>
      <c r="C17" s="243"/>
      <c r="D17" s="244">
        <v>65.333749999999995</v>
      </c>
      <c r="E17" s="245">
        <v>0</v>
      </c>
      <c r="F17" s="245">
        <v>0</v>
      </c>
      <c r="G17" s="246">
        <v>0</v>
      </c>
      <c r="H17" s="247">
        <v>0</v>
      </c>
      <c r="I17" s="248">
        <f t="shared" si="0"/>
        <v>65.333749999999995</v>
      </c>
      <c r="J17" s="246"/>
      <c r="K17" s="246">
        <v>0</v>
      </c>
      <c r="L17" s="36">
        <f t="shared" si="2"/>
        <v>65.333749999999995</v>
      </c>
      <c r="M17" s="265">
        <v>0</v>
      </c>
      <c r="N17" s="247">
        <f t="shared" si="1"/>
        <v>65.333749999999995</v>
      </c>
      <c r="O17" s="166"/>
    </row>
    <row r="18" spans="1:15" ht="13.5" hidden="1" customHeight="1">
      <c r="B18" s="242" t="s">
        <v>83</v>
      </c>
      <c r="C18" s="243"/>
      <c r="D18" s="244">
        <v>56.332500000000003</v>
      </c>
      <c r="E18" s="245">
        <v>0</v>
      </c>
      <c r="F18" s="245">
        <v>0</v>
      </c>
      <c r="G18" s="246">
        <v>0</v>
      </c>
      <c r="H18" s="247">
        <v>0</v>
      </c>
      <c r="I18" s="248">
        <f t="shared" si="0"/>
        <v>56.332500000000003</v>
      </c>
      <c r="J18" s="246"/>
      <c r="K18" s="246">
        <v>0</v>
      </c>
      <c r="L18" s="36">
        <f t="shared" si="2"/>
        <v>56.332500000000003</v>
      </c>
      <c r="M18" s="265">
        <v>0</v>
      </c>
      <c r="N18" s="247">
        <f t="shared" si="1"/>
        <v>56.332500000000003</v>
      </c>
    </row>
    <row r="19" spans="1:15" ht="13.5" hidden="1" customHeight="1">
      <c r="B19" s="242" t="s">
        <v>85</v>
      </c>
      <c r="C19" s="243"/>
      <c r="D19" s="252">
        <v>-33.3155</v>
      </c>
      <c r="E19" s="264">
        <v>0</v>
      </c>
      <c r="F19" s="264">
        <v>0</v>
      </c>
      <c r="G19" s="266">
        <v>0</v>
      </c>
      <c r="H19" s="267">
        <v>0</v>
      </c>
      <c r="I19" s="276">
        <f t="shared" si="0"/>
        <v>-33.3155</v>
      </c>
      <c r="J19" s="266"/>
      <c r="K19" s="266">
        <v>0</v>
      </c>
      <c r="L19" s="277">
        <f t="shared" si="2"/>
        <v>-33.3155</v>
      </c>
      <c r="M19" s="278">
        <v>0</v>
      </c>
      <c r="N19" s="267">
        <f>L19-M19</f>
        <v>-33.3155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-1764.08581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-1764.08581</v>
      </c>
      <c r="J20" s="137"/>
      <c r="K20" s="36">
        <f>SUM(K15:K19)</f>
        <v>0</v>
      </c>
      <c r="L20" s="36">
        <f t="shared" si="2"/>
        <v>-1764.08581</v>
      </c>
      <c r="M20" s="257">
        <f>33848.881-22365.668-2500.002</f>
        <v>8983.2109999999993</v>
      </c>
      <c r="N20" s="135">
        <f>L20-M20</f>
        <v>-10747.29681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3">
        <v>0</v>
      </c>
      <c r="E22" s="36">
        <v>0</v>
      </c>
      <c r="F22" s="36">
        <v>0</v>
      </c>
      <c r="G22" s="36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3">
        <v>0</v>
      </c>
      <c r="E23" s="36">
        <v>0</v>
      </c>
      <c r="F23" s="36">
        <v>0</v>
      </c>
      <c r="G23" s="36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3"/>
      <c r="E24" s="36"/>
      <c r="F24" s="36"/>
      <c r="G24" s="36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-13880.714810000001</v>
      </c>
      <c r="E25" s="44">
        <f t="shared" ref="E25:N25" si="4">+E10+E11+E12+E13+E14+E20+E21+E22+E23</f>
        <v>77.756579999999985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-13723.234230000002</v>
      </c>
      <c r="J25" s="44">
        <f t="shared" si="4"/>
        <v>0</v>
      </c>
      <c r="K25" s="44">
        <f t="shared" si="4"/>
        <v>0</v>
      </c>
      <c r="L25" s="44">
        <f t="shared" si="4"/>
        <v>-13723.234230000002</v>
      </c>
      <c r="M25" s="45">
        <f t="shared" si="4"/>
        <v>73507.210999999996</v>
      </c>
      <c r="N25" s="45">
        <f t="shared" si="4"/>
        <v>-87230.445229999998</v>
      </c>
    </row>
    <row r="26" spans="1:15" ht="3" customHeight="1">
      <c r="B26" s="107"/>
      <c r="C26" s="34"/>
      <c r="D26" s="133"/>
      <c r="E26" s="36"/>
      <c r="F26" s="36"/>
      <c r="G26" s="36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f>-517+652</f>
        <v>135</v>
      </c>
      <c r="G28" s="140">
        <v>0</v>
      </c>
      <c r="H28" s="138">
        <v>0</v>
      </c>
      <c r="I28" s="136">
        <f>SUM(D28:H28)</f>
        <v>135</v>
      </c>
      <c r="J28" s="137"/>
      <c r="K28" s="36">
        <v>0</v>
      </c>
      <c r="L28" s="36">
        <f t="shared" si="2"/>
        <v>135</v>
      </c>
      <c r="M28" s="138">
        <v>3965</v>
      </c>
      <c r="N28" s="135">
        <f t="shared" si="1"/>
        <v>-3830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-813+240+503+1876-645-1518</f>
        <v>-357</v>
      </c>
      <c r="G29" s="140">
        <v>0</v>
      </c>
      <c r="H29" s="138">
        <v>0</v>
      </c>
      <c r="I29" s="136">
        <f>SUM(D29:H29)</f>
        <v>-357</v>
      </c>
      <c r="J29" s="137"/>
      <c r="K29" s="36">
        <v>0</v>
      </c>
      <c r="L29" s="36">
        <f t="shared" si="2"/>
        <v>-357</v>
      </c>
      <c r="M29" s="257">
        <f>85+147</f>
        <v>232</v>
      </c>
      <c r="N29" s="135">
        <f t="shared" si="1"/>
        <v>-589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115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-136</v>
      </c>
      <c r="G31" s="44">
        <f t="shared" si="5"/>
        <v>0</v>
      </c>
      <c r="H31" s="45">
        <f t="shared" si="5"/>
        <v>0</v>
      </c>
      <c r="I31" s="46">
        <f t="shared" si="5"/>
        <v>-136</v>
      </c>
      <c r="J31" s="44">
        <f t="shared" si="5"/>
        <v>0</v>
      </c>
      <c r="K31" s="44">
        <f t="shared" si="5"/>
        <v>0</v>
      </c>
      <c r="L31" s="44">
        <f t="shared" si="5"/>
        <v>-136</v>
      </c>
      <c r="M31" s="45">
        <f t="shared" si="5"/>
        <v>5341</v>
      </c>
      <c r="N31" s="45">
        <f t="shared" si="5"/>
        <v>-5477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-13880.714810000001</v>
      </c>
      <c r="E34" s="44">
        <f t="shared" ref="E34:N34" si="6">+E25+E31</f>
        <v>77.756579999999985</v>
      </c>
      <c r="F34" s="44">
        <f t="shared" si="6"/>
        <v>-56.275999999999996</v>
      </c>
      <c r="G34" s="44">
        <f t="shared" si="6"/>
        <v>0</v>
      </c>
      <c r="H34" s="45">
        <f t="shared" si="6"/>
        <v>0</v>
      </c>
      <c r="I34" s="46">
        <f t="shared" si="6"/>
        <v>-13859.234230000002</v>
      </c>
      <c r="J34" s="44">
        <f t="shared" si="6"/>
        <v>0</v>
      </c>
      <c r="K34" s="44">
        <f t="shared" si="6"/>
        <v>0</v>
      </c>
      <c r="L34" s="44">
        <f t="shared" si="6"/>
        <v>-13859.234230000002</v>
      </c>
      <c r="M34" s="45">
        <f t="shared" si="6"/>
        <v>78848.210999999996</v>
      </c>
      <c r="N34" s="45">
        <f t="shared" si="6"/>
        <v>-92707.445229999998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-13880.714810000001</v>
      </c>
      <c r="E38" s="40">
        <f>+E34+E36</f>
        <v>77.756579999999985</v>
      </c>
      <c r="F38" s="40">
        <f>+F34+F36</f>
        <v>-56.275999999999996</v>
      </c>
      <c r="G38" s="40">
        <f>+G34+G36</f>
        <v>-520</v>
      </c>
      <c r="H38" s="41">
        <f>+H34+H36</f>
        <v>0</v>
      </c>
      <c r="I38" s="42">
        <f>SUM(I34:I36)</f>
        <v>-14379.234230000002</v>
      </c>
      <c r="J38" s="40">
        <f>SUM(J34:J36)</f>
        <v>0</v>
      </c>
      <c r="K38" s="39">
        <f>+K34+K36</f>
        <v>0</v>
      </c>
      <c r="L38" s="40">
        <f>+L34+L36</f>
        <v>-14379.234230000002</v>
      </c>
      <c r="M38" s="41">
        <f>+M34+M36</f>
        <v>78328.210999999996</v>
      </c>
      <c r="N38" s="41">
        <f>SUM(N34:N36)</f>
        <v>-92707.445229999998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P18" sqref="P18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297" t="s">
        <v>70</v>
      </c>
      <c r="C2" s="297"/>
      <c r="D2" s="297"/>
      <c r="E2" s="297"/>
      <c r="F2" s="297"/>
      <c r="G2" s="297"/>
      <c r="H2" s="297"/>
      <c r="I2" s="297"/>
      <c r="J2" s="297"/>
      <c r="K2" s="297"/>
      <c r="Q2" t="s">
        <v>59</v>
      </c>
    </row>
    <row r="3" spans="1:37" ht="13.8">
      <c r="A3" s="11">
        <v>36861</v>
      </c>
      <c r="B3" s="298" t="s">
        <v>95</v>
      </c>
      <c r="C3" s="298"/>
      <c r="D3" s="298"/>
      <c r="E3" s="298"/>
      <c r="F3" s="298"/>
      <c r="G3" s="298"/>
      <c r="H3" s="298"/>
      <c r="I3" s="298"/>
      <c r="J3" s="298"/>
      <c r="K3" s="298"/>
    </row>
    <row r="4" spans="1:37">
      <c r="A4" s="10" t="s">
        <v>22</v>
      </c>
      <c r="B4" s="299" t="str">
        <f>+GrossMargin!B4</f>
        <v>Results based on activity through October 26, 2000</v>
      </c>
      <c r="C4" s="299"/>
      <c r="D4" s="299"/>
      <c r="E4" s="299"/>
      <c r="F4" s="299"/>
      <c r="G4" s="299"/>
      <c r="H4" s="299"/>
      <c r="I4" s="299"/>
      <c r="J4" s="299"/>
      <c r="K4" s="299"/>
    </row>
    <row r="5" spans="1:37" ht="3" customHeight="1"/>
    <row r="6" spans="1:37" s="50" customFormat="1" ht="12">
      <c r="A6" s="10" t="s">
        <v>47</v>
      </c>
      <c r="B6" s="124"/>
      <c r="D6" s="291" t="s">
        <v>26</v>
      </c>
      <c r="E6" s="292"/>
      <c r="F6" s="293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94" t="s">
        <v>39</v>
      </c>
      <c r="I7" s="295"/>
      <c r="J7" s="295"/>
      <c r="K7" s="29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</f>
        <v>1224.0999999999999</v>
      </c>
      <c r="E11" s="173">
        <f>ROUND(_xll.HPVAL($A11,$A$1,$A$2,$A$3,$A$4,$A$6)/1000,1)</f>
        <v>104.1</v>
      </c>
      <c r="F11" s="143">
        <f t="shared" si="0"/>
        <v>-1120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</f>
        <v>1643.5</v>
      </c>
      <c r="E13" s="173">
        <f>ROUND(_xll.HPVAL($A13,$A$1,$A$2,$A$3,$A$4,$A$6)/1000,1)</f>
        <v>1643.5</v>
      </c>
      <c r="F13" s="143">
        <f t="shared" si="0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350</v>
      </c>
      <c r="E16" s="142">
        <v>0</v>
      </c>
      <c r="F16" s="143">
        <f>E16-D16</f>
        <v>-350</v>
      </c>
      <c r="G16" s="52"/>
      <c r="H16" s="14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117</v>
      </c>
      <c r="C18" s="50"/>
      <c r="D18" s="56">
        <f>SUM(D9:D17)</f>
        <v>14908.577000000001</v>
      </c>
      <c r="E18" s="57">
        <f>SUM(E9:E17)</f>
        <v>12838.577000000001</v>
      </c>
      <c r="F18" s="183">
        <f>SUM(F9:F17)</f>
        <v>-2070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+E20</f>
        <v>1385</v>
      </c>
      <c r="E20" s="173">
        <v>1385</v>
      </c>
      <c r="F20" s="177">
        <f>E20-D20</f>
        <v>0</v>
      </c>
      <c r="G20" s="52"/>
      <c r="H20" s="251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f>+E21</f>
        <v>1536</v>
      </c>
      <c r="E21" s="173">
        <v>1536</v>
      </c>
      <c r="F21" s="177">
        <f>E21-D21</f>
        <v>0</v>
      </c>
      <c r="G21" s="52"/>
      <c r="H21" s="251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3977</v>
      </c>
      <c r="E24" s="57">
        <f>SUM(E20:E23)</f>
        <v>4522</v>
      </c>
      <c r="F24" s="183">
        <f>SUM(F20:F23)</f>
        <v>545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18885.577000000001</v>
      </c>
      <c r="E27" s="57">
        <f>+E18+E24</f>
        <v>17360.577000000001</v>
      </c>
      <c r="F27" s="183">
        <f>+F18+F24</f>
        <v>-1525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</f>
        <v>26630</v>
      </c>
      <c r="E29" s="142">
        <v>26030</v>
      </c>
      <c r="F29" s="143">
        <f>E29-D29</f>
        <v>-600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45515.577000000005</v>
      </c>
      <c r="E32" s="48">
        <f>SUM(E27:E30)</f>
        <v>43390.577000000005</v>
      </c>
      <c r="F32" s="49">
        <f>SUM(F27:F30)</f>
        <v>-2125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00" t="s">
        <v>49</v>
      </c>
      <c r="E35" s="301"/>
      <c r="F35" s="302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288" t="s">
        <v>39</v>
      </c>
      <c r="I36" s="289"/>
      <c r="J36" s="289"/>
      <c r="K36" s="290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H42" sqref="H42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297" t="s">
        <v>70</v>
      </c>
      <c r="B2" s="297"/>
      <c r="C2" s="297"/>
      <c r="D2" s="297"/>
      <c r="E2" s="297"/>
      <c r="F2" s="297"/>
      <c r="G2" s="297"/>
      <c r="H2" s="297"/>
      <c r="I2" s="297"/>
      <c r="J2" s="297"/>
    </row>
    <row r="3" spans="1:33" ht="13.8">
      <c r="A3" s="298" t="s">
        <v>96</v>
      </c>
      <c r="B3" s="298"/>
      <c r="C3" s="298"/>
      <c r="D3" s="298"/>
      <c r="E3" s="298"/>
      <c r="F3" s="298"/>
      <c r="G3" s="298"/>
      <c r="H3" s="298"/>
      <c r="I3" s="298"/>
      <c r="J3" s="298"/>
    </row>
    <row r="4" spans="1:33">
      <c r="A4" s="299" t="str">
        <f>+Expenses!B4</f>
        <v>Results based on activity through October 26, 2000</v>
      </c>
      <c r="B4" s="299"/>
      <c r="C4" s="299"/>
      <c r="D4" s="299"/>
      <c r="E4" s="299"/>
      <c r="F4" s="299"/>
      <c r="G4" s="299"/>
      <c r="H4" s="299"/>
      <c r="I4" s="299"/>
      <c r="J4" s="299"/>
    </row>
    <row r="5" spans="1:33" ht="3" customHeight="1"/>
    <row r="6" spans="1:33" s="31" customFormat="1">
      <c r="A6" s="124"/>
      <c r="B6" s="50"/>
      <c r="C6" s="291" t="s">
        <v>26</v>
      </c>
      <c r="D6" s="292"/>
      <c r="E6" s="293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94" t="s">
        <v>39</v>
      </c>
      <c r="H7" s="295"/>
      <c r="I7" s="295"/>
      <c r="J7" s="29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0</v>
      </c>
      <c r="D11" s="142">
        <f>+Expenses!E11-[3]Expenses!E11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0</v>
      </c>
      <c r="D13" s="142">
        <f>+Expenses!E13-[3]Expenses!E13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117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8</v>
      </c>
      <c r="D20" s="142">
        <f>+Expenses!E20-[3]Expenses!E20</f>
        <v>0</v>
      </c>
      <c r="E20" s="143">
        <f>D20-C20</f>
        <v>-8</v>
      </c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-2</v>
      </c>
      <c r="D21" s="142">
        <f>+Expenses!E21-[3]Expenses!E21</f>
        <v>0</v>
      </c>
      <c r="E21" s="143">
        <f>D21-C21</f>
        <v>2</v>
      </c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441</v>
      </c>
      <c r="D22" s="142">
        <f>+Expenses!E22-[3]Expenses!E22</f>
        <v>0</v>
      </c>
      <c r="E22" s="143">
        <f>D22-C22</f>
        <v>-441</v>
      </c>
      <c r="F22" s="52"/>
      <c r="G22" s="251" t="s">
        <v>119</v>
      </c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447</v>
      </c>
      <c r="D24" s="48">
        <f>SUM(D20:D23)</f>
        <v>0</v>
      </c>
      <c r="E24" s="49">
        <f>SUM(E20:E23)</f>
        <v>-447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447</v>
      </c>
      <c r="D27" s="48">
        <f>+D18+D24</f>
        <v>0</v>
      </c>
      <c r="E27" s="49">
        <f>+E18+E24</f>
        <v>-447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0</v>
      </c>
      <c r="D29" s="142">
        <f>+Expenses!E29-[3]Expenses!E29</f>
        <v>0</v>
      </c>
      <c r="E29" s="143">
        <f>D29-C29</f>
        <v>0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447</v>
      </c>
      <c r="D32" s="48">
        <f>SUM(D27:D30)</f>
        <v>0</v>
      </c>
      <c r="E32" s="49">
        <f>SUM(E27:E30)</f>
        <v>-447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291" t="s">
        <v>49</v>
      </c>
      <c r="D35" s="292"/>
      <c r="E35" s="293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294" t="s">
        <v>39</v>
      </c>
      <c r="H36" s="295"/>
      <c r="I36" s="295"/>
      <c r="J36" s="296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P18" sqref="P18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297" t="s">
        <v>70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t="s">
        <v>59</v>
      </c>
    </row>
    <row r="3" spans="1:20" ht="13.8">
      <c r="A3" s="10" t="s">
        <v>31</v>
      </c>
      <c r="B3" s="298" t="s">
        <v>97</v>
      </c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</row>
    <row r="4" spans="1:20">
      <c r="A4" s="11">
        <v>36861</v>
      </c>
      <c r="B4" s="299" t="str">
        <f>'Mgmt Summary'!A3</f>
        <v>Results based on activity through October 26, 2000</v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94" t="s">
        <v>32</v>
      </c>
      <c r="E7" s="295"/>
      <c r="F7" s="295"/>
      <c r="G7" s="295"/>
      <c r="H7" s="295"/>
      <c r="I7" s="296"/>
      <c r="J7" s="50"/>
      <c r="K7" s="294" t="s">
        <v>55</v>
      </c>
      <c r="L7" s="295"/>
      <c r="M7" s="295"/>
      <c r="N7" s="295"/>
      <c r="O7" s="295"/>
      <c r="P7" s="296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03" t="s">
        <v>33</v>
      </c>
      <c r="H8" s="304"/>
      <c r="I8" s="305"/>
      <c r="J8" s="50"/>
      <c r="K8" s="86" t="s">
        <v>6</v>
      </c>
      <c r="L8" s="87" t="s">
        <v>8</v>
      </c>
      <c r="M8" s="74" t="s">
        <v>12</v>
      </c>
      <c r="N8" s="291" t="s">
        <v>33</v>
      </c>
      <c r="O8" s="292"/>
      <c r="P8" s="293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117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13436.473000000002</v>
      </c>
      <c r="L17" s="57">
        <f>SUM(L10:L16)</f>
        <v>12836.473000000002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v>-188</v>
      </c>
      <c r="E18" s="173">
        <f>-10-5</f>
        <v>-15</v>
      </c>
      <c r="F18" s="174">
        <f>E18-D18</f>
        <v>173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0</v>
      </c>
      <c r="F20" s="174">
        <f>E20-D20</f>
        <v>0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464</v>
      </c>
      <c r="E22" s="57">
        <f>SUM(E18:E21)</f>
        <v>637</v>
      </c>
      <c r="F22" s="57">
        <f>SUM(F18:F21)</f>
        <v>173</v>
      </c>
      <c r="G22" s="54"/>
      <c r="H22" s="54"/>
      <c r="I22" s="55"/>
      <c r="J22" s="50"/>
      <c r="K22" s="56">
        <f>SUM(K17:K20)</f>
        <v>13436.473000000002</v>
      </c>
      <c r="L22" s="57">
        <f>SUM(L17:L20)</f>
        <v>12836.473000000002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173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1122</v>
      </c>
      <c r="E26" s="57">
        <f>+E17+E22</f>
        <v>1484</v>
      </c>
      <c r="F26" s="57">
        <f>+F17+F22</f>
        <v>362</v>
      </c>
      <c r="G26" s="54"/>
      <c r="H26" s="54"/>
      <c r="I26" s="55"/>
      <c r="J26" s="50"/>
      <c r="K26" s="56">
        <f>+K22+K24</f>
        <v>13436.473000000002</v>
      </c>
      <c r="L26" s="57">
        <f>+L22+L24</f>
        <v>12836.473000000002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-1122</v>
      </c>
      <c r="E28" s="142">
        <f>-(E26)</f>
        <v>-1484</v>
      </c>
      <c r="F28" s="158">
        <f>E28-D28</f>
        <v>-362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-13436.473000000002</v>
      </c>
      <c r="L29" s="142">
        <f>-L26</f>
        <v>-12836.473000000002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09" t="s">
        <v>70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</row>
    <row r="2" spans="1:40" ht="13.8">
      <c r="A2" s="10" t="s">
        <v>45</v>
      </c>
      <c r="B2" s="310" t="s">
        <v>67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</row>
    <row r="3" spans="1:40">
      <c r="A3" s="10" t="s">
        <v>46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06" t="s">
        <v>65</v>
      </c>
      <c r="E6" s="307"/>
      <c r="F6" s="308"/>
      <c r="G6" s="1"/>
      <c r="H6" s="306" t="s">
        <v>66</v>
      </c>
      <c r="I6" s="307"/>
      <c r="J6" s="308"/>
      <c r="K6" s="1"/>
      <c r="L6" s="306" t="s">
        <v>38</v>
      </c>
      <c r="M6" s="307"/>
      <c r="N6" s="30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2000-10-27T16:50:45Z</cp:lastPrinted>
  <dcterms:created xsi:type="dcterms:W3CDTF">1999-10-18T12:36:30Z</dcterms:created>
  <dcterms:modified xsi:type="dcterms:W3CDTF">2023-09-10T15:24:17Z</dcterms:modified>
</cp:coreProperties>
</file>