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048" tabRatio="794"/>
  </bookViews>
  <sheets>
    <sheet name="Consol" sheetId="8" r:id="rId1"/>
    <sheet name="East" sheetId="1" state="hidden" r:id="rId2"/>
    <sheet name="West" sheetId="9" state="hidden" r:id="rId3"/>
    <sheet name="Downstream" sheetId="10" state="hidden" r:id="rId4"/>
    <sheet name="Generation" sheetId="11" state="hidden" r:id="rId5"/>
    <sheet name="Coal" sheetId="19" state="hidden" r:id="rId6"/>
    <sheet name="Canada" sheetId="20" state="hidden" r:id="rId7"/>
    <sheet name="New Products" sheetId="12" state="hidden" r:id="rId8"/>
    <sheet name="Mexico" sheetId="13" state="hidden" r:id="rId9"/>
    <sheet name=" Upstream Originations" sheetId="22" state="hidden" r:id="rId10"/>
    <sheet name="HPL&amp;LRC" sheetId="23" state="hidden" r:id="rId11"/>
    <sheet name="Principal Investing" sheetId="15" state="hidden" r:id="rId12"/>
    <sheet name="Energy Capital Res." sheetId="16" state="hidden" r:id="rId13"/>
    <sheet name="CTG Assets" sheetId="17" state="hidden" r:id="rId14"/>
    <sheet name="Chairman" sheetId="21" state="hidden" r:id="rId15"/>
  </sheets>
  <externalReferences>
    <externalReference r:id="rId16"/>
    <externalReference r:id="rId17"/>
  </externalReferences>
  <definedNames>
    <definedName name="_xlnm.Print_Area" localSheetId="0">Consol!$A$1:$T$71</definedName>
    <definedName name="_xlnm.Print_Area" localSheetId="8">Mexico!$1:$1048576</definedName>
  </definedNames>
  <calcPr calcId="0" fullCalcOnLoad="1"/>
</workbook>
</file>

<file path=xl/calcChain.xml><?xml version="1.0" encoding="utf-8"?>
<calcChain xmlns="http://schemas.openxmlformats.org/spreadsheetml/2006/main">
  <c r="D13" i="22" l="1"/>
  <c r="E13" i="22"/>
  <c r="F13" i="22"/>
  <c r="G13" i="22"/>
  <c r="H13" i="22"/>
  <c r="I13" i="22"/>
  <c r="J13" i="22"/>
  <c r="K13" i="22"/>
  <c r="L13" i="22"/>
  <c r="M13" i="22"/>
  <c r="N13" i="22"/>
  <c r="H14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F39" i="22"/>
  <c r="G39" i="22"/>
  <c r="O39" i="22"/>
  <c r="P39" i="22"/>
  <c r="F40" i="22"/>
  <c r="P40" i="22"/>
  <c r="O41" i="22"/>
  <c r="P41" i="22"/>
  <c r="B42" i="22"/>
  <c r="C42" i="22"/>
  <c r="E42" i="22"/>
  <c r="F42" i="22"/>
  <c r="I42" i="22"/>
  <c r="J42" i="22"/>
  <c r="L42" i="22"/>
  <c r="M42" i="22"/>
  <c r="O42" i="22"/>
  <c r="P42" i="22"/>
  <c r="R42" i="22"/>
  <c r="S42" i="22"/>
  <c r="F43" i="22"/>
  <c r="J43" i="22"/>
  <c r="M43" i="22"/>
  <c r="P43" i="22"/>
  <c r="S43" i="22"/>
  <c r="B44" i="22"/>
  <c r="E44" i="22"/>
  <c r="I44" i="22"/>
  <c r="L44" i="22"/>
  <c r="O44" i="22"/>
  <c r="R44" i="22"/>
  <c r="D13" i="20"/>
  <c r="E13" i="20"/>
  <c r="F13" i="20"/>
  <c r="G13" i="20"/>
  <c r="H13" i="20"/>
  <c r="I13" i="20"/>
  <c r="J13" i="20"/>
  <c r="K13" i="20"/>
  <c r="L13" i="20"/>
  <c r="M13" i="20"/>
  <c r="N13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D22" i="20"/>
  <c r="E22" i="20"/>
  <c r="O22" i="20"/>
  <c r="O23" i="20"/>
  <c r="O24" i="20"/>
  <c r="O25" i="20"/>
  <c r="O26" i="20"/>
  <c r="C27" i="20"/>
  <c r="D27" i="20"/>
  <c r="E27" i="20"/>
  <c r="F27" i="20"/>
  <c r="H27" i="20"/>
  <c r="I27" i="20"/>
  <c r="J27" i="20"/>
  <c r="K27" i="20"/>
  <c r="L27" i="20"/>
  <c r="M27" i="20"/>
  <c r="N27" i="20"/>
  <c r="O27" i="20"/>
  <c r="C29" i="20"/>
  <c r="D29" i="20"/>
  <c r="E29" i="20"/>
  <c r="O29" i="20"/>
  <c r="F39" i="20"/>
  <c r="G39" i="20"/>
  <c r="O39" i="20"/>
  <c r="P39" i="20"/>
  <c r="F40" i="20"/>
  <c r="P40" i="20"/>
  <c r="O41" i="20"/>
  <c r="P41" i="20"/>
  <c r="B42" i="20"/>
  <c r="C42" i="20"/>
  <c r="E42" i="20"/>
  <c r="F42" i="20"/>
  <c r="I42" i="20"/>
  <c r="J42" i="20"/>
  <c r="L42" i="20"/>
  <c r="M42" i="20"/>
  <c r="O42" i="20"/>
  <c r="P42" i="20"/>
  <c r="R42" i="20"/>
  <c r="S42" i="20"/>
  <c r="F43" i="20"/>
  <c r="J43" i="20"/>
  <c r="M43" i="20"/>
  <c r="P43" i="20"/>
  <c r="S43" i="20"/>
  <c r="B44" i="20"/>
  <c r="E44" i="20"/>
  <c r="I44" i="20"/>
  <c r="L44" i="20"/>
  <c r="O44" i="20"/>
  <c r="R44" i="20"/>
  <c r="D13" i="21"/>
  <c r="E13" i="21"/>
  <c r="F13" i="21"/>
  <c r="G13" i="21"/>
  <c r="H13" i="21"/>
  <c r="I13" i="21"/>
  <c r="J13" i="21"/>
  <c r="K13" i="21"/>
  <c r="L13" i="21"/>
  <c r="M13" i="21"/>
  <c r="N13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D22" i="21"/>
  <c r="E22" i="21"/>
  <c r="O22" i="21"/>
  <c r="O23" i="21"/>
  <c r="O24" i="21"/>
  <c r="O25" i="21"/>
  <c r="O26" i="21"/>
  <c r="C27" i="21"/>
  <c r="D27" i="21"/>
  <c r="E27" i="21"/>
  <c r="F27" i="21"/>
  <c r="H27" i="21"/>
  <c r="I27" i="21"/>
  <c r="J27" i="21"/>
  <c r="K27" i="21"/>
  <c r="L27" i="21"/>
  <c r="M27" i="21"/>
  <c r="N27" i="21"/>
  <c r="O27" i="21"/>
  <c r="C29" i="21"/>
  <c r="D29" i="21"/>
  <c r="E29" i="21"/>
  <c r="O29" i="21"/>
  <c r="O39" i="21"/>
  <c r="P39" i="21"/>
  <c r="P40" i="21"/>
  <c r="O41" i="21"/>
  <c r="P41" i="21"/>
  <c r="B42" i="21"/>
  <c r="C42" i="21"/>
  <c r="E42" i="21"/>
  <c r="F42" i="21"/>
  <c r="I42" i="21"/>
  <c r="J42" i="21"/>
  <c r="L42" i="21"/>
  <c r="M42" i="21"/>
  <c r="O42" i="21"/>
  <c r="P42" i="21"/>
  <c r="R42" i="21"/>
  <c r="S42" i="21"/>
  <c r="F43" i="21"/>
  <c r="P43" i="21"/>
  <c r="E44" i="21"/>
  <c r="I44" i="21"/>
  <c r="L44" i="21"/>
  <c r="O44" i="21"/>
  <c r="R44" i="21"/>
  <c r="D13" i="19"/>
  <c r="E13" i="19"/>
  <c r="F13" i="19"/>
  <c r="G13" i="19"/>
  <c r="H13" i="19"/>
  <c r="I13" i="19"/>
  <c r="J13" i="19"/>
  <c r="K13" i="19"/>
  <c r="L13" i="19"/>
  <c r="M13" i="19"/>
  <c r="N13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O39" i="19"/>
  <c r="P39" i="19"/>
  <c r="F40" i="19"/>
  <c r="P40" i="19"/>
  <c r="O41" i="19"/>
  <c r="P41" i="19"/>
  <c r="B42" i="19"/>
  <c r="C42" i="19"/>
  <c r="E42" i="19"/>
  <c r="F42" i="19"/>
  <c r="I42" i="19"/>
  <c r="J42" i="19"/>
  <c r="L42" i="19"/>
  <c r="M42" i="19"/>
  <c r="O42" i="19"/>
  <c r="P42" i="19"/>
  <c r="R42" i="19"/>
  <c r="S42" i="19"/>
  <c r="F43" i="19"/>
  <c r="J43" i="19"/>
  <c r="M43" i="19"/>
  <c r="P43" i="19"/>
  <c r="S43" i="19"/>
  <c r="B44" i="19"/>
  <c r="E44" i="19"/>
  <c r="I44" i="19"/>
  <c r="L44" i="19"/>
  <c r="O44" i="19"/>
  <c r="R44" i="19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B39" i="8"/>
  <c r="C39" i="8"/>
  <c r="E39" i="8"/>
  <c r="F39" i="8"/>
  <c r="G39" i="8"/>
  <c r="I39" i="8"/>
  <c r="J39" i="8"/>
  <c r="L39" i="8"/>
  <c r="M39" i="8"/>
  <c r="O39" i="8"/>
  <c r="P39" i="8"/>
  <c r="R39" i="8"/>
  <c r="S39" i="8"/>
  <c r="C40" i="8"/>
  <c r="F40" i="8"/>
  <c r="J40" i="8"/>
  <c r="M40" i="8"/>
  <c r="P40" i="8"/>
  <c r="S40" i="8"/>
  <c r="B41" i="8"/>
  <c r="C41" i="8"/>
  <c r="E41" i="8"/>
  <c r="F41" i="8"/>
  <c r="I41" i="8"/>
  <c r="J41" i="8"/>
  <c r="L41" i="8"/>
  <c r="M41" i="8"/>
  <c r="O41" i="8"/>
  <c r="P41" i="8"/>
  <c r="R41" i="8"/>
  <c r="S41" i="8"/>
  <c r="B42" i="8"/>
  <c r="C42" i="8"/>
  <c r="E42" i="8"/>
  <c r="F42" i="8"/>
  <c r="I42" i="8"/>
  <c r="J42" i="8"/>
  <c r="L42" i="8"/>
  <c r="M42" i="8"/>
  <c r="O42" i="8"/>
  <c r="P42" i="8"/>
  <c r="R42" i="8"/>
  <c r="S42" i="8"/>
  <c r="C43" i="8"/>
  <c r="F43" i="8"/>
  <c r="J43" i="8"/>
  <c r="M43" i="8"/>
  <c r="P43" i="8"/>
  <c r="S43" i="8"/>
  <c r="B44" i="8"/>
  <c r="E44" i="8"/>
  <c r="I44" i="8"/>
  <c r="L44" i="8"/>
  <c r="O44" i="8"/>
  <c r="R44" i="8"/>
  <c r="B70" i="8"/>
  <c r="B71" i="8"/>
  <c r="D13" i="17"/>
  <c r="E13" i="17"/>
  <c r="F13" i="17"/>
  <c r="G13" i="17"/>
  <c r="H13" i="17"/>
  <c r="I13" i="17"/>
  <c r="J13" i="17"/>
  <c r="K13" i="17"/>
  <c r="L13" i="17"/>
  <c r="M13" i="17"/>
  <c r="N13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F39" i="17"/>
  <c r="O39" i="17"/>
  <c r="P39" i="17"/>
  <c r="F40" i="17"/>
  <c r="P40" i="17"/>
  <c r="O41" i="17"/>
  <c r="P41" i="17"/>
  <c r="B42" i="17"/>
  <c r="C42" i="17"/>
  <c r="E42" i="17"/>
  <c r="F42" i="17"/>
  <c r="I42" i="17"/>
  <c r="J42" i="17"/>
  <c r="L42" i="17"/>
  <c r="M42" i="17"/>
  <c r="O42" i="17"/>
  <c r="P42" i="17"/>
  <c r="R42" i="17"/>
  <c r="S42" i="17"/>
  <c r="C43" i="17"/>
  <c r="F43" i="17"/>
  <c r="J43" i="17"/>
  <c r="M43" i="17"/>
  <c r="P43" i="17"/>
  <c r="S43" i="17"/>
  <c r="B44" i="17"/>
  <c r="E44" i="17"/>
  <c r="I44" i="17"/>
  <c r="L44" i="17"/>
  <c r="O44" i="17"/>
  <c r="R44" i="17"/>
  <c r="D13" i="10"/>
  <c r="E13" i="10"/>
  <c r="F13" i="10"/>
  <c r="G13" i="10"/>
  <c r="H13" i="10"/>
  <c r="I13" i="10"/>
  <c r="J13" i="10"/>
  <c r="K13" i="10"/>
  <c r="L13" i="10"/>
  <c r="M13" i="10"/>
  <c r="N13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22" i="10"/>
  <c r="E22" i="10"/>
  <c r="O22" i="10"/>
  <c r="O23" i="10"/>
  <c r="O24" i="10"/>
  <c r="O25" i="10"/>
  <c r="O26" i="10"/>
  <c r="C27" i="10"/>
  <c r="D27" i="10"/>
  <c r="E27" i="10"/>
  <c r="F27" i="10"/>
  <c r="H27" i="10"/>
  <c r="I27" i="10"/>
  <c r="J27" i="10"/>
  <c r="K27" i="10"/>
  <c r="L27" i="10"/>
  <c r="M27" i="10"/>
  <c r="N27" i="10"/>
  <c r="O27" i="10"/>
  <c r="C29" i="10"/>
  <c r="D29" i="10"/>
  <c r="E29" i="10"/>
  <c r="O29" i="10"/>
  <c r="O39" i="10"/>
  <c r="P39" i="10"/>
  <c r="F40" i="10"/>
  <c r="P40" i="10"/>
  <c r="O41" i="10"/>
  <c r="P41" i="10"/>
  <c r="B42" i="10"/>
  <c r="C42" i="10"/>
  <c r="E42" i="10"/>
  <c r="F42" i="10"/>
  <c r="I42" i="10"/>
  <c r="J42" i="10"/>
  <c r="L42" i="10"/>
  <c r="M42" i="10"/>
  <c r="O42" i="10"/>
  <c r="P42" i="10"/>
  <c r="R42" i="10"/>
  <c r="S42" i="10"/>
  <c r="F43" i="10"/>
  <c r="J43" i="10"/>
  <c r="M43" i="10"/>
  <c r="P43" i="10"/>
  <c r="S43" i="10"/>
  <c r="B44" i="10"/>
  <c r="E44" i="10"/>
  <c r="I44" i="10"/>
  <c r="L44" i="10"/>
  <c r="O44" i="10"/>
  <c r="R44" i="10"/>
  <c r="D13" i="1"/>
  <c r="E13" i="1"/>
  <c r="F13" i="1"/>
  <c r="G13" i="1"/>
  <c r="H13" i="1"/>
  <c r="I13" i="1"/>
  <c r="J13" i="1"/>
  <c r="K13" i="1"/>
  <c r="L13" i="1"/>
  <c r="M13" i="1"/>
  <c r="N13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D22" i="1"/>
  <c r="E22" i="1"/>
  <c r="O22" i="1"/>
  <c r="O23" i="1"/>
  <c r="O24" i="1"/>
  <c r="O25" i="1"/>
  <c r="O26" i="1"/>
  <c r="C27" i="1"/>
  <c r="D27" i="1"/>
  <c r="E27" i="1"/>
  <c r="F27" i="1"/>
  <c r="H27" i="1"/>
  <c r="I27" i="1"/>
  <c r="J27" i="1"/>
  <c r="K27" i="1"/>
  <c r="L27" i="1"/>
  <c r="M27" i="1"/>
  <c r="N27" i="1"/>
  <c r="O27" i="1"/>
  <c r="C29" i="1"/>
  <c r="D29" i="1"/>
  <c r="E29" i="1"/>
  <c r="O29" i="1"/>
  <c r="O39" i="1"/>
  <c r="P39" i="1"/>
  <c r="P40" i="1"/>
  <c r="O41" i="1"/>
  <c r="P41" i="1"/>
  <c r="B42" i="1"/>
  <c r="C42" i="1"/>
  <c r="E42" i="1"/>
  <c r="F42" i="1"/>
  <c r="I42" i="1"/>
  <c r="J42" i="1"/>
  <c r="L42" i="1"/>
  <c r="M42" i="1"/>
  <c r="O42" i="1"/>
  <c r="P42" i="1"/>
  <c r="R42" i="1"/>
  <c r="S42" i="1"/>
  <c r="F43" i="1"/>
  <c r="J43" i="1"/>
  <c r="M43" i="1"/>
  <c r="P43" i="1"/>
  <c r="S43" i="1"/>
  <c r="B44" i="1"/>
  <c r="E44" i="1"/>
  <c r="I44" i="1"/>
  <c r="L44" i="1"/>
  <c r="O44" i="1"/>
  <c r="R44" i="1"/>
  <c r="D13" i="16"/>
  <c r="E13" i="16"/>
  <c r="F13" i="16"/>
  <c r="G13" i="16"/>
  <c r="H13" i="16"/>
  <c r="I13" i="16"/>
  <c r="J13" i="16"/>
  <c r="K13" i="16"/>
  <c r="L13" i="16"/>
  <c r="M13" i="16"/>
  <c r="N13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D22" i="16"/>
  <c r="E22" i="16"/>
  <c r="O22" i="16"/>
  <c r="O23" i="16"/>
  <c r="O24" i="16"/>
  <c r="O25" i="16"/>
  <c r="O26" i="16"/>
  <c r="C27" i="16"/>
  <c r="D27" i="16"/>
  <c r="E27" i="16"/>
  <c r="F27" i="16"/>
  <c r="H27" i="16"/>
  <c r="I27" i="16"/>
  <c r="J27" i="16"/>
  <c r="K27" i="16"/>
  <c r="L27" i="16"/>
  <c r="M27" i="16"/>
  <c r="N27" i="16"/>
  <c r="O27" i="16"/>
  <c r="C29" i="16"/>
  <c r="D29" i="16"/>
  <c r="E29" i="16"/>
  <c r="O29" i="16"/>
  <c r="O39" i="16"/>
  <c r="P39" i="16"/>
  <c r="F40" i="16"/>
  <c r="P40" i="16"/>
  <c r="O41" i="16"/>
  <c r="P41" i="16"/>
  <c r="B42" i="16"/>
  <c r="C42" i="16"/>
  <c r="E42" i="16"/>
  <c r="F42" i="16"/>
  <c r="I42" i="16"/>
  <c r="J42" i="16"/>
  <c r="L42" i="16"/>
  <c r="M42" i="16"/>
  <c r="O42" i="16"/>
  <c r="P42" i="16"/>
  <c r="R42" i="16"/>
  <c r="S42" i="16"/>
  <c r="F43" i="16"/>
  <c r="J43" i="16"/>
  <c r="M43" i="16"/>
  <c r="P43" i="16"/>
  <c r="S43" i="16"/>
  <c r="B44" i="16"/>
  <c r="E44" i="16"/>
  <c r="I44" i="16"/>
  <c r="L44" i="16"/>
  <c r="O44" i="16"/>
  <c r="R44" i="16"/>
  <c r="D13" i="11"/>
  <c r="E13" i="11"/>
  <c r="F13" i="11"/>
  <c r="G13" i="11"/>
  <c r="H13" i="11"/>
  <c r="I13" i="11"/>
  <c r="J13" i="11"/>
  <c r="K13" i="11"/>
  <c r="L13" i="11"/>
  <c r="M13" i="11"/>
  <c r="N13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D22" i="11"/>
  <c r="E22" i="11"/>
  <c r="O22" i="11"/>
  <c r="O23" i="11"/>
  <c r="O24" i="11"/>
  <c r="O25" i="11"/>
  <c r="O26" i="11"/>
  <c r="C27" i="11"/>
  <c r="D27" i="11"/>
  <c r="E27" i="11"/>
  <c r="F27" i="11"/>
  <c r="H27" i="11"/>
  <c r="I27" i="11"/>
  <c r="J27" i="11"/>
  <c r="K27" i="11"/>
  <c r="L27" i="11"/>
  <c r="M27" i="11"/>
  <c r="N27" i="11"/>
  <c r="O27" i="11"/>
  <c r="C29" i="11"/>
  <c r="D29" i="11"/>
  <c r="E29" i="11"/>
  <c r="O29" i="11"/>
  <c r="O39" i="11"/>
  <c r="P39" i="11"/>
  <c r="F40" i="11"/>
  <c r="P40" i="11"/>
  <c r="O41" i="11"/>
  <c r="P41" i="11"/>
  <c r="B42" i="11"/>
  <c r="C42" i="11"/>
  <c r="E42" i="11"/>
  <c r="F42" i="11"/>
  <c r="I42" i="11"/>
  <c r="J42" i="11"/>
  <c r="L42" i="11"/>
  <c r="M42" i="11"/>
  <c r="O42" i="11"/>
  <c r="P42" i="11"/>
  <c r="R42" i="11"/>
  <c r="S42" i="11"/>
  <c r="F43" i="11"/>
  <c r="J43" i="11"/>
  <c r="M43" i="11"/>
  <c r="P43" i="11"/>
  <c r="S43" i="11"/>
  <c r="B44" i="11"/>
  <c r="E44" i="11"/>
  <c r="I44" i="11"/>
  <c r="L44" i="11"/>
  <c r="O44" i="11"/>
  <c r="R44" i="11"/>
  <c r="D13" i="23"/>
  <c r="E13" i="23"/>
  <c r="F13" i="23"/>
  <c r="G13" i="23"/>
  <c r="H13" i="23"/>
  <c r="I13" i="23"/>
  <c r="J13" i="23"/>
  <c r="K13" i="23"/>
  <c r="L13" i="23"/>
  <c r="M13" i="23"/>
  <c r="N13" i="23"/>
  <c r="H14" i="23"/>
  <c r="M14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D22" i="23"/>
  <c r="E22" i="23"/>
  <c r="O22" i="23"/>
  <c r="O23" i="23"/>
  <c r="O24" i="23"/>
  <c r="O25" i="23"/>
  <c r="O26" i="23"/>
  <c r="C27" i="23"/>
  <c r="D27" i="23"/>
  <c r="E27" i="23"/>
  <c r="F27" i="23"/>
  <c r="H27" i="23"/>
  <c r="I27" i="23"/>
  <c r="J27" i="23"/>
  <c r="K27" i="23"/>
  <c r="L27" i="23"/>
  <c r="M27" i="23"/>
  <c r="N27" i="23"/>
  <c r="O27" i="23"/>
  <c r="C29" i="23"/>
  <c r="D29" i="23"/>
  <c r="E29" i="23"/>
  <c r="O29" i="23"/>
  <c r="O39" i="23"/>
  <c r="P39" i="23"/>
  <c r="F40" i="23"/>
  <c r="P40" i="23"/>
  <c r="O41" i="23"/>
  <c r="P41" i="23"/>
  <c r="B42" i="23"/>
  <c r="C42" i="23"/>
  <c r="E42" i="23"/>
  <c r="F42" i="23"/>
  <c r="I42" i="23"/>
  <c r="J42" i="23"/>
  <c r="L42" i="23"/>
  <c r="M42" i="23"/>
  <c r="O42" i="23"/>
  <c r="P42" i="23"/>
  <c r="R42" i="23"/>
  <c r="S42" i="23"/>
  <c r="F43" i="23"/>
  <c r="J43" i="23"/>
  <c r="M43" i="23"/>
  <c r="P43" i="23"/>
  <c r="S43" i="23"/>
  <c r="B44" i="23"/>
  <c r="E44" i="23"/>
  <c r="I44" i="23"/>
  <c r="L44" i="23"/>
  <c r="O44" i="23"/>
  <c r="R44" i="23"/>
  <c r="D13" i="13"/>
  <c r="E13" i="13"/>
  <c r="F13" i="13"/>
  <c r="G13" i="13"/>
  <c r="H13" i="13"/>
  <c r="I13" i="13"/>
  <c r="J13" i="13"/>
  <c r="K13" i="13"/>
  <c r="L13" i="13"/>
  <c r="M13" i="13"/>
  <c r="N13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D22" i="13"/>
  <c r="E22" i="13"/>
  <c r="O22" i="13"/>
  <c r="O23" i="13"/>
  <c r="O24" i="13"/>
  <c r="O25" i="13"/>
  <c r="O26" i="13"/>
  <c r="C27" i="13"/>
  <c r="D27" i="13"/>
  <c r="E27" i="13"/>
  <c r="F27" i="13"/>
  <c r="H27" i="13"/>
  <c r="I27" i="13"/>
  <c r="J27" i="13"/>
  <c r="K27" i="13"/>
  <c r="L27" i="13"/>
  <c r="M27" i="13"/>
  <c r="N27" i="13"/>
  <c r="O27" i="13"/>
  <c r="C29" i="13"/>
  <c r="D29" i="13"/>
  <c r="E29" i="13"/>
  <c r="O29" i="13"/>
  <c r="O39" i="13"/>
  <c r="P39" i="13"/>
  <c r="F40" i="13"/>
  <c r="P40" i="13"/>
  <c r="O41" i="13"/>
  <c r="P41" i="13"/>
  <c r="B42" i="13"/>
  <c r="C42" i="13"/>
  <c r="E42" i="13"/>
  <c r="F42" i="13"/>
  <c r="I42" i="13"/>
  <c r="J42" i="13"/>
  <c r="L42" i="13"/>
  <c r="M42" i="13"/>
  <c r="O42" i="13"/>
  <c r="P42" i="13"/>
  <c r="R42" i="13"/>
  <c r="S42" i="13"/>
  <c r="F43" i="13"/>
  <c r="J43" i="13"/>
  <c r="M43" i="13"/>
  <c r="P43" i="13"/>
  <c r="S43" i="13"/>
  <c r="B44" i="13"/>
  <c r="E44" i="13"/>
  <c r="I44" i="13"/>
  <c r="L44" i="13"/>
  <c r="O44" i="13"/>
  <c r="R44" i="13"/>
  <c r="D13" i="12"/>
  <c r="E13" i="12"/>
  <c r="F13" i="12"/>
  <c r="G13" i="12"/>
  <c r="H13" i="12"/>
  <c r="I13" i="12"/>
  <c r="J13" i="12"/>
  <c r="K13" i="12"/>
  <c r="L13" i="12"/>
  <c r="M13" i="12"/>
  <c r="N13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D22" i="12"/>
  <c r="E22" i="12"/>
  <c r="O22" i="12"/>
  <c r="O23" i="12"/>
  <c r="O24" i="12"/>
  <c r="O25" i="12"/>
  <c r="O26" i="12"/>
  <c r="C27" i="12"/>
  <c r="D27" i="12"/>
  <c r="E27" i="12"/>
  <c r="F27" i="12"/>
  <c r="H27" i="12"/>
  <c r="I27" i="12"/>
  <c r="J27" i="12"/>
  <c r="K27" i="12"/>
  <c r="L27" i="12"/>
  <c r="M27" i="12"/>
  <c r="N27" i="12"/>
  <c r="O27" i="12"/>
  <c r="C29" i="12"/>
  <c r="D29" i="12"/>
  <c r="E29" i="12"/>
  <c r="O29" i="12"/>
  <c r="O39" i="12"/>
  <c r="P39" i="12"/>
  <c r="F40" i="12"/>
  <c r="P40" i="12"/>
  <c r="O41" i="12"/>
  <c r="P41" i="12"/>
  <c r="B42" i="12"/>
  <c r="C42" i="12"/>
  <c r="E42" i="12"/>
  <c r="F42" i="12"/>
  <c r="I42" i="12"/>
  <c r="J42" i="12"/>
  <c r="L42" i="12"/>
  <c r="M42" i="12"/>
  <c r="O42" i="12"/>
  <c r="P42" i="12"/>
  <c r="R42" i="12"/>
  <c r="S42" i="12"/>
  <c r="F43" i="12"/>
  <c r="J43" i="12"/>
  <c r="M43" i="12"/>
  <c r="P43" i="12"/>
  <c r="S43" i="12"/>
  <c r="B44" i="12"/>
  <c r="E44" i="12"/>
  <c r="I44" i="12"/>
  <c r="L44" i="12"/>
  <c r="O44" i="12"/>
  <c r="R44" i="12"/>
  <c r="D13" i="15"/>
  <c r="E13" i="15"/>
  <c r="F13" i="15"/>
  <c r="G13" i="15"/>
  <c r="H13" i="15"/>
  <c r="I13" i="15"/>
  <c r="J13" i="15"/>
  <c r="K13" i="15"/>
  <c r="L13" i="15"/>
  <c r="M13" i="15"/>
  <c r="N13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D22" i="15"/>
  <c r="E22" i="15"/>
  <c r="O22" i="15"/>
  <c r="O23" i="15"/>
  <c r="O24" i="15"/>
  <c r="O25" i="15"/>
  <c r="O26" i="15"/>
  <c r="C27" i="15"/>
  <c r="D27" i="15"/>
  <c r="E27" i="15"/>
  <c r="F27" i="15"/>
  <c r="H27" i="15"/>
  <c r="I27" i="15"/>
  <c r="J27" i="15"/>
  <c r="K27" i="15"/>
  <c r="L27" i="15"/>
  <c r="M27" i="15"/>
  <c r="N27" i="15"/>
  <c r="O27" i="15"/>
  <c r="C29" i="15"/>
  <c r="D29" i="15"/>
  <c r="E29" i="15"/>
  <c r="O29" i="15"/>
  <c r="O39" i="15"/>
  <c r="P39" i="15"/>
  <c r="F40" i="15"/>
  <c r="P40" i="15"/>
  <c r="O41" i="15"/>
  <c r="P41" i="15"/>
  <c r="B42" i="15"/>
  <c r="C42" i="15"/>
  <c r="E42" i="15"/>
  <c r="F42" i="15"/>
  <c r="I42" i="15"/>
  <c r="J42" i="15"/>
  <c r="L42" i="15"/>
  <c r="M42" i="15"/>
  <c r="O42" i="15"/>
  <c r="P42" i="15"/>
  <c r="R42" i="15"/>
  <c r="S42" i="15"/>
  <c r="F43" i="15"/>
  <c r="J43" i="15"/>
  <c r="M43" i="15"/>
  <c r="P43" i="15"/>
  <c r="S43" i="15"/>
  <c r="B44" i="15"/>
  <c r="E44" i="15"/>
  <c r="I44" i="15"/>
  <c r="L44" i="15"/>
  <c r="O44" i="15"/>
  <c r="R44" i="15"/>
  <c r="D13" i="9"/>
  <c r="E13" i="9"/>
  <c r="F13" i="9"/>
  <c r="G13" i="9"/>
  <c r="H13" i="9"/>
  <c r="I13" i="9"/>
  <c r="J13" i="9"/>
  <c r="K13" i="9"/>
  <c r="L13" i="9"/>
  <c r="M13" i="9"/>
  <c r="N13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D22" i="9"/>
  <c r="E22" i="9"/>
  <c r="O22" i="9"/>
  <c r="O23" i="9"/>
  <c r="O24" i="9"/>
  <c r="O25" i="9"/>
  <c r="O26" i="9"/>
  <c r="C27" i="9"/>
  <c r="D27" i="9"/>
  <c r="E27" i="9"/>
  <c r="F27" i="9"/>
  <c r="H27" i="9"/>
  <c r="I27" i="9"/>
  <c r="J27" i="9"/>
  <c r="K27" i="9"/>
  <c r="L27" i="9"/>
  <c r="M27" i="9"/>
  <c r="N27" i="9"/>
  <c r="O27" i="9"/>
  <c r="C29" i="9"/>
  <c r="D29" i="9"/>
  <c r="E29" i="9"/>
  <c r="O29" i="9"/>
  <c r="O39" i="9"/>
  <c r="P39" i="9"/>
  <c r="P40" i="9"/>
  <c r="O41" i="9"/>
  <c r="P41" i="9"/>
  <c r="B42" i="9"/>
  <c r="C42" i="9"/>
  <c r="E42" i="9"/>
  <c r="F42" i="9"/>
  <c r="I42" i="9"/>
  <c r="J42" i="9"/>
  <c r="L42" i="9"/>
  <c r="M42" i="9"/>
  <c r="O42" i="9"/>
  <c r="P42" i="9"/>
  <c r="R42" i="9"/>
  <c r="S42" i="9"/>
  <c r="F43" i="9"/>
  <c r="J43" i="9"/>
  <c r="M43" i="9"/>
  <c r="P43" i="9"/>
  <c r="S43" i="9"/>
  <c r="B44" i="9"/>
  <c r="E44" i="9"/>
  <c r="I44" i="9"/>
  <c r="L44" i="9"/>
  <c r="O44" i="9"/>
  <c r="R44" i="9"/>
</calcChain>
</file>

<file path=xl/sharedStrings.xml><?xml version="1.0" encoding="utf-8"?>
<sst xmlns="http://schemas.openxmlformats.org/spreadsheetml/2006/main" count="1114" uniqueCount="64">
  <si>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</si>
  <si>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</si>
  <si>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</si>
  <si>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</si>
  <si>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</si>
  <si>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</si>
  <si>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</si>
  <si>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</si>
  <si>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</si>
  <si>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</si>
  <si>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</si>
  <si>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</si>
  <si>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</si>
  <si>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</si>
  <si>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</si>
  <si>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Average</t>
  </si>
  <si>
    <t># of Transactions</t>
  </si>
  <si>
    <t>Dollar Value of Transactions</t>
  </si>
  <si>
    <t>Executions</t>
  </si>
  <si>
    <t>Budget</t>
  </si>
  <si>
    <t>Total Year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</si>
  <si>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</si>
  <si>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</si>
  <si>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</si>
  <si>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</si>
  <si>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</si>
  <si>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</si>
  <si>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</si>
  <si>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</si>
  <si>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Actual</t>
  </si>
  <si>
    <t>Forward Quarters</t>
  </si>
  <si>
    <t>$ Coverage</t>
  </si>
  <si>
    <t>1Q01</t>
  </si>
  <si>
    <t>Team:</t>
  </si>
  <si>
    <t>Week</t>
  </si>
  <si>
    <t>East Midstream</t>
  </si>
  <si>
    <t>1Q00</t>
  </si>
  <si>
    <t>2Q00</t>
  </si>
  <si>
    <t>3Q00</t>
  </si>
  <si>
    <t>4Q00</t>
  </si>
  <si>
    <t xml:space="preserve">        $ millions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</si>
  <si>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</si>
  <si>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</si>
  <si>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</si>
  <si>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</si>
  <si>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Weekly Summary - 2Q00 through 1Q01</t>
  </si>
  <si>
    <t>West Midstream</t>
  </si>
  <si>
    <t>Industrial Downstream</t>
  </si>
  <si>
    <t>Mexico</t>
  </si>
  <si>
    <t>Principal Investing</t>
  </si>
  <si>
    <t>CTG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</si>
  <si>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</si>
  <si>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</si>
  <si>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</si>
  <si>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</si>
  <si>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</si>
  <si>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</si>
  <si>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</si>
  <si>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</si>
  <si>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</si>
  <si>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Generation / IPP Investments</t>
  </si>
  <si>
    <t>Upstream Originations</t>
  </si>
  <si>
    <t>HPL and LRC</t>
  </si>
  <si>
    <t>Results based on Activity through June 23,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</si>
</sst>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71" formatCode="&quot;$&quot;#,##0.0_);\(&quot;$&quot;#,##0.0\)"/>
  </numFmts>
  <fonts count="24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i/>
      <sz val="10"/>
      <name val="Arial Narrow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sz val="11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164" fontId="5" fillId="0" borderId="2" xfId="2" applyNumberFormat="1" applyFont="1" applyBorder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6" fontId="3" fillId="0" borderId="0" xfId="1" applyNumberFormat="1" applyFont="1"/>
    <xf numFmtId="164" fontId="3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2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4" xfId="0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7" fontId="5" fillId="0" borderId="6" xfId="2" applyNumberFormat="1" applyFont="1" applyBorder="1"/>
    <xf numFmtId="164" fontId="5" fillId="0" borderId="3" xfId="2" applyNumberFormat="1" applyFont="1" applyBorder="1" applyAlignment="1">
      <alignment horizontal="center"/>
    </xf>
    <xf numFmtId="166" fontId="3" fillId="0" borderId="5" xfId="1" applyNumberFormat="1" applyFont="1" applyBorder="1"/>
    <xf numFmtId="166" fontId="3" fillId="0" borderId="6" xfId="1" applyNumberFormat="1" applyFont="1" applyBorder="1" applyAlignment="1">
      <alignment horizontal="center"/>
    </xf>
    <xf numFmtId="167" fontId="3" fillId="0" borderId="6" xfId="2" applyNumberFormat="1" applyFont="1" applyBorder="1"/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3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5" fillId="0" borderId="0" xfId="2" applyNumberFormat="1" applyFont="1"/>
    <xf numFmtId="14" fontId="5" fillId="0" borderId="1" xfId="0" applyNumberFormat="1" applyFont="1" applyBorder="1" applyAlignment="1">
      <alignment horizontal="center"/>
    </xf>
    <xf numFmtId="167" fontId="3" fillId="0" borderId="5" xfId="1" applyNumberFormat="1" applyFont="1" applyBorder="1"/>
    <xf numFmtId="0" fontId="19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8" fillId="0" borderId="0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1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2" fillId="0" borderId="0" xfId="3" applyFont="1" applyFill="1" applyBorder="1" applyAlignment="1">
      <alignment horizontal="center"/>
    </xf>
    <xf numFmtId="166" fontId="3" fillId="0" borderId="6" xfId="1" applyNumberFormat="1" applyFont="1" applyFill="1" applyBorder="1"/>
    <xf numFmtId="41" fontId="21" fillId="0" borderId="0" xfId="0" applyNumberFormat="1" applyFont="1"/>
    <xf numFmtId="0" fontId="22" fillId="0" borderId="0" xfId="0" applyFont="1"/>
    <xf numFmtId="166" fontId="3" fillId="0" borderId="6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 applyAlignment="1">
      <alignment horizontal="center"/>
    </xf>
    <xf numFmtId="166" fontId="3" fillId="0" borderId="5" xfId="1" applyNumberFormat="1" applyFont="1" applyFill="1" applyBorder="1"/>
    <xf numFmtId="0" fontId="3" fillId="0" borderId="4" xfId="0" applyFont="1" applyFill="1" applyBorder="1" applyAlignment="1">
      <alignment horizontal="center"/>
    </xf>
    <xf numFmtId="41" fontId="3" fillId="0" borderId="0" xfId="0" applyNumberFormat="1" applyFont="1" applyFill="1"/>
    <xf numFmtId="41" fontId="5" fillId="0" borderId="2" xfId="0" applyNumberFormat="1" applyFont="1" applyFill="1" applyBorder="1"/>
    <xf numFmtId="0" fontId="3" fillId="0" borderId="0" xfId="0" applyFont="1" applyFill="1"/>
    <xf numFmtId="41" fontId="5" fillId="0" borderId="2" xfId="0" applyNumberFormat="1" applyFont="1" applyFill="1" applyBorder="1" applyProtection="1">
      <protection locked="0"/>
    </xf>
    <xf numFmtId="167" fontId="5" fillId="0" borderId="6" xfId="2" applyNumberFormat="1" applyFont="1" applyFill="1" applyBorder="1"/>
    <xf numFmtId="0" fontId="5" fillId="0" borderId="0" xfId="2" applyNumberFormat="1" applyFont="1" applyFill="1"/>
    <xf numFmtId="164" fontId="5" fillId="0" borderId="3" xfId="2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4" fontId="5" fillId="0" borderId="0" xfId="2" applyNumberFormat="1" applyFont="1" applyFill="1"/>
    <xf numFmtId="41" fontId="5" fillId="0" borderId="0" xfId="0" applyNumberFormat="1" applyFont="1"/>
    <xf numFmtId="167" fontId="23" fillId="0" borderId="6" xfId="2" applyNumberFormat="1" applyFont="1" applyFill="1" applyBorder="1"/>
    <xf numFmtId="167" fontId="23" fillId="0" borderId="6" xfId="2" applyNumberFormat="1" applyFont="1" applyBorder="1"/>
    <xf numFmtId="166" fontId="23" fillId="0" borderId="6" xfId="2" applyNumberFormat="1" applyFont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1" fillId="0" borderId="0" xfId="0" applyFont="1" applyAlignment="1">
      <alignment horizontal="center"/>
    </xf>
    <xf numFmtId="22" fontId="13" fillId="0" borderId="0" xfId="0" applyNumberFormat="1" applyFont="1" applyAlignment="1">
      <alignment horizontal="left"/>
    </xf>
    <xf numFmtId="9" fontId="18" fillId="2" borderId="11" xfId="3" applyFont="1" applyFill="1" applyBorder="1" applyAlignment="1">
      <alignment horizontal="center"/>
    </xf>
    <xf numFmtId="9" fontId="18" fillId="2" borderId="12" xfId="3" applyFont="1" applyFill="1" applyBorder="1" applyAlignment="1">
      <alignment horizontal="center"/>
    </xf>
    <xf numFmtId="9" fontId="12" fillId="2" borderId="11" xfId="3" applyFont="1" applyFill="1" applyBorder="1" applyAlignment="1">
      <alignment horizontal="center"/>
    </xf>
    <xf numFmtId="9" fontId="12" fillId="2" borderId="12" xfId="3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596499105226632E-2"/>
          <c:y val="4.7892843504287561E-2"/>
          <c:w val="0.92269041516808881"/>
          <c:h val="0.81609405331305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27910545374417"/>
                  <c:y val="0.616859824335223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F0-42AE-86B2-2F45D11A3E8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64181751165534"/>
                  <c:y val="0.65325838539848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F0-42AE-86B2-2F45D11A3E8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51867239018809"/>
                  <c:y val="0.492338431224076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F0-42AE-86B2-2F45D11A3E8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50992015325475"/>
                  <c:y val="0.50191699992493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F0-42AE-86B2-2F45D11A3E8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098702509569979"/>
                  <c:y val="0.21264422515903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F0-42AE-86B2-2F45D11A3E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(Consol!$C$43,Consol!$F$43,Consol!$J$43,Consol!$M$43,Consol!$P$43,Consol!$S$43)</c:f>
              <c:numCache>
                <c:formatCode>_(* #,##0.0_);_(* \(#,##0.0\);_(* "-"?_);_(@_)</c:formatCode>
                <c:ptCount val="6"/>
                <c:pt idx="0">
                  <c:v>170.1</c:v>
                </c:pt>
                <c:pt idx="1">
                  <c:v>168.38500000000002</c:v>
                </c:pt>
                <c:pt idx="2">
                  <c:v>220.94399999999999</c:v>
                </c:pt>
                <c:pt idx="3">
                  <c:v>257.79500000000002</c:v>
                </c:pt>
                <c:pt idx="4">
                  <c:v>817.22400000000005</c:v>
                </c:pt>
                <c:pt idx="5">
                  <c:v>316.44324999999998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0-42AE-86B2-2F45D11A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2416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6505697485888"/>
                  <c:y val="0.67241552280019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F0-42AE-86B2-2F45D11A3E8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1559603322769"/>
                  <c:y val="0.73754978996602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F0-42AE-86B2-2F45D11A3E8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51867239018809"/>
                  <c:y val="0.446361301459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F0-42AE-86B2-2F45D11A3E8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50992015325475"/>
                  <c:y val="0.44827701520013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F0-42AE-86B2-2F45D11A3E8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224409650601063"/>
                  <c:y val="6.70499809060025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F0-42AE-86B2-2F45D11A3E8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8937802279485401"/>
                  <c:y val="0.745212644926714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F0-42AE-86B2-2F45D11A3E8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(Consol!$C$42,Consol!$F$42,Consol!$J$42,Consol!$M$42,Consol!$P$42,Consol!$S$42)</c:f>
              <c:numCache>
                <c:formatCode>_(* #,##0.0_);_(* \(#,##0.0\);_(* "-"?_);_(@_)</c:formatCode>
                <c:ptCount val="6"/>
                <c:pt idx="0">
                  <c:v>145.19999999999999</c:v>
                </c:pt>
                <c:pt idx="1">
                  <c:v>65.231999999999999</c:v>
                </c:pt>
                <c:pt idx="2">
                  <c:v>335.04599999999999</c:v>
                </c:pt>
                <c:pt idx="3">
                  <c:v>333.68799999999999</c:v>
                </c:pt>
                <c:pt idx="4">
                  <c:v>879.16599999999994</c:v>
                </c:pt>
                <c:pt idx="5">
                  <c:v>71.599999999999994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F0-42AE-86B2-2F45D11A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102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24168"/>
        <c:crosses val="autoZero"/>
        <c:crossBetween val="between"/>
        <c:majorUnit val="1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1671917251801288"/>
          <c:y val="0.9425311601643791"/>
          <c:w val="0.20553117558580727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37619884462867E-2"/>
          <c:y val="4.5977129764116054E-2"/>
          <c:w val="0.94444523606490394"/>
          <c:h val="0.816094053313059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Upstream Originations'!$A$43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86900175737202"/>
                  <c:y val="0.63410124799676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57-4F83-B9A4-7D939BD64FB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91782588476476"/>
                  <c:y val="0.67241552280019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57-4F83-B9A4-7D939BD64FB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46976901793437"/>
                  <c:y val="0.662836954099339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57-4F83-B9A4-7D939BD64FB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27015264821558"/>
                  <c:y val="0.670499809060025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57-4F83-B9A4-7D939BD64FB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45255404149468"/>
                  <c:y val="0.41570988161721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57-4F83-B9A4-7D939BD64FB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62871742322015"/>
                  <c:y val="0.67624695028054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57-4F83-B9A4-7D939BD64F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Originations'!$C$43,' Upstream Originations'!$F$43,' Upstream Originations'!$J$43,' Upstream Originations'!$M$43,' Upstream Originations'!$P$43,' Upstream Originations'!$S$43)</c:f>
              <c:numCache>
                <c:formatCode>_(* #,##0.0_);_(* \(#,##0.0\);_(* "-"?_);_(@_)</c:formatCode>
                <c:ptCount val="6"/>
                <c:pt idx="0">
                  <c:v>30.3</c:v>
                </c:pt>
                <c:pt idx="1">
                  <c:v>18.422999999999998</c:v>
                </c:pt>
                <c:pt idx="2">
                  <c:v>20.238</c:v>
                </c:pt>
                <c:pt idx="3">
                  <c:v>21.355</c:v>
                </c:pt>
                <c:pt idx="4">
                  <c:v>90.316000000000003</c:v>
                </c:pt>
                <c:pt idx="5">
                  <c:v>28.829250000000005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57-4F83-B9A4-7D939BD6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1364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 Upstream Originations'!$A$42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486900175737202"/>
                  <c:y val="0.68774123272156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57-4F83-B9A4-7D939BD64FB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54204613332055"/>
                  <c:y val="0.72030836630448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57-4F83-B9A4-7D939BD64FB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46976901793437"/>
                  <c:y val="0.60919696937453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57-4F83-B9A4-7D939BD64FB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89437289677138"/>
                  <c:y val="0.71647693882414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57-4F83-B9A4-7D939BD64FB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720411354438309"/>
                  <c:y val="0.35440704193172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57-4F83-B9A4-7D939BD64FB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7701169235489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57-4F83-B9A4-7D939BD64FB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Originations'!$C$42,' Upstream Originations'!$F$42,' Upstream Originations'!$J$42,' Upstream Originations'!$M$42,' Upstream Originations'!$P$42,' Upstream Originations'!$S$42)</c:f>
              <c:numCache>
                <c:formatCode>_(* #,##0.0_);_(* \(#,##0.0\);_(* "-"?_);_(@_)</c:formatCode>
                <c:ptCount val="6"/>
                <c:pt idx="0">
                  <c:v>23.1</c:v>
                </c:pt>
                <c:pt idx="1">
                  <c:v>17.773</c:v>
                </c:pt>
                <c:pt idx="2">
                  <c:v>31.911999999999999</c:v>
                </c:pt>
                <c:pt idx="3">
                  <c:v>19.937000000000001</c:v>
                </c:pt>
                <c:pt idx="4">
                  <c:v>92.722000000000008</c:v>
                </c:pt>
                <c:pt idx="5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57-4F83-B9A4-7D939BD64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861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61364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44448169717195"/>
          <c:y val="0.92145830902249271"/>
          <c:w val="0.20412002127774198"/>
          <c:h val="5.55556984649735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10280630130226E-2"/>
          <c:y val="4.7892843504287561E-2"/>
          <c:w val="0.94257257531923666"/>
          <c:h val="0.810346912092545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'HPL&amp;LRC'!$A$43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9C-4E0E-A1F2-F1A63762916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91158787321101"/>
                  <c:y val="0.7260555075249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9C-4E0E-A1F2-F1A63762916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34242976360176"/>
                  <c:y val="0.639848389217281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9C-4E0E-A1F2-F1A63762916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89437289677138"/>
                  <c:y val="0.622606965555738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9C-4E0E-A1F2-F1A63762916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638027692610855"/>
                  <c:y val="0.79885262965151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9C-4E0E-A1F2-F1A6376291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('HPL&amp;LRC'!$C$43,'HPL&amp;LRC'!$F$43,'HPL&amp;LRC'!$J$43,'HPL&amp;LRC'!$M$43,'HPL&amp;LRC'!$P$43,'HPL&amp;LRC'!$S$43)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12.436</c:v>
                </c:pt>
                <c:pt idx="2">
                  <c:v>27.077999999999999</c:v>
                </c:pt>
                <c:pt idx="3">
                  <c:v>26.841000000000001</c:v>
                </c:pt>
                <c:pt idx="4">
                  <c:v>66.35499999999999</c:v>
                </c:pt>
                <c:pt idx="5">
                  <c:v>36.235350000000004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9C-4E0E-A1F2-F1A63762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9508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'HPL&amp;LRC'!$A$42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9C-4E0E-A1F2-F1A63762916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91158787321101"/>
                  <c:y val="0.66092124035916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9C-4E0E-A1F2-F1A63762916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883931075782489"/>
                  <c:y val="0.69348837394208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9C-4E0E-A1F2-F1A63762916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926391463666195"/>
                  <c:y val="0.6819940915010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9C-4E0E-A1F2-F1A6376291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9C-4E0E-A1F2-F1A6376291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('HPL&amp;LRC'!$C$42,'HPL&amp;LRC'!$F$42,'HPL&amp;LRC'!$J$42,'HPL&amp;LRC'!$M$42,'HPL&amp;LRC'!$P$42,'HPL&amp;LRC'!$S$42)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15.347000000000003</c:v>
                </c:pt>
                <c:pt idx="2">
                  <c:v>6.8840000000000003</c:v>
                </c:pt>
                <c:pt idx="3">
                  <c:v>3.2509999999999999</c:v>
                </c:pt>
                <c:pt idx="4">
                  <c:v>25.482000000000003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9C-4E0E-A1F2-F1A63762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089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9508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943857896016576"/>
          <c:y val="0.93295259146352161"/>
          <c:w val="0.20412002127774198"/>
          <c:h val="5.55556984649735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6518641683937E-2"/>
          <c:y val="4.5977129764116054E-2"/>
          <c:w val="0.94819055755623871"/>
          <c:h val="0.825672622013917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591782588476476"/>
                  <c:y val="0.74712835866688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EE-4889-9E31-EAC0F7CE5D6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46976901793437"/>
                  <c:y val="0.67241552280019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EE-4889-9E31-EAC0F7CE5D6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3974919025483"/>
                  <c:y val="0.71647693882414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EE-4889-9E31-EAC0F7CE5D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Investing'!$C$43,'Principal Investing'!$F$43,'Principal Investing'!$J$43,'Principal Investing'!$M$43,'Principal Investing'!$P$43,'Principal Investing'!$S$43)</c:f>
              <c:numCache>
                <c:formatCode>_(* #,##0.0_);_(* \(#,##0.0\);_(* "-"?_);_(@_)</c:formatCode>
                <c:ptCount val="6"/>
                <c:pt idx="0">
                  <c:v>15.4</c:v>
                </c:pt>
                <c:pt idx="1">
                  <c:v>15.385</c:v>
                </c:pt>
                <c:pt idx="2">
                  <c:v>15.39</c:v>
                </c:pt>
                <c:pt idx="3">
                  <c:v>15.39</c:v>
                </c:pt>
                <c:pt idx="4">
                  <c:v>61.564999999999998</c:v>
                </c:pt>
                <c:pt idx="5">
                  <c:v>20.776499999999999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EE-4889-9E31-EAC0F7CE5D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322912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23854349726253"/>
                  <c:y val="0.41379416787704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EE-4889-9E31-EAC0F7CE5D6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29360563620896"/>
                  <c:y val="0.85249261437631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EE-4889-9E31-EAC0F7CE5D6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46976901793437"/>
                  <c:y val="0.74138121744637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EE-4889-9E31-EAC0F7CE5D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EE-4889-9E31-EAC0F7CE5D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Investing'!$C$42,'Principal Investing'!$F$42,'Principal Investing'!$J$42,'Principal Investing'!$M$42,'Principal Investing'!$P$42,'Principal Investing'!$S$42)</c:f>
              <c:numCache>
                <c:formatCode>_(* #,##0.0_);_(* \(#,##0.0\);_(* "-"?_);_(@_)</c:formatCode>
                <c:ptCount val="6"/>
                <c:pt idx="0">
                  <c:v>93.7</c:v>
                </c:pt>
                <c:pt idx="1">
                  <c:v>-29.673999999999999</c:v>
                </c:pt>
                <c:pt idx="2">
                  <c:v>10</c:v>
                </c:pt>
                <c:pt idx="3">
                  <c:v>10</c:v>
                </c:pt>
                <c:pt idx="4">
                  <c:v>84.02600000000001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EE-4889-9E31-EAC0F7CE5D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32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22912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47128628765961833"/>
          <c:y val="0.94061544642420758"/>
          <c:w val="0.20412002127774198"/>
          <c:h val="4.9808557244459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40738890239725E-2"/>
          <c:y val="4.5977129764116054E-2"/>
          <c:w val="0.94756633730768303"/>
          <c:h val="0.82950404949426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674166250303939"/>
                  <c:y val="0.764369782328429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ED-4A96-B575-773402F5B38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66938538765322"/>
                  <c:y val="0.80651548461220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ED-4A96-B575-773402F5B3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Res.'!$C$43,'Energy Capital Res.'!$F$43,'Energy Capital Res.'!$J$43,'Energy Capital Res.'!$M$43,'Energy Capital Res.'!$P$43,'Energy Capital Res.'!$S$43)</c:f>
              <c:numCache>
                <c:formatCode>_(* #,##0.0_);_(* \(#,##0.0\);_(* "-"?_);_(@_)</c:formatCode>
                <c:ptCount val="6"/>
                <c:pt idx="0">
                  <c:v>10.3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25.3</c:v>
                </c:pt>
                <c:pt idx="5" formatCode="_(* #,##0.0_);_(* \(#,##0.0\);_(* &quot;-&quot;??_);_(@_)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D-4A96-B575-773402F5B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94792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5964474004145"/>
                  <c:y val="0.82950404949426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ED-4A96-B575-773402F5B38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66938538765322"/>
                  <c:y val="0.7356340762258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ED-4A96-B575-773402F5B38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ED-4A96-B575-773402F5B3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ED-4A96-B575-773402F5B3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ED-4A96-B575-773402F5B38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Res.'!$C$42,'Energy Capital Res.'!$F$42,'Energy Capital Res.'!$J$42,'Energy Capital Res.'!$M$42,'Energy Capital Res.'!$P$42,'Energy Capital Res.'!$S$42)</c:f>
              <c:numCache>
                <c:formatCode>_(* #,##0.0_);_(* \(#,##0.0\);_(* "-"?_);_(@_)</c:formatCode>
                <c:ptCount val="6"/>
                <c:pt idx="0">
                  <c:v>0.9</c:v>
                </c:pt>
                <c:pt idx="1">
                  <c:v>3.5760000000000001</c:v>
                </c:pt>
                <c:pt idx="2">
                  <c:v>0</c:v>
                </c:pt>
                <c:pt idx="3">
                  <c:v>0</c:v>
                </c:pt>
                <c:pt idx="4">
                  <c:v>4.476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ED-4A96-B575-773402F5B3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947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4792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192298393128151"/>
          <c:y val="0.92337402276266412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15517301257698E-2"/>
          <c:y val="4.6762630995172506E-2"/>
          <c:w val="0.94733698174959347"/>
          <c:h val="0.829137418799020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634394375068443"/>
                  <c:y val="0.76978484868976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7C-4E64-A64A-938FB3BD911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33432856643133"/>
                  <c:y val="0.723022217694590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7C-4E64-A64A-938FB3BD91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Assets'!$C$43,'CTG Assets'!$F$43,'CTG Assets'!$J$43,'CTG Assets'!$M$43,'CTG Assets'!$P$43,'CTG Assets'!$S$43)</c:f>
              <c:numCache>
                <c:formatCode>_(* #,##0.0_);_(* \(#,##0.0\);_(* "-"?_);_(@_)</c:formatCode>
                <c:ptCount val="6"/>
                <c:pt idx="0">
                  <c:v>14.4</c:v>
                </c:pt>
                <c:pt idx="1">
                  <c:v>14.705</c:v>
                </c:pt>
                <c:pt idx="2">
                  <c:v>13.904999999999999</c:v>
                </c:pt>
                <c:pt idx="3">
                  <c:v>19.954999999999998</c:v>
                </c:pt>
                <c:pt idx="4">
                  <c:v>62.964999999999996</c:v>
                </c:pt>
                <c:pt idx="5">
                  <c:v>26.939250000000001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C-4E64-A64A-938FB3B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29416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80150323892881"/>
                  <c:y val="0.82014460514610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7C-4E64-A64A-938FB3BD911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13328946090858"/>
                  <c:y val="0.86331011068010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7C-4E64-A64A-938FB3BD911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85716185806468"/>
                  <c:y val="0.8219431678766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7C-4E64-A64A-938FB3BD911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7C-4E64-A64A-938FB3BD911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49911676326141"/>
                  <c:y val="0.85611585975777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7C-4E64-A64A-938FB3BD911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7C-4E64-A64A-938FB3BD91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Assets'!$C$42,'CTG Assets'!$F$42,'CTG Assets'!$J$42,'CTG Assets'!$M$42,'CTG Assets'!$P$42,'CTG Assets'!$S$42)</c:f>
              <c:numCache>
                <c:formatCode>_(* #,##0.0_);_(* \(#,##0.0\);_(* "-"?_);_(@_)</c:formatCode>
                <c:ptCount val="6"/>
                <c:pt idx="0">
                  <c:v>-0.60000000000000009</c:v>
                </c:pt>
                <c:pt idx="1">
                  <c:v>-12.8</c:v>
                </c:pt>
                <c:pt idx="2">
                  <c:v>1</c:v>
                </c:pt>
                <c:pt idx="3">
                  <c:v>0</c:v>
                </c:pt>
                <c:pt idx="4">
                  <c:v>-12.4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7C-4E64-A64A-938FB3B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102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029416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339003152105151"/>
          <c:y val="0.94964112174811877"/>
          <c:w val="0.19794197637834959"/>
          <c:h val="4.136694280342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064959138795514E-2"/>
          <c:y val="4.4061416023944554E-2"/>
          <c:w val="0.94756633730768303"/>
          <c:h val="0.823756908273746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AF-42DC-8E48-9C8B6961775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528112961310153"/>
                  <c:y val="0.8007683433916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AF-42DC-8E48-9C8B6961775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34242976360176"/>
                  <c:y val="0.70115122890276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AF-42DC-8E48-9C8B696177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AF-42DC-8E48-9C8B696177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(Chairman!$C$43,Chairman!$F$43,Chairman!$J$43,Chairman!$M$43,Chairman!$P$43,Chairman!$S$43)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23.4</c:v>
                </c:pt>
                <c:pt idx="3">
                  <c:v>23.4</c:v>
                </c:pt>
                <c:pt idx="4">
                  <c:v>46.8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AF-42DC-8E48-9C8B6961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1080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AF-42DC-8E48-9C8B696177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AF-42DC-8E48-9C8B6961775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34242976360176"/>
                  <c:y val="0.655174099138653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CAF-42DC-8E48-9C8B6961775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AF-42DC-8E48-9C8B6961775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AF-42DC-8E48-9C8B696177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(Chairman!$C$42,Chairman!$F$42,Chairman!$J$42,Chairman!$M$42,Chairman!$P$42,Chairman!$S$42)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-18.812000000000001</c:v>
                </c:pt>
                <c:pt idx="2">
                  <c:v>30</c:v>
                </c:pt>
                <c:pt idx="3">
                  <c:v>0</c:v>
                </c:pt>
                <c:pt idx="4">
                  <c:v>11.187999999999999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AF-42DC-8E48-9C8B6961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01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1080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566830542261622"/>
          <c:y val="0.94061544642420758"/>
          <c:w val="0.20412002127774198"/>
          <c:h val="4.98085572444590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10280630130226E-2"/>
          <c:y val="4.5977129764116054E-2"/>
          <c:w val="0.94319679556779246"/>
          <c:h val="0.821841194533574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11120424292989"/>
                  <c:y val="0.74138121744637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15-40F6-927F-185E202848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91158787321101"/>
                  <c:y val="0.71456122508397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15-40F6-927F-185E202848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09398926649011"/>
                  <c:y val="0.6992355151625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15-40F6-927F-185E202848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70099453860627"/>
                  <c:y val="0.473181293822361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15-40F6-927F-185E2028480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50137816888742"/>
                  <c:y val="0.66475266783951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15-40F6-927F-185E202848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(East!$C$43,East!$F$43,East!$J$43,East!$M$43,East!$P$43,East!$S$43)</c:f>
              <c:numCache>
                <c:formatCode>_(* #,##0.0_);_(* \(#,##0.0\);_(* "-"?_);_(@_)</c:formatCode>
                <c:ptCount val="6"/>
                <c:pt idx="0">
                  <c:v>14.2</c:v>
                </c:pt>
                <c:pt idx="1">
                  <c:v>20.492999999999999</c:v>
                </c:pt>
                <c:pt idx="2">
                  <c:v>21.492999999999999</c:v>
                </c:pt>
                <c:pt idx="3">
                  <c:v>22.344000000000001</c:v>
                </c:pt>
                <c:pt idx="4">
                  <c:v>78.53</c:v>
                </c:pt>
                <c:pt idx="5">
                  <c:v>30.164400000000001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15-40F6-927F-185E2028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5208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85652573426461"/>
                  <c:y val="0.81417833957288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15-40F6-927F-185E202848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34084688674342"/>
                  <c:y val="0.79502120217117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15-40F6-927F-185E202848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71820951504596"/>
                  <c:y val="0.494254144964247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15-40F6-927F-185E202848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27015264821558"/>
                  <c:y val="0.60153411441385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15-40F6-927F-185E202848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15-40F6-927F-185E202848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(East!$C$42,East!$F$42,East!$J$42,East!$M$42,East!$P$42,East!$S$42)</c:f>
              <c:numCache>
                <c:formatCode>_(* #,##0.0_);_(* \(#,##0.0\);_(* "-"?_);_(@_)</c:formatCode>
                <c:ptCount val="6"/>
                <c:pt idx="0">
                  <c:v>2.8000000000000003</c:v>
                </c:pt>
                <c:pt idx="1">
                  <c:v>3.0580000000000003</c:v>
                </c:pt>
                <c:pt idx="2">
                  <c:v>74.25</c:v>
                </c:pt>
                <c:pt idx="3">
                  <c:v>52</c:v>
                </c:pt>
                <c:pt idx="4">
                  <c:v>132.108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15-40F6-927F-185E2028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75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5208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631747771738689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40738890239725E-2"/>
          <c:y val="4.5977129764116054E-2"/>
          <c:w val="0.94756633730768303"/>
          <c:h val="0.82950404949426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73542449148567"/>
                  <c:y val="0.706898370123284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99-4B23-84DA-698B9CA93B5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54204613332055"/>
                  <c:y val="0.74904407240705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99-4B23-84DA-698B9CA93B5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22132852082284"/>
                  <c:y val="0.67624695028054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99-4B23-84DA-698B9CA93B5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57365528427366"/>
                  <c:y val="0.46168701138133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99-4B23-84DA-698B9CA93B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(West!$C$43,West!$F$43,West!$J$43,West!$M$43,West!$P$43,West!$S$43)</c:f>
              <c:numCache>
                <c:formatCode>_(* #,##0.0_);_(* \(#,##0.0\);_(* "-"?_);_(@_)</c:formatCode>
                <c:ptCount val="6"/>
                <c:pt idx="0">
                  <c:v>13.2</c:v>
                </c:pt>
                <c:pt idx="1">
                  <c:v>13.234999999999999</c:v>
                </c:pt>
                <c:pt idx="2">
                  <c:v>17.163</c:v>
                </c:pt>
                <c:pt idx="3">
                  <c:v>43.231000000000002</c:v>
                </c:pt>
                <c:pt idx="4">
                  <c:v>86.829000000000008</c:v>
                </c:pt>
                <c:pt idx="5">
                  <c:v>58.361850000000004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9-4B23-84DA-698B9CA9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22256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4807459828204"/>
                  <c:y val="0.76245406858825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99-4B23-84DA-698B9CA93B5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54204613332055"/>
                  <c:y val="0.67816266402071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99-4B23-84DA-698B9CA93B5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22132852082284"/>
                  <c:y val="0.73754978996602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99-4B23-84DA-698B9CA93B5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2466996602222"/>
                  <c:y val="0.802684057131859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99-4B23-84DA-698B9CA93B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(West!$C$42,West!$F$42,West!$J$42,West!$M$42,West!$P$42,West!$S$42)</c:f>
              <c:numCache>
                <c:formatCode>_(* #,##0.0_);_(* \(#,##0.0\);_(* "-"?_);_(@_)</c:formatCode>
                <c:ptCount val="6"/>
                <c:pt idx="0">
                  <c:v>8.4</c:v>
                </c:pt>
                <c:pt idx="1">
                  <c:v>16.986000000000001</c:v>
                </c:pt>
                <c:pt idx="2">
                  <c:v>10</c:v>
                </c:pt>
                <c:pt idx="3">
                  <c:v>64</c:v>
                </c:pt>
                <c:pt idx="4">
                  <c:v>99.38600000000001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99-4B23-84DA-698B9CA9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8032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22256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7378316865384146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810280630130226E-2"/>
          <c:y val="4.5977129764116054E-2"/>
          <c:w val="0.94257257531923666"/>
          <c:h val="0.823756908273746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48698399437409"/>
                  <c:y val="0.74329693118654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19-47D9-A79D-0F0F053930B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91158787321101"/>
                  <c:y val="0.63410124799676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19-47D9-A79D-0F0F053930B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638027692610855"/>
                  <c:y val="0.58812411823265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19-47D9-A79D-0F0F053930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(Downstream!$C$43,Downstream!$F$43,Downstream!$J$43,Downstream!$M$43,Downstream!$P$43,Downstream!$S$43)</c:f>
              <c:numCache>
                <c:formatCode>_(* #,##0.0_);_(* \(#,##0.0\);_(* "-"?_);_(@_)</c:formatCode>
                <c:ptCount val="6"/>
                <c:pt idx="0">
                  <c:v>16.899999999999999</c:v>
                </c:pt>
                <c:pt idx="1">
                  <c:v>22.861000000000001</c:v>
                </c:pt>
                <c:pt idx="2">
                  <c:v>28.361000000000001</c:v>
                </c:pt>
                <c:pt idx="3">
                  <c:v>28.361000000000001</c:v>
                </c:pt>
                <c:pt idx="4">
                  <c:v>96.483000000000004</c:v>
                </c:pt>
                <c:pt idx="5">
                  <c:v>38.287350000000004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9-47D9-A79D-0F0F0539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75176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10496623137617"/>
                  <c:y val="0.80651548461220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19-47D9-A79D-0F0F053930B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91158787321101"/>
                  <c:y val="0.6819940915010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19-47D9-A79D-0F0F053930B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34242976360176"/>
                  <c:y val="0.576629835791622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19-47D9-A79D-0F0F053930B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575605667755287"/>
                  <c:y val="0.6494269579181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19-47D9-A79D-0F0F053930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(Downstream!$C$42,Downstream!$F$42,Downstream!$J$42,Downstream!$M$42,Downstream!$P$42,Downstream!$S$42)</c:f>
              <c:numCache>
                <c:formatCode>_(* #,##0.0_);_(* \(#,##0.0\);_(* "-"?_);_(@_)</c:formatCode>
                <c:ptCount val="6"/>
                <c:pt idx="0">
                  <c:v>3.2</c:v>
                </c:pt>
                <c:pt idx="1">
                  <c:v>16.097000000000001</c:v>
                </c:pt>
                <c:pt idx="2">
                  <c:v>58</c:v>
                </c:pt>
                <c:pt idx="3">
                  <c:v>47</c:v>
                </c:pt>
                <c:pt idx="4">
                  <c:v>124.297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19-47D9-A79D-0F0F0539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75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5176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943857896016576"/>
          <c:y val="0.93869973268403617"/>
          <c:w val="0.20412002127774198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61840133018662E-2"/>
          <c:y val="4.5977129764116054E-2"/>
          <c:w val="0.94506945631345984"/>
          <c:h val="0.825672622013917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11120424292989"/>
                  <c:y val="0.65325838539848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4D-42C7-B2E9-C04A3F8632A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79048663043209"/>
                  <c:y val="0.7260555075249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4D-42C7-B2E9-C04A3F8632A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09398926649011"/>
                  <c:y val="0.67433123654036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4D-42C7-B2E9-C04A3F8632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3974919025483"/>
                  <c:y val="0.74138121744637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4D-42C7-B2E9-C04A3F8632A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6494269579181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4D-42C7-B2E9-C04A3F8632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(Generation!$C$43,Generation!$F$43,Generation!$J$43,Generation!$M$43,Generation!$P$43,Generation!$S$43)</c:f>
              <c:numCache>
                <c:formatCode>_(* #,##0.0_);_(* \(#,##0.0\);_(* "-"?_);_(@_)</c:formatCode>
                <c:ptCount val="6"/>
                <c:pt idx="0">
                  <c:v>18.7</c:v>
                </c:pt>
                <c:pt idx="1">
                  <c:v>18.710999999999999</c:v>
                </c:pt>
                <c:pt idx="2">
                  <c:v>18.712</c:v>
                </c:pt>
                <c:pt idx="3">
                  <c:v>18.713000000000001</c:v>
                </c:pt>
                <c:pt idx="4">
                  <c:v>74.835999999999999</c:v>
                </c:pt>
                <c:pt idx="5">
                  <c:v>25.262550000000005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D-42C7-B2E9-C04A3F8632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95252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60808523715303"/>
                  <c:y val="0.718392652564313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4D-42C7-B2E9-C04A3F8632A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34242976360176"/>
                  <c:y val="0.614944110595052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4D-42C7-B2E9-C04A3F8632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45255404149468"/>
                  <c:y val="0.2452113587419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4D-42C7-B2E9-C04A3F8632A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262247941166651"/>
                  <c:y val="0.70498265638311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4D-42C7-B2E9-C04A3F8632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(Generation!$C$42,Generation!$F$42,Generation!$J$42,Generation!$M$42,Generation!$P$42,Generation!$S$42)</c:f>
              <c:numCache>
                <c:formatCode>_(* #,##0.0_);_(* \(#,##0.0\);_(* "-"?_);_(@_)</c:formatCode>
                <c:ptCount val="6"/>
                <c:pt idx="0">
                  <c:v>7.2</c:v>
                </c:pt>
                <c:pt idx="1">
                  <c:v>35.366</c:v>
                </c:pt>
                <c:pt idx="2">
                  <c:v>29</c:v>
                </c:pt>
                <c:pt idx="3">
                  <c:v>67.5</c:v>
                </c:pt>
                <c:pt idx="4">
                  <c:v>139.066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4D-42C7-B2E9-C04A3F8632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95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5252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129876368272571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288447589692242E-2"/>
          <c:y val="4.5977129764116054E-2"/>
          <c:w val="0.92634284885678631"/>
          <c:h val="0.827588335754088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846444333414383"/>
                  <c:y val="0.703066942642941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9C-4F0C-BAC7-544D0137767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945105498327325"/>
                  <c:y val="0.76245406858825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9C-4F0C-BAC7-544D0137767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36334563765524"/>
                  <c:y val="0.69731980142242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9C-4F0C-BAC7-544D0137767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719163752127571"/>
                  <c:y val="0.614944110595052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9C-4F0C-BAC7-544D0137767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636780090300106"/>
                  <c:y val="0.764369782328429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9C-4F0C-BAC7-544D013776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(Coal!$C$43,Coal!$F$43,Coal!$J$43,Coal!$M$43,Coal!$P$43,Coal!$S$43)</c:f>
              <c:numCache>
                <c:formatCode>_(* #,##0.0_);_(* \(#,##0.0\);_(* "-"?_);_(@_)</c:formatCode>
                <c:ptCount val="6"/>
                <c:pt idx="0">
                  <c:v>12.7</c:v>
                </c:pt>
                <c:pt idx="1">
                  <c:v>6.2119999999999997</c:v>
                </c:pt>
                <c:pt idx="2">
                  <c:v>6.2789999999999999</c:v>
                </c:pt>
                <c:pt idx="3">
                  <c:v>6.2789999999999999</c:v>
                </c:pt>
                <c:pt idx="4">
                  <c:v>31.47</c:v>
                </c:pt>
                <c:pt idx="5">
                  <c:v>8.4766500000000011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C-4F0C-BAC7-544D013776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00752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108625219671502"/>
                  <c:y val="0.82567262201391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9C-4F0C-BAC7-544D0137767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46444333414383"/>
                  <c:y val="0.772032637289115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9C-4F0C-BAC7-544D0137767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570573349193853"/>
                  <c:y val="0.56513555335059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9C-4F0C-BAC7-544D0137767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113657538232922"/>
                  <c:y val="0.64751124417796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9C-4F0C-BAC7-544D0137767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656741727271991"/>
                  <c:y val="0.438698446499274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9C-4F0C-BAC7-544D0137767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262247941166651"/>
                  <c:y val="0.69540408768225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9C-4F0C-BAC7-544D013776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(Coal!$C$42,Coal!$F$42,Coal!$J$42,Coal!$M$42,Coal!$P$42,Coal!$S$42)</c:f>
              <c:numCache>
                <c:formatCode>_(* #,##0.0_);_(* \(#,##0.0\);_(* "-"?_);_(@_)</c:formatCode>
                <c:ptCount val="6"/>
                <c:pt idx="0">
                  <c:v>-1.1000000000000001</c:v>
                </c:pt>
                <c:pt idx="1">
                  <c:v>4.1639999999999997</c:v>
                </c:pt>
                <c:pt idx="2">
                  <c:v>45</c:v>
                </c:pt>
                <c:pt idx="3">
                  <c:v>25</c:v>
                </c:pt>
                <c:pt idx="4">
                  <c:v>73.063999999999993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9C-4F0C-BAC7-544D013776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900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0752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7066206741106253"/>
          <c:y val="0.94061544642420758"/>
          <c:w val="0.20412002127774198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82941375797585E-2"/>
          <c:y val="4.5977129764116054E-2"/>
          <c:w val="0.94069991457356927"/>
          <c:h val="0.818009767053231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35964474004145"/>
                  <c:y val="0.70115122890276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20-438D-AD76-99AC0A3C242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03892712754368"/>
                  <c:y val="0.706898370123284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20-438D-AD76-99AC0A3C242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883931075782489"/>
                  <c:y val="0.6494269579181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20-438D-AD76-99AC0A3C242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614281339388297"/>
                  <c:y val="0.676246950280540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20-438D-AD76-99AC0A3C242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70099453860627"/>
                  <c:y val="0.44252987397961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20-438D-AD76-99AC0A3C24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(Canada!$C$43,Canada!$F$43,Canada!$J$43,Canada!$M$43,Canada!$P$43,Canada!$S$43)</c:f>
              <c:numCache>
                <c:formatCode>_(* #,##0.0_);_(* \(#,##0.0\);_(* "-"?_);_(@_)</c:formatCode>
                <c:ptCount val="6"/>
                <c:pt idx="0">
                  <c:v>11.6</c:v>
                </c:pt>
                <c:pt idx="1">
                  <c:v>11.555999999999999</c:v>
                </c:pt>
                <c:pt idx="2">
                  <c:v>11.557</c:v>
                </c:pt>
                <c:pt idx="3">
                  <c:v>11.558</c:v>
                </c:pt>
                <c:pt idx="4">
                  <c:v>46.271000000000001</c:v>
                </c:pt>
                <c:pt idx="5">
                  <c:v>15.603300000000001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20-438D-AD76-99AC0A3C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1904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97762697704352"/>
                  <c:y val="0.76053835484808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20-438D-AD76-99AC0A3C242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66314737609948"/>
                  <c:y val="0.645595530437796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20-438D-AD76-99AC0A3C242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5908702607133"/>
                  <c:y val="0.582376977012136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20-438D-AD76-99AC0A3C242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89437289677138"/>
                  <c:y val="0.73371836248568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20-438D-AD76-99AC0A3C242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32521478716207"/>
                  <c:y val="0.37739560681378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20-438D-AD76-99AC0A3C24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20-438D-AD76-99AC0A3C24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(Canada!$C$42,Canada!$F$42,Canada!$J$42,Canada!$M$42,Canada!$P$42,Canada!$S$42)</c:f>
              <c:numCache>
                <c:formatCode>_(* #,##0.0_);_(* \(#,##0.0\);_(* "-"?_);_(@_)</c:formatCode>
                <c:ptCount val="6"/>
                <c:pt idx="0">
                  <c:v>7.6000000000000005</c:v>
                </c:pt>
                <c:pt idx="1">
                  <c:v>12.428000000000001</c:v>
                </c:pt>
                <c:pt idx="2">
                  <c:v>19</c:v>
                </c:pt>
                <c:pt idx="3">
                  <c:v>11</c:v>
                </c:pt>
                <c:pt idx="4">
                  <c:v>50.027999999999992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20-438D-AD76-99AC0A3C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7810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1904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3757839423760586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55602121464945E-2"/>
          <c:y val="4.5977129764116054E-2"/>
          <c:w val="0.93945147407645768"/>
          <c:h val="0.818009767053231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965067135299204"/>
                  <c:y val="0.69731980142242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5F-456A-8E9F-7DAD75965D3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445729299482694"/>
                  <c:y val="0.73180264874551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5F-456A-8E9F-7DAD75965D3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988813488521763"/>
                  <c:y val="0.77777977850962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5F-456A-8E9F-7DAD75965D3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07677429005059"/>
                  <c:y val="0.614944110595052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5F-456A-8E9F-7DAD75965D3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12559841744322"/>
                  <c:y val="0.69923551516259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5F-456A-8E9F-7DAD75965D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Products'!$B$37,'New Products'!$E$37,'New Products'!$I$37,'New Products'!$L$37,'New Products'!$O$37,'New Products'!$R$37)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('New Products'!$C$43,'New Products'!$F$43,'New Products'!$J$43,'New Products'!$M$43,'New Products'!$P$43,'New Products'!$S$43)</c:f>
              <c:numCache>
                <c:formatCode>_(* #,##0.0_);_(* \(#,##0.0\);_(* "-"?_);_(@_)</c:formatCode>
                <c:ptCount val="6"/>
                <c:pt idx="0">
                  <c:v>7.7</c:v>
                </c:pt>
                <c:pt idx="1">
                  <c:v>7.7119999999999997</c:v>
                </c:pt>
                <c:pt idx="2">
                  <c:v>7.7119999999999997</c:v>
                </c:pt>
                <c:pt idx="3">
                  <c:v>7.7119999999999997</c:v>
                </c:pt>
                <c:pt idx="4">
                  <c:v>30.835999999999999</c:v>
                </c:pt>
                <c:pt idx="5">
                  <c:v>10.411200000000001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5F-456A-8E9F-7DAD75965D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888848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5F-456A-8E9F-7DAD75965D3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902645110443625"/>
                  <c:y val="0.76245406858825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5F-456A-8E9F-7DAD75965D3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258463224915961"/>
                  <c:y val="0.68390980524122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5F-456A-8E9F-7DAD75965D3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5F-456A-8E9F-7DAD75965D3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45255404149468"/>
                  <c:y val="0.6819940915010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5F-456A-8E9F-7DAD75965D3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449514015733379"/>
                  <c:y val="0.752875499887400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5F-456A-8E9F-7DAD75965D3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Products'!$B$37:$C$37,'New Products'!$E$37:$F$37,'New Products'!$I$37:$J$37,'New Products'!$L$37:$M$37,'New Products'!$O$37:$P$37,'New Products'!$R$37:$S$37)</c:f>
              <c:strCache>
                <c:ptCount val="11"/>
                <c:pt idx="0">
                  <c:v>1Q00</c:v>
                </c:pt>
                <c:pt idx="2">
                  <c:v>2Q00</c:v>
                </c:pt>
                <c:pt idx="4">
                  <c:v>3Q00</c:v>
                </c:pt>
                <c:pt idx="6">
                  <c:v>4Q00</c:v>
                </c:pt>
                <c:pt idx="8">
                  <c:v>2000</c:v>
                </c:pt>
                <c:pt idx="10">
                  <c:v>1Q01</c:v>
                </c:pt>
              </c:strCache>
            </c:strRef>
          </c:cat>
          <c:val>
            <c:numRef>
              <c:f>('New Products'!$C$42,'New Products'!$F$42,'New Products'!$J$42,'New Products'!$M$42,'New Products'!$P$42,'New Products'!$S$42)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1.7210000000000001</c:v>
                </c:pt>
                <c:pt idx="2">
                  <c:v>20</c:v>
                </c:pt>
                <c:pt idx="3">
                  <c:v>0</c:v>
                </c:pt>
                <c:pt idx="4">
                  <c:v>21.721</c:v>
                </c:pt>
                <c:pt idx="5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5F-456A-8E9F-7DAD75965D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088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88848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819013846305422"/>
          <c:y val="0.94061544642420758"/>
          <c:w val="0.20412002127774198"/>
          <c:h val="4.59771297641160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058721127241804E-2"/>
          <c:y val="4.9808557244459054E-2"/>
          <c:w val="0.94194835507068086"/>
          <c:h val="0.821841194533574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216002837032266"/>
                  <c:y val="0.745212644926714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E3-49AE-ABC5-2BC53331B77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70099453860627"/>
                  <c:y val="0.7356340762258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E3-49AE-ABC5-2BC53331B77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3740389145547"/>
                  <c:y val="0.74712835866688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E3-49AE-ABC5-2BC53331B7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(Mexico!$C$43,Mexico!$F$43,Mexico!$J$43,Mexico!$M$43,Mexico!$P$43,Mexico!$S$43)</c:f>
              <c:numCache>
                <c:formatCode>_(* #,##0.0_);_(* \(#,##0.0\);_(* "-"?_);_(@_)</c:formatCode>
                <c:ptCount val="6"/>
                <c:pt idx="0">
                  <c:v>4.7</c:v>
                </c:pt>
                <c:pt idx="1">
                  <c:v>4.6559999999999997</c:v>
                </c:pt>
                <c:pt idx="2">
                  <c:v>4.6559999999999997</c:v>
                </c:pt>
                <c:pt idx="3">
                  <c:v>4.6559999999999997</c:v>
                </c:pt>
                <c:pt idx="4">
                  <c:v>18.667999999999999</c:v>
                </c:pt>
                <c:pt idx="5">
                  <c:v>6.2856000000000005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E3-49AE-ABC5-2BC53331B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0890160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E3-49AE-ABC5-2BC53331B7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16002837032266"/>
                  <c:y val="0.802684057131859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E3-49AE-ABC5-2BC53331B77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E3-49AE-ABC5-2BC53331B77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3740389145547"/>
                  <c:y val="0.789274060950658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E3-49AE-ABC5-2BC53331B7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(Mexico!$C$42,Mexico!$F$42,Mexico!$J$42,Mexico!$M$42,Mexico!$P$42,Mexico!$S$42)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34</c:v>
                </c:pt>
                <c:pt idx="4">
                  <c:v>34.002000000000002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E3-49AE-ABC5-2BC53331B7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5089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90160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067454343416997"/>
          <c:y val="0.94636258764472225"/>
          <c:w val="0.20412002127774198"/>
          <c:h val="4.40614160239445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114451</xdr:colOff>
      <xdr:row>48</xdr:row>
      <xdr:rowOff>83820</xdr:rowOff>
    </xdr:from>
    <xdr:ext cx="1721818" cy="440633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6027571" y="7452360"/>
          <a:ext cx="1721818" cy="440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0" y="45720"/>
          <a:ext cx="8313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388620</xdr:colOff>
      <xdr:row>3</xdr:row>
      <xdr:rowOff>45720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6499860" y="982980"/>
          <a:ext cx="65227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60418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60419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60420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624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62466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62467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62468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137160</xdr:colOff>
      <xdr:row>48</xdr:row>
      <xdr:rowOff>83820</xdr:rowOff>
    </xdr:from>
    <xdr:ext cx="1817370" cy="476250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6027420" y="7452360"/>
          <a:ext cx="180594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608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426720</xdr:colOff>
      <xdr:row>3</xdr:row>
      <xdr:rowOff>45720</xdr:rowOff>
    </xdr:to>
    <xdr:sp macro="" textlink="">
      <xdr:nvSpPr>
        <xdr:cNvPr id="46084" name="Line 4"/>
        <xdr:cNvSpPr>
          <a:spLocks noChangeShapeType="1"/>
        </xdr:cNvSpPr>
      </xdr:nvSpPr>
      <xdr:spPr bwMode="auto">
        <a:xfrm flipH="1">
          <a:off x="6477000" y="982980"/>
          <a:ext cx="6667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48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48130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813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381000</xdr:colOff>
      <xdr:row>3</xdr:row>
      <xdr:rowOff>45720</xdr:rowOff>
    </xdr:to>
    <xdr:sp macro="" textlink="">
      <xdr:nvSpPr>
        <xdr:cNvPr id="48132" name="Line 4"/>
        <xdr:cNvSpPr>
          <a:spLocks noChangeShapeType="1"/>
        </xdr:cNvSpPr>
      </xdr:nvSpPr>
      <xdr:spPr bwMode="auto">
        <a:xfrm flipH="1">
          <a:off x="6477000" y="982980"/>
          <a:ext cx="66217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1043940</xdr:colOff>
      <xdr:row>46</xdr:row>
      <xdr:rowOff>0</xdr:rowOff>
    </xdr:from>
    <xdr:to>
      <xdr:col>20</xdr:col>
      <xdr:colOff>38100</xdr:colOff>
      <xdr:row>70</xdr:row>
      <xdr:rowOff>30480</xdr:rowOff>
    </xdr:to>
    <xdr:graphicFrame macro="">
      <xdr:nvGraphicFramePr>
        <xdr:cNvPr id="50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50178" name="Text Box 2"/>
        <xdr:cNvSpPr txBox="1">
          <a:spLocks noChangeArrowheads="1"/>
        </xdr:cNvSpPr>
      </xdr:nvSpPr>
      <xdr:spPr bwMode="auto">
        <a:xfrm>
          <a:off x="64389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32004" rIns="36576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0179" name="Line 3"/>
        <xdr:cNvSpPr>
          <a:spLocks noChangeShapeType="1"/>
        </xdr:cNvSpPr>
      </xdr:nvSpPr>
      <xdr:spPr bwMode="auto">
        <a:xfrm flipH="1">
          <a:off x="0" y="45720"/>
          <a:ext cx="8686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50180" name="Line 4"/>
        <xdr:cNvSpPr>
          <a:spLocks noChangeShapeType="1"/>
        </xdr:cNvSpPr>
      </xdr:nvSpPr>
      <xdr:spPr bwMode="auto">
        <a:xfrm flipH="1">
          <a:off x="68961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583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58370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837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381000</xdr:colOff>
      <xdr:row>3</xdr:row>
      <xdr:rowOff>45720</xdr:rowOff>
    </xdr:to>
    <xdr:sp macro="" textlink="">
      <xdr:nvSpPr>
        <xdr:cNvPr id="58372" name="Line 4"/>
        <xdr:cNvSpPr>
          <a:spLocks noChangeShapeType="1"/>
        </xdr:cNvSpPr>
      </xdr:nvSpPr>
      <xdr:spPr bwMode="auto">
        <a:xfrm flipH="1">
          <a:off x="6477000" y="975360"/>
          <a:ext cx="662178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31745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31746" name="Text Box 1026"/>
        <xdr:cNvSpPr txBox="1">
          <a:spLocks noChangeArrowheads="1"/>
        </xdr:cNvSpPr>
      </xdr:nvSpPr>
      <xdr:spPr bwMode="auto">
        <a:xfrm>
          <a:off x="6019800" y="743712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1747" name="Line 1027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396240</xdr:colOff>
      <xdr:row>3</xdr:row>
      <xdr:rowOff>45720</xdr:rowOff>
    </xdr:to>
    <xdr:sp macro="" textlink="">
      <xdr:nvSpPr>
        <xdr:cNvPr id="31748" name="Line 1028"/>
        <xdr:cNvSpPr>
          <a:spLocks noChangeShapeType="1"/>
        </xdr:cNvSpPr>
      </xdr:nvSpPr>
      <xdr:spPr bwMode="auto">
        <a:xfrm flipH="1">
          <a:off x="6477000" y="975360"/>
          <a:ext cx="663702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1028700</xdr:colOff>
      <xdr:row>46</xdr:row>
      <xdr:rowOff>0</xdr:rowOff>
    </xdr:from>
    <xdr:to>
      <xdr:col>20</xdr:col>
      <xdr:colOff>60960</xdr:colOff>
      <xdr:row>68</xdr:row>
      <xdr:rowOff>121920</xdr:rowOff>
    </xdr:to>
    <xdr:graphicFrame macro="">
      <xdr:nvGraphicFramePr>
        <xdr:cNvPr id="3379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33794" name="Text Box 1026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3795" name="Line 1027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33796" name="Line 1028"/>
        <xdr:cNvSpPr>
          <a:spLocks noChangeShapeType="1"/>
        </xdr:cNvSpPr>
      </xdr:nvSpPr>
      <xdr:spPr bwMode="auto">
        <a:xfrm flipH="1">
          <a:off x="64770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35842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426720</xdr:colOff>
      <xdr:row>3</xdr:row>
      <xdr:rowOff>45720</xdr:rowOff>
    </xdr:to>
    <xdr:sp macro="" textlink="">
      <xdr:nvSpPr>
        <xdr:cNvPr id="35844" name="Line 4"/>
        <xdr:cNvSpPr>
          <a:spLocks noChangeShapeType="1"/>
        </xdr:cNvSpPr>
      </xdr:nvSpPr>
      <xdr:spPr bwMode="auto">
        <a:xfrm flipH="1">
          <a:off x="6477000" y="975360"/>
          <a:ext cx="66675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37890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45720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 flipH="1">
          <a:off x="6477000" y="982980"/>
          <a:ext cx="66598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542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54274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4275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426720</xdr:colOff>
      <xdr:row>3</xdr:row>
      <xdr:rowOff>45720</xdr:rowOff>
    </xdr:to>
    <xdr:sp macro="" textlink="">
      <xdr:nvSpPr>
        <xdr:cNvPr id="54276" name="Line 4"/>
        <xdr:cNvSpPr>
          <a:spLocks noChangeShapeType="1"/>
        </xdr:cNvSpPr>
      </xdr:nvSpPr>
      <xdr:spPr bwMode="auto">
        <a:xfrm flipH="1">
          <a:off x="6477000" y="982980"/>
          <a:ext cx="66675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56322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579120</xdr:colOff>
      <xdr:row>3</xdr:row>
      <xdr:rowOff>45720</xdr:rowOff>
    </xdr:from>
    <xdr:to>
      <xdr:col>19</xdr:col>
      <xdr:colOff>342900</xdr:colOff>
      <xdr:row>3</xdr:row>
      <xdr:rowOff>68580</xdr:rowOff>
    </xdr:to>
    <xdr:sp macro="" textlink="">
      <xdr:nvSpPr>
        <xdr:cNvPr id="56324" name="Line 4"/>
        <xdr:cNvSpPr>
          <a:spLocks noChangeShapeType="1"/>
        </xdr:cNvSpPr>
      </xdr:nvSpPr>
      <xdr:spPr bwMode="auto">
        <a:xfrm flipH="1" flipV="1">
          <a:off x="6469380" y="982980"/>
          <a:ext cx="659130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129540</xdr:colOff>
      <xdr:row>48</xdr:row>
      <xdr:rowOff>83820</xdr:rowOff>
    </xdr:from>
    <xdr:to>
      <xdr:col>11</xdr:col>
      <xdr:colOff>198120</xdr:colOff>
      <xdr:row>51</xdr:row>
      <xdr:rowOff>91440</xdr:rowOff>
    </xdr:to>
    <xdr:sp macro="" textlink="">
      <xdr:nvSpPr>
        <xdr:cNvPr id="39938" name="Text Box 2"/>
        <xdr:cNvSpPr txBox="1">
          <a:spLocks noChangeArrowheads="1"/>
        </xdr:cNvSpPr>
      </xdr:nvSpPr>
      <xdr:spPr bwMode="auto">
        <a:xfrm>
          <a:off x="6019800" y="7437120"/>
          <a:ext cx="18288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two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39939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396240</xdr:colOff>
      <xdr:row>3</xdr:row>
      <xdr:rowOff>45720</xdr:rowOff>
    </xdr:to>
    <xdr:sp macro="" textlink="">
      <xdr:nvSpPr>
        <xdr:cNvPr id="39940" name="Line 4"/>
        <xdr:cNvSpPr>
          <a:spLocks noChangeShapeType="1"/>
        </xdr:cNvSpPr>
      </xdr:nvSpPr>
      <xdr:spPr bwMode="auto">
        <a:xfrm flipH="1">
          <a:off x="6477000" y="982980"/>
          <a:ext cx="66370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1005840</xdr:colOff>
      <xdr:row>46</xdr:row>
      <xdr:rowOff>0</xdr:rowOff>
    </xdr:from>
    <xdr:to>
      <xdr:col>20</xdr:col>
      <xdr:colOff>38100</xdr:colOff>
      <xdr:row>68</xdr:row>
      <xdr:rowOff>121920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129540</xdr:colOff>
      <xdr:row>48</xdr:row>
      <xdr:rowOff>83820</xdr:rowOff>
    </xdr:from>
    <xdr:ext cx="1851660" cy="487680"/>
    <xdr:sp macro="" textlink="">
      <xdr:nvSpPr>
        <xdr:cNvPr id="41986" name="Text Box 2"/>
        <xdr:cNvSpPr txBox="1">
          <a:spLocks noChangeArrowheads="1"/>
        </xdr:cNvSpPr>
      </xdr:nvSpPr>
      <xdr:spPr bwMode="auto">
        <a:xfrm>
          <a:off x="6019800" y="7452360"/>
          <a:ext cx="1844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45720</xdr:rowOff>
    </xdr:from>
    <xdr:to>
      <xdr:col>11</xdr:col>
      <xdr:colOff>617220</xdr:colOff>
      <xdr:row>0</xdr:row>
      <xdr:rowOff>45720</xdr:rowOff>
    </xdr:to>
    <xdr:sp macro="" textlink="">
      <xdr:nvSpPr>
        <xdr:cNvPr id="41987" name="Line 3"/>
        <xdr:cNvSpPr>
          <a:spLocks noChangeShapeType="1"/>
        </xdr:cNvSpPr>
      </xdr:nvSpPr>
      <xdr:spPr bwMode="auto">
        <a:xfrm flipH="1">
          <a:off x="0" y="45720"/>
          <a:ext cx="8267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45720</xdr:rowOff>
    </xdr:from>
    <xdr:to>
      <xdr:col>19</xdr:col>
      <xdr:colOff>419100</xdr:colOff>
      <xdr:row>3</xdr:row>
      <xdr:rowOff>68580</xdr:rowOff>
    </xdr:to>
    <xdr:sp macro="" textlink="">
      <xdr:nvSpPr>
        <xdr:cNvPr id="41988" name="Line 4"/>
        <xdr:cNvSpPr>
          <a:spLocks noChangeShapeType="1"/>
        </xdr:cNvSpPr>
      </xdr:nvSpPr>
      <xdr:spPr bwMode="auto">
        <a:xfrm flipH="1" flipV="1">
          <a:off x="6477000" y="982980"/>
          <a:ext cx="6659880" cy="2286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The%20Hot%20List/Hot%20List%2006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The%20Hot%20List/Hot%20List%2006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list - Identified "/>
      <sheetName val="Hotlist - Completed"/>
    </sheetNames>
    <sheetDataSet>
      <sheetData sheetId="0">
        <row r="80">
          <cell r="F80">
            <v>6279</v>
          </cell>
          <cell r="I80">
            <v>6279</v>
          </cell>
          <cell r="O80">
            <v>8476.6500000000015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list - Identified "/>
      <sheetName val="Hotlist - Completed"/>
    </sheetNames>
    <sheetDataSet>
      <sheetData sheetId="0">
        <row r="29">
          <cell r="F29">
            <v>21493</v>
          </cell>
          <cell r="I29">
            <v>22344</v>
          </cell>
          <cell r="O29">
            <v>30164.400000000001</v>
          </cell>
        </row>
        <row r="41">
          <cell r="F41">
            <v>17163</v>
          </cell>
          <cell r="I41">
            <v>43231</v>
          </cell>
          <cell r="O41">
            <v>58361.850000000006</v>
          </cell>
        </row>
        <row r="56">
          <cell r="F56">
            <v>28361</v>
          </cell>
          <cell r="I56">
            <v>28361</v>
          </cell>
          <cell r="O56">
            <v>38287.350000000006</v>
          </cell>
        </row>
        <row r="68">
          <cell r="F68">
            <v>18712</v>
          </cell>
          <cell r="I68">
            <v>18713</v>
          </cell>
          <cell r="O68">
            <v>25262.550000000003</v>
          </cell>
        </row>
        <row r="95">
          <cell r="F95">
            <v>11557</v>
          </cell>
          <cell r="I95">
            <v>11558</v>
          </cell>
          <cell r="O95">
            <v>15603.300000000001</v>
          </cell>
        </row>
        <row r="102">
          <cell r="F102">
            <v>7712</v>
          </cell>
          <cell r="I102">
            <v>7712</v>
          </cell>
          <cell r="O102">
            <v>10411.200000000001</v>
          </cell>
        </row>
        <row r="110">
          <cell r="F110">
            <v>4656</v>
          </cell>
          <cell r="I110">
            <v>4656</v>
          </cell>
          <cell r="O110">
            <v>6285.6</v>
          </cell>
        </row>
        <row r="134">
          <cell r="F134">
            <v>20238</v>
          </cell>
          <cell r="I134">
            <v>21355</v>
          </cell>
          <cell r="O134">
            <v>28829.250000000004</v>
          </cell>
        </row>
        <row r="144">
          <cell r="F144">
            <v>27078</v>
          </cell>
          <cell r="I144">
            <v>26841</v>
          </cell>
          <cell r="O144">
            <v>36235.350000000006</v>
          </cell>
        </row>
        <row r="153">
          <cell r="F153">
            <v>15390</v>
          </cell>
          <cell r="I153">
            <v>15390</v>
          </cell>
          <cell r="O153">
            <v>20776.5</v>
          </cell>
        </row>
        <row r="163">
          <cell r="F163">
            <v>5000</v>
          </cell>
          <cell r="I163">
            <v>8000</v>
          </cell>
          <cell r="O163">
            <v>10800</v>
          </cell>
        </row>
        <row r="176">
          <cell r="F176">
            <v>13905</v>
          </cell>
          <cell r="I176">
            <v>19955</v>
          </cell>
          <cell r="O176">
            <v>26939.25</v>
          </cell>
        </row>
      </sheetData>
      <sheetData sheetId="1">
        <row r="12">
          <cell r="C12">
            <v>20493</v>
          </cell>
          <cell r="I12">
            <v>4656</v>
          </cell>
        </row>
        <row r="19">
          <cell r="C19">
            <v>13235</v>
          </cell>
        </row>
        <row r="27">
          <cell r="C27">
            <v>22861</v>
          </cell>
          <cell r="I27">
            <v>12436</v>
          </cell>
        </row>
        <row r="36">
          <cell r="C36">
            <v>18711</v>
          </cell>
        </row>
        <row r="38">
          <cell r="I38">
            <v>18423</v>
          </cell>
        </row>
        <row r="44">
          <cell r="C44">
            <v>6212</v>
          </cell>
        </row>
        <row r="46">
          <cell r="I46">
            <v>15385</v>
          </cell>
        </row>
        <row r="52">
          <cell r="I52">
            <v>2000</v>
          </cell>
        </row>
        <row r="61">
          <cell r="C61">
            <v>11556</v>
          </cell>
          <cell r="I61">
            <v>14705</v>
          </cell>
        </row>
        <row r="67">
          <cell r="C67">
            <v>7712</v>
          </cell>
          <cell r="I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B1" workbookViewId="0">
      <selection activeCell="J6" sqref="J6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bestFit="1" customWidth="1"/>
    <col min="4" max="4" width="8.88671875" style="2" customWidth="1"/>
    <col min="5" max="5" width="9.33203125" style="2" bestFit="1" customWidth="1"/>
    <col min="6" max="6" width="8.88671875" style="2" bestFit="1" customWidth="1"/>
    <col min="7" max="8" width="8.6640625" style="2" customWidth="1"/>
    <col min="9" max="10" width="8.5546875" style="2" bestFit="1" customWidth="1"/>
    <col min="11" max="11" width="8.88671875" style="2" bestFit="1" customWidth="1"/>
    <col min="12" max="12" width="9.33203125" style="2" bestFit="1" customWidth="1"/>
    <col min="13" max="13" width="8.88671875" style="2" bestFit="1" customWidth="1"/>
    <col min="14" max="14" width="9.44140625" style="2" customWidth="1"/>
    <col min="15" max="15" width="9.6640625" style="2" bestFit="1" customWidth="1"/>
    <col min="16" max="16" width="9.6640625" style="2" customWidth="1"/>
    <col min="17" max="17" width="7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7" x14ac:dyDescent="0.3">
      <c r="A1" s="41"/>
      <c r="B1" s="42"/>
    </row>
    <row r="2" spans="1:17" ht="30" x14ac:dyDescent="0.5">
      <c r="A2" s="43" t="s">
        <v>41</v>
      </c>
      <c r="B2" s="43"/>
      <c r="N2" s="40" t="s">
        <v>33</v>
      </c>
      <c r="O2" s="39" t="s">
        <v>43</v>
      </c>
    </row>
    <row r="3" spans="1:17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7" s="15" customFormat="1" ht="18" x14ac:dyDescent="0.35">
      <c r="B4" s="16"/>
    </row>
    <row r="5" spans="1:17" s="15" customFormat="1" ht="18" x14ac:dyDescent="0.35">
      <c r="B5" s="16"/>
    </row>
    <row r="6" spans="1:17" s="15" customFormat="1" ht="18" x14ac:dyDescent="0.35">
      <c r="B6" s="16"/>
    </row>
    <row r="7" spans="1:17" s="15" customFormat="1" ht="18" x14ac:dyDescent="0.35">
      <c r="B7" s="16"/>
    </row>
    <row r="8" spans="1:17" s="1" customFormat="1" ht="23.25" customHeight="1" x14ac:dyDescent="0.45">
      <c r="A8" s="19"/>
      <c r="B8" s="38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  <c r="Q8" s="38"/>
    </row>
    <row r="9" spans="1:17" s="1" customFormat="1" ht="23.25" customHeight="1" x14ac:dyDescent="0.45">
      <c r="A9" s="19"/>
      <c r="B9" s="38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7" s="1" customFormat="1" ht="23.25" customHeight="1" x14ac:dyDescent="0.45">
      <c r="A10" s="19"/>
      <c r="B10" s="38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3">
      <c r="A12" s="3" t="s">
        <v>4</v>
      </c>
    </row>
    <row r="13" spans="1:17" x14ac:dyDescent="0.3">
      <c r="A13" s="2" t="s">
        <v>5</v>
      </c>
      <c r="C13" s="44">
        <f>East!C13+West!C13+Downstream!C13+Generation!C13+'New Products'!C13+Mexico!C13+'Principal Investing'!C13+'Energy Capital Res.'!C13+'CTG Assets'!C13+' Upstream Originations'!C13+'HPL&amp;LRC'!C13+Coal!C13+Canada!C13+Chairman!C13</f>
        <v>0</v>
      </c>
      <c r="D13" s="44">
        <f>East!D13+West!D13+Downstream!D13+Generation!D13+'New Products'!D13+Mexico!D13+'Principal Investing'!D13+'Energy Capital Res.'!D13+'CTG Assets'!D13+' Upstream Originations'!D13+'HPL&amp;LRC'!D13+Coal!D13+Canada!D13+Chairman!D13</f>
        <v>110</v>
      </c>
      <c r="E13" s="44">
        <f>East!E13+West!E13+Downstream!E13+Generation!E13+'New Products'!E13+Mexico!E13+'Principal Investing'!E13+'Energy Capital Res.'!E13+'CTG Assets'!E13+' Upstream Originations'!E13+'HPL&amp;LRC'!E13+Coal!E13+Canada!E13+Chairman!E13</f>
        <v>216</v>
      </c>
      <c r="F13" s="44">
        <f>East!F13+West!F13+Downstream!F13+Generation!F13+'New Products'!F13+Mexico!F13+'Principal Investing'!F13+'Energy Capital Res.'!F13+'CTG Assets'!F13+' Upstream Originations'!F13+'HPL&amp;LRC'!F13+Coal!F13+Canada!F13+Chairman!F13</f>
        <v>224</v>
      </c>
      <c r="G13" s="44">
        <f>East!G13+West!G13+Downstream!G13+Generation!G13+'New Products'!G13+Mexico!G13+'Principal Investing'!G13+'Energy Capital Res.'!G13+'CTG Assets'!G13+' Upstream Originations'!G13+'HPL&amp;LRC'!G13+Coal!G13+Canada!G13+Chairman!G13</f>
        <v>233</v>
      </c>
      <c r="H13" s="44">
        <f>East!H13+West!H13+Downstream!H13+Generation!H13+'New Products'!H13+Mexico!H13+'Principal Investing'!H13+'Energy Capital Res.'!H13+'CTG Assets'!H13+' Upstream Originations'!H13+'HPL&amp;LRC'!H13+Coal!H13+Canada!H13+Chairman!H13</f>
        <v>224</v>
      </c>
      <c r="I13" s="44">
        <f>East!I13+West!I13+Downstream!I13+Generation!I13+'New Products'!I13+Mexico!I13+'Principal Investing'!I13+'Energy Capital Res.'!I13+'CTG Assets'!I13+' Upstream Originations'!I13+'HPL&amp;LRC'!I13+Coal!I13+Canada!I13+Chairman!I13</f>
        <v>301</v>
      </c>
      <c r="J13" s="44">
        <f>East!J13+West!J13+Downstream!J13+Generation!J13+'New Products'!J13+Mexico!J13+'Principal Investing'!J13+'Energy Capital Res.'!J13+'CTG Assets'!J13+' Upstream Originations'!J13+'HPL&amp;LRC'!J13+Coal!J13+Canada!J13+Chairman!J13</f>
        <v>302</v>
      </c>
      <c r="K13" s="44">
        <f>East!K13+West!K13+Downstream!K13+Generation!K13+'New Products'!K13+Mexico!K13+'Principal Investing'!K13+'Energy Capital Res.'!K13+'CTG Assets'!K13+' Upstream Originations'!K13+'HPL&amp;LRC'!K13+Coal!K13+Canada!K13+Chairman!K13</f>
        <v>292</v>
      </c>
      <c r="L13" s="44">
        <f>East!L13+West!L13+Downstream!L13+Generation!L13+'New Products'!L13+Mexico!L13+'Principal Investing'!L13+'Energy Capital Res.'!L13+'CTG Assets'!L13+' Upstream Originations'!L13+'HPL&amp;LRC'!L13+Coal!L13+Canada!L13+Chairman!L13</f>
        <v>359</v>
      </c>
      <c r="M13" s="44">
        <f>East!M13+West!M13+Downstream!M13+Generation!M13+'New Products'!M13+Mexico!M13+'Principal Investing'!M13+'Energy Capital Res.'!M13+'CTG Assets'!M13+' Upstream Originations'!M13+'HPL&amp;LRC'!M13+Coal!M13+Canada!M13+Chairman!M13</f>
        <v>391</v>
      </c>
      <c r="N13" s="44">
        <f>East!N13+West!N13+Downstream!N13+Generation!N13+'New Products'!N13+Mexico!N13+'Principal Investing'!N13+'Energy Capital Res.'!N13+'CTG Assets'!N13+' Upstream Originations'!N13+'HPL&amp;LRC'!N13+Coal!N13+Canada!N13+Chairman!N13</f>
        <v>395</v>
      </c>
      <c r="O13" s="44"/>
    </row>
    <row r="14" spans="1:17" x14ac:dyDescent="0.3">
      <c r="A14" s="4" t="s">
        <v>1</v>
      </c>
      <c r="C14" s="44">
        <f>East!C14+West!C14+Downstream!C14+Generation!C14+'New Products'!C14+Mexico!C14+'Principal Investing'!C14+'Energy Capital Res.'!C14+'CTG Assets'!C14+' Upstream Originations'!C14+'HPL&amp;LRC'!C14+Coal!C14+Canada!C14+Chairman!C14</f>
        <v>110</v>
      </c>
      <c r="D14" s="44">
        <f>East!D14+West!D14+Downstream!D14+Generation!D14+'New Products'!D14+Mexico!D14+'Principal Investing'!D14+'Energy Capital Res.'!D14+'CTG Assets'!D14+' Upstream Originations'!D14+'HPL&amp;LRC'!D14+Coal!D14+Canada!D14+Chairman!D14</f>
        <v>148</v>
      </c>
      <c r="E14" s="44">
        <f>East!E14+West!E14+Downstream!E14+Generation!E14+'New Products'!E14+Mexico!E14+'Principal Investing'!E14+'Energy Capital Res.'!E14+'CTG Assets'!E14+' Upstream Originations'!E14+'HPL&amp;LRC'!E14+Coal!E14+Canada!E14+Chairman!E14</f>
        <v>17</v>
      </c>
      <c r="F14" s="44">
        <f>East!F14+West!F14+Downstream!F14+Generation!F14+'New Products'!F14+Mexico!F14+'Principal Investing'!F14+'Energy Capital Res.'!F14+'CTG Assets'!F14+' Upstream Originations'!F14+'HPL&amp;LRC'!F14+Coal!F14+Canada!F14+Chairman!F14</f>
        <v>23</v>
      </c>
      <c r="G14" s="44">
        <f>East!G14+West!G14+Downstream!G14+Generation!G14+'New Products'!G14+Mexico!G14+'Principal Investing'!G14+'Energy Capital Res.'!G14+'CTG Assets'!G14+' Upstream Originations'!G14+'HPL&amp;LRC'!G14+Coal!G14+Canada!G14+Chairman!G14</f>
        <v>20</v>
      </c>
      <c r="H14" s="44">
        <f>East!H14+West!H14+Downstream!H14+Generation!H14+'New Products'!H14+Mexico!H14+'Principal Investing'!H14+'Energy Capital Res.'!H14+'CTG Assets'!H14+' Upstream Originations'!H14+'HPL&amp;LRC'!H14+Coal!H14+Canada!H14+Chairman!H14</f>
        <v>90</v>
      </c>
      <c r="I14" s="44">
        <f>East!I14+West!I14+Downstream!I14+Generation!I14+'New Products'!I14+Mexico!I14+'Principal Investing'!I14+'Energy Capital Res.'!I14+'CTG Assets'!I14+' Upstream Originations'!I14+'HPL&amp;LRC'!I14+Coal!I14+Canada!I14+Chairman!I14</f>
        <v>21</v>
      </c>
      <c r="J14" s="44">
        <f>East!J14+West!J14+Downstream!J14+Generation!J14+'New Products'!J14+Mexico!J14+'Principal Investing'!J14+'Energy Capital Res.'!J14+'CTG Assets'!J14+' Upstream Originations'!J14+'HPL&amp;LRC'!J14+Coal!J14+Canada!J14+Chairman!J14</f>
        <v>10</v>
      </c>
      <c r="K14" s="44">
        <f>East!K14+West!K14+Downstream!K14+Generation!K14+'New Products'!K14+Mexico!K14+'Principal Investing'!K14+'Energy Capital Res.'!K14+'CTG Assets'!K14+' Upstream Originations'!K14+'HPL&amp;LRC'!K14+Coal!K14+Canada!K14+Chairman!K14</f>
        <v>110</v>
      </c>
      <c r="L14" s="44">
        <f>East!L14+West!L14+Downstream!L14+Generation!L14+'New Products'!L14+Mexico!L14+'Principal Investing'!L14+'Energy Capital Res.'!L14+'CTG Assets'!L14+' Upstream Originations'!L14+'HPL&amp;LRC'!L14+Coal!L14+Canada!L14+Chairman!L14</f>
        <v>53</v>
      </c>
      <c r="M14" s="44">
        <f>East!M14+West!M14+Downstream!M14+Generation!M14+'New Products'!M14+Mexico!M14+'Principal Investing'!M14+'Energy Capital Res.'!M14+'CTG Assets'!M14+' Upstream Originations'!M14+'HPL&amp;LRC'!M14+Coal!M14+Canada!M14+Chairman!M14</f>
        <v>46</v>
      </c>
      <c r="N14" s="44">
        <f>East!N14+West!N14+Downstream!N14+Generation!N14+'New Products'!N14+Mexico!N14+'Principal Investing'!N14+'Energy Capital Res.'!N14+'CTG Assets'!N14+' Upstream Originations'!N14+'HPL&amp;LRC'!N14+Coal!N14+Canada!N14+Chairman!N14</f>
        <v>26</v>
      </c>
      <c r="O14" s="44"/>
    </row>
    <row r="15" spans="1:17" x14ac:dyDescent="0.3">
      <c r="A15" s="4" t="s">
        <v>2</v>
      </c>
      <c r="C15" s="44">
        <f>East!C15+West!C15+Downstream!C15+Generation!C15+'New Products'!C15+Mexico!C15+'Principal Investing'!C15+'Energy Capital Res.'!C15+'CTG Assets'!C15+' Upstream Originations'!C15+'HPL&amp;LRC'!C15+Coal!C15+Canada!C15+Chairman!C15</f>
        <v>0</v>
      </c>
      <c r="D15" s="44">
        <f>East!D15+West!D15+Downstream!D15+Generation!D15+'New Products'!D15+Mexico!D15+'Principal Investing'!D15+'Energy Capital Res.'!D15+'CTG Assets'!D15+' Upstream Originations'!D15+'HPL&amp;LRC'!D15+Coal!D15+Canada!D15+Chairman!D15</f>
        <v>11</v>
      </c>
      <c r="E15" s="44">
        <f>East!E15+West!E15+Downstream!E15+Generation!E15+'New Products'!E15+Mexico!E15+'Principal Investing'!E15+'Energy Capital Res.'!E15+'CTG Assets'!E15+' Upstream Originations'!E15+'HPL&amp;LRC'!E15+Coal!E15+Canada!E15+Chairman!E15</f>
        <v>9</v>
      </c>
      <c r="F15" s="44">
        <f>East!F15+West!F15+Downstream!F15+Generation!F15+'New Products'!F15+Mexico!F15+'Principal Investing'!F15+'Energy Capital Res.'!F15+'CTG Assets'!F15+' Upstream Originations'!F15+'HPL&amp;LRC'!F15+Coal!F15+Canada!F15+Chairman!F15</f>
        <v>13</v>
      </c>
      <c r="G15" s="44">
        <f>East!G15+West!G15+Downstream!G15+Generation!G15+'New Products'!G15+Mexico!G15+'Principal Investing'!G15+'Energy Capital Res.'!G15+'CTG Assets'!G15+' Upstream Originations'!G15+'HPL&amp;LRC'!G15+Coal!G15+Canada!G15+Chairman!G15</f>
        <v>19</v>
      </c>
      <c r="H15" s="44">
        <f>East!H15+West!H15+Downstream!H15+Generation!H15+'New Products'!H15+Mexico!H15+'Principal Investing'!H15+'Energy Capital Res.'!H15+'CTG Assets'!H15+' Upstream Originations'!H15+'HPL&amp;LRC'!H15+Coal!H15+Canada!H15+Chairman!H15</f>
        <v>8</v>
      </c>
      <c r="I15" s="44">
        <f>East!I15+West!I15+Downstream!I15+Generation!I15+'New Products'!I15+Mexico!I15+'Principal Investing'!I15+'Energy Capital Res.'!I15+'CTG Assets'!I15+' Upstream Originations'!I15+'HPL&amp;LRC'!I15+Coal!I15+Canada!I15+Chairman!I15</f>
        <v>14</v>
      </c>
      <c r="J15" s="44">
        <f>East!J15+West!J15+Downstream!J15+Generation!J15+'New Products'!J15+Mexico!J15+'Principal Investing'!J15+'Energy Capital Res.'!J15+'CTG Assets'!J15+' Upstream Originations'!J15+'HPL&amp;LRC'!J15+Coal!J15+Canada!J15+Chairman!J15</f>
        <v>7</v>
      </c>
      <c r="K15" s="44">
        <f>East!K15+West!K15+Downstream!K15+Generation!K15+'New Products'!K15+Mexico!K15+'Principal Investing'!K15+'Energy Capital Res.'!K15+'CTG Assets'!K15+' Upstream Originations'!K15+'HPL&amp;LRC'!K15+Coal!K15+Canada!K15+Chairman!K15</f>
        <v>7</v>
      </c>
      <c r="L15" s="44">
        <f>East!L15+West!L15+Downstream!L15+Generation!L15+'New Products'!L15+Mexico!L15+'Principal Investing'!L15+'Energy Capital Res.'!L15+'CTG Assets'!L15+' Upstream Originations'!L15+'HPL&amp;LRC'!L15+Coal!L15+Canada!L15+Chairman!L15</f>
        <v>11</v>
      </c>
      <c r="M15" s="44">
        <f>East!M15+West!M15+Downstream!M15+Generation!M15+'New Products'!M15+Mexico!M15+'Principal Investing'!M15+'Energy Capital Res.'!M15+'CTG Assets'!M15+' Upstream Originations'!M15+'HPL&amp;LRC'!M15+Coal!M15+Canada!M15+Chairman!M15</f>
        <v>30</v>
      </c>
      <c r="N15" s="44">
        <f>East!N15+West!N15+Downstream!N15+Generation!N15+'New Products'!N15+Mexico!N15+'Principal Investing'!N15+'Energy Capital Res.'!N15+'CTG Assets'!N15+' Upstream Originations'!N15+'HPL&amp;LRC'!N15+Coal!N15+Canada!N15+Chairman!N15</f>
        <v>13</v>
      </c>
      <c r="O15" s="44"/>
    </row>
    <row r="16" spans="1:17" x14ac:dyDescent="0.3">
      <c r="A16" s="4" t="s">
        <v>3</v>
      </c>
      <c r="C16" s="44">
        <f>East!C16+West!C16+Downstream!C16+Generation!C16+'New Products'!C16+Mexico!C16+'Principal Investing'!C16+'Energy Capital Res.'!C16+'CTG Assets'!C16+' Upstream Originations'!C16+'HPL&amp;LRC'!C16+Coal!C16+Canada!C16+Chairman!C16</f>
        <v>0</v>
      </c>
      <c r="D16" s="44">
        <f>East!D16+West!D16+Downstream!D16+Generation!D16+'New Products'!D16+Mexico!D16+'Principal Investing'!D16+'Energy Capital Res.'!D16+'CTG Assets'!D16+' Upstream Originations'!D16+'HPL&amp;LRC'!D16+Coal!D16+Canada!D16+Chairman!D16</f>
        <v>31</v>
      </c>
      <c r="E16" s="44">
        <f>East!E16+West!E16+Downstream!E16+Generation!E16+'New Products'!E16+Mexico!E16+'Principal Investing'!E16+'Energy Capital Res.'!E16+'CTG Assets'!E16+' Upstream Originations'!E16+'HPL&amp;LRC'!E16+Coal!E16+Canada!E16+Chairman!E16</f>
        <v>0</v>
      </c>
      <c r="F16" s="44">
        <f>East!F16+West!F16+Downstream!F16+Generation!F16+'New Products'!F16+Mexico!F16+'Principal Investing'!F16+'Energy Capital Res.'!F16+'CTG Assets'!F16+' Upstream Originations'!F16+'HPL&amp;LRC'!F16+Coal!F16+Canada!F16+Chairman!F16</f>
        <v>1</v>
      </c>
      <c r="G16" s="44">
        <f>East!G16+West!G16+Downstream!G16+Generation!G16+'New Products'!G16+Mexico!G16+'Principal Investing'!G16+'Energy Capital Res.'!G16+'CTG Assets'!G16+' Upstream Originations'!G16+'HPL&amp;LRC'!G16+Coal!G16+Canada!G16+Chairman!G16</f>
        <v>10</v>
      </c>
      <c r="H16" s="44">
        <f>East!H16+West!H16+Downstream!H16+Generation!H16+'New Products'!H16+Mexico!H16+'Principal Investing'!H16+'Energy Capital Res.'!H16+'CTG Assets'!H16+' Upstream Originations'!H16+'HPL&amp;LRC'!H16+Coal!H16+Canada!H16+Chairman!H16</f>
        <v>5</v>
      </c>
      <c r="I16" s="44">
        <f>East!I16+West!I16+Downstream!I16+Generation!I16+'New Products'!I16+Mexico!I16+'Principal Investing'!I16+'Energy Capital Res.'!I16+'CTG Assets'!I16+' Upstream Originations'!I16+'HPL&amp;LRC'!I16+Coal!I16+Canada!I16+Chairman!I16</f>
        <v>6</v>
      </c>
      <c r="J16" s="44">
        <f>East!J16+West!J16+Downstream!J16+Generation!J16+'New Products'!J16+Mexico!J16+'Principal Investing'!J16+'Energy Capital Res.'!J16+'CTG Assets'!J16+' Upstream Originations'!J16+'HPL&amp;LRC'!J16+Coal!J16+Canada!J16+Chairman!J16</f>
        <v>13</v>
      </c>
      <c r="K16" s="44">
        <f>East!K16+West!K16+Downstream!K16+Generation!K16+'New Products'!K16+Mexico!K16+'Principal Investing'!K16+'Energy Capital Res.'!K16+'CTG Assets'!K16+' Upstream Originations'!K16+'HPL&amp;LRC'!K16+Coal!K16+Canada!K16+Chairman!K16</f>
        <v>36</v>
      </c>
      <c r="L16" s="44">
        <f>East!L16+West!L16+Downstream!L16+Generation!L16+'New Products'!L16+Mexico!L16+'Principal Investing'!L16+'Energy Capital Res.'!L16+'CTG Assets'!L16+' Upstream Originations'!L16+'HPL&amp;LRC'!L16+Coal!L16+Canada!L16+Chairman!L16</f>
        <v>10</v>
      </c>
      <c r="M16" s="44">
        <f>East!M16+West!M16+Downstream!M16+Generation!M16+'New Products'!M16+Mexico!M16+'Principal Investing'!M16+'Energy Capital Res.'!M16+'CTG Assets'!M16+' Upstream Originations'!M16+'HPL&amp;LRC'!M16+Coal!M16+Canada!M16+Chairman!M16</f>
        <v>12</v>
      </c>
      <c r="N16" s="44">
        <f>East!N16+West!N16+Downstream!N16+Generation!N16+'New Products'!N16+Mexico!N16+'Principal Investing'!N16+'Energy Capital Res.'!N16+'CTG Assets'!N16+' Upstream Originations'!N16+'HPL&amp;LRC'!N16+Coal!N16+Canada!N16+Chairman!N16</f>
        <v>7</v>
      </c>
      <c r="O16" s="44"/>
      <c r="P16" s="65"/>
    </row>
    <row r="17" spans="1:19" ht="14.4" thickBot="1" x14ac:dyDescent="0.35">
      <c r="A17" s="2" t="s">
        <v>6</v>
      </c>
      <c r="C17" s="45">
        <f t="shared" ref="C17:H17" si="0">+C13+C14-C15-C16</f>
        <v>110</v>
      </c>
      <c r="D17" s="45">
        <f t="shared" si="0"/>
        <v>216</v>
      </c>
      <c r="E17" s="45">
        <f t="shared" si="0"/>
        <v>224</v>
      </c>
      <c r="F17" s="45">
        <f t="shared" si="0"/>
        <v>233</v>
      </c>
      <c r="G17" s="45">
        <f t="shared" si="0"/>
        <v>224</v>
      </c>
      <c r="H17" s="45">
        <f t="shared" si="0"/>
        <v>301</v>
      </c>
      <c r="I17" s="45">
        <f t="shared" ref="I17:O17" si="1">+I13+I14-I15-I16</f>
        <v>302</v>
      </c>
      <c r="J17" s="45">
        <f t="shared" si="1"/>
        <v>292</v>
      </c>
      <c r="K17" s="45">
        <f t="shared" si="1"/>
        <v>359</v>
      </c>
      <c r="L17" s="45">
        <f t="shared" si="1"/>
        <v>391</v>
      </c>
      <c r="M17" s="75">
        <f t="shared" si="1"/>
        <v>395</v>
      </c>
      <c r="N17" s="45">
        <f t="shared" si="1"/>
        <v>401</v>
      </c>
      <c r="O17" s="45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3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3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3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3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4.4" hidden="1" thickBot="1" x14ac:dyDescent="0.3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t="14.4" hidden="1" thickTop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f>East!B39+West!B39+Downstream!B39+Generation!B39+'New Products'!B39+Mexico!B39+'Principal Investing'!B39+'Energy Capital Res.'!B39+'CTG Assets'!B39+' Upstream Originations'!B39+'HPL&amp;LRC'!B39+Coal!B39+Canada!B39+Chairman!B39</f>
        <v>45</v>
      </c>
      <c r="C39" s="27">
        <f>East!C39+West!C39+Downstream!C39+Generation!C39+'New Products'!C39+Mexico!C39+'Principal Investing'!C39+'Energy Capital Res.'!C39+'CTG Assets'!C39+' Upstream Originations'!C39+'HPL&amp;LRC'!C39+Coal!C39+Canada!C39+Chairman!C39</f>
        <v>31.299999999999997</v>
      </c>
      <c r="D39" s="59"/>
      <c r="E39" s="26">
        <f>East!E39+West!E39+Downstream!E39+Generation!E39+'New Products'!E39+Mexico!E39+'Principal Investing'!E39+'Energy Capital Res.'!E39+'CTG Assets'!E39+' Upstream Originations'!E39+'HPL&amp;LRC'!E39+Coal!E39+Canada!E39+Chairman!E39</f>
        <v>131</v>
      </c>
      <c r="F39" s="27">
        <f>East!F39+West!F39+Downstream!F39+Generation!F39+'New Products'!F39+Mexico!F39+'Principal Investing'!F39+'Energy Capital Res.'!F39+'CTG Assets'!F39+' Upstream Originations'!F39+'HPL&amp;LRC'!F39+Coal!F39+Canada!F39+Chairman!F39</f>
        <v>32.624026999999998</v>
      </c>
      <c r="G39" s="59">
        <f>East!G39+West!G39+Downstream!G39+Generation!G39+'New Products'!G39+Mexico!G39+'Principal Investing'!G39+'Energy Capital Res.'!G39+'CTG Assets'!G39+' Upstream Originations'!G39+'HPL&amp;LRC'!G39+Coal!G39+Canada!G39+Chairman!G39</f>
        <v>33.415000000000006</v>
      </c>
      <c r="H39" s="9"/>
      <c r="I39" s="26">
        <f>East!I39+West!I39+Downstream!I39+Generation!I39+'New Products'!I39+Mexico!I39+'Principal Investing'!I39+'Energy Capital Res.'!I39+'CTG Assets'!I39+' Upstream Originations'!I39+'HPL&amp;LRC'!I39+Coal!I39+Canada!I39+Chairman!I39</f>
        <v>0</v>
      </c>
      <c r="J39" s="27">
        <f>East!J39+West!J39+Downstream!J39+Generation!J39+'New Products'!J39+Mexico!J39+'Principal Investing'!J39+'Energy Capital Res.'!J39+'CTG Assets'!J39+' Upstream Originations'!J39+'HPL&amp;LRC'!J39+Coal!J39+Canada!J39+Chairman!J39</f>
        <v>0</v>
      </c>
      <c r="K39" s="9"/>
      <c r="L39" s="26">
        <f>East!L39+West!L39+Downstream!L39+Generation!L39+'New Products'!L39+Mexico!L39+'Principal Investing'!L39+'Energy Capital Res.'!L39+'CTG Assets'!L39+' Upstream Originations'!L39+'HPL&amp;LRC'!L39+Coal!L39+Canada!L39+Chairman!L39</f>
        <v>0</v>
      </c>
      <c r="M39" s="27">
        <f>East!M39+West!M39+Downstream!M39+Generation!M39+'New Products'!M39+Mexico!M39+'Principal Investing'!M39+'Energy Capital Res.'!M39+'CTG Assets'!M39+' Upstream Originations'!M39+'HPL&amp;LRC'!M39+Coal!M39+Canada!M39+Chairman!M39</f>
        <v>0</v>
      </c>
      <c r="N39" s="9"/>
      <c r="O39" s="26">
        <f>+B39+E39+I39+L39</f>
        <v>176</v>
      </c>
      <c r="P39" s="27">
        <f>+C39+F39+J39+M39</f>
        <v>63.924026999999995</v>
      </c>
      <c r="Q39" s="9"/>
      <c r="R39" s="26">
        <f>East!R39+West!R39+Downstream!R39+Generation!R39+'New Products'!R39+Mexico!R39+'Principal Investing'!R39+'Energy Capital Res.'!R39+'CTG Assets'!R39+' Upstream Originations'!R39+'HPL&amp;LRC'!R39+Coal!R39+Canada!R39+Chairman!R39</f>
        <v>0</v>
      </c>
      <c r="S39" s="27">
        <f>East!S39+West!S39+Downstream!S39+Generation!S39+'New Products'!S39+Mexico!S39+'Principal Investing'!S39+'Energy Capital Res.'!S39+'CTG Assets'!S39+' Upstream Originations'!S39+'HPL&amp;LRC'!S39+Coal!S39+Canada!S39+Chairman!S39</f>
        <v>0</v>
      </c>
      <c r="T39" s="9"/>
    </row>
    <row r="40" spans="1:20" x14ac:dyDescent="0.3">
      <c r="A40" s="2" t="s">
        <v>58</v>
      </c>
      <c r="B40" s="26"/>
      <c r="C40" s="64">
        <f>East!C40+West!C40+Downstream!C40+Generation!C40+'New Products'!C40+Mexico!C40+'Principal Investing'!C40+'Energy Capital Res.'!C40+'CTG Assets'!C40+' Upstream Originations'!C40+'HPL&amp;LRC'!C40+Coal!C40+Canada!C40+Chairman!C40</f>
        <v>113.9</v>
      </c>
      <c r="D40" s="59"/>
      <c r="E40" s="26"/>
      <c r="F40" s="64">
        <f>East!F40+West!F40+Downstream!F40+Generation!F40+'New Products'!F40+Mexico!F40+'Principal Investing'!F40+'Energy Capital Res.'!F40+'CTG Assets'!F40+' Upstream Originations'!F40+'HPL&amp;LRC'!F40+Coal!F40+Canada!F40+Chairman!F40</f>
        <v>-25.602027</v>
      </c>
      <c r="G40" s="59"/>
      <c r="H40" s="9"/>
      <c r="I40" s="26"/>
      <c r="J40" s="64">
        <f>East!J40+West!J40+Downstream!J40+Generation!J40+'New Products'!J40+Mexico!J40+'Principal Investing'!J40+'Energy Capital Res.'!J40+'CTG Assets'!J40+' Upstream Originations'!J40+'HPL&amp;LRC'!J40+Coal!J40+Canada!J40+Chairman!J40</f>
        <v>0</v>
      </c>
      <c r="K40" s="9"/>
      <c r="L40" s="26"/>
      <c r="M40" s="64">
        <f>East!M40+West!M40+Downstream!M40+Generation!M40+'New Products'!M40+Mexico!M40+'Principal Investing'!M40+'Energy Capital Res.'!M40+'CTG Assets'!M40+' Upstream Originations'!M40+'HPL&amp;LRC'!M40+Coal!M40+Canada!M40+Chairman!M40</f>
        <v>0</v>
      </c>
      <c r="N40" s="9"/>
      <c r="O40" s="26"/>
      <c r="P40" s="64">
        <f>East!P40+West!P40+Downstream!P40+Generation!P40+'New Products'!P40+Mexico!P40+'Principal Investing'!P40+'Energy Capital Res.'!P40+'CTG Assets'!P40+' Upstream Originations'!P40+'HPL&amp;LRC'!P40+Coal!P40+Canada!P40+Chairman!P40</f>
        <v>88.297972999999999</v>
      </c>
      <c r="Q40" s="9"/>
      <c r="R40" s="26"/>
      <c r="S40" s="64">
        <f>East!S40+West!S40+Downstream!S40+Generation!S40+'New Products'!S40+Mexico!S40+'Principal Investing'!S40+'Energy Capital Res.'!S40+'CTG Assets'!S40+' Upstream Originations'!S40+'HPL&amp;LRC'!S40+Coal!S40+Canada!S40+Chairman!S40</f>
        <v>0</v>
      </c>
      <c r="T40" s="9"/>
    </row>
    <row r="41" spans="1:20" x14ac:dyDescent="0.3">
      <c r="A41" s="2" t="s">
        <v>0</v>
      </c>
      <c r="B41" s="28">
        <f>East!B41+West!B41+Downstream!B41+Generation!B41+'New Products'!B41+Mexico!B41+'Principal Investing'!B41+'Energy Capital Res.'!B41+'CTG Assets'!B41+' Upstream Originations'!B41+'HPL&amp;LRC'!B41+Coal!B41+Canada!B41+Chairman!B41</f>
        <v>0</v>
      </c>
      <c r="C41" s="32">
        <f>East!C41+West!C41+Downstream!C41+Generation!C41+'New Products'!C41+Mexico!C41+'Principal Investing'!C41+'Energy Capital Res.'!C41+'CTG Assets'!C41+' Upstream Originations'!C41+'HPL&amp;LRC'!C41+Coal!C41+Canada!C41+Chairman!C41</f>
        <v>0</v>
      </c>
      <c r="D41" s="54"/>
      <c r="E41" s="28">
        <f>East!E41+West!E41+Downstream!E41+Generation!E41+'New Products'!E41+Mexico!E41+'Principal Investing'!E41+'Energy Capital Res.'!E41+'CTG Assets'!E41+' Upstream Originations'!E41+'HPL&amp;LRC'!E41+Coal!E41+Canada!E41+Chairman!E41</f>
        <v>29</v>
      </c>
      <c r="F41" s="32">
        <f>East!F41+West!F41+Downstream!F41+Generation!F41+'New Products'!F41+Mexico!F41+'Principal Investing'!F41+'Energy Capital Res.'!F41+'CTG Assets'!F41+' Upstream Originations'!F41+'HPL&amp;LRC'!F41+Coal!F41+Canada!F41+Chairman!F41</f>
        <v>58.21</v>
      </c>
      <c r="G41" s="54"/>
      <c r="H41" s="9"/>
      <c r="I41" s="28">
        <f>East!I41+West!I41+Downstream!I41+Generation!I41+'New Products'!I41+Mexico!I41+'Principal Investing'!I41+'Energy Capital Res.'!I41+'CTG Assets'!I41+' Upstream Originations'!I41+'HPL&amp;LRC'!I41+Coal!I41+Canada!I41+Chairman!I41</f>
        <v>235</v>
      </c>
      <c r="J41" s="32">
        <f>East!J41+West!J41+Downstream!J41+Generation!J41+'New Products'!J41+Mexico!J41+'Principal Investing'!J41+'Energy Capital Res.'!J41+'CTG Assets'!J41+' Upstream Originations'!J41+'HPL&amp;LRC'!J41+Coal!J41+Canada!J41+Chairman!J41</f>
        <v>335.04599999999999</v>
      </c>
      <c r="K41" s="9"/>
      <c r="L41" s="28">
        <f>East!L41+West!L41+Downstream!L41+Generation!L41+'New Products'!L41+Mexico!L41+'Principal Investing'!L41+'Energy Capital Res.'!L41+'CTG Assets'!L41+' Upstream Originations'!L41+'HPL&amp;LRC'!L41+Coal!L41+Canada!L41+Chairman!L41</f>
        <v>116</v>
      </c>
      <c r="M41" s="32">
        <f>East!M41+West!M41+Downstream!M41+Generation!M41+'New Products'!M41+Mexico!M41+'Principal Investing'!M41+'Energy Capital Res.'!M41+'CTG Assets'!M41+' Upstream Originations'!M41+'HPL&amp;LRC'!M41+Coal!M41+Canada!M41+Chairman!M41</f>
        <v>333.68799999999999</v>
      </c>
      <c r="N41" s="9"/>
      <c r="O41" s="28">
        <f>East!O41+West!O41+Downstream!O41+Generation!O41+'New Products'!O41+Mexico!O41+'Principal Investing'!O41+'Energy Capital Res.'!O41+'CTG Assets'!O41+' Upstream Originations'!O41+'HPL&amp;LRC'!O41+Coal!O41+Canada!O41+Chairman!O41</f>
        <v>380</v>
      </c>
      <c r="P41" s="32">
        <f>+C41+F41+J41+M41</f>
        <v>726.94399999999996</v>
      </c>
      <c r="Q41" s="9"/>
      <c r="R41" s="28">
        <f>East!R41+West!R41+Downstream!R41+Generation!R41+'New Products'!R41+Mexico!R41+'Principal Investing'!R41+'Energy Capital Res.'!R41+'CTG Assets'!R41+' Upstream Originations'!R41+'HPL&amp;LRC'!R41+Coal!R41+Canada!R41+Chairman!R41</f>
        <v>21</v>
      </c>
      <c r="S41" s="32">
        <f>East!S41+West!S41+Downstream!S41+Generation!S41+'New Products'!S41+Mexico!S41+'Principal Investing'!S41+'Energy Capital Res.'!S41+'CTG Assets'!S41+' Upstream Originations'!S41+'HPL&amp;LRC'!S41+Coal!S41+Canada!S41+Chairman!S41</f>
        <v>71.599999999999994</v>
      </c>
      <c r="T41" s="9"/>
    </row>
    <row r="42" spans="1:20" s="5" customFormat="1" x14ac:dyDescent="0.3">
      <c r="A42" s="5" t="s">
        <v>59</v>
      </c>
      <c r="B42" s="23">
        <f>SUM(B39:B41)</f>
        <v>45</v>
      </c>
      <c r="C42" s="30">
        <f>SUM(C39:C41)</f>
        <v>145.19999999999999</v>
      </c>
      <c r="D42" s="55"/>
      <c r="E42" s="23">
        <f>SUM(E39:E41)</f>
        <v>160</v>
      </c>
      <c r="F42" s="30">
        <f>SUM(F39:F41)</f>
        <v>65.231999999999999</v>
      </c>
      <c r="G42" s="55"/>
      <c r="H42" s="11"/>
      <c r="I42" s="23">
        <f>SUM(I39:I41)</f>
        <v>235</v>
      </c>
      <c r="J42" s="30">
        <f>SUM(J39:J41)</f>
        <v>335.04599999999999</v>
      </c>
      <c r="K42" s="11"/>
      <c r="L42" s="23">
        <f>SUM(L39:L41)</f>
        <v>116</v>
      </c>
      <c r="M42" s="30">
        <f>SUM(M39:M41)</f>
        <v>333.68799999999999</v>
      </c>
      <c r="N42" s="11"/>
      <c r="O42" s="23">
        <f>SUM(O39:O41)</f>
        <v>556</v>
      </c>
      <c r="P42" s="30">
        <f>SUM(P39:P41)</f>
        <v>879.16599999999994</v>
      </c>
      <c r="Q42" s="11"/>
      <c r="R42" s="23">
        <f>SUM(R39:R41)</f>
        <v>21</v>
      </c>
      <c r="S42" s="30">
        <f>SUM(S39:S41)</f>
        <v>71.599999999999994</v>
      </c>
      <c r="T42" s="11"/>
    </row>
    <row r="43" spans="1:20" s="14" customFormat="1" x14ac:dyDescent="0.3">
      <c r="A43" s="46" t="s">
        <v>19</v>
      </c>
      <c r="B43" s="31"/>
      <c r="C43" s="30">
        <f>East!C43+West!C43+Downstream!C43+Generation!C43+'New Products'!C43+Mexico!C43+'Principal Investing'!C43+'Energy Capital Res.'!C43+'CTG Assets'!C43+' Upstream Originations'!C43+'HPL&amp;LRC'!C43+Coal!C43+Canada!C43+Chairman!C43</f>
        <v>170.1</v>
      </c>
      <c r="D43" s="55"/>
      <c r="E43" s="31"/>
      <c r="F43" s="30">
        <f>East!F43+West!F43+Downstream!F43+Generation!F43+'New Products'!F43+Mexico!F43+'Principal Investing'!F43+'Energy Capital Res.'!F43+'CTG Assets'!F43+' Upstream Originations'!F43+'HPL&amp;LRC'!F43+Coal!F43+Canada!F43+Chairman!F43</f>
        <v>168.38500000000002</v>
      </c>
      <c r="G43" s="55"/>
      <c r="H43" s="10"/>
      <c r="I43" s="31"/>
      <c r="J43" s="30">
        <f>East!J43+West!J43+Downstream!J43+Generation!J43+'New Products'!J43+Mexico!J43+'Principal Investing'!J43+'Energy Capital Res.'!J43+'CTG Assets'!J43+' Upstream Originations'!J43+'HPL&amp;LRC'!J43+Coal!J43+Canada!J43+Chairman!J43</f>
        <v>220.94399999999999</v>
      </c>
      <c r="K43" s="10"/>
      <c r="L43" s="31"/>
      <c r="M43" s="30">
        <f>East!M43+West!M43+Downstream!M43+Generation!M43+'New Products'!M43+Mexico!M43+'Principal Investing'!M43+'Energy Capital Res.'!M43+'CTG Assets'!M43+' Upstream Originations'!M43+'HPL&amp;LRC'!M43+Coal!M43+Canada!M43+Chairman!M43</f>
        <v>257.79500000000002</v>
      </c>
      <c r="N43" s="10"/>
      <c r="O43" s="31"/>
      <c r="P43" s="30">
        <f>+M43+J43+F43+C43</f>
        <v>817.22400000000005</v>
      </c>
      <c r="Q43" s="10"/>
      <c r="R43" s="31"/>
      <c r="S43" s="30">
        <f>East!S43+West!S43+Downstream!S43+Generation!S43+'New Products'!S43+Mexico!S43+'Principal Investing'!S43+'Energy Capital Res.'!S43+'CTG Assets'!S43+' Upstream Originations'!S43+'HPL&amp;LRC'!S43+Coal!S43+Canada!S43+Chairman!S43</f>
        <v>316.44324999999998</v>
      </c>
      <c r="T43" s="10"/>
    </row>
    <row r="44" spans="1:20" s="5" customFormat="1" ht="18.600000000000001" thickBot="1" x14ac:dyDescent="0.4">
      <c r="A44" s="5" t="s">
        <v>31</v>
      </c>
      <c r="B44" s="100">
        <f>+C42/C43</f>
        <v>0.8536155202821869</v>
      </c>
      <c r="C44" s="101"/>
      <c r="D44" s="49"/>
      <c r="E44" s="100">
        <f>+F42/F43</f>
        <v>0.38739792736882733</v>
      </c>
      <c r="F44" s="101"/>
      <c r="G44" s="56"/>
      <c r="H44" s="49"/>
      <c r="I44" s="100">
        <f>+J42/J43</f>
        <v>1.5164295024983707</v>
      </c>
      <c r="J44" s="101"/>
      <c r="K44" s="49"/>
      <c r="L44" s="100">
        <f>+M42/M43</f>
        <v>1.2943928315134117</v>
      </c>
      <c r="M44" s="101"/>
      <c r="N44" s="49"/>
      <c r="O44" s="100">
        <f>+P42/P43</f>
        <v>1.0757956202950474</v>
      </c>
      <c r="P44" s="101"/>
      <c r="Q44" s="49"/>
      <c r="R44" s="100">
        <f>+S42/S43</f>
        <v>0.2262648989984776</v>
      </c>
      <c r="S44" s="101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  <row r="70" spans="2:18" x14ac:dyDescent="0.3">
      <c r="B70" s="41" t="str">
        <f ca="1">CELL("filename")</f>
        <v>O:\Fin_Ops\Finrpt\CONSOL\2000\Hot List Detail\Metrics\[Metrics 0623.xls]Consol</v>
      </c>
      <c r="C70" s="41"/>
    </row>
    <row r="71" spans="2:18" x14ac:dyDescent="0.3">
      <c r="B71" s="99">
        <f ca="1">NOW()</f>
        <v>36700.538632870368</v>
      </c>
      <c r="C71" s="99"/>
    </row>
  </sheetData>
  <mergeCells count="24">
    <mergeCell ref="B71:C71"/>
    <mergeCell ref="B44:C44"/>
    <mergeCell ref="R44:S44"/>
    <mergeCell ref="L44:M44"/>
    <mergeCell ref="I44:J44"/>
    <mergeCell ref="E44:F44"/>
    <mergeCell ref="O44:P44"/>
    <mergeCell ref="I34:S34"/>
    <mergeCell ref="E36:F36"/>
    <mergeCell ref="O36:P36"/>
    <mergeCell ref="B36:C36"/>
    <mergeCell ref="A46:B46"/>
    <mergeCell ref="B37:C37"/>
    <mergeCell ref="E37:F37"/>
    <mergeCell ref="O37:P37"/>
    <mergeCell ref="R37:S37"/>
    <mergeCell ref="I37:J37"/>
    <mergeCell ref="L37:M37"/>
    <mergeCell ref="A3:F3"/>
    <mergeCell ref="R36:S36"/>
    <mergeCell ref="C8:O8"/>
    <mergeCell ref="C9:O9"/>
    <mergeCell ref="B19:O19"/>
    <mergeCell ref="A32:S32"/>
  </mergeCells>
  <printOptions horizontalCentered="1"/>
  <pageMargins left="0.42" right="0" top="0.25" bottom="0.24" header="0.25" footer="0.25"/>
  <pageSetup scale="6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61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17</v>
      </c>
      <c r="E13" s="17">
        <f t="shared" si="0"/>
        <v>23</v>
      </c>
      <c r="F13" s="17">
        <f t="shared" si="0"/>
        <v>24</v>
      </c>
      <c r="G13" s="17">
        <f t="shared" si="0"/>
        <v>24</v>
      </c>
      <c r="H13" s="17">
        <f t="shared" si="0"/>
        <v>21</v>
      </c>
      <c r="I13" s="17">
        <f t="shared" si="0"/>
        <v>45</v>
      </c>
      <c r="J13" s="17">
        <f t="shared" si="0"/>
        <v>47</v>
      </c>
      <c r="K13" s="17">
        <f t="shared" si="0"/>
        <v>47</v>
      </c>
      <c r="L13" s="17">
        <f t="shared" si="0"/>
        <v>56</v>
      </c>
      <c r="M13" s="72">
        <f t="shared" si="0"/>
        <v>59</v>
      </c>
      <c r="N13" s="72">
        <f t="shared" si="0"/>
        <v>59</v>
      </c>
      <c r="O13" s="17"/>
      <c r="P13" s="17"/>
    </row>
    <row r="14" spans="1:16" x14ac:dyDescent="0.3">
      <c r="A14" s="4" t="s">
        <v>1</v>
      </c>
      <c r="C14" s="17">
        <v>17</v>
      </c>
      <c r="D14" s="17">
        <v>10</v>
      </c>
      <c r="E14" s="17">
        <v>2</v>
      </c>
      <c r="F14" s="17">
        <v>0</v>
      </c>
      <c r="G14" s="17">
        <v>2</v>
      </c>
      <c r="H14" s="17">
        <f>36-10</f>
        <v>26</v>
      </c>
      <c r="I14" s="17">
        <v>2</v>
      </c>
      <c r="J14" s="17">
        <v>0</v>
      </c>
      <c r="K14" s="17">
        <v>10</v>
      </c>
      <c r="L14" s="17">
        <v>9</v>
      </c>
      <c r="M14" s="72">
        <v>0</v>
      </c>
      <c r="N14" s="17">
        <v>10</v>
      </c>
      <c r="O14" s="17"/>
      <c r="P14" s="17"/>
    </row>
    <row r="15" spans="1:16" x14ac:dyDescent="0.3">
      <c r="A15" s="4" t="s">
        <v>2</v>
      </c>
      <c r="C15" s="17">
        <v>0</v>
      </c>
      <c r="D15" s="17">
        <v>4</v>
      </c>
      <c r="E15" s="17">
        <v>1</v>
      </c>
      <c r="F15" s="17">
        <v>0</v>
      </c>
      <c r="G15" s="17">
        <v>4</v>
      </c>
      <c r="H15" s="17">
        <v>2</v>
      </c>
      <c r="I15" s="17">
        <v>0</v>
      </c>
      <c r="J15" s="17">
        <v>0</v>
      </c>
      <c r="K15" s="17">
        <v>1</v>
      </c>
      <c r="L15" s="17">
        <v>5</v>
      </c>
      <c r="M15" s="72">
        <v>0</v>
      </c>
      <c r="N15" s="17">
        <v>4</v>
      </c>
      <c r="O15" s="17"/>
      <c r="P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1</v>
      </c>
      <c r="H16" s="17">
        <v>0</v>
      </c>
      <c r="I16" s="17">
        <v>0</v>
      </c>
      <c r="J16" s="17">
        <v>0</v>
      </c>
      <c r="K16" s="17">
        <v>0</v>
      </c>
      <c r="L16" s="17">
        <v>1</v>
      </c>
      <c r="M16" s="72">
        <v>0</v>
      </c>
      <c r="N16" s="17">
        <v>4</v>
      </c>
      <c r="O16" s="17"/>
      <c r="P16" s="17"/>
    </row>
    <row r="17" spans="1:19" ht="14.4" thickBot="1" x14ac:dyDescent="0.35">
      <c r="A17" s="2" t="s">
        <v>6</v>
      </c>
      <c r="C17" s="18">
        <f t="shared" ref="C17:O17" si="1">+C13+C14-C15-C16</f>
        <v>17</v>
      </c>
      <c r="D17" s="18">
        <f t="shared" si="1"/>
        <v>23</v>
      </c>
      <c r="E17" s="18">
        <f t="shared" si="1"/>
        <v>24</v>
      </c>
      <c r="F17" s="18">
        <f t="shared" si="1"/>
        <v>24</v>
      </c>
      <c r="G17" s="18">
        <f t="shared" si="1"/>
        <v>21</v>
      </c>
      <c r="H17" s="18">
        <f t="shared" si="1"/>
        <v>45</v>
      </c>
      <c r="I17" s="18">
        <f t="shared" si="1"/>
        <v>47</v>
      </c>
      <c r="J17" s="18">
        <f t="shared" si="1"/>
        <v>47</v>
      </c>
      <c r="K17" s="18">
        <f t="shared" si="1"/>
        <v>56</v>
      </c>
      <c r="L17" s="18">
        <f t="shared" si="1"/>
        <v>59</v>
      </c>
      <c r="M17" s="73">
        <f t="shared" si="1"/>
        <v>59</v>
      </c>
      <c r="N17" s="18">
        <f t="shared" si="1"/>
        <v>61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3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3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3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3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4.4" hidden="1" thickBot="1" x14ac:dyDescent="0.3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17</v>
      </c>
      <c r="C39" s="27">
        <v>7.1</v>
      </c>
      <c r="D39" s="9"/>
      <c r="E39" s="26">
        <v>6</v>
      </c>
      <c r="F39" s="27">
        <f>0.861+0.527+5.82</f>
        <v>7.2080000000000002</v>
      </c>
      <c r="G39" s="59">
        <f>0.861+0.527+5.757</f>
        <v>7.1449999999999996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23</v>
      </c>
      <c r="P39" s="27">
        <f>+M39+J39+F39+C39</f>
        <v>14.308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16</v>
      </c>
      <c r="D40" s="9"/>
      <c r="E40" s="26"/>
      <c r="F40" s="64">
        <f>17.773-F39</f>
        <v>10.565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26.564999999999998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24</v>
      </c>
      <c r="J41" s="70">
        <v>31.911999999999999</v>
      </c>
      <c r="K41" s="68"/>
      <c r="L41" s="71">
        <v>29</v>
      </c>
      <c r="M41" s="70">
        <v>19.937000000000001</v>
      </c>
      <c r="N41" s="9"/>
      <c r="O41" s="28">
        <f>+L41+I41+E41+B41</f>
        <v>53</v>
      </c>
      <c r="P41" s="32">
        <f>+M41+J41+F41+C41</f>
        <v>51.849000000000004</v>
      </c>
      <c r="Q41" s="9"/>
      <c r="R41" s="28">
        <v>8</v>
      </c>
      <c r="S41" s="32">
        <v>6.6</v>
      </c>
      <c r="T41" s="9"/>
    </row>
    <row r="42" spans="1:20" s="5" customFormat="1" x14ac:dyDescent="0.3">
      <c r="A42" s="5" t="s">
        <v>59</v>
      </c>
      <c r="B42" s="23">
        <f>SUM(B39:B41)</f>
        <v>17</v>
      </c>
      <c r="C42" s="30">
        <f>SUM(C39:C41)</f>
        <v>23.1</v>
      </c>
      <c r="D42" s="11"/>
      <c r="E42" s="23">
        <f>SUM(E39:E41)</f>
        <v>6</v>
      </c>
      <c r="F42" s="30">
        <f>SUM(F39:F41)</f>
        <v>17.773</v>
      </c>
      <c r="G42" s="55"/>
      <c r="H42" s="11"/>
      <c r="I42" s="23">
        <f>SUM(I39:I41)</f>
        <v>24</v>
      </c>
      <c r="J42" s="30">
        <f>SUM(J39:J41)</f>
        <v>31.911999999999999</v>
      </c>
      <c r="K42" s="11"/>
      <c r="L42" s="23">
        <f>SUM(L39:L41)</f>
        <v>29</v>
      </c>
      <c r="M42" s="30">
        <f>SUM(M39:M41)</f>
        <v>19.937000000000001</v>
      </c>
      <c r="N42" s="11"/>
      <c r="O42" s="23">
        <f>SUM(O39:O41)</f>
        <v>76</v>
      </c>
      <c r="P42" s="30">
        <f>SUM(P39:P41)</f>
        <v>92.722000000000008</v>
      </c>
      <c r="Q42" s="11"/>
      <c r="R42" s="23">
        <f>SUM(R39:R41)</f>
        <v>8</v>
      </c>
      <c r="S42" s="30">
        <f>SUM(S39:S41)</f>
        <v>6.6</v>
      </c>
      <c r="T42" s="11"/>
    </row>
    <row r="43" spans="1:20" s="14" customFormat="1" x14ac:dyDescent="0.3">
      <c r="A43" s="46" t="s">
        <v>19</v>
      </c>
      <c r="B43" s="31"/>
      <c r="C43" s="30">
        <v>30.3</v>
      </c>
      <c r="D43" s="10"/>
      <c r="E43" s="31"/>
      <c r="F43" s="82">
        <f>+'[2]Hotlist - Completed'!I38/1000</f>
        <v>18.422999999999998</v>
      </c>
      <c r="G43" s="55"/>
      <c r="H43" s="10"/>
      <c r="I43" s="31"/>
      <c r="J43" s="82">
        <f>+'[2]Hotlist - Identified '!$F134/1000</f>
        <v>20.238</v>
      </c>
      <c r="K43" s="10"/>
      <c r="L43" s="31"/>
      <c r="M43" s="82">
        <f>+'[2]Hotlist - Identified '!$I134/1000</f>
        <v>21.355</v>
      </c>
      <c r="N43" s="10"/>
      <c r="O43" s="31"/>
      <c r="P43" s="30">
        <f>+M43+J43+F43+C43</f>
        <v>90.316000000000003</v>
      </c>
      <c r="Q43" s="10"/>
      <c r="R43" s="31"/>
      <c r="S43" s="82">
        <f>+'[2]Hotlist - Identified '!$O134/1000</f>
        <v>28.829250000000005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0.76237623762376239</v>
      </c>
      <c r="C44" s="103"/>
      <c r="D44" s="38"/>
      <c r="E44" s="102">
        <f>+F42/F43</f>
        <v>0.96471801552407321</v>
      </c>
      <c r="F44" s="103"/>
      <c r="G44" s="56"/>
      <c r="H44" s="38"/>
      <c r="I44" s="102">
        <f>+J42/J43</f>
        <v>1.5768356556972032</v>
      </c>
      <c r="J44" s="103"/>
      <c r="K44" s="38"/>
      <c r="L44" s="102">
        <f>+M42/M43</f>
        <v>0.93359868883165542</v>
      </c>
      <c r="M44" s="103"/>
      <c r="N44" s="38"/>
      <c r="O44" s="102">
        <f>+P42/P43</f>
        <v>1.0266397980424289</v>
      </c>
      <c r="P44" s="103"/>
      <c r="Q44" s="38"/>
      <c r="R44" s="102">
        <f>+S42/S43</f>
        <v>0.22893415541507317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3:F3"/>
    <mergeCell ref="E36:F36"/>
    <mergeCell ref="O36:P36"/>
    <mergeCell ref="C8:O8"/>
    <mergeCell ref="C9:O9"/>
    <mergeCell ref="R36:S36"/>
    <mergeCell ref="B19:O19"/>
    <mergeCell ref="A32:S32"/>
    <mergeCell ref="R37:S37"/>
    <mergeCell ref="I34:S34"/>
    <mergeCell ref="B36:C36"/>
    <mergeCell ref="B37:C37"/>
    <mergeCell ref="E37:F37"/>
    <mergeCell ref="I37:J37"/>
    <mergeCell ref="L37:M37"/>
    <mergeCell ref="O44:P44"/>
    <mergeCell ref="O37:P37"/>
    <mergeCell ref="A46:B46"/>
    <mergeCell ref="E44:F44"/>
    <mergeCell ref="I44:J44"/>
    <mergeCell ref="L44:M44"/>
    <mergeCell ref="B44:C44"/>
    <mergeCell ref="R44:S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62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>+C17</f>
        <v>65</v>
      </c>
      <c r="E13" s="17">
        <f t="shared" ref="E13:N13" si="0">+D17</f>
        <v>43</v>
      </c>
      <c r="F13" s="17">
        <f t="shared" si="0"/>
        <v>44</v>
      </c>
      <c r="G13" s="17">
        <f t="shared" si="0"/>
        <v>44</v>
      </c>
      <c r="H13" s="17">
        <f t="shared" si="0"/>
        <v>33</v>
      </c>
      <c r="I13" s="17">
        <f t="shared" si="0"/>
        <v>82</v>
      </c>
      <c r="J13" s="17">
        <f t="shared" si="0"/>
        <v>82</v>
      </c>
      <c r="K13" s="17">
        <f t="shared" si="0"/>
        <v>79</v>
      </c>
      <c r="L13" s="17">
        <f t="shared" si="0"/>
        <v>138</v>
      </c>
      <c r="M13" s="72">
        <f t="shared" si="0"/>
        <v>166</v>
      </c>
      <c r="N13" s="72">
        <f t="shared" si="0"/>
        <v>169</v>
      </c>
      <c r="O13" s="17"/>
    </row>
    <row r="14" spans="1:16" x14ac:dyDescent="0.3">
      <c r="A14" s="4" t="s">
        <v>1</v>
      </c>
      <c r="C14" s="17">
        <v>65</v>
      </c>
      <c r="D14" s="17">
        <v>10</v>
      </c>
      <c r="E14" s="17">
        <v>1</v>
      </c>
      <c r="F14" s="17">
        <v>0</v>
      </c>
      <c r="G14" s="17">
        <v>2</v>
      </c>
      <c r="H14" s="17">
        <f>43+10</f>
        <v>53</v>
      </c>
      <c r="I14" s="17">
        <v>7</v>
      </c>
      <c r="J14" s="17">
        <v>8</v>
      </c>
      <c r="K14" s="17">
        <v>93</v>
      </c>
      <c r="L14" s="17">
        <v>40</v>
      </c>
      <c r="M14" s="72">
        <f>8+8+11</f>
        <v>27</v>
      </c>
      <c r="N14" s="17">
        <v>12</v>
      </c>
      <c r="O14" s="17"/>
    </row>
    <row r="15" spans="1:16" x14ac:dyDescent="0.3">
      <c r="A15" s="4" t="s">
        <v>2</v>
      </c>
      <c r="C15" s="17">
        <v>0</v>
      </c>
      <c r="D15" s="17">
        <v>4</v>
      </c>
      <c r="E15" s="17">
        <v>0</v>
      </c>
      <c r="F15" s="17">
        <v>0</v>
      </c>
      <c r="G15" s="17">
        <v>4</v>
      </c>
      <c r="H15" s="17">
        <v>0</v>
      </c>
      <c r="I15" s="17">
        <v>1</v>
      </c>
      <c r="J15" s="17">
        <v>1</v>
      </c>
      <c r="K15" s="17">
        <v>2</v>
      </c>
      <c r="L15" s="17">
        <v>6</v>
      </c>
      <c r="M15" s="72">
        <v>16</v>
      </c>
      <c r="N15" s="17">
        <v>5</v>
      </c>
      <c r="O15" s="17"/>
    </row>
    <row r="16" spans="1:16" x14ac:dyDescent="0.3">
      <c r="A16" s="4" t="s">
        <v>3</v>
      </c>
      <c r="C16" s="17">
        <v>0</v>
      </c>
      <c r="D16" s="17">
        <v>28</v>
      </c>
      <c r="E16" s="17">
        <v>0</v>
      </c>
      <c r="F16" s="17">
        <v>0</v>
      </c>
      <c r="G16" s="17">
        <v>9</v>
      </c>
      <c r="H16" s="17">
        <v>4</v>
      </c>
      <c r="I16" s="17">
        <v>6</v>
      </c>
      <c r="J16" s="17">
        <v>10</v>
      </c>
      <c r="K16" s="17">
        <v>32</v>
      </c>
      <c r="L16" s="17">
        <v>6</v>
      </c>
      <c r="M16" s="72">
        <v>8</v>
      </c>
      <c r="N16" s="17">
        <v>1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65</v>
      </c>
      <c r="D17" s="18">
        <f t="shared" si="1"/>
        <v>43</v>
      </c>
      <c r="E17" s="18">
        <f t="shared" si="1"/>
        <v>44</v>
      </c>
      <c r="F17" s="18">
        <f t="shared" si="1"/>
        <v>44</v>
      </c>
      <c r="G17" s="18">
        <f t="shared" si="1"/>
        <v>33</v>
      </c>
      <c r="H17" s="18">
        <f t="shared" si="1"/>
        <v>82</v>
      </c>
      <c r="I17" s="18">
        <f t="shared" si="1"/>
        <v>82</v>
      </c>
      <c r="J17" s="18">
        <f t="shared" si="1"/>
        <v>79</v>
      </c>
      <c r="K17" s="18">
        <f t="shared" si="1"/>
        <v>138</v>
      </c>
      <c r="L17" s="18">
        <f t="shared" si="1"/>
        <v>166</v>
      </c>
      <c r="M17" s="73">
        <f t="shared" si="1"/>
        <v>169</v>
      </c>
      <c r="N17" s="18">
        <f t="shared" si="1"/>
        <v>175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>+F22+F23-F24-F26</f>
        <v>0</v>
      </c>
      <c r="G27" s="8"/>
      <c r="H27" s="8">
        <f t="shared" ref="H27:O27" si="2">+H22+H23-H24-H26</f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2.3372093023255816</v>
      </c>
      <c r="D29" s="10">
        <f>+D27/E17</f>
        <v>2.6090909090909089</v>
      </c>
      <c r="E29" s="10">
        <f>+E27/F17</f>
        <v>2.3363636363636364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104</v>
      </c>
      <c r="F39" s="27">
        <v>4.8</v>
      </c>
      <c r="G39" s="59">
        <v>4.8</v>
      </c>
      <c r="H39" s="9"/>
      <c r="I39" s="26">
        <v>0</v>
      </c>
      <c r="J39" s="27">
        <v>0</v>
      </c>
      <c r="K39" s="9"/>
      <c r="L39" s="26">
        <v>0</v>
      </c>
      <c r="M39" s="27">
        <v>0</v>
      </c>
      <c r="N39" s="9"/>
      <c r="O39" s="26">
        <f>+L39+I39+E39+B39</f>
        <v>104</v>
      </c>
      <c r="P39" s="27">
        <f>+M39+J39+F39+C39</f>
        <v>4.8</v>
      </c>
      <c r="Q39" s="9"/>
      <c r="R39" s="26">
        <v>0</v>
      </c>
      <c r="S39" s="27">
        <v>0</v>
      </c>
      <c r="T39" s="9"/>
    </row>
    <row r="40" spans="1:20" x14ac:dyDescent="0.3">
      <c r="A40" s="2" t="s">
        <v>58</v>
      </c>
      <c r="B40" s="26"/>
      <c r="C40" s="64">
        <v>0</v>
      </c>
      <c r="D40" s="9"/>
      <c r="E40" s="26"/>
      <c r="F40" s="64">
        <f>14.742-0.379-F39</f>
        <v>9.5630000000000024</v>
      </c>
      <c r="G40" s="59"/>
      <c r="H40" s="9"/>
      <c r="I40" s="26"/>
      <c r="J40" s="64">
        <v>0</v>
      </c>
      <c r="K40" s="68"/>
      <c r="L40" s="69"/>
      <c r="M40" s="64">
        <v>0</v>
      </c>
      <c r="N40" s="9"/>
      <c r="O40" s="26"/>
      <c r="P40" s="64">
        <f>+C40+F40+J40+M40</f>
        <v>9.5630000000000024</v>
      </c>
      <c r="Q40" s="9"/>
      <c r="R40" s="26"/>
      <c r="S40" s="27">
        <v>0</v>
      </c>
      <c r="T40" s="9"/>
    </row>
    <row r="41" spans="1:20" x14ac:dyDescent="0.3">
      <c r="A41" s="2" t="s">
        <v>0</v>
      </c>
      <c r="B41" s="28">
        <v>0</v>
      </c>
      <c r="C41" s="32">
        <v>0</v>
      </c>
      <c r="D41" s="9"/>
      <c r="E41" s="28">
        <v>6</v>
      </c>
      <c r="F41" s="32">
        <v>0.98399999999999999</v>
      </c>
      <c r="G41" s="54"/>
      <c r="H41" s="9"/>
      <c r="I41" s="28">
        <v>137</v>
      </c>
      <c r="J41" s="70">
        <v>6.8840000000000003</v>
      </c>
      <c r="K41" s="68"/>
      <c r="L41" s="71">
        <v>32</v>
      </c>
      <c r="M41" s="70">
        <v>3.2509999999999999</v>
      </c>
      <c r="N41" s="9"/>
      <c r="O41" s="28">
        <f>+L41+I41+E41+B41</f>
        <v>175</v>
      </c>
      <c r="P41" s="32">
        <f>+M41+J41+F41+C41</f>
        <v>11.119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110</v>
      </c>
      <c r="F42" s="30">
        <f>SUM(F39:F41)</f>
        <v>15.347000000000003</v>
      </c>
      <c r="G42" s="55"/>
      <c r="H42" s="11"/>
      <c r="I42" s="23">
        <f>SUM(I39:I41)</f>
        <v>137</v>
      </c>
      <c r="J42" s="30">
        <f>SUM(J39:J41)</f>
        <v>6.8840000000000003</v>
      </c>
      <c r="K42" s="11"/>
      <c r="L42" s="23">
        <f>SUM(L39:L41)</f>
        <v>32</v>
      </c>
      <c r="M42" s="30">
        <f>SUM(M39:M41)</f>
        <v>3.2509999999999999</v>
      </c>
      <c r="N42" s="11"/>
      <c r="O42" s="23">
        <f>SUM(O39:O41)</f>
        <v>279</v>
      </c>
      <c r="P42" s="30">
        <f>SUM(P39:P41)</f>
        <v>25.482000000000003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0</v>
      </c>
      <c r="D43" s="10"/>
      <c r="E43" s="31"/>
      <c r="F43" s="82">
        <f>+'[2]Hotlist - Completed'!I27/1000</f>
        <v>12.436</v>
      </c>
      <c r="G43" s="55"/>
      <c r="H43" s="10"/>
      <c r="I43" s="31"/>
      <c r="J43" s="83">
        <f>+'[2]Hotlist - Identified '!$F144/1000</f>
        <v>27.077999999999999</v>
      </c>
      <c r="K43" s="10"/>
      <c r="L43" s="31"/>
      <c r="M43" s="83">
        <f>+'[2]Hotlist - Identified '!$I144/1000</f>
        <v>26.841000000000001</v>
      </c>
      <c r="N43" s="10"/>
      <c r="O43" s="31"/>
      <c r="P43" s="30">
        <f>+M43+J43+F43+C43</f>
        <v>66.35499999999999</v>
      </c>
      <c r="Q43" s="10"/>
      <c r="R43" s="31"/>
      <c r="S43" s="83">
        <f>+'[2]Hotlist - Identified '!$O144/1000</f>
        <v>36.235350000000004</v>
      </c>
      <c r="T43" s="10"/>
    </row>
    <row r="44" spans="1:20" s="5" customFormat="1" ht="18.600000000000001" thickBot="1" x14ac:dyDescent="0.4">
      <c r="A44" s="5" t="s">
        <v>31</v>
      </c>
      <c r="B44" s="102" t="e">
        <f>+C42/C43</f>
        <v>#DIV/0!</v>
      </c>
      <c r="C44" s="103"/>
      <c r="D44" s="38"/>
      <c r="E44" s="102">
        <f>+F42/F43</f>
        <v>1.2340784818269543</v>
      </c>
      <c r="F44" s="103"/>
      <c r="G44" s="56"/>
      <c r="H44" s="38"/>
      <c r="I44" s="102">
        <f>+J42/J43</f>
        <v>0.25422852500184656</v>
      </c>
      <c r="J44" s="103"/>
      <c r="K44" s="38"/>
      <c r="L44" s="102">
        <f>+M42/M43</f>
        <v>0.12112067359636376</v>
      </c>
      <c r="M44" s="103"/>
      <c r="N44" s="38"/>
      <c r="O44" s="102">
        <f>+P42/P43</f>
        <v>0.38402531836334874</v>
      </c>
      <c r="P44" s="103"/>
      <c r="Q44" s="38"/>
      <c r="R44" s="102">
        <f>+S42/S43</f>
        <v>0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opLeftCell="B1" zoomScale="80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49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10</v>
      </c>
      <c r="I13" s="17">
        <f t="shared" si="0"/>
        <v>10</v>
      </c>
      <c r="J13" s="17">
        <f t="shared" si="0"/>
        <v>10</v>
      </c>
      <c r="K13" s="17">
        <f t="shared" si="0"/>
        <v>10</v>
      </c>
      <c r="L13" s="17">
        <f t="shared" si="0"/>
        <v>10</v>
      </c>
      <c r="M13" s="72">
        <f t="shared" si="0"/>
        <v>10</v>
      </c>
      <c r="N13" s="72">
        <f t="shared" si="0"/>
        <v>9</v>
      </c>
      <c r="O13" s="17"/>
    </row>
    <row r="14" spans="1:16" x14ac:dyDescent="0.3">
      <c r="A14" s="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10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1</v>
      </c>
      <c r="N14" s="17">
        <v>0</v>
      </c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2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10</v>
      </c>
      <c r="H17" s="18">
        <f t="shared" si="1"/>
        <v>10</v>
      </c>
      <c r="I17" s="18">
        <f t="shared" si="1"/>
        <v>10</v>
      </c>
      <c r="J17" s="18">
        <f t="shared" si="1"/>
        <v>10</v>
      </c>
      <c r="K17" s="18">
        <f t="shared" si="1"/>
        <v>10</v>
      </c>
      <c r="L17" s="18">
        <f t="shared" si="1"/>
        <v>10</v>
      </c>
      <c r="M17" s="73">
        <f t="shared" si="1"/>
        <v>9</v>
      </c>
      <c r="N17" s="18">
        <f t="shared" si="1"/>
        <v>9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 t="e">
        <f>+C27/D17</f>
        <v>#DIV/0!</v>
      </c>
      <c r="D29" s="10" t="e">
        <f>+D27/E17</f>
        <v>#DIV/0!</v>
      </c>
      <c r="E29" s="10" t="e">
        <f>+E27/F17</f>
        <v>#DIV/0!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</v>
      </c>
      <c r="C39" s="27">
        <v>2.2999999999999998</v>
      </c>
      <c r="D39" s="9"/>
      <c r="E39" s="26">
        <v>2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2.2999999999999998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91.4</v>
      </c>
      <c r="D40" s="9"/>
      <c r="E40" s="26"/>
      <c r="F40" s="64">
        <f>-29.674-F39</f>
        <v>-29.673999999999999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61.726000000000006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5</v>
      </c>
      <c r="J41" s="70">
        <v>10</v>
      </c>
      <c r="K41" s="68"/>
      <c r="L41" s="71">
        <v>2</v>
      </c>
      <c r="M41" s="70">
        <v>10</v>
      </c>
      <c r="N41" s="9"/>
      <c r="O41" s="28">
        <f>+L41+I41+E41+B41</f>
        <v>7</v>
      </c>
      <c r="P41" s="32">
        <f>+M41+J41+F41+C41</f>
        <v>20</v>
      </c>
      <c r="Q41" s="9"/>
      <c r="R41" s="28">
        <v>2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1</v>
      </c>
      <c r="C42" s="30">
        <f>SUM(C39:C41)</f>
        <v>93.7</v>
      </c>
      <c r="D42" s="11"/>
      <c r="E42" s="23">
        <f>SUM(E39:E41)</f>
        <v>2</v>
      </c>
      <c r="F42" s="30">
        <f>SUM(F39:F41)</f>
        <v>-29.673999999999999</v>
      </c>
      <c r="G42" s="55"/>
      <c r="H42" s="11"/>
      <c r="I42" s="23">
        <f>SUM(I39:I41)</f>
        <v>5</v>
      </c>
      <c r="J42" s="30">
        <f>SUM(J39:J41)</f>
        <v>10</v>
      </c>
      <c r="K42" s="11"/>
      <c r="L42" s="23">
        <f>SUM(L39:L41)</f>
        <v>2</v>
      </c>
      <c r="M42" s="30">
        <f>SUM(M39:M41)</f>
        <v>10</v>
      </c>
      <c r="N42" s="11"/>
      <c r="O42" s="23">
        <f>SUM(O39:O41)</f>
        <v>10</v>
      </c>
      <c r="P42" s="30">
        <f>SUM(P39:P41)</f>
        <v>84.02600000000001</v>
      </c>
      <c r="Q42" s="11"/>
      <c r="R42" s="23">
        <f>SUM(R39:R41)</f>
        <v>2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15.4</v>
      </c>
      <c r="D43" s="10"/>
      <c r="E43" s="31"/>
      <c r="F43" s="82">
        <f>+'[2]Hotlist - Completed'!I46/1000</f>
        <v>15.385</v>
      </c>
      <c r="G43" s="55"/>
      <c r="H43" s="10"/>
      <c r="I43" s="31"/>
      <c r="J43" s="83">
        <f>+'[2]Hotlist - Identified '!$F153/1000</f>
        <v>15.39</v>
      </c>
      <c r="K43" s="10"/>
      <c r="L43" s="31"/>
      <c r="M43" s="83">
        <f>+'[2]Hotlist - Identified '!$I153/1000</f>
        <v>15.39</v>
      </c>
      <c r="N43" s="10"/>
      <c r="O43" s="31"/>
      <c r="P43" s="30">
        <f>+M43+J43+F43+C43</f>
        <v>61.564999999999998</v>
      </c>
      <c r="Q43" s="10"/>
      <c r="R43" s="31"/>
      <c r="S43" s="83">
        <f>+'[2]Hotlist - Identified '!$O153/1000</f>
        <v>20.776499999999999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6.0844155844155843</v>
      </c>
      <c r="C44" s="103"/>
      <c r="D44" s="38"/>
      <c r="E44" s="102">
        <f>+F42/F43</f>
        <v>-1.928761780955476</v>
      </c>
      <c r="F44" s="103"/>
      <c r="G44" s="56"/>
      <c r="H44" s="38"/>
      <c r="I44" s="102">
        <f>+J42/J43</f>
        <v>0.64977257959714096</v>
      </c>
      <c r="J44" s="103"/>
      <c r="K44" s="38"/>
      <c r="L44" s="102">
        <f>+M42/M43</f>
        <v>0.64977257959714096</v>
      </c>
      <c r="M44" s="103"/>
      <c r="N44" s="38"/>
      <c r="O44" s="102">
        <f>+P42/P43</f>
        <v>1.3648339153739952</v>
      </c>
      <c r="P44" s="103"/>
      <c r="Q44" s="38"/>
      <c r="R44" s="102">
        <f>+S42/S43</f>
        <v>0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52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11</v>
      </c>
      <c r="F13" s="17">
        <f t="shared" si="0"/>
        <v>11</v>
      </c>
      <c r="G13" s="17">
        <f t="shared" si="0"/>
        <v>11</v>
      </c>
      <c r="H13" s="17">
        <f t="shared" si="0"/>
        <v>12</v>
      </c>
      <c r="I13" s="17">
        <f t="shared" si="0"/>
        <v>11</v>
      </c>
      <c r="J13" s="17">
        <f t="shared" si="0"/>
        <v>12</v>
      </c>
      <c r="K13" s="17">
        <f t="shared" si="0"/>
        <v>12</v>
      </c>
      <c r="L13" s="17">
        <f t="shared" si="0"/>
        <v>12</v>
      </c>
      <c r="M13" s="72">
        <f t="shared" si="0"/>
        <v>12</v>
      </c>
      <c r="N13" s="72">
        <f t="shared" si="0"/>
        <v>12</v>
      </c>
      <c r="O13" s="17"/>
    </row>
    <row r="14" spans="1:16" x14ac:dyDescent="0.3">
      <c r="A14" s="4" t="s">
        <v>1</v>
      </c>
      <c r="C14" s="17">
        <v>0</v>
      </c>
      <c r="D14" s="17">
        <v>11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11</v>
      </c>
      <c r="E17" s="18">
        <f t="shared" si="1"/>
        <v>11</v>
      </c>
      <c r="F17" s="18">
        <f t="shared" si="1"/>
        <v>11</v>
      </c>
      <c r="G17" s="18">
        <f t="shared" si="1"/>
        <v>12</v>
      </c>
      <c r="H17" s="18">
        <f t="shared" si="1"/>
        <v>11</v>
      </c>
      <c r="I17" s="18">
        <f t="shared" si="1"/>
        <v>12</v>
      </c>
      <c r="J17" s="18">
        <f t="shared" si="1"/>
        <v>12</v>
      </c>
      <c r="K17" s="18">
        <f t="shared" si="1"/>
        <v>12</v>
      </c>
      <c r="L17" s="18">
        <f t="shared" si="1"/>
        <v>12</v>
      </c>
      <c r="M17" s="73">
        <f t="shared" si="1"/>
        <v>12</v>
      </c>
      <c r="N17" s="18">
        <f t="shared" si="1"/>
        <v>12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9.1363636363636367</v>
      </c>
      <c r="D29" s="10">
        <f>+D27/E17</f>
        <v>10.436363636363636</v>
      </c>
      <c r="E29" s="10">
        <f>+E27/F17</f>
        <v>9.3454545454545457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</v>
      </c>
      <c r="C39" s="27">
        <v>0.1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0.1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0.8</v>
      </c>
      <c r="D40" s="9"/>
      <c r="E40" s="26"/>
      <c r="F40" s="64">
        <f>3.576-F39</f>
        <v>3.5760000000000001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4.3760000000000003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1</v>
      </c>
      <c r="F41" s="32">
        <v>0</v>
      </c>
      <c r="G41" s="54"/>
      <c r="H41" s="9"/>
      <c r="I41" s="28">
        <v>5</v>
      </c>
      <c r="J41" s="70">
        <v>0</v>
      </c>
      <c r="K41" s="68"/>
      <c r="L41" s="71">
        <v>6</v>
      </c>
      <c r="M41" s="70">
        <v>0</v>
      </c>
      <c r="N41" s="9"/>
      <c r="O41" s="28">
        <f>+L41+I41+E41+B41</f>
        <v>12</v>
      </c>
      <c r="P41" s="32">
        <f>+M41+J41+F41+C41</f>
        <v>0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1</v>
      </c>
      <c r="C42" s="30">
        <f>SUM(C39:C41)</f>
        <v>0.9</v>
      </c>
      <c r="D42" s="11"/>
      <c r="E42" s="23">
        <f>SUM(E39:E41)</f>
        <v>1</v>
      </c>
      <c r="F42" s="30">
        <f>SUM(F39:F41)</f>
        <v>3.5760000000000001</v>
      </c>
      <c r="G42" s="55"/>
      <c r="H42" s="11"/>
      <c r="I42" s="23">
        <f>SUM(I39:I41)</f>
        <v>5</v>
      </c>
      <c r="J42" s="30">
        <f>SUM(J39:J41)</f>
        <v>0</v>
      </c>
      <c r="K42" s="11"/>
      <c r="L42" s="23">
        <f>SUM(L39:L41)</f>
        <v>6</v>
      </c>
      <c r="M42" s="30">
        <f>SUM(M39:M41)</f>
        <v>0</v>
      </c>
      <c r="N42" s="11"/>
      <c r="O42" s="23">
        <f>SUM(O39:O41)</f>
        <v>13</v>
      </c>
      <c r="P42" s="30">
        <f>SUM(P39:P41)</f>
        <v>4.476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10.3</v>
      </c>
      <c r="D43" s="10"/>
      <c r="E43" s="31"/>
      <c r="F43" s="82">
        <f>+'[2]Hotlist - Completed'!I52/1000</f>
        <v>2</v>
      </c>
      <c r="G43" s="55"/>
      <c r="H43" s="10"/>
      <c r="I43" s="31"/>
      <c r="J43" s="83">
        <f>+'[2]Hotlist - Identified '!$F163/1000</f>
        <v>5</v>
      </c>
      <c r="K43" s="10"/>
      <c r="L43" s="31"/>
      <c r="M43" s="83">
        <f>+'[2]Hotlist - Identified '!$I163/1000</f>
        <v>8</v>
      </c>
      <c r="N43" s="10"/>
      <c r="O43" s="31"/>
      <c r="P43" s="30">
        <f>+M43+J43+F43+C43</f>
        <v>25.3</v>
      </c>
      <c r="Q43" s="10"/>
      <c r="R43" s="31"/>
      <c r="S43" s="84">
        <f>+'[2]Hotlist - Identified '!$O163/1000</f>
        <v>10.8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8.7378640776699032E-2</v>
      </c>
      <c r="C44" s="103"/>
      <c r="D44" s="38"/>
      <c r="E44" s="102">
        <f>+F42/F43</f>
        <v>1.788</v>
      </c>
      <c r="F44" s="103"/>
      <c r="G44" s="56"/>
      <c r="H44" s="38"/>
      <c r="I44" s="102">
        <f>+J42/J43</f>
        <v>0</v>
      </c>
      <c r="J44" s="103"/>
      <c r="K44" s="38"/>
      <c r="L44" s="102">
        <f>+M42/M43</f>
        <v>0</v>
      </c>
      <c r="M44" s="103"/>
      <c r="N44" s="38"/>
      <c r="O44" s="102">
        <f>+P42/P43</f>
        <v>0.17691699604743083</v>
      </c>
      <c r="P44" s="103"/>
      <c r="Q44" s="38"/>
      <c r="R44" s="102">
        <f>+S42/S43</f>
        <v>0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opLeftCell="B1"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5" width="10.88671875" style="2" bestFit="1" customWidth="1"/>
    <col min="6" max="6" width="11.109375" style="2" bestFit="1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50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17</v>
      </c>
      <c r="J13" s="17">
        <f t="shared" si="0"/>
        <v>17</v>
      </c>
      <c r="K13" s="17">
        <f t="shared" si="0"/>
        <v>17</v>
      </c>
      <c r="L13" s="17">
        <f t="shared" si="0"/>
        <v>16</v>
      </c>
      <c r="M13" s="72">
        <f t="shared" si="0"/>
        <v>16</v>
      </c>
      <c r="N13" s="72">
        <f t="shared" si="0"/>
        <v>15</v>
      </c>
      <c r="O13" s="17"/>
    </row>
    <row r="14" spans="1:16" x14ac:dyDescent="0.3">
      <c r="A14" s="4" t="s">
        <v>1</v>
      </c>
      <c r="C14" s="17">
        <v>0</v>
      </c>
      <c r="D14" s="17">
        <v>17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</v>
      </c>
      <c r="L16" s="17">
        <v>0</v>
      </c>
      <c r="M16" s="72">
        <v>1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17</v>
      </c>
      <c r="I17" s="18">
        <f t="shared" si="1"/>
        <v>17</v>
      </c>
      <c r="J17" s="18">
        <f t="shared" si="1"/>
        <v>17</v>
      </c>
      <c r="K17" s="18">
        <f t="shared" si="1"/>
        <v>16</v>
      </c>
      <c r="L17" s="18">
        <f t="shared" si="1"/>
        <v>16</v>
      </c>
      <c r="M17" s="73">
        <f t="shared" si="1"/>
        <v>15</v>
      </c>
      <c r="N17" s="18">
        <f t="shared" si="1"/>
        <v>15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3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3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3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3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4.4" hidden="1" thickBot="1" x14ac:dyDescent="0.3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</v>
      </c>
      <c r="C39" s="27">
        <v>1.4</v>
      </c>
      <c r="D39" s="9"/>
      <c r="E39" s="26">
        <v>2</v>
      </c>
      <c r="F39" s="27">
        <f>-0.17-0.054973</f>
        <v>-0.22497300000000001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1.1750269999999998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-2</v>
      </c>
      <c r="D40" s="9"/>
      <c r="E40" s="26"/>
      <c r="F40" s="64">
        <f>-12.8-F39</f>
        <v>-12.575027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-14.575027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0</v>
      </c>
      <c r="G41" s="54"/>
      <c r="H41" s="9"/>
      <c r="I41" s="28">
        <v>9</v>
      </c>
      <c r="J41" s="70">
        <v>1</v>
      </c>
      <c r="K41" s="68"/>
      <c r="L41" s="71">
        <v>3</v>
      </c>
      <c r="M41" s="70">
        <v>0</v>
      </c>
      <c r="N41" s="9"/>
      <c r="O41" s="28">
        <f>+L41+I41+E41+B41</f>
        <v>15</v>
      </c>
      <c r="P41" s="32">
        <f>+M41+J41+F41+C41</f>
        <v>1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1</v>
      </c>
      <c r="C42" s="30">
        <f>SUM(C39:C41)</f>
        <v>-0.60000000000000009</v>
      </c>
      <c r="D42" s="11"/>
      <c r="E42" s="23">
        <f>SUM(E39:E41)</f>
        <v>5</v>
      </c>
      <c r="F42" s="30">
        <f>SUM(F39:F41)</f>
        <v>-12.8</v>
      </c>
      <c r="G42" s="55"/>
      <c r="H42" s="11"/>
      <c r="I42" s="23">
        <f>SUM(I39:I41)</f>
        <v>9</v>
      </c>
      <c r="J42" s="30">
        <f>SUM(J39:J41)</f>
        <v>1</v>
      </c>
      <c r="K42" s="11"/>
      <c r="L42" s="23">
        <f>SUM(L39:L41)</f>
        <v>3</v>
      </c>
      <c r="M42" s="30">
        <f>SUM(M39:M41)</f>
        <v>0</v>
      </c>
      <c r="N42" s="11"/>
      <c r="O42" s="23">
        <f>SUM(O39:O41)</f>
        <v>18</v>
      </c>
      <c r="P42" s="30">
        <f>SUM(P39:P41)</f>
        <v>-12.4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f>7.9+6.5</f>
        <v>14.4</v>
      </c>
      <c r="D43" s="10"/>
      <c r="E43" s="31"/>
      <c r="F43" s="82">
        <f>+'[2]Hotlist - Completed'!I61/1000</f>
        <v>14.705</v>
      </c>
      <c r="G43" s="55"/>
      <c r="H43" s="10"/>
      <c r="I43" s="31"/>
      <c r="J43" s="83">
        <f>+'[2]Hotlist - Identified '!$F176/1000</f>
        <v>13.904999999999999</v>
      </c>
      <c r="K43" s="10"/>
      <c r="L43" s="31"/>
      <c r="M43" s="83">
        <f>+'[2]Hotlist - Identified '!$I176/1000</f>
        <v>19.954999999999998</v>
      </c>
      <c r="N43" s="10"/>
      <c r="O43" s="31"/>
      <c r="P43" s="30">
        <f>+M43+J43+F43+C43</f>
        <v>62.964999999999996</v>
      </c>
      <c r="Q43" s="10"/>
      <c r="R43" s="31"/>
      <c r="S43" s="83">
        <f>+'[2]Hotlist - Identified '!$O176/1000</f>
        <v>26.939250000000001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-4.1666666666666671E-2</v>
      </c>
      <c r="C44" s="103"/>
      <c r="D44" s="38"/>
      <c r="E44" s="102">
        <f>+F42/F43</f>
        <v>-0.87045222713362802</v>
      </c>
      <c r="F44" s="103"/>
      <c r="G44" s="56"/>
      <c r="H44" s="38"/>
      <c r="I44" s="102">
        <f>+J42/J43</f>
        <v>7.1916576770945706E-2</v>
      </c>
      <c r="J44" s="103"/>
      <c r="K44" s="38"/>
      <c r="L44" s="102">
        <f>+M42/M43</f>
        <v>0</v>
      </c>
      <c r="M44" s="103"/>
      <c r="N44" s="38"/>
      <c r="O44" s="102">
        <f>+P42/P43</f>
        <v>-0.19693480505042485</v>
      </c>
      <c r="P44" s="103"/>
      <c r="Q44" s="38"/>
      <c r="R44" s="102">
        <f>+S42/S43</f>
        <v>0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4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51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0</v>
      </c>
      <c r="F13" s="17">
        <f t="shared" si="0"/>
        <v>1</v>
      </c>
      <c r="G13" s="17">
        <f t="shared" si="0"/>
        <v>1</v>
      </c>
      <c r="H13" s="17">
        <f t="shared" si="0"/>
        <v>3</v>
      </c>
      <c r="I13" s="17">
        <f t="shared" si="0"/>
        <v>3</v>
      </c>
      <c r="J13" s="17">
        <f t="shared" si="0"/>
        <v>3</v>
      </c>
      <c r="K13" s="17">
        <f t="shared" si="0"/>
        <v>1</v>
      </c>
      <c r="L13" s="17">
        <f t="shared" si="0"/>
        <v>1</v>
      </c>
      <c r="M13" s="72">
        <f t="shared" si="0"/>
        <v>1</v>
      </c>
      <c r="N13" s="72">
        <f t="shared" si="0"/>
        <v>1</v>
      </c>
      <c r="O13" s="17"/>
    </row>
    <row r="14" spans="1:16" x14ac:dyDescent="0.3">
      <c r="A14" s="4" t="s">
        <v>1</v>
      </c>
      <c r="C14" s="17">
        <v>0</v>
      </c>
      <c r="D14" s="17">
        <v>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2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1</v>
      </c>
      <c r="F17" s="18">
        <f t="shared" si="1"/>
        <v>1</v>
      </c>
      <c r="G17" s="18">
        <f t="shared" si="1"/>
        <v>3</v>
      </c>
      <c r="H17" s="18">
        <f t="shared" si="1"/>
        <v>3</v>
      </c>
      <c r="I17" s="18">
        <f t="shared" si="1"/>
        <v>3</v>
      </c>
      <c r="J17" s="18">
        <f t="shared" si="1"/>
        <v>1</v>
      </c>
      <c r="K17" s="18">
        <f t="shared" si="1"/>
        <v>1</v>
      </c>
      <c r="L17" s="18">
        <f t="shared" si="1"/>
        <v>1</v>
      </c>
      <c r="M17" s="73">
        <f t="shared" si="1"/>
        <v>1</v>
      </c>
      <c r="N17" s="18">
        <f t="shared" si="1"/>
        <v>1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 t="e">
        <f>+C27/D17</f>
        <v>#DIV/0!</v>
      </c>
      <c r="D29" s="10">
        <f>+D27/E17</f>
        <v>114.8</v>
      </c>
      <c r="E29" s="10">
        <f>+E27/F17</f>
        <v>102.8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0</v>
      </c>
      <c r="D40" s="9"/>
      <c r="E40" s="26"/>
      <c r="F40" s="64">
        <v>-18.812000000000001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-18.812000000000001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1</v>
      </c>
      <c r="J41" s="70">
        <v>30</v>
      </c>
      <c r="K41" s="68"/>
      <c r="L41" s="71">
        <v>0</v>
      </c>
      <c r="M41" s="70">
        <v>0</v>
      </c>
      <c r="N41" s="9"/>
      <c r="O41" s="28">
        <f>+L41+I41+E41+B41</f>
        <v>1</v>
      </c>
      <c r="P41" s="32">
        <f>+M41+J41+F41+C41</f>
        <v>30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0</v>
      </c>
      <c r="F42" s="30">
        <f>SUM(F39:F41)</f>
        <v>-18.812000000000001</v>
      </c>
      <c r="G42" s="55"/>
      <c r="H42" s="11"/>
      <c r="I42" s="23">
        <f>SUM(I39:I41)</f>
        <v>1</v>
      </c>
      <c r="J42" s="30">
        <f>SUM(J39:J41)</f>
        <v>30</v>
      </c>
      <c r="K42" s="11"/>
      <c r="L42" s="23">
        <f>SUM(L39:L41)</f>
        <v>0</v>
      </c>
      <c r="M42" s="30">
        <f>SUM(M39:M41)</f>
        <v>0</v>
      </c>
      <c r="N42" s="11"/>
      <c r="O42" s="23">
        <f>SUM(O39:O41)</f>
        <v>1</v>
      </c>
      <c r="P42" s="30">
        <f>SUM(P39:P41)</f>
        <v>11.187999999999999</v>
      </c>
      <c r="Q42" s="11"/>
      <c r="R42" s="23">
        <f>SUM(R39:R41)</f>
        <v>0</v>
      </c>
      <c r="S42" s="30">
        <f>SUM(S39:S41)</f>
        <v>0</v>
      </c>
      <c r="T42" s="11"/>
    </row>
    <row r="43" spans="1:20" s="80" customFormat="1" x14ac:dyDescent="0.3">
      <c r="A43" s="77" t="s">
        <v>19</v>
      </c>
      <c r="B43" s="78"/>
      <c r="C43" s="76">
        <v>0</v>
      </c>
      <c r="D43" s="79"/>
      <c r="E43" s="78"/>
      <c r="F43" s="82">
        <f>+'[2]Hotlist - Completed'!I67/1000</f>
        <v>0</v>
      </c>
      <c r="G43" s="55"/>
      <c r="H43" s="79"/>
      <c r="I43" s="78"/>
      <c r="J43" s="82">
        <v>23.4</v>
      </c>
      <c r="K43" s="79"/>
      <c r="L43" s="78"/>
      <c r="M43" s="82">
        <v>23.4</v>
      </c>
      <c r="N43" s="79"/>
      <c r="O43" s="78"/>
      <c r="P43" s="76">
        <f>+M43+J43+F43+C43</f>
        <v>46.8</v>
      </c>
      <c r="Q43" s="79"/>
      <c r="R43" s="78"/>
      <c r="S43" s="82">
        <v>0.01</v>
      </c>
      <c r="T43" s="79"/>
    </row>
    <row r="44" spans="1:20" s="5" customFormat="1" ht="18.600000000000001" thickBot="1" x14ac:dyDescent="0.4">
      <c r="A44" s="5" t="s">
        <v>31</v>
      </c>
      <c r="B44" s="102">
        <v>0</v>
      </c>
      <c r="C44" s="103"/>
      <c r="D44" s="38"/>
      <c r="E44" s="102" t="e">
        <f>+F42/F43</f>
        <v>#DIV/0!</v>
      </c>
      <c r="F44" s="103"/>
      <c r="G44" s="56"/>
      <c r="H44" s="38"/>
      <c r="I44" s="102">
        <f>+J42/J43</f>
        <v>1.2820512820512822</v>
      </c>
      <c r="J44" s="103"/>
      <c r="K44" s="38"/>
      <c r="L44" s="102">
        <f>+M42/M43</f>
        <v>0</v>
      </c>
      <c r="M44" s="103"/>
      <c r="N44" s="38"/>
      <c r="O44" s="102">
        <f>+P42/P43</f>
        <v>0.23905982905982906</v>
      </c>
      <c r="P44" s="103"/>
      <c r="Q44" s="38"/>
      <c r="R44" s="102">
        <f>+S42/S43</f>
        <v>0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35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20</v>
      </c>
      <c r="F13" s="17">
        <f t="shared" si="0"/>
        <v>23</v>
      </c>
      <c r="G13" s="17">
        <f t="shared" si="0"/>
        <v>24</v>
      </c>
      <c r="H13" s="17">
        <f t="shared" si="0"/>
        <v>22</v>
      </c>
      <c r="I13" s="17">
        <f t="shared" si="0"/>
        <v>21</v>
      </c>
      <c r="J13" s="17">
        <f t="shared" si="0"/>
        <v>24</v>
      </c>
      <c r="K13" s="17">
        <f t="shared" si="0"/>
        <v>20</v>
      </c>
      <c r="L13" s="17">
        <f t="shared" si="0"/>
        <v>21</v>
      </c>
      <c r="M13" s="72">
        <f t="shared" si="0"/>
        <v>21</v>
      </c>
      <c r="N13" s="72">
        <f t="shared" si="0"/>
        <v>27</v>
      </c>
      <c r="O13" s="17"/>
    </row>
    <row r="14" spans="1:16" x14ac:dyDescent="0.3">
      <c r="A14" s="4" t="s">
        <v>1</v>
      </c>
      <c r="C14" s="17">
        <v>1</v>
      </c>
      <c r="D14" s="17">
        <v>20</v>
      </c>
      <c r="E14" s="17">
        <v>5</v>
      </c>
      <c r="F14" s="17">
        <v>1</v>
      </c>
      <c r="G14" s="17">
        <v>0</v>
      </c>
      <c r="H14" s="17">
        <v>0</v>
      </c>
      <c r="I14" s="17">
        <v>5</v>
      </c>
      <c r="J14" s="17">
        <v>0</v>
      </c>
      <c r="K14" s="17">
        <v>1</v>
      </c>
      <c r="L14" s="17">
        <v>0</v>
      </c>
      <c r="M14" s="72">
        <v>9</v>
      </c>
      <c r="N14" s="17">
        <v>1</v>
      </c>
      <c r="O14" s="17"/>
    </row>
    <row r="15" spans="1:16" x14ac:dyDescent="0.3">
      <c r="A15" s="4" t="s">
        <v>2</v>
      </c>
      <c r="C15" s="17">
        <v>0</v>
      </c>
      <c r="D15" s="17">
        <v>1</v>
      </c>
      <c r="E15" s="17">
        <v>2</v>
      </c>
      <c r="F15" s="17">
        <v>0</v>
      </c>
      <c r="G15" s="17">
        <v>2</v>
      </c>
      <c r="H15" s="17">
        <v>1</v>
      </c>
      <c r="I15" s="17">
        <v>2</v>
      </c>
      <c r="J15" s="17">
        <v>3</v>
      </c>
      <c r="K15" s="17">
        <v>0</v>
      </c>
      <c r="L15" s="17">
        <v>0</v>
      </c>
      <c r="M15" s="72">
        <v>3</v>
      </c>
      <c r="N15" s="17">
        <v>1</v>
      </c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72">
        <v>0</v>
      </c>
      <c r="N16" s="17">
        <v>1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20</v>
      </c>
      <c r="E17" s="18">
        <f t="shared" si="1"/>
        <v>23</v>
      </c>
      <c r="F17" s="18">
        <f t="shared" si="1"/>
        <v>24</v>
      </c>
      <c r="G17" s="18">
        <f t="shared" si="1"/>
        <v>22</v>
      </c>
      <c r="H17" s="18">
        <f t="shared" si="1"/>
        <v>21</v>
      </c>
      <c r="I17" s="18">
        <f t="shared" si="1"/>
        <v>24</v>
      </c>
      <c r="J17" s="18">
        <f t="shared" si="1"/>
        <v>20</v>
      </c>
      <c r="K17" s="18">
        <f t="shared" si="1"/>
        <v>21</v>
      </c>
      <c r="L17" s="18">
        <f t="shared" si="1"/>
        <v>21</v>
      </c>
      <c r="M17" s="73">
        <f t="shared" si="1"/>
        <v>27</v>
      </c>
      <c r="N17" s="18">
        <f t="shared" si="1"/>
        <v>26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t="12.75" hidden="1" customHeight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t="12.75" hidden="1" customHeight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t="12.75" hidden="1" customHeight="1" x14ac:dyDescent="0.3">
      <c r="A21" s="3" t="s">
        <v>4</v>
      </c>
    </row>
    <row r="22" spans="1:19" ht="12.75" hidden="1" customHeight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t="12.75" hidden="1" customHeight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t="12.75" hidden="1" customHeight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t="12.75" hidden="1" customHeight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t="12.75" hidden="1" customHeight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customHeight="1" thickBot="1" x14ac:dyDescent="0.3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2.75" hidden="1" customHeight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t="12.75" hidden="1" customHeight="1" x14ac:dyDescent="0.3">
      <c r="A29" s="5" t="s">
        <v>21</v>
      </c>
      <c r="B29" s="11"/>
      <c r="C29" s="10">
        <f>+C27/D17</f>
        <v>5.0250000000000004</v>
      </c>
      <c r="D29" s="10">
        <f>+D27/E17</f>
        <v>4.9913043478260866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ht="12.75" customHeigh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4</v>
      </c>
      <c r="C39" s="27">
        <v>3.1</v>
      </c>
      <c r="D39" s="9"/>
      <c r="E39" s="26">
        <v>2</v>
      </c>
      <c r="F39" s="27">
        <v>0.97499999999999998</v>
      </c>
      <c r="G39" s="59">
        <v>1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6</v>
      </c>
      <c r="P39" s="27">
        <f>+M39+J39+F39+C39</f>
        <v>4.0750000000000002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-0.3</v>
      </c>
      <c r="D40" s="9"/>
      <c r="E40" s="26"/>
      <c r="F40" s="64">
        <v>0</v>
      </c>
      <c r="G40" s="61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-0.3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2.0830000000000002</v>
      </c>
      <c r="G41" s="61"/>
      <c r="H41" s="9"/>
      <c r="I41" s="28">
        <v>16</v>
      </c>
      <c r="J41" s="70">
        <v>74.25</v>
      </c>
      <c r="K41" s="68"/>
      <c r="L41" s="71">
        <v>7</v>
      </c>
      <c r="M41" s="70">
        <v>52</v>
      </c>
      <c r="N41" s="9"/>
      <c r="O41" s="28">
        <f>+L41+I41+E41+B41</f>
        <v>26</v>
      </c>
      <c r="P41" s="32">
        <f>+M41+J41+F41+C41</f>
        <v>128.333</v>
      </c>
      <c r="Q41" s="9"/>
      <c r="R41" s="28">
        <v>0</v>
      </c>
      <c r="S41" s="32">
        <v>0</v>
      </c>
      <c r="T41" s="9"/>
    </row>
    <row r="42" spans="1:20" s="5" customFormat="1" x14ac:dyDescent="0.3">
      <c r="A42" s="5" t="s">
        <v>59</v>
      </c>
      <c r="B42" s="23">
        <f>SUM(B39:B41)</f>
        <v>4</v>
      </c>
      <c r="C42" s="30">
        <f>SUM(C39:C41)</f>
        <v>2.8000000000000003</v>
      </c>
      <c r="D42" s="11"/>
      <c r="E42" s="23">
        <f>SUM(E39:E41)</f>
        <v>5</v>
      </c>
      <c r="F42" s="30">
        <f>SUM(F39:F41)</f>
        <v>3.0580000000000003</v>
      </c>
      <c r="G42" s="62"/>
      <c r="H42" s="11"/>
      <c r="I42" s="23">
        <f>SUM(I39:I41)</f>
        <v>16</v>
      </c>
      <c r="J42" s="30">
        <f>SUM(J39:J41)</f>
        <v>74.25</v>
      </c>
      <c r="K42" s="11"/>
      <c r="L42" s="23">
        <f>SUM(L39:L41)</f>
        <v>7</v>
      </c>
      <c r="M42" s="30">
        <f>SUM(M39:M41)</f>
        <v>52</v>
      </c>
      <c r="N42" s="11"/>
      <c r="O42" s="23">
        <f>SUM(O39:O41)</f>
        <v>32</v>
      </c>
      <c r="P42" s="30">
        <f>SUM(P39:P41)</f>
        <v>132.108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14.2</v>
      </c>
      <c r="D43" s="10"/>
      <c r="E43" s="31"/>
      <c r="F43" s="82">
        <f>+'[2]Hotlist - Completed'!C12/1000</f>
        <v>20.492999999999999</v>
      </c>
      <c r="G43" s="62"/>
      <c r="H43" s="10"/>
      <c r="I43" s="31"/>
      <c r="J43" s="83">
        <f>+'[2]Hotlist - Identified '!F29/1000</f>
        <v>21.492999999999999</v>
      </c>
      <c r="K43" s="10"/>
      <c r="L43" s="31"/>
      <c r="M43" s="83">
        <f>+'[2]Hotlist - Identified '!I29/1000</f>
        <v>22.344000000000001</v>
      </c>
      <c r="N43" s="10"/>
      <c r="O43" s="31"/>
      <c r="P43" s="30">
        <f>+M43+J43+F43+C43</f>
        <v>78.53</v>
      </c>
      <c r="Q43" s="10"/>
      <c r="R43" s="31"/>
      <c r="S43" s="83">
        <f>+'[2]Hotlist - Identified '!O29/1000</f>
        <v>30.164400000000001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0.19718309859154931</v>
      </c>
      <c r="C44" s="103"/>
      <c r="D44" s="38"/>
      <c r="E44" s="102">
        <f>+F42/F43</f>
        <v>0.14922168545356954</v>
      </c>
      <c r="F44" s="103"/>
      <c r="G44" s="63"/>
      <c r="H44" s="38"/>
      <c r="I44" s="102">
        <f>+J42/J43</f>
        <v>3.4546131298562326</v>
      </c>
      <c r="J44" s="103"/>
      <c r="K44" s="38"/>
      <c r="L44" s="102">
        <f>+M42/M43</f>
        <v>2.3272466881489438</v>
      </c>
      <c r="M44" s="103"/>
      <c r="N44" s="38"/>
      <c r="O44" s="102">
        <f>+P42/P43</f>
        <v>1.6822615560932128</v>
      </c>
      <c r="P44" s="103"/>
      <c r="Q44" s="38"/>
      <c r="R44" s="102">
        <f>+S42/S43</f>
        <v>0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E36:F36"/>
    <mergeCell ref="B36:C36"/>
    <mergeCell ref="B37:C37"/>
    <mergeCell ref="I44:J44"/>
    <mergeCell ref="E37:F37"/>
    <mergeCell ref="L44:M44"/>
    <mergeCell ref="R44:S44"/>
    <mergeCell ref="B19:O19"/>
    <mergeCell ref="I34:S34"/>
    <mergeCell ref="R37:S37"/>
    <mergeCell ref="A32:S32"/>
    <mergeCell ref="R36:S36"/>
    <mergeCell ref="O36:P36"/>
    <mergeCell ref="A3:F3"/>
    <mergeCell ref="C8:O8"/>
    <mergeCell ref="C9:O9"/>
    <mergeCell ref="A46:B46"/>
    <mergeCell ref="O44:P44"/>
    <mergeCell ref="O37:P37"/>
    <mergeCell ref="B44:C44"/>
    <mergeCell ref="L37:M37"/>
    <mergeCell ref="I37:J37"/>
    <mergeCell ref="E44:F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opLeftCell="A6"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46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18</v>
      </c>
      <c r="F13" s="17">
        <f t="shared" si="0"/>
        <v>17</v>
      </c>
      <c r="G13" s="17">
        <f t="shared" si="0"/>
        <v>17</v>
      </c>
      <c r="H13" s="17">
        <f t="shared" si="0"/>
        <v>16</v>
      </c>
      <c r="I13" s="17">
        <f t="shared" si="0"/>
        <v>15</v>
      </c>
      <c r="J13" s="17">
        <f t="shared" si="0"/>
        <v>15</v>
      </c>
      <c r="K13" s="17">
        <f t="shared" si="0"/>
        <v>15</v>
      </c>
      <c r="L13" s="17">
        <f t="shared" si="0"/>
        <v>15</v>
      </c>
      <c r="M13" s="72">
        <f t="shared" si="0"/>
        <v>15</v>
      </c>
      <c r="N13" s="72">
        <f t="shared" si="0"/>
        <v>16</v>
      </c>
      <c r="O13" s="17"/>
    </row>
    <row r="14" spans="1:16" x14ac:dyDescent="0.3">
      <c r="A14" s="4" t="s">
        <v>1</v>
      </c>
      <c r="C14" s="17">
        <v>1</v>
      </c>
      <c r="D14" s="17">
        <v>17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3</v>
      </c>
      <c r="N14" s="17">
        <v>0</v>
      </c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2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2">
        <v>2</v>
      </c>
      <c r="N15" s="17">
        <v>0</v>
      </c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18</v>
      </c>
      <c r="E17" s="18">
        <f t="shared" si="1"/>
        <v>17</v>
      </c>
      <c r="F17" s="18">
        <f t="shared" si="1"/>
        <v>17</v>
      </c>
      <c r="G17" s="18">
        <f t="shared" si="1"/>
        <v>16</v>
      </c>
      <c r="H17" s="18">
        <f t="shared" si="1"/>
        <v>15</v>
      </c>
      <c r="I17" s="18">
        <f t="shared" si="1"/>
        <v>15</v>
      </c>
      <c r="J17" s="18">
        <f t="shared" si="1"/>
        <v>15</v>
      </c>
      <c r="K17" s="18">
        <f t="shared" si="1"/>
        <v>15</v>
      </c>
      <c r="L17" s="18">
        <f t="shared" si="1"/>
        <v>15</v>
      </c>
      <c r="M17" s="73">
        <f t="shared" si="1"/>
        <v>16</v>
      </c>
      <c r="N17" s="18">
        <f t="shared" si="1"/>
        <v>16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5.583333333333333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</v>
      </c>
      <c r="C39" s="27">
        <v>2.9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2.9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5.5</v>
      </c>
      <c r="D40" s="9"/>
      <c r="E40" s="26"/>
      <c r="F40" s="64">
        <v>0.50600000000000001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6.0060000000000002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4</v>
      </c>
      <c r="F41" s="32">
        <v>16.48</v>
      </c>
      <c r="G41" s="54"/>
      <c r="H41" s="9"/>
      <c r="I41" s="28">
        <v>3</v>
      </c>
      <c r="J41" s="70">
        <v>10</v>
      </c>
      <c r="K41" s="68"/>
      <c r="L41" s="71">
        <v>8</v>
      </c>
      <c r="M41" s="70">
        <v>64</v>
      </c>
      <c r="N41" s="9"/>
      <c r="O41" s="28">
        <f>+L41+I41+E41+B41</f>
        <v>15</v>
      </c>
      <c r="P41" s="32">
        <f>+M41+J41+F41+C41</f>
        <v>90.48</v>
      </c>
      <c r="Q41" s="9"/>
      <c r="R41" s="28">
        <v>1</v>
      </c>
      <c r="S41" s="32">
        <v>5</v>
      </c>
      <c r="T41" s="9"/>
    </row>
    <row r="42" spans="1:20" s="5" customFormat="1" x14ac:dyDescent="0.3">
      <c r="A42" s="5" t="s">
        <v>59</v>
      </c>
      <c r="B42" s="23">
        <f>SUM(B39:B41)</f>
        <v>1</v>
      </c>
      <c r="C42" s="30">
        <f>SUM(C39:C41)</f>
        <v>8.4</v>
      </c>
      <c r="D42" s="11"/>
      <c r="E42" s="23">
        <f>SUM(E39:E41)</f>
        <v>4</v>
      </c>
      <c r="F42" s="30">
        <f>SUM(F39:F41)</f>
        <v>16.986000000000001</v>
      </c>
      <c r="G42" s="55"/>
      <c r="H42" s="11"/>
      <c r="I42" s="23">
        <f>SUM(I39:I41)</f>
        <v>3</v>
      </c>
      <c r="J42" s="30">
        <f>SUM(J39:J41)</f>
        <v>10</v>
      </c>
      <c r="K42" s="11"/>
      <c r="L42" s="23">
        <f>SUM(L39:L41)</f>
        <v>8</v>
      </c>
      <c r="M42" s="30">
        <f>SUM(M39:M41)</f>
        <v>64</v>
      </c>
      <c r="N42" s="11"/>
      <c r="O42" s="23">
        <f>SUM(O39:O41)</f>
        <v>16</v>
      </c>
      <c r="P42" s="30">
        <f>SUM(P39:P41)</f>
        <v>99.38600000000001</v>
      </c>
      <c r="Q42" s="11"/>
      <c r="R42" s="23">
        <f>SUM(R39:R41)</f>
        <v>1</v>
      </c>
      <c r="S42" s="30">
        <f>SUM(S39:S41)</f>
        <v>5</v>
      </c>
      <c r="T42" s="11"/>
    </row>
    <row r="43" spans="1:20" s="14" customFormat="1" x14ac:dyDescent="0.3">
      <c r="A43" s="46" t="s">
        <v>19</v>
      </c>
      <c r="B43" s="31"/>
      <c r="C43" s="30">
        <v>13.2</v>
      </c>
      <c r="D43" s="10"/>
      <c r="E43" s="31"/>
      <c r="F43" s="82">
        <f>+'[2]Hotlist - Completed'!C19/1000</f>
        <v>13.234999999999999</v>
      </c>
      <c r="G43" s="55"/>
      <c r="H43" s="10"/>
      <c r="I43" s="31"/>
      <c r="J43" s="83">
        <f>+'[2]Hotlist - Identified '!$F41/1000</f>
        <v>17.163</v>
      </c>
      <c r="K43" s="10"/>
      <c r="L43" s="31"/>
      <c r="M43" s="83">
        <f>+'[2]Hotlist - Identified '!$I41/1000</f>
        <v>43.231000000000002</v>
      </c>
      <c r="N43" s="10"/>
      <c r="O43" s="31"/>
      <c r="P43" s="30">
        <f>+M43+J43+F43+C43</f>
        <v>86.829000000000008</v>
      </c>
      <c r="Q43" s="10"/>
      <c r="R43" s="31"/>
      <c r="S43" s="83">
        <f>+'[2]Hotlist - Identified '!$O41/1000</f>
        <v>58.361850000000004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0.63636363636363646</v>
      </c>
      <c r="C44" s="103"/>
      <c r="D44" s="38"/>
      <c r="E44" s="102">
        <f>+F42/F43</f>
        <v>1.2834151870041557</v>
      </c>
      <c r="F44" s="103"/>
      <c r="G44" s="56"/>
      <c r="H44" s="38"/>
      <c r="I44" s="102">
        <f>+J42/J43</f>
        <v>0.58264872108605725</v>
      </c>
      <c r="J44" s="103"/>
      <c r="K44" s="38"/>
      <c r="L44" s="102">
        <f>+M42/M43</f>
        <v>1.4804191436700516</v>
      </c>
      <c r="M44" s="103"/>
      <c r="N44" s="38"/>
      <c r="O44" s="102">
        <f>+P42/P43</f>
        <v>1.1446175816835389</v>
      </c>
      <c r="P44" s="103"/>
      <c r="Q44" s="38"/>
      <c r="R44" s="102">
        <f>+S42/S43</f>
        <v>8.567240414757242E-2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C8:O8"/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47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5</v>
      </c>
      <c r="E13" s="17">
        <f t="shared" si="0"/>
        <v>15</v>
      </c>
      <c r="F13" s="17">
        <f t="shared" si="0"/>
        <v>16</v>
      </c>
      <c r="G13" s="17">
        <f t="shared" si="0"/>
        <v>27</v>
      </c>
      <c r="H13" s="17">
        <f t="shared" si="0"/>
        <v>22</v>
      </c>
      <c r="I13" s="17">
        <f t="shared" si="0"/>
        <v>26</v>
      </c>
      <c r="J13" s="17">
        <f t="shared" si="0"/>
        <v>27</v>
      </c>
      <c r="K13" s="17">
        <f t="shared" si="0"/>
        <v>27</v>
      </c>
      <c r="L13" s="17">
        <f t="shared" si="0"/>
        <v>26</v>
      </c>
      <c r="M13" s="72">
        <f t="shared" si="0"/>
        <v>26</v>
      </c>
      <c r="N13" s="72">
        <f t="shared" si="0"/>
        <v>25</v>
      </c>
      <c r="O13" s="17"/>
    </row>
    <row r="14" spans="1:16" x14ac:dyDescent="0.3">
      <c r="A14" s="4" t="s">
        <v>1</v>
      </c>
      <c r="C14" s="17">
        <v>5</v>
      </c>
      <c r="D14" s="17">
        <v>14</v>
      </c>
      <c r="E14" s="17">
        <v>2</v>
      </c>
      <c r="F14" s="17">
        <v>17</v>
      </c>
      <c r="G14" s="17">
        <v>0</v>
      </c>
      <c r="H14" s="17">
        <v>5</v>
      </c>
      <c r="I14" s="17">
        <v>3</v>
      </c>
      <c r="J14" s="17">
        <v>0</v>
      </c>
      <c r="K14" s="17">
        <v>0</v>
      </c>
      <c r="L14" s="17">
        <v>0</v>
      </c>
      <c r="M14" s="72">
        <v>0</v>
      </c>
      <c r="N14" s="17">
        <v>1</v>
      </c>
      <c r="O14" s="17"/>
    </row>
    <row r="15" spans="1:16" x14ac:dyDescent="0.3">
      <c r="A15" s="4" t="s">
        <v>2</v>
      </c>
      <c r="C15" s="17">
        <v>0</v>
      </c>
      <c r="D15" s="17">
        <v>2</v>
      </c>
      <c r="E15" s="17">
        <v>1</v>
      </c>
      <c r="F15" s="17">
        <v>6</v>
      </c>
      <c r="G15" s="17">
        <v>5</v>
      </c>
      <c r="H15" s="17">
        <v>1</v>
      </c>
      <c r="I15" s="17">
        <v>2</v>
      </c>
      <c r="J15" s="17">
        <v>0</v>
      </c>
      <c r="K15" s="17">
        <v>1</v>
      </c>
      <c r="L15" s="17">
        <v>0</v>
      </c>
      <c r="M15" s="72">
        <v>1</v>
      </c>
      <c r="N15" s="17">
        <v>1</v>
      </c>
      <c r="O15" s="17"/>
    </row>
    <row r="16" spans="1:16" x14ac:dyDescent="0.3">
      <c r="A16" s="4" t="s">
        <v>3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5</v>
      </c>
      <c r="D17" s="18">
        <f t="shared" si="1"/>
        <v>15</v>
      </c>
      <c r="E17" s="18">
        <f t="shared" si="1"/>
        <v>16</v>
      </c>
      <c r="F17" s="18">
        <f t="shared" si="1"/>
        <v>27</v>
      </c>
      <c r="G17" s="18">
        <f t="shared" si="1"/>
        <v>22</v>
      </c>
      <c r="H17" s="18">
        <f t="shared" si="1"/>
        <v>26</v>
      </c>
      <c r="I17" s="18">
        <f t="shared" si="1"/>
        <v>27</v>
      </c>
      <c r="J17" s="18">
        <f t="shared" si="1"/>
        <v>27</v>
      </c>
      <c r="K17" s="18">
        <f t="shared" si="1"/>
        <v>26</v>
      </c>
      <c r="L17" s="18">
        <f t="shared" si="1"/>
        <v>26</v>
      </c>
      <c r="M17" s="73">
        <f t="shared" si="1"/>
        <v>25</v>
      </c>
      <c r="N17" s="18">
        <f t="shared" si="1"/>
        <v>25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6.7</v>
      </c>
      <c r="D29" s="10">
        <f>+D27/E17</f>
        <v>7.1749999999999998</v>
      </c>
      <c r="E29" s="10">
        <f>+E27/F17</f>
        <v>3.8074074074074074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13</v>
      </c>
      <c r="C39" s="27">
        <v>4</v>
      </c>
      <c r="D39" s="9"/>
      <c r="E39" s="26">
        <v>2</v>
      </c>
      <c r="F39" s="27">
        <v>0.33600000000000002</v>
      </c>
      <c r="G39" s="59">
        <v>0.3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15</v>
      </c>
      <c r="P39" s="27">
        <f>+M39+J39+F39+C39</f>
        <v>4.3360000000000003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-0.8</v>
      </c>
      <c r="D40" s="9"/>
      <c r="E40" s="26"/>
      <c r="F40" s="64">
        <f>4.5-F39</f>
        <v>4.1639999999999997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3.3639999999999999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2</v>
      </c>
      <c r="F41" s="70">
        <v>11.597</v>
      </c>
      <c r="G41" s="54"/>
      <c r="H41" s="9"/>
      <c r="I41" s="28">
        <v>10</v>
      </c>
      <c r="J41" s="70">
        <v>58</v>
      </c>
      <c r="K41" s="68"/>
      <c r="L41" s="71">
        <v>9</v>
      </c>
      <c r="M41" s="70">
        <v>47</v>
      </c>
      <c r="N41" s="9"/>
      <c r="O41" s="28">
        <f>+L41+I41+E41+B41</f>
        <v>21</v>
      </c>
      <c r="P41" s="32">
        <f>+M41+J41+F41+C41</f>
        <v>116.59699999999999</v>
      </c>
      <c r="Q41" s="9"/>
      <c r="R41" s="28">
        <v>4</v>
      </c>
      <c r="S41" s="32">
        <v>31</v>
      </c>
      <c r="T41" s="9"/>
    </row>
    <row r="42" spans="1:20" s="5" customFormat="1" x14ac:dyDescent="0.3">
      <c r="A42" s="5" t="s">
        <v>59</v>
      </c>
      <c r="B42" s="23">
        <f>SUM(B39:B41)</f>
        <v>13</v>
      </c>
      <c r="C42" s="30">
        <f>SUM(C39:C41)</f>
        <v>3.2</v>
      </c>
      <c r="D42" s="11"/>
      <c r="E42" s="23">
        <f>SUM(E39:E41)</f>
        <v>4</v>
      </c>
      <c r="F42" s="30">
        <f>SUM(F39:F41)</f>
        <v>16.097000000000001</v>
      </c>
      <c r="G42" s="55"/>
      <c r="H42" s="11"/>
      <c r="I42" s="23">
        <f>SUM(I39:I41)</f>
        <v>10</v>
      </c>
      <c r="J42" s="30">
        <f>SUM(J39:J41)</f>
        <v>58</v>
      </c>
      <c r="K42" s="11"/>
      <c r="L42" s="23">
        <f>SUM(L39:L41)</f>
        <v>9</v>
      </c>
      <c r="M42" s="30">
        <f>SUM(M39:M41)</f>
        <v>47</v>
      </c>
      <c r="N42" s="11"/>
      <c r="O42" s="23">
        <f>SUM(O39:O41)</f>
        <v>36</v>
      </c>
      <c r="P42" s="30">
        <f>SUM(P39:P41)</f>
        <v>124.297</v>
      </c>
      <c r="Q42" s="11"/>
      <c r="R42" s="23">
        <f>SUM(R39:R41)</f>
        <v>4</v>
      </c>
      <c r="S42" s="30">
        <f>SUM(S39:S41)</f>
        <v>31</v>
      </c>
      <c r="T42" s="11"/>
    </row>
    <row r="43" spans="1:20" s="14" customFormat="1" x14ac:dyDescent="0.3">
      <c r="A43" s="46" t="s">
        <v>19</v>
      </c>
      <c r="B43" s="31"/>
      <c r="C43" s="30">
        <v>16.899999999999999</v>
      </c>
      <c r="D43" s="10"/>
      <c r="E43" s="31"/>
      <c r="F43" s="82">
        <f>+'[2]Hotlist - Completed'!C27/1000</f>
        <v>22.861000000000001</v>
      </c>
      <c r="G43" s="55"/>
      <c r="H43" s="10"/>
      <c r="I43" s="31"/>
      <c r="J43" s="83">
        <f>+'[2]Hotlist - Identified '!$F$56/1000</f>
        <v>28.361000000000001</v>
      </c>
      <c r="K43" s="10"/>
      <c r="L43" s="31"/>
      <c r="M43" s="83">
        <f>+'[2]Hotlist - Identified '!$I$56/1000</f>
        <v>28.361000000000001</v>
      </c>
      <c r="N43" s="10"/>
      <c r="O43" s="31"/>
      <c r="P43" s="30">
        <f>+M43+J43+F43+C43</f>
        <v>96.483000000000004</v>
      </c>
      <c r="Q43" s="10"/>
      <c r="R43" s="31"/>
      <c r="S43" s="83">
        <f>+'[2]Hotlist - Identified '!$O$56/1000</f>
        <v>38.287350000000004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0.18934911242603553</v>
      </c>
      <c r="C44" s="103"/>
      <c r="D44" s="38"/>
      <c r="E44" s="102">
        <f>+F42/F43</f>
        <v>0.70412492891824507</v>
      </c>
      <c r="F44" s="103"/>
      <c r="G44" s="56"/>
      <c r="H44" s="38"/>
      <c r="I44" s="102">
        <f>+J42/J43</f>
        <v>2.0450618807517364</v>
      </c>
      <c r="J44" s="103"/>
      <c r="K44" s="38"/>
      <c r="L44" s="102">
        <f>+M42/M43</f>
        <v>1.6572053171608898</v>
      </c>
      <c r="M44" s="103"/>
      <c r="N44" s="38"/>
      <c r="O44" s="102">
        <f>+P42/P43</f>
        <v>1.2882787641346143</v>
      </c>
      <c r="P44" s="103"/>
      <c r="Q44" s="38"/>
      <c r="R44" s="102">
        <f>+S42/S43</f>
        <v>0.80966690042533618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60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15</v>
      </c>
      <c r="E13" s="17">
        <f t="shared" si="0"/>
        <v>32</v>
      </c>
      <c r="F13" s="17">
        <f t="shared" si="0"/>
        <v>31</v>
      </c>
      <c r="G13" s="17">
        <f t="shared" si="0"/>
        <v>25</v>
      </c>
      <c r="H13" s="17">
        <f t="shared" si="0"/>
        <v>23</v>
      </c>
      <c r="I13" s="17">
        <f t="shared" si="0"/>
        <v>24</v>
      </c>
      <c r="J13" s="17">
        <f t="shared" si="0"/>
        <v>15</v>
      </c>
      <c r="K13" s="17">
        <f t="shared" si="0"/>
        <v>14</v>
      </c>
      <c r="L13" s="17">
        <f t="shared" si="0"/>
        <v>14</v>
      </c>
      <c r="M13" s="72">
        <f t="shared" si="0"/>
        <v>14</v>
      </c>
      <c r="N13" s="72">
        <f t="shared" si="0"/>
        <v>12</v>
      </c>
      <c r="O13" s="17"/>
    </row>
    <row r="14" spans="1:16" x14ac:dyDescent="0.3">
      <c r="A14" s="4" t="s">
        <v>1</v>
      </c>
      <c r="C14" s="17">
        <v>15</v>
      </c>
      <c r="D14" s="17">
        <v>17</v>
      </c>
      <c r="E14" s="17">
        <v>1</v>
      </c>
      <c r="F14" s="17">
        <v>2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2</v>
      </c>
      <c r="F15" s="17">
        <v>7</v>
      </c>
      <c r="G15" s="17">
        <v>2</v>
      </c>
      <c r="H15" s="17">
        <v>0</v>
      </c>
      <c r="I15" s="17">
        <v>9</v>
      </c>
      <c r="J15" s="17">
        <v>1</v>
      </c>
      <c r="K15" s="17">
        <v>0</v>
      </c>
      <c r="L15" s="17">
        <v>0</v>
      </c>
      <c r="M15" s="72">
        <v>2</v>
      </c>
      <c r="N15" s="17">
        <v>0</v>
      </c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15</v>
      </c>
      <c r="D17" s="18">
        <f t="shared" si="1"/>
        <v>32</v>
      </c>
      <c r="E17" s="18">
        <f t="shared" si="1"/>
        <v>31</v>
      </c>
      <c r="F17" s="18">
        <f t="shared" si="1"/>
        <v>25</v>
      </c>
      <c r="G17" s="18">
        <f t="shared" si="1"/>
        <v>23</v>
      </c>
      <c r="H17" s="18">
        <f t="shared" si="1"/>
        <v>24</v>
      </c>
      <c r="I17" s="18">
        <f t="shared" si="1"/>
        <v>15</v>
      </c>
      <c r="J17" s="18">
        <f t="shared" si="1"/>
        <v>14</v>
      </c>
      <c r="K17" s="18">
        <f t="shared" si="1"/>
        <v>14</v>
      </c>
      <c r="L17" s="18">
        <f t="shared" si="1"/>
        <v>14</v>
      </c>
      <c r="M17" s="73">
        <f t="shared" si="1"/>
        <v>12</v>
      </c>
      <c r="N17" s="18">
        <f t="shared" si="1"/>
        <v>12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3.140625</v>
      </c>
      <c r="D29" s="10">
        <f>+D27/E17</f>
        <v>3.7032258064516128</v>
      </c>
      <c r="E29" s="10">
        <f>+E27/F17</f>
        <v>4.1120000000000001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12.6</v>
      </c>
      <c r="G39" s="59">
        <v>12.6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12.6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7.2</v>
      </c>
      <c r="D40" s="9"/>
      <c r="E40" s="26"/>
      <c r="F40" s="64">
        <f>16.15-F39</f>
        <v>3.5499999999999989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10.75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32">
        <v>0</v>
      </c>
      <c r="D41" s="9"/>
      <c r="E41" s="28">
        <v>1</v>
      </c>
      <c r="F41" s="32">
        <v>19.216000000000001</v>
      </c>
      <c r="G41" s="54"/>
      <c r="H41" s="9"/>
      <c r="I41" s="28">
        <v>3</v>
      </c>
      <c r="J41" s="70">
        <v>29</v>
      </c>
      <c r="K41" s="68"/>
      <c r="L41" s="71">
        <v>7</v>
      </c>
      <c r="M41" s="70">
        <v>67.5</v>
      </c>
      <c r="N41" s="9"/>
      <c r="O41" s="28">
        <f>+L41+I41+E41+B41</f>
        <v>11</v>
      </c>
      <c r="P41" s="32">
        <f>+M41+J41+F41+C41</f>
        <v>115.71600000000001</v>
      </c>
      <c r="Q41" s="9"/>
      <c r="R41" s="28">
        <v>1</v>
      </c>
      <c r="S41" s="32">
        <v>7.5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7.2</v>
      </c>
      <c r="D42" s="11"/>
      <c r="E42" s="23">
        <f>SUM(E39:E41)</f>
        <v>2</v>
      </c>
      <c r="F42" s="30">
        <f>SUM(F39:F41)</f>
        <v>35.366</v>
      </c>
      <c r="G42" s="55"/>
      <c r="H42" s="11"/>
      <c r="I42" s="23">
        <f>SUM(I39:I41)</f>
        <v>3</v>
      </c>
      <c r="J42" s="30">
        <f>SUM(J39:J41)</f>
        <v>29</v>
      </c>
      <c r="K42" s="11"/>
      <c r="L42" s="23">
        <f>SUM(L39:L41)</f>
        <v>7</v>
      </c>
      <c r="M42" s="30">
        <f>SUM(M39:M41)</f>
        <v>67.5</v>
      </c>
      <c r="N42" s="11"/>
      <c r="O42" s="23">
        <f>SUM(O39:O41)</f>
        <v>12</v>
      </c>
      <c r="P42" s="30">
        <f>SUM(P39:P41)</f>
        <v>139.066</v>
      </c>
      <c r="Q42" s="11"/>
      <c r="R42" s="23">
        <f>SUM(R39:R41)</f>
        <v>1</v>
      </c>
      <c r="S42" s="30">
        <f>SUM(S39:S41)</f>
        <v>7.5</v>
      </c>
      <c r="T42" s="11"/>
    </row>
    <row r="43" spans="1:20" s="14" customFormat="1" x14ac:dyDescent="0.3">
      <c r="A43" s="46" t="s">
        <v>19</v>
      </c>
      <c r="B43" s="31"/>
      <c r="C43" s="30">
        <v>18.7</v>
      </c>
      <c r="D43" s="10"/>
      <c r="E43" s="31"/>
      <c r="F43" s="82">
        <f>+'[2]Hotlist - Completed'!C36/1000</f>
        <v>18.710999999999999</v>
      </c>
      <c r="G43" s="55"/>
      <c r="H43" s="10"/>
      <c r="I43" s="31"/>
      <c r="J43" s="83">
        <f>+'[2]Hotlist - Identified '!$F68/1000</f>
        <v>18.712</v>
      </c>
      <c r="K43" s="10"/>
      <c r="L43" s="31"/>
      <c r="M43" s="83">
        <f>+'[2]Hotlist - Identified '!$I68/1000</f>
        <v>18.713000000000001</v>
      </c>
      <c r="N43" s="10"/>
      <c r="O43" s="31"/>
      <c r="P43" s="30">
        <f>+M43+J43+F43+C43</f>
        <v>74.835999999999999</v>
      </c>
      <c r="Q43" s="10"/>
      <c r="R43" s="31"/>
      <c r="S43" s="83">
        <f>+'[2]Hotlist - Identified '!$O68/1000</f>
        <v>25.262550000000005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0.38502673796791448</v>
      </c>
      <c r="C44" s="103"/>
      <c r="D44" s="38"/>
      <c r="E44" s="102">
        <f>+F42/F43</f>
        <v>1.8901181123403348</v>
      </c>
      <c r="F44" s="103"/>
      <c r="G44" s="56"/>
      <c r="H44" s="38"/>
      <c r="I44" s="102">
        <f>+J42/J43</f>
        <v>1.549807610089782</v>
      </c>
      <c r="J44" s="103"/>
      <c r="K44" s="38"/>
      <c r="L44" s="102">
        <f>+M42/M43</f>
        <v>3.6071180462779884</v>
      </c>
      <c r="M44" s="103"/>
      <c r="N44" s="38"/>
      <c r="O44" s="102">
        <f>+P42/P43</f>
        <v>1.8582767651932226</v>
      </c>
      <c r="P44" s="103"/>
      <c r="Q44" s="38"/>
      <c r="R44" s="102">
        <f>+S42/S43</f>
        <v>0.29688214372658339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54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4</v>
      </c>
      <c r="E13" s="17">
        <f t="shared" si="0"/>
        <v>14</v>
      </c>
      <c r="F13" s="17">
        <f t="shared" si="0"/>
        <v>14</v>
      </c>
      <c r="G13" s="17">
        <f t="shared" si="0"/>
        <v>17</v>
      </c>
      <c r="H13" s="17">
        <f t="shared" si="0"/>
        <v>19</v>
      </c>
      <c r="I13" s="17">
        <f t="shared" si="0"/>
        <v>18</v>
      </c>
      <c r="J13" s="17">
        <f t="shared" si="0"/>
        <v>19</v>
      </c>
      <c r="K13" s="17">
        <f t="shared" si="0"/>
        <v>19</v>
      </c>
      <c r="L13" s="17">
        <f t="shared" si="0"/>
        <v>19</v>
      </c>
      <c r="M13" s="72">
        <f t="shared" si="0"/>
        <v>21</v>
      </c>
      <c r="N13" s="72">
        <f t="shared" si="0"/>
        <v>22</v>
      </c>
      <c r="O13" s="17"/>
    </row>
    <row r="14" spans="1:16" x14ac:dyDescent="0.3">
      <c r="A14" s="4" t="s">
        <v>1</v>
      </c>
      <c r="C14" s="17">
        <v>4</v>
      </c>
      <c r="D14" s="17">
        <v>10</v>
      </c>
      <c r="E14" s="17">
        <v>1</v>
      </c>
      <c r="F14" s="17">
        <v>3</v>
      </c>
      <c r="G14" s="17">
        <v>3</v>
      </c>
      <c r="H14" s="17">
        <v>0</v>
      </c>
      <c r="I14" s="17">
        <v>1</v>
      </c>
      <c r="J14" s="17">
        <v>0</v>
      </c>
      <c r="K14" s="17">
        <v>0</v>
      </c>
      <c r="L14" s="17">
        <v>2</v>
      </c>
      <c r="M14" s="72">
        <v>6</v>
      </c>
      <c r="N14" s="17">
        <v>0</v>
      </c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2">
        <v>5</v>
      </c>
      <c r="N15" s="17">
        <v>0</v>
      </c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4</v>
      </c>
      <c r="D17" s="18">
        <f t="shared" si="1"/>
        <v>14</v>
      </c>
      <c r="E17" s="18">
        <f t="shared" si="1"/>
        <v>14</v>
      </c>
      <c r="F17" s="18">
        <f t="shared" si="1"/>
        <v>17</v>
      </c>
      <c r="G17" s="18">
        <f t="shared" si="1"/>
        <v>19</v>
      </c>
      <c r="H17" s="18">
        <f t="shared" si="1"/>
        <v>18</v>
      </c>
      <c r="I17" s="18">
        <f t="shared" si="1"/>
        <v>19</v>
      </c>
      <c r="J17" s="18">
        <f t="shared" si="1"/>
        <v>19</v>
      </c>
      <c r="K17" s="18">
        <f t="shared" si="1"/>
        <v>19</v>
      </c>
      <c r="L17" s="18">
        <f t="shared" si="1"/>
        <v>21</v>
      </c>
      <c r="M17" s="73">
        <f t="shared" si="1"/>
        <v>22</v>
      </c>
      <c r="N17" s="18">
        <f t="shared" si="1"/>
        <v>22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3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3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3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3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4.4" hidden="1" thickBot="1" x14ac:dyDescent="0.3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-1.1000000000000001</v>
      </c>
      <c r="D40" s="9"/>
      <c r="E40" s="26"/>
      <c r="F40" s="64">
        <f>0.164-F39</f>
        <v>0.16400000000000001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-0.93600000000000005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5</v>
      </c>
      <c r="F41" s="32">
        <v>4</v>
      </c>
      <c r="G41" s="54"/>
      <c r="H41" s="9"/>
      <c r="I41" s="28">
        <v>10</v>
      </c>
      <c r="J41" s="70">
        <v>45</v>
      </c>
      <c r="K41" s="68"/>
      <c r="L41" s="71">
        <v>5</v>
      </c>
      <c r="M41" s="70">
        <v>25</v>
      </c>
      <c r="N41" s="9"/>
      <c r="O41" s="28">
        <f>+L41+I41+E41+B41</f>
        <v>20</v>
      </c>
      <c r="P41" s="32">
        <f>+M41+J41+F41+C41</f>
        <v>74</v>
      </c>
      <c r="Q41" s="9"/>
      <c r="R41" s="28">
        <v>2</v>
      </c>
      <c r="S41" s="32">
        <v>10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-1.1000000000000001</v>
      </c>
      <c r="D42" s="11"/>
      <c r="E42" s="23">
        <f>SUM(E39:E41)</f>
        <v>5</v>
      </c>
      <c r="F42" s="30">
        <f>SUM(F39:F41)</f>
        <v>4.1639999999999997</v>
      </c>
      <c r="G42" s="55"/>
      <c r="H42" s="11"/>
      <c r="I42" s="23">
        <f>SUM(I39:I41)</f>
        <v>10</v>
      </c>
      <c r="J42" s="30">
        <f>SUM(J39:J41)</f>
        <v>45</v>
      </c>
      <c r="K42" s="11"/>
      <c r="L42" s="23">
        <f>SUM(L39:L41)</f>
        <v>5</v>
      </c>
      <c r="M42" s="30">
        <f>SUM(M39:M41)</f>
        <v>25</v>
      </c>
      <c r="N42" s="11"/>
      <c r="O42" s="23">
        <f>SUM(O39:O41)</f>
        <v>20</v>
      </c>
      <c r="P42" s="30">
        <f>SUM(P39:P41)</f>
        <v>73.063999999999993</v>
      </c>
      <c r="Q42" s="11"/>
      <c r="R42" s="23">
        <f>SUM(R39:R41)</f>
        <v>2</v>
      </c>
      <c r="S42" s="30">
        <f>SUM(S39:S41)</f>
        <v>10</v>
      </c>
      <c r="T42" s="11"/>
    </row>
    <row r="43" spans="1:20" s="14" customFormat="1" x14ac:dyDescent="0.3">
      <c r="A43" s="46" t="s">
        <v>19</v>
      </c>
      <c r="B43" s="31"/>
      <c r="C43" s="30">
        <v>12.7</v>
      </c>
      <c r="D43" s="10"/>
      <c r="E43" s="31"/>
      <c r="F43" s="82">
        <f>+'[2]Hotlist - Completed'!C44/1000</f>
        <v>6.2119999999999997</v>
      </c>
      <c r="G43" s="55"/>
      <c r="H43" s="10"/>
      <c r="I43" s="31"/>
      <c r="J43" s="83">
        <f>+'[1]Hotlist - Identified '!$F$80/1000</f>
        <v>6.2789999999999999</v>
      </c>
      <c r="K43" s="10"/>
      <c r="L43" s="31"/>
      <c r="M43" s="83">
        <f>+'[1]Hotlist - Identified '!$I$80/1000</f>
        <v>6.2789999999999999</v>
      </c>
      <c r="N43" s="10"/>
      <c r="O43" s="31"/>
      <c r="P43" s="30">
        <f>+M43+J43+F43+C43</f>
        <v>31.47</v>
      </c>
      <c r="Q43" s="10"/>
      <c r="R43" s="31"/>
      <c r="S43" s="83">
        <f>+'[1]Hotlist - Identified '!$O$80/1000</f>
        <v>8.4766500000000011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-8.6614173228346469E-2</v>
      </c>
      <c r="C44" s="103"/>
      <c r="D44" s="38"/>
      <c r="E44" s="102">
        <f>+F42/F43</f>
        <v>0.67031551835157754</v>
      </c>
      <c r="F44" s="103"/>
      <c r="G44" s="56"/>
      <c r="H44" s="38"/>
      <c r="I44" s="102">
        <f>+J42/J43</f>
        <v>7.1667462971810796</v>
      </c>
      <c r="J44" s="103"/>
      <c r="K44" s="38"/>
      <c r="L44" s="102">
        <f>+M42/M43</f>
        <v>3.9815257206561556</v>
      </c>
      <c r="M44" s="103"/>
      <c r="N44" s="38"/>
      <c r="O44" s="102">
        <f>+P42/P43</f>
        <v>2.3217032094057832</v>
      </c>
      <c r="P44" s="103"/>
      <c r="Q44" s="38"/>
      <c r="R44" s="102">
        <f>+S42/S43</f>
        <v>1.1797113246388606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55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16</v>
      </c>
      <c r="J13" s="17">
        <f t="shared" si="0"/>
        <v>18</v>
      </c>
      <c r="K13" s="17">
        <f t="shared" si="0"/>
        <v>18</v>
      </c>
      <c r="L13" s="17">
        <f t="shared" si="0"/>
        <v>15</v>
      </c>
      <c r="M13" s="72">
        <f t="shared" si="0"/>
        <v>13</v>
      </c>
      <c r="N13" s="72">
        <f t="shared" si="0"/>
        <v>13</v>
      </c>
      <c r="O13" s="17"/>
    </row>
    <row r="14" spans="1:16" x14ac:dyDescent="0.3">
      <c r="A14" s="4" t="s">
        <v>1</v>
      </c>
      <c r="C14" s="17">
        <v>0</v>
      </c>
      <c r="D14" s="17">
        <v>18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2</v>
      </c>
      <c r="K14" s="17">
        <v>1</v>
      </c>
      <c r="L14" s="17">
        <v>1</v>
      </c>
      <c r="M14" s="72">
        <v>0</v>
      </c>
      <c r="N14" s="17">
        <v>2</v>
      </c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72">
        <v>0</v>
      </c>
      <c r="N15" s="17">
        <v>0</v>
      </c>
      <c r="O15" s="17"/>
    </row>
    <row r="16" spans="1:16" x14ac:dyDescent="0.3">
      <c r="A16" s="4" t="s">
        <v>3</v>
      </c>
      <c r="C16" s="17">
        <v>0</v>
      </c>
      <c r="D16" s="17">
        <v>1</v>
      </c>
      <c r="E16" s="17">
        <v>0</v>
      </c>
      <c r="F16" s="17">
        <v>0</v>
      </c>
      <c r="G16" s="17">
        <v>0</v>
      </c>
      <c r="H16" s="17">
        <v>1</v>
      </c>
      <c r="I16" s="17">
        <v>0</v>
      </c>
      <c r="J16" s="17">
        <v>2</v>
      </c>
      <c r="K16" s="17">
        <v>3</v>
      </c>
      <c r="L16" s="17">
        <v>3</v>
      </c>
      <c r="M16" s="72">
        <v>0</v>
      </c>
      <c r="N16" s="17">
        <v>1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16</v>
      </c>
      <c r="I17" s="18">
        <f t="shared" si="1"/>
        <v>18</v>
      </c>
      <c r="J17" s="18">
        <f t="shared" si="1"/>
        <v>18</v>
      </c>
      <c r="K17" s="18">
        <f t="shared" si="1"/>
        <v>15</v>
      </c>
      <c r="L17" s="18">
        <f t="shared" si="1"/>
        <v>13</v>
      </c>
      <c r="M17" s="73">
        <f t="shared" si="1"/>
        <v>13</v>
      </c>
      <c r="N17" s="18">
        <f t="shared" si="1"/>
        <v>14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7</v>
      </c>
      <c r="C39" s="27">
        <v>10.4</v>
      </c>
      <c r="D39" s="9"/>
      <c r="E39" s="26">
        <v>11</v>
      </c>
      <c r="F39" s="27">
        <f>6.47+0.46</f>
        <v>6.93</v>
      </c>
      <c r="G39" s="59">
        <f>3.6+0.95+0.5+0.34+0.23+1.45+0.5</f>
        <v>7.57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18</v>
      </c>
      <c r="P39" s="27">
        <f>+M39+J39+F39+C39</f>
        <v>17.329999999999998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-2.8</v>
      </c>
      <c r="D40" s="9"/>
      <c r="E40" s="26"/>
      <c r="F40" s="64">
        <f>9.628-F39</f>
        <v>2.6980000000000004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-0.10199999999999942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48">
        <v>0</v>
      </c>
      <c r="D41" s="9"/>
      <c r="E41" s="28">
        <v>2</v>
      </c>
      <c r="F41" s="32">
        <v>2.8</v>
      </c>
      <c r="G41" s="54"/>
      <c r="H41" s="9"/>
      <c r="I41" s="28">
        <v>8</v>
      </c>
      <c r="J41" s="70">
        <v>19</v>
      </c>
      <c r="K41" s="68"/>
      <c r="L41" s="71">
        <v>4</v>
      </c>
      <c r="M41" s="70">
        <v>11</v>
      </c>
      <c r="N41" s="9"/>
      <c r="O41" s="28">
        <f>+L41+I41+E41+B41</f>
        <v>14</v>
      </c>
      <c r="P41" s="32">
        <f>+M41+J41+F41+C41</f>
        <v>32.799999999999997</v>
      </c>
      <c r="Q41" s="9"/>
      <c r="R41" s="28">
        <v>0</v>
      </c>
      <c r="S41" s="48">
        <v>0</v>
      </c>
      <c r="T41" s="9"/>
    </row>
    <row r="42" spans="1:20" s="5" customFormat="1" x14ac:dyDescent="0.3">
      <c r="A42" s="5" t="s">
        <v>59</v>
      </c>
      <c r="B42" s="23">
        <f>SUM(B39:B41)</f>
        <v>7</v>
      </c>
      <c r="C42" s="30">
        <f>SUM(C39:C41)</f>
        <v>7.6000000000000005</v>
      </c>
      <c r="D42" s="11"/>
      <c r="E42" s="23">
        <f>SUM(E39:E41)</f>
        <v>13</v>
      </c>
      <c r="F42" s="30">
        <f>SUM(F39:F41)</f>
        <v>12.428000000000001</v>
      </c>
      <c r="G42" s="55"/>
      <c r="H42" s="11"/>
      <c r="I42" s="23">
        <f>SUM(I39:I41)</f>
        <v>8</v>
      </c>
      <c r="J42" s="30">
        <f>SUM(J39:J41)</f>
        <v>19</v>
      </c>
      <c r="K42" s="11"/>
      <c r="L42" s="23">
        <f>SUM(L39:L41)</f>
        <v>4</v>
      </c>
      <c r="M42" s="30">
        <f>SUM(M39:M41)</f>
        <v>11</v>
      </c>
      <c r="N42" s="11"/>
      <c r="O42" s="23">
        <f>SUM(O39:O41)</f>
        <v>32</v>
      </c>
      <c r="P42" s="30">
        <f>SUM(P39:P41)</f>
        <v>50.027999999999992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3">
      <c r="A43" s="46" t="s">
        <v>19</v>
      </c>
      <c r="B43" s="31"/>
      <c r="C43" s="30">
        <v>11.6</v>
      </c>
      <c r="D43" s="10"/>
      <c r="E43" s="31"/>
      <c r="F43" s="82">
        <f>+'[2]Hotlist - Completed'!C61/1000</f>
        <v>11.555999999999999</v>
      </c>
      <c r="G43" s="55"/>
      <c r="H43" s="10"/>
      <c r="I43" s="31"/>
      <c r="J43" s="83">
        <f>+'[2]Hotlist - Identified '!$F95/1000</f>
        <v>11.557</v>
      </c>
      <c r="K43" s="10"/>
      <c r="L43" s="31"/>
      <c r="M43" s="83">
        <f>+'[2]Hotlist - Identified '!$I95/1000</f>
        <v>11.558</v>
      </c>
      <c r="N43" s="10"/>
      <c r="O43" s="31"/>
      <c r="P43" s="30">
        <f>+M43+J43+F43+C43</f>
        <v>46.271000000000001</v>
      </c>
      <c r="Q43" s="10"/>
      <c r="R43" s="31"/>
      <c r="S43" s="83">
        <f>+'[2]Hotlist - Identified '!$O95/1000</f>
        <v>15.603300000000001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0.65517241379310354</v>
      </c>
      <c r="C44" s="103"/>
      <c r="D44" s="38"/>
      <c r="E44" s="102">
        <f>+F42/F43</f>
        <v>1.0754586362062999</v>
      </c>
      <c r="F44" s="103"/>
      <c r="G44" s="56"/>
      <c r="H44" s="38"/>
      <c r="I44" s="102">
        <f>+J42/J43</f>
        <v>1.6440252660725101</v>
      </c>
      <c r="J44" s="103"/>
      <c r="K44" s="38"/>
      <c r="L44" s="102">
        <f>+M42/M43</f>
        <v>0.95172175116802216</v>
      </c>
      <c r="M44" s="103"/>
      <c r="N44" s="38"/>
      <c r="O44" s="102">
        <f>+P42/P43</f>
        <v>1.0811955652568561</v>
      </c>
      <c r="P44" s="103"/>
      <c r="Q44" s="38"/>
      <c r="R44" s="102">
        <f>+S42/S43</f>
        <v>0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7" x14ac:dyDescent="0.3">
      <c r="A1" s="41"/>
      <c r="B1" s="42"/>
    </row>
    <row r="2" spans="1:17" ht="30" x14ac:dyDescent="0.5">
      <c r="A2" s="43" t="s">
        <v>41</v>
      </c>
      <c r="B2" s="43"/>
      <c r="N2" s="40" t="s">
        <v>33</v>
      </c>
      <c r="O2" s="39" t="s">
        <v>53</v>
      </c>
    </row>
    <row r="3" spans="1:17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7" s="15" customFormat="1" ht="18" x14ac:dyDescent="0.35">
      <c r="B4" s="16"/>
    </row>
    <row r="5" spans="1:17" s="15" customFormat="1" ht="18" x14ac:dyDescent="0.35">
      <c r="B5" s="16"/>
    </row>
    <row r="6" spans="1:17" s="15" customFormat="1" ht="18" x14ac:dyDescent="0.35">
      <c r="B6" s="16"/>
    </row>
    <row r="7" spans="1:17" s="15" customFormat="1" ht="18" x14ac:dyDescent="0.35">
      <c r="B7" s="16"/>
    </row>
    <row r="8" spans="1:17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  <c r="Q8" s="38"/>
    </row>
    <row r="9" spans="1:17" s="15" customFormat="1" ht="23.25" customHeight="1" x14ac:dyDescent="0.35">
      <c r="B9" s="16"/>
      <c r="C9" s="91" t="s">
        <v>16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52"/>
    </row>
    <row r="10" spans="1:17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3">
      <c r="A12" s="3" t="s">
        <v>4</v>
      </c>
    </row>
    <row r="13" spans="1:17" ht="12.75" customHeight="1" x14ac:dyDescent="0.3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5</v>
      </c>
      <c r="F13" s="17">
        <f t="shared" si="0"/>
        <v>5</v>
      </c>
      <c r="G13" s="17">
        <f t="shared" si="0"/>
        <v>5</v>
      </c>
      <c r="H13" s="17">
        <f t="shared" si="0"/>
        <v>5</v>
      </c>
      <c r="I13" s="17">
        <f t="shared" si="0"/>
        <v>4</v>
      </c>
      <c r="J13" s="17">
        <f t="shared" si="0"/>
        <v>4</v>
      </c>
      <c r="K13" s="17">
        <f t="shared" si="0"/>
        <v>4</v>
      </c>
      <c r="L13" s="17">
        <f t="shared" si="0"/>
        <v>7</v>
      </c>
      <c r="M13" s="72">
        <f t="shared" si="0"/>
        <v>7</v>
      </c>
      <c r="N13" s="72">
        <f t="shared" si="0"/>
        <v>7</v>
      </c>
      <c r="O13" s="17"/>
    </row>
    <row r="14" spans="1:17" x14ac:dyDescent="0.3">
      <c r="A14" s="4" t="s">
        <v>1</v>
      </c>
      <c r="C14" s="17">
        <v>1</v>
      </c>
      <c r="D14" s="17">
        <v>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5</v>
      </c>
      <c r="L14" s="17">
        <v>0</v>
      </c>
      <c r="M14" s="72">
        <v>0</v>
      </c>
      <c r="N14" s="17">
        <v>0</v>
      </c>
      <c r="O14" s="17"/>
    </row>
    <row r="15" spans="1:17" x14ac:dyDescent="0.3">
      <c r="A15" s="4" t="s">
        <v>2</v>
      </c>
      <c r="C15" s="17">
        <v>0</v>
      </c>
      <c r="D15" s="17"/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2</v>
      </c>
      <c r="L15" s="17">
        <v>0</v>
      </c>
      <c r="M15" s="72">
        <v>0</v>
      </c>
      <c r="N15" s="17">
        <v>2</v>
      </c>
      <c r="O15" s="17"/>
    </row>
    <row r="16" spans="1:17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5</v>
      </c>
      <c r="E17" s="18">
        <f t="shared" si="1"/>
        <v>5</v>
      </c>
      <c r="F17" s="18">
        <f t="shared" si="1"/>
        <v>5</v>
      </c>
      <c r="G17" s="18">
        <f t="shared" si="1"/>
        <v>5</v>
      </c>
      <c r="H17" s="18">
        <f t="shared" si="1"/>
        <v>4</v>
      </c>
      <c r="I17" s="18">
        <f t="shared" si="1"/>
        <v>4</v>
      </c>
      <c r="J17" s="18">
        <f t="shared" si="1"/>
        <v>4</v>
      </c>
      <c r="K17" s="18">
        <f t="shared" si="1"/>
        <v>7</v>
      </c>
      <c r="L17" s="18">
        <f t="shared" si="1"/>
        <v>7</v>
      </c>
      <c r="M17" s="73">
        <f t="shared" si="1"/>
        <v>7</v>
      </c>
      <c r="N17" s="18">
        <f t="shared" si="1"/>
        <v>5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20.100000000000001</v>
      </c>
      <c r="D29" s="10">
        <f>+D27/E17</f>
        <v>22.96</v>
      </c>
      <c r="E29" s="10">
        <f>+E27/F17</f>
        <v>20.56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61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0</v>
      </c>
      <c r="D40" s="9"/>
      <c r="E40" s="26"/>
      <c r="F40" s="64">
        <f>0.671-F39</f>
        <v>0.67100000000000004</v>
      </c>
      <c r="G40" s="61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0.67100000000000004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32">
        <v>0</v>
      </c>
      <c r="D41" s="9"/>
      <c r="E41" s="28">
        <v>2</v>
      </c>
      <c r="F41" s="32">
        <v>1.05</v>
      </c>
      <c r="G41" s="61"/>
      <c r="H41" s="9"/>
      <c r="I41" s="28">
        <v>2</v>
      </c>
      <c r="J41" s="70">
        <v>20</v>
      </c>
      <c r="K41" s="68"/>
      <c r="L41" s="71">
        <v>0</v>
      </c>
      <c r="M41" s="70">
        <v>0</v>
      </c>
      <c r="N41" s="9"/>
      <c r="O41" s="28">
        <f>+L41+I41+E41+B41</f>
        <v>4</v>
      </c>
      <c r="P41" s="32">
        <f>+M41+J41+F41+C41</f>
        <v>21.05</v>
      </c>
      <c r="Q41" s="9"/>
      <c r="R41" s="28">
        <v>1</v>
      </c>
      <c r="S41" s="32">
        <v>7.5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2</v>
      </c>
      <c r="F42" s="30">
        <f>SUM(F39:F41)</f>
        <v>1.7210000000000001</v>
      </c>
      <c r="G42" s="62"/>
      <c r="H42" s="11"/>
      <c r="I42" s="23">
        <f>SUM(I39:I41)</f>
        <v>2</v>
      </c>
      <c r="J42" s="30">
        <f>SUM(J39:J41)</f>
        <v>20</v>
      </c>
      <c r="K42" s="11"/>
      <c r="L42" s="23">
        <f>SUM(L39:L41)</f>
        <v>0</v>
      </c>
      <c r="M42" s="30">
        <f>SUM(M39:M41)</f>
        <v>0</v>
      </c>
      <c r="N42" s="11"/>
      <c r="O42" s="23">
        <f>SUM(O39:O41)</f>
        <v>4</v>
      </c>
      <c r="P42" s="30">
        <f>SUM(P39:P41)</f>
        <v>21.721</v>
      </c>
      <c r="Q42" s="11"/>
      <c r="R42" s="23">
        <f>SUM(R39:R41)</f>
        <v>1</v>
      </c>
      <c r="S42" s="30">
        <f>SUM(S39:S41)</f>
        <v>7.5</v>
      </c>
      <c r="T42" s="11"/>
    </row>
    <row r="43" spans="1:20" s="14" customFormat="1" x14ac:dyDescent="0.3">
      <c r="A43" s="46" t="s">
        <v>19</v>
      </c>
      <c r="B43" s="31"/>
      <c r="C43" s="30">
        <v>7.7</v>
      </c>
      <c r="D43" s="10"/>
      <c r="E43" s="31"/>
      <c r="F43" s="82">
        <f>+'[2]Hotlist - Completed'!C67/1000</f>
        <v>7.7119999999999997</v>
      </c>
      <c r="G43" s="62"/>
      <c r="H43" s="10"/>
      <c r="I43" s="31"/>
      <c r="J43" s="83">
        <f>+'[2]Hotlist - Identified '!$F102/1000</f>
        <v>7.7119999999999997</v>
      </c>
      <c r="K43" s="10"/>
      <c r="L43" s="31"/>
      <c r="M43" s="83">
        <f>+'[2]Hotlist - Identified '!$I102/1000</f>
        <v>7.7119999999999997</v>
      </c>
      <c r="N43" s="10"/>
      <c r="O43" s="31"/>
      <c r="P43" s="30">
        <f>+M43+J43+F43+C43</f>
        <v>30.835999999999999</v>
      </c>
      <c r="Q43" s="10"/>
      <c r="R43" s="31"/>
      <c r="S43" s="83">
        <f>+'[2]Hotlist - Identified '!$O102/1000</f>
        <v>10.411200000000001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0</v>
      </c>
      <c r="C44" s="103"/>
      <c r="D44" s="38"/>
      <c r="E44" s="102">
        <f>+F42/F43</f>
        <v>0.22315871369294607</v>
      </c>
      <c r="F44" s="103"/>
      <c r="G44" s="63"/>
      <c r="H44" s="38"/>
      <c r="I44" s="102">
        <f>+J42/J43</f>
        <v>2.5933609958506225</v>
      </c>
      <c r="J44" s="103"/>
      <c r="K44" s="38"/>
      <c r="L44" s="102">
        <f>+M42/M43</f>
        <v>0</v>
      </c>
      <c r="M44" s="103"/>
      <c r="N44" s="38"/>
      <c r="O44" s="102">
        <f>+P42/P43</f>
        <v>0.70440394344272927</v>
      </c>
      <c r="P44" s="103"/>
      <c r="Q44" s="38"/>
      <c r="R44" s="102">
        <f>+S42/S43</f>
        <v>0.72037805440295055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ColWidth="9.109375" defaultRowHeight="13.8" x14ac:dyDescent="0.3"/>
  <cols>
    <col min="1" max="1" width="22.5546875" style="2" customWidth="1"/>
    <col min="2" max="2" width="8.6640625" style="2" customWidth="1"/>
    <col min="3" max="3" width="10.5546875" style="2" customWidth="1"/>
    <col min="4" max="4" width="8.88671875" style="2" customWidth="1"/>
    <col min="5" max="5" width="9.33203125" style="2" customWidth="1"/>
    <col min="6" max="6" width="8.5546875" style="2" customWidth="1"/>
    <col min="7" max="8" width="8.6640625" style="2" customWidth="1"/>
    <col min="9" max="11" width="8.5546875" style="2" customWidth="1"/>
    <col min="12" max="12" width="9.33203125" style="2" customWidth="1"/>
    <col min="13" max="13" width="8.88671875" style="2" customWidth="1"/>
    <col min="14" max="14" width="9.33203125" style="2" customWidth="1"/>
    <col min="15" max="17" width="9.6640625" style="2" customWidth="1"/>
    <col min="18" max="19" width="8.6640625" style="2" customWidth="1"/>
    <col min="20" max="21" width="6.6640625" style="2" customWidth="1"/>
    <col min="22" max="16384" width="9.109375" style="2"/>
  </cols>
  <sheetData>
    <row r="1" spans="1:16" x14ac:dyDescent="0.3">
      <c r="A1" s="41"/>
      <c r="B1" s="42"/>
    </row>
    <row r="2" spans="1:16" ht="30" x14ac:dyDescent="0.5">
      <c r="A2" s="43" t="s">
        <v>41</v>
      </c>
      <c r="B2" s="43"/>
      <c r="N2" s="40" t="s">
        <v>33</v>
      </c>
      <c r="O2" s="39" t="s">
        <v>48</v>
      </c>
    </row>
    <row r="3" spans="1:16" ht="30" x14ac:dyDescent="0.5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35">
      <c r="B4" s="16"/>
    </row>
    <row r="5" spans="1:16" s="15" customFormat="1" ht="18" x14ac:dyDescent="0.35">
      <c r="B5" s="16"/>
    </row>
    <row r="6" spans="1:16" s="15" customFormat="1" ht="18" x14ac:dyDescent="0.35">
      <c r="B6" s="16"/>
    </row>
    <row r="7" spans="1:16" s="15" customFormat="1" ht="18" x14ac:dyDescent="0.35">
      <c r="B7" s="16"/>
    </row>
    <row r="8" spans="1:16" s="15" customFormat="1" ht="23.25" customHeight="1" x14ac:dyDescent="0.3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3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3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3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3">
      <c r="A12" s="3" t="s">
        <v>4</v>
      </c>
    </row>
    <row r="13" spans="1:16" x14ac:dyDescent="0.3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1</v>
      </c>
      <c r="F13" s="17">
        <f t="shared" si="0"/>
        <v>4</v>
      </c>
      <c r="G13" s="17">
        <f t="shared" si="0"/>
        <v>4</v>
      </c>
      <c r="H13" s="17">
        <f t="shared" si="0"/>
        <v>4</v>
      </c>
      <c r="I13" s="17">
        <f t="shared" si="0"/>
        <v>9</v>
      </c>
      <c r="J13" s="17">
        <f t="shared" si="0"/>
        <v>9</v>
      </c>
      <c r="K13" s="17">
        <f t="shared" si="0"/>
        <v>9</v>
      </c>
      <c r="L13" s="17">
        <f t="shared" si="0"/>
        <v>9</v>
      </c>
      <c r="M13" s="72">
        <f t="shared" si="0"/>
        <v>10</v>
      </c>
      <c r="N13" s="72">
        <f t="shared" si="0"/>
        <v>8</v>
      </c>
      <c r="O13" s="17"/>
    </row>
    <row r="14" spans="1:16" x14ac:dyDescent="0.3">
      <c r="A14" s="4" t="s">
        <v>1</v>
      </c>
      <c r="C14" s="17">
        <v>1</v>
      </c>
      <c r="D14" s="17">
        <v>0</v>
      </c>
      <c r="E14" s="17">
        <v>3</v>
      </c>
      <c r="F14" s="17">
        <v>0</v>
      </c>
      <c r="G14" s="17">
        <v>0</v>
      </c>
      <c r="H14" s="17">
        <v>5</v>
      </c>
      <c r="I14" s="17">
        <v>0</v>
      </c>
      <c r="J14" s="17">
        <v>0</v>
      </c>
      <c r="K14" s="17">
        <v>0</v>
      </c>
      <c r="L14" s="17">
        <v>1</v>
      </c>
      <c r="M14" s="72">
        <v>0</v>
      </c>
      <c r="N14" s="17">
        <v>0</v>
      </c>
      <c r="O14" s="17"/>
    </row>
    <row r="15" spans="1:16" x14ac:dyDescent="0.3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2">
        <v>1</v>
      </c>
      <c r="N15" s="17">
        <v>0</v>
      </c>
      <c r="O15" s="17"/>
    </row>
    <row r="16" spans="1:16" x14ac:dyDescent="0.3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1</v>
      </c>
      <c r="N16" s="17">
        <v>0</v>
      </c>
      <c r="O16" s="17"/>
      <c r="P16" s="65"/>
    </row>
    <row r="17" spans="1:19" ht="14.4" thickBot="1" x14ac:dyDescent="0.35">
      <c r="A17" s="2" t="s">
        <v>6</v>
      </c>
      <c r="C17" s="18">
        <f t="shared" ref="C17:O17" si="1">+C13+C14-C15-C16</f>
        <v>1</v>
      </c>
      <c r="D17" s="18">
        <f t="shared" si="1"/>
        <v>1</v>
      </c>
      <c r="E17" s="18">
        <f t="shared" si="1"/>
        <v>4</v>
      </c>
      <c r="F17" s="18">
        <f t="shared" si="1"/>
        <v>4</v>
      </c>
      <c r="G17" s="18">
        <f t="shared" si="1"/>
        <v>4</v>
      </c>
      <c r="H17" s="18">
        <f t="shared" si="1"/>
        <v>9</v>
      </c>
      <c r="I17" s="18">
        <f t="shared" si="1"/>
        <v>9</v>
      </c>
      <c r="J17" s="18">
        <f t="shared" si="1"/>
        <v>9</v>
      </c>
      <c r="K17" s="18">
        <f t="shared" si="1"/>
        <v>9</v>
      </c>
      <c r="L17" s="18">
        <f t="shared" si="1"/>
        <v>10</v>
      </c>
      <c r="M17" s="73">
        <f t="shared" si="1"/>
        <v>8</v>
      </c>
      <c r="N17" s="18">
        <f t="shared" si="1"/>
        <v>8</v>
      </c>
      <c r="O17" s="18">
        <f t="shared" si="1"/>
        <v>0</v>
      </c>
      <c r="P17" s="65"/>
    </row>
    <row r="18" spans="1:19" ht="14.4" thickTop="1" x14ac:dyDescent="0.3">
      <c r="M18" s="74"/>
      <c r="P18" s="17"/>
    </row>
    <row r="19" spans="1:19" hidden="1" x14ac:dyDescent="0.3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3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3">
      <c r="A21" s="3" t="s">
        <v>4</v>
      </c>
    </row>
    <row r="22" spans="1:19" hidden="1" x14ac:dyDescent="0.3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3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3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3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3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4.4" hidden="1" thickBot="1" x14ac:dyDescent="0.3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3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3">
      <c r="A29" s="5" t="s">
        <v>21</v>
      </c>
      <c r="B29" s="11"/>
      <c r="C29" s="10">
        <f>+C27/D17</f>
        <v>100.5</v>
      </c>
      <c r="D29" s="10">
        <f>+D27/E17</f>
        <v>28.7</v>
      </c>
      <c r="E29" s="10">
        <f>+E27/F17</f>
        <v>25.7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3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3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3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3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3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3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3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3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3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3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3">
      <c r="A40" s="2" t="s">
        <v>58</v>
      </c>
      <c r="B40" s="26"/>
      <c r="C40" s="64">
        <v>0</v>
      </c>
      <c r="D40" s="9"/>
      <c r="E40" s="26"/>
      <c r="F40" s="64">
        <f>0.002-F39</f>
        <v>2E-3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2E-3</v>
      </c>
      <c r="Q40" s="9"/>
      <c r="R40" s="26"/>
      <c r="S40" s="34">
        <v>0</v>
      </c>
      <c r="T40" s="9"/>
    </row>
    <row r="41" spans="1:20" x14ac:dyDescent="0.3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2</v>
      </c>
      <c r="J41" s="70">
        <v>0</v>
      </c>
      <c r="K41" s="68"/>
      <c r="L41" s="71">
        <v>4</v>
      </c>
      <c r="M41" s="70">
        <v>34</v>
      </c>
      <c r="N41" s="9"/>
      <c r="O41" s="28">
        <f>+L41+I41+E41+B41</f>
        <v>6</v>
      </c>
      <c r="P41" s="32">
        <f>+M41+J41+F41+C41</f>
        <v>34</v>
      </c>
      <c r="Q41" s="9"/>
      <c r="R41" s="28">
        <v>2</v>
      </c>
      <c r="S41" s="32">
        <v>4</v>
      </c>
      <c r="T41" s="9"/>
    </row>
    <row r="42" spans="1:20" s="5" customFormat="1" x14ac:dyDescent="0.3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</v>
      </c>
      <c r="F42" s="30">
        <f>SUM(F39:F41)</f>
        <v>2E-3</v>
      </c>
      <c r="G42" s="55"/>
      <c r="H42" s="11"/>
      <c r="I42" s="23">
        <f>SUM(I39:I41)</f>
        <v>2</v>
      </c>
      <c r="J42" s="30">
        <f>SUM(J39:J41)</f>
        <v>0</v>
      </c>
      <c r="K42" s="11"/>
      <c r="L42" s="23">
        <f>SUM(L39:L41)</f>
        <v>4</v>
      </c>
      <c r="M42" s="30">
        <f>SUM(M39:M41)</f>
        <v>34</v>
      </c>
      <c r="N42" s="11"/>
      <c r="O42" s="23">
        <f>SUM(O39:O41)</f>
        <v>7</v>
      </c>
      <c r="P42" s="30">
        <f>SUM(P39:P41)</f>
        <v>34.002000000000002</v>
      </c>
      <c r="Q42" s="11"/>
      <c r="R42" s="23">
        <f>SUM(R39:R41)</f>
        <v>2</v>
      </c>
      <c r="S42" s="30">
        <f>SUM(S39:S41)</f>
        <v>4</v>
      </c>
      <c r="T42" s="11"/>
    </row>
    <row r="43" spans="1:20" s="14" customFormat="1" x14ac:dyDescent="0.3">
      <c r="A43" s="46" t="s">
        <v>19</v>
      </c>
      <c r="B43" s="31"/>
      <c r="C43" s="30">
        <v>4.7</v>
      </c>
      <c r="D43" s="10"/>
      <c r="E43" s="31"/>
      <c r="F43" s="82">
        <f>+'[2]Hotlist - Completed'!I12/1000</f>
        <v>4.6559999999999997</v>
      </c>
      <c r="G43" s="55"/>
      <c r="H43" s="10"/>
      <c r="I43" s="31"/>
      <c r="J43" s="83">
        <f>+'[2]Hotlist - Identified '!$F110/1000</f>
        <v>4.6559999999999997</v>
      </c>
      <c r="K43" s="10"/>
      <c r="L43" s="31"/>
      <c r="M43" s="83">
        <f>+'[2]Hotlist - Identified '!$I110/1000</f>
        <v>4.6559999999999997</v>
      </c>
      <c r="N43" s="10"/>
      <c r="O43" s="31"/>
      <c r="P43" s="30">
        <f>+M43+J43+F43+C43</f>
        <v>18.667999999999999</v>
      </c>
      <c r="Q43" s="10"/>
      <c r="R43" s="31"/>
      <c r="S43" s="83">
        <f>+'[2]Hotlist - Identified '!$O110/1000</f>
        <v>6.2856000000000005</v>
      </c>
      <c r="T43" s="10"/>
    </row>
    <row r="44" spans="1:20" s="5" customFormat="1" ht="18.600000000000001" thickBot="1" x14ac:dyDescent="0.4">
      <c r="A44" s="5" t="s">
        <v>31</v>
      </c>
      <c r="B44" s="102">
        <f>+C42/C43</f>
        <v>0</v>
      </c>
      <c r="C44" s="103"/>
      <c r="D44" s="38"/>
      <c r="E44" s="102">
        <f>+F42/F43</f>
        <v>4.2955326460481104E-4</v>
      </c>
      <c r="F44" s="103"/>
      <c r="G44" s="56"/>
      <c r="H44" s="38"/>
      <c r="I44" s="102">
        <f>+J42/J43</f>
        <v>0</v>
      </c>
      <c r="J44" s="103"/>
      <c r="K44" s="38"/>
      <c r="L44" s="102">
        <f>+M42/M43</f>
        <v>7.3024054982817876</v>
      </c>
      <c r="M44" s="103"/>
      <c r="N44" s="38"/>
      <c r="O44" s="102">
        <f>+P42/P43</f>
        <v>1.8214056138847228</v>
      </c>
      <c r="P44" s="103"/>
      <c r="Q44" s="38"/>
      <c r="R44" s="102">
        <f>+S42/S43</f>
        <v>0.63637520682194215</v>
      </c>
      <c r="S44" s="103"/>
      <c r="T44" s="11"/>
    </row>
    <row r="45" spans="1:20" x14ac:dyDescent="0.3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4.4" x14ac:dyDescent="0.3">
      <c r="A46" s="98" t="s">
        <v>40</v>
      </c>
      <c r="B46" s="98"/>
    </row>
    <row r="59" spans="2:18" x14ac:dyDescent="0.3">
      <c r="B59" s="22"/>
      <c r="E59" s="22"/>
      <c r="I59" s="22"/>
      <c r="L59" s="22"/>
      <c r="O59" s="22"/>
      <c r="R59" s="22"/>
    </row>
    <row r="60" spans="2:18" x14ac:dyDescent="0.3">
      <c r="B60" s="22"/>
      <c r="E60" s="22"/>
      <c r="I60" s="22"/>
      <c r="L60" s="22"/>
      <c r="O60" s="22"/>
      <c r="R60" s="22"/>
    </row>
    <row r="61" spans="2:18" x14ac:dyDescent="0.3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3">
      <c r="F62" s="37"/>
      <c r="G62" s="37"/>
      <c r="M62" s="37"/>
      <c r="P62" s="37"/>
    </row>
    <row r="65" spans="2:18" x14ac:dyDescent="0.3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 Upstream Originations</vt:lpstr>
      <vt:lpstr>HPL&amp;LRC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Havlíček Jan</cp:lastModifiedBy>
  <cp:lastPrinted>2000-06-23T17:21:58Z</cp:lastPrinted>
  <dcterms:created xsi:type="dcterms:W3CDTF">2000-05-01T16:06:07Z</dcterms:created>
  <dcterms:modified xsi:type="dcterms:W3CDTF">2023-09-10T15:24:30Z</dcterms:modified>
</cp:coreProperties>
</file>