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848" firstSheet="2" activeTab="2"/>
  </bookViews>
  <sheets>
    <sheet name="YTD Mgmt Summary" sheetId="18" state="hidden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state="hidden" r:id="rId8"/>
    <sheet name="GrossMargin" sheetId="2" state="hidden" r:id="rId9"/>
    <sheet name="Expenses" sheetId="3" state="hidden" r:id="rId10"/>
    <sheet name="Expense Weekly Change" sheetId="19" state="hidden" r:id="rId11"/>
    <sheet name="CapChrg-AllocExp" sheetId="4" state="hidden" r:id="rId12"/>
    <sheet name="Headcount" sheetId="8" state="hidden" r:id="rId13"/>
  </sheets>
  <externalReferences>
    <externalReference r:id="rId14"/>
    <externalReference r:id="rId15"/>
  </externalReferences>
  <definedNames>
    <definedName name="_xlnm.Print_Area" localSheetId="11">'CapChrg-AllocExp'!$B$2:$P$55</definedName>
    <definedName name="_xlnm.Print_Area" localSheetId="9">Expenses!$B$2:$K$60</definedName>
    <definedName name="_xlnm.Print_Area" localSheetId="7">'GM-WklyChnge'!$A$1:$K$60</definedName>
    <definedName name="_xlnm.Print_Area" localSheetId="3">Greensheet!$A$1:$M$143</definedName>
    <definedName name="_xlnm.Print_Area" localSheetId="8">GrossMargin!$B$2:$O$55</definedName>
    <definedName name="_xlnm.Print_Area" localSheetId="12">Headcount!$B$1:$N$50</definedName>
    <definedName name="_xlnm.Print_Area" localSheetId="4">'Old Mgmt Summary'!$A$1:$V$67</definedName>
    <definedName name="_xlnm.Print_Area" localSheetId="1">'Q1 Mgmt Summary'!$A$1:$N$50</definedName>
    <definedName name="_xlnm.Print_Area" localSheetId="2">'QTD Mgmt Summary'!$A$1:$N$65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E10" i="4"/>
  <c r="F10" i="4"/>
  <c r="K10" i="4"/>
  <c r="L10" i="4"/>
  <c r="M10" i="4"/>
  <c r="D11" i="4"/>
  <c r="E11" i="4"/>
  <c r="F11" i="4"/>
  <c r="K11" i="4"/>
  <c r="L11" i="4"/>
  <c r="M11" i="4"/>
  <c r="E12" i="4"/>
  <c r="F12" i="4"/>
  <c r="K12" i="4"/>
  <c r="L12" i="4"/>
  <c r="M12" i="4"/>
  <c r="D13" i="4"/>
  <c r="E13" i="4"/>
  <c r="F13" i="4"/>
  <c r="K13" i="4"/>
  <c r="L13" i="4"/>
  <c r="M13" i="4"/>
  <c r="D14" i="4"/>
  <c r="E14" i="4"/>
  <c r="F14" i="4"/>
  <c r="K14" i="4"/>
  <c r="L14" i="4"/>
  <c r="M14" i="4"/>
  <c r="F15" i="4"/>
  <c r="K15" i="4"/>
  <c r="L15" i="4"/>
  <c r="M15" i="4"/>
  <c r="F16" i="4"/>
  <c r="L16" i="4"/>
  <c r="M16" i="4"/>
  <c r="D17" i="4"/>
  <c r="E17" i="4"/>
  <c r="F17" i="4"/>
  <c r="L17" i="4"/>
  <c r="M17" i="4"/>
  <c r="D18" i="4"/>
  <c r="E18" i="4"/>
  <c r="F18" i="4"/>
  <c r="K18" i="4"/>
  <c r="L18" i="4"/>
  <c r="M18" i="4"/>
  <c r="D19" i="4"/>
  <c r="E19" i="4"/>
  <c r="F19" i="4"/>
  <c r="K19" i="4"/>
  <c r="L19" i="4"/>
  <c r="M19" i="4"/>
  <c r="D21" i="4"/>
  <c r="E21" i="4"/>
  <c r="F21" i="4"/>
  <c r="K21" i="4"/>
  <c r="L21" i="4"/>
  <c r="M21" i="4"/>
  <c r="E22" i="4"/>
  <c r="F22" i="4"/>
  <c r="K22" i="4"/>
  <c r="L22" i="4"/>
  <c r="M22" i="4"/>
  <c r="D23" i="4"/>
  <c r="E23" i="4"/>
  <c r="F23" i="4"/>
  <c r="L23" i="4"/>
  <c r="M23" i="4"/>
  <c r="E24" i="4"/>
  <c r="F24" i="4"/>
  <c r="K24" i="4"/>
  <c r="L24" i="4"/>
  <c r="M24" i="4"/>
  <c r="F25" i="4"/>
  <c r="M25" i="4"/>
  <c r="F26" i="4"/>
  <c r="K26" i="4"/>
  <c r="M26" i="4"/>
  <c r="E27" i="4"/>
  <c r="F27" i="4"/>
  <c r="K27" i="4"/>
  <c r="L27" i="4"/>
  <c r="M27" i="4"/>
  <c r="F28" i="4"/>
  <c r="K28" i="4"/>
  <c r="L28" i="4"/>
  <c r="M28" i="4"/>
  <c r="F29" i="4"/>
  <c r="K29" i="4"/>
  <c r="L29" i="4"/>
  <c r="M29" i="4"/>
  <c r="E30" i="4"/>
  <c r="F30" i="4"/>
  <c r="L30" i="4"/>
  <c r="M30" i="4"/>
  <c r="D31" i="4"/>
  <c r="E31" i="4"/>
  <c r="F31" i="4"/>
  <c r="K31" i="4"/>
  <c r="L31" i="4"/>
  <c r="M31" i="4"/>
  <c r="D32" i="4"/>
  <c r="E32" i="4"/>
  <c r="F32" i="4"/>
  <c r="K32" i="4"/>
  <c r="L32" i="4"/>
  <c r="M32" i="4"/>
  <c r="E35" i="4"/>
  <c r="F35" i="4"/>
  <c r="K35" i="4"/>
  <c r="L35" i="4"/>
  <c r="M35" i="4"/>
  <c r="E36" i="4"/>
  <c r="F36" i="4"/>
  <c r="K36" i="4"/>
  <c r="L36" i="4"/>
  <c r="M36" i="4"/>
  <c r="D37" i="4"/>
  <c r="E37" i="4"/>
  <c r="F37" i="4"/>
  <c r="K37" i="4"/>
  <c r="L37" i="4"/>
  <c r="M37" i="4"/>
  <c r="E38" i="4"/>
  <c r="F38" i="4"/>
  <c r="K38" i="4"/>
  <c r="L38" i="4"/>
  <c r="M38" i="4"/>
  <c r="D39" i="4"/>
  <c r="E39" i="4"/>
  <c r="F39" i="4"/>
  <c r="K39" i="4"/>
  <c r="L39" i="4"/>
  <c r="M39" i="4"/>
  <c r="D40" i="4"/>
  <c r="E40" i="4"/>
  <c r="F40" i="4"/>
  <c r="K40" i="4"/>
  <c r="L40" i="4"/>
  <c r="M40" i="4"/>
  <c r="D42" i="4"/>
  <c r="E42" i="4"/>
  <c r="F42" i="4"/>
  <c r="K42" i="4"/>
  <c r="L42" i="4"/>
  <c r="M42" i="4"/>
  <c r="D44" i="4"/>
  <c r="E44" i="4"/>
  <c r="F44" i="4"/>
  <c r="L44" i="4"/>
  <c r="M44" i="4"/>
  <c r="D46" i="4"/>
  <c r="E46" i="4"/>
  <c r="F46" i="4"/>
  <c r="K46" i="4"/>
  <c r="D48" i="4"/>
  <c r="E48" i="4"/>
  <c r="F48" i="4"/>
  <c r="K48" i="4"/>
  <c r="L48" i="4"/>
  <c r="M48" i="4"/>
  <c r="D50" i="4"/>
  <c r="E50" i="4"/>
  <c r="F50" i="4"/>
  <c r="K50" i="4"/>
  <c r="L50" i="4"/>
  <c r="M50" i="4"/>
  <c r="M52" i="4"/>
  <c r="D54" i="4"/>
  <c r="E54" i="4"/>
  <c r="F54" i="4"/>
  <c r="K54" i="4"/>
  <c r="L54" i="4"/>
  <c r="M54" i="4"/>
  <c r="B4" i="19"/>
  <c r="D9" i="19"/>
  <c r="E9" i="19"/>
  <c r="F9" i="19"/>
  <c r="D10" i="19"/>
  <c r="E10" i="19"/>
  <c r="F10" i="19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20" i="19"/>
  <c r="E20" i="19"/>
  <c r="F20" i="19"/>
  <c r="D21" i="19"/>
  <c r="E21" i="19"/>
  <c r="F21" i="19"/>
  <c r="D22" i="19"/>
  <c r="E22" i="19"/>
  <c r="F22" i="19"/>
  <c r="D23" i="19"/>
  <c r="E23" i="19"/>
  <c r="F23" i="19"/>
  <c r="D24" i="19"/>
  <c r="E24" i="19"/>
  <c r="F24" i="19"/>
  <c r="D25" i="19"/>
  <c r="E25" i="19"/>
  <c r="F25" i="19"/>
  <c r="D26" i="19"/>
  <c r="E26" i="19"/>
  <c r="F26" i="19"/>
  <c r="D27" i="19"/>
  <c r="E27" i="19"/>
  <c r="F27" i="19"/>
  <c r="D28" i="19"/>
  <c r="E28" i="19"/>
  <c r="F28" i="19"/>
  <c r="D29" i="19"/>
  <c r="E29" i="19"/>
  <c r="F29" i="19"/>
  <c r="D30" i="19"/>
  <c r="E30" i="19"/>
  <c r="F30" i="19"/>
  <c r="D31" i="19"/>
  <c r="E31" i="19"/>
  <c r="F31" i="19"/>
  <c r="D34" i="19"/>
  <c r="E34" i="19"/>
  <c r="F34" i="19"/>
  <c r="D35" i="19"/>
  <c r="E35" i="19"/>
  <c r="F35" i="19"/>
  <c r="D36" i="19"/>
  <c r="E36" i="19"/>
  <c r="F36" i="19"/>
  <c r="D37" i="19"/>
  <c r="E37" i="19"/>
  <c r="F37" i="19"/>
  <c r="D38" i="19"/>
  <c r="E38" i="19"/>
  <c r="F38" i="19"/>
  <c r="D39" i="19"/>
  <c r="E39" i="19"/>
  <c r="F39" i="19"/>
  <c r="D41" i="19"/>
  <c r="E41" i="19"/>
  <c r="F41" i="19"/>
  <c r="D43" i="19"/>
  <c r="E43" i="19"/>
  <c r="F43" i="19"/>
  <c r="D45" i="19"/>
  <c r="E45" i="19"/>
  <c r="F45" i="19"/>
  <c r="D47" i="19"/>
  <c r="E47" i="19"/>
  <c r="F47" i="19"/>
  <c r="D49" i="19"/>
  <c r="E49" i="19"/>
  <c r="F49" i="19"/>
  <c r="D51" i="19"/>
  <c r="E51" i="19"/>
  <c r="F51" i="19"/>
  <c r="D53" i="19"/>
  <c r="E53" i="19"/>
  <c r="F53" i="19"/>
  <c r="D58" i="19"/>
  <c r="E58" i="19"/>
  <c r="F58" i="19"/>
  <c r="D59" i="19"/>
  <c r="E59" i="19"/>
  <c r="F59" i="19"/>
  <c r="D60" i="19"/>
  <c r="E60" i="19"/>
  <c r="F60" i="19"/>
  <c r="B4" i="3"/>
  <c r="D9" i="3"/>
  <c r="E9" i="3"/>
  <c r="F9" i="3"/>
  <c r="E10" i="3"/>
  <c r="F10" i="3"/>
  <c r="D11" i="3"/>
  <c r="E11" i="3"/>
  <c r="F11" i="3"/>
  <c r="E12" i="3"/>
  <c r="F12" i="3"/>
  <c r="D13" i="3"/>
  <c r="E13" i="3"/>
  <c r="F13" i="3"/>
  <c r="E14" i="3"/>
  <c r="F14" i="3"/>
  <c r="E15" i="3"/>
  <c r="F15" i="3"/>
  <c r="E16" i="3"/>
  <c r="F16" i="3"/>
  <c r="E17" i="3"/>
  <c r="F17" i="3"/>
  <c r="D18" i="3"/>
  <c r="E18" i="3"/>
  <c r="F18" i="3"/>
  <c r="D20" i="3"/>
  <c r="E20" i="3"/>
  <c r="F20" i="3"/>
  <c r="D21" i="3"/>
  <c r="E21" i="3"/>
  <c r="F21" i="3"/>
  <c r="E22" i="3"/>
  <c r="F22" i="3"/>
  <c r="E23" i="3"/>
  <c r="F23" i="3"/>
  <c r="E24" i="3"/>
  <c r="F24" i="3"/>
  <c r="D25" i="3"/>
  <c r="E25" i="3"/>
  <c r="F25" i="3"/>
  <c r="E26" i="3"/>
  <c r="F26" i="3"/>
  <c r="F27" i="3"/>
  <c r="F28" i="3"/>
  <c r="E29" i="3"/>
  <c r="F29" i="3"/>
  <c r="E30" i="3"/>
  <c r="F30" i="3"/>
  <c r="D31" i="3"/>
  <c r="E31" i="3"/>
  <c r="F31" i="3"/>
  <c r="E34" i="3"/>
  <c r="F34" i="3"/>
  <c r="E35" i="3"/>
  <c r="F35" i="3"/>
  <c r="E36" i="3"/>
  <c r="F36" i="3"/>
  <c r="E37" i="3"/>
  <c r="F37" i="3"/>
  <c r="D38" i="3"/>
  <c r="E38" i="3"/>
  <c r="F38" i="3"/>
  <c r="D39" i="3"/>
  <c r="E39" i="3"/>
  <c r="F39" i="3"/>
  <c r="E41" i="3"/>
  <c r="F41" i="3"/>
  <c r="D43" i="3"/>
  <c r="E43" i="3"/>
  <c r="F43" i="3"/>
  <c r="D45" i="3"/>
  <c r="E45" i="3"/>
  <c r="F45" i="3"/>
  <c r="D47" i="3"/>
  <c r="E47" i="3"/>
  <c r="F47" i="3"/>
  <c r="F49" i="3"/>
  <c r="E51" i="3"/>
  <c r="F51" i="3"/>
  <c r="D53" i="3"/>
  <c r="E53" i="3"/>
  <c r="F53" i="3"/>
  <c r="F58" i="3"/>
  <c r="F59" i="3"/>
  <c r="F60" i="3"/>
  <c r="D61" i="3"/>
  <c r="E61" i="3"/>
  <c r="C9" i="9"/>
  <c r="D9" i="9"/>
  <c r="E9" i="9"/>
  <c r="F9" i="9"/>
  <c r="G9" i="9"/>
  <c r="H9" i="9"/>
  <c r="J9" i="9"/>
  <c r="K9" i="9"/>
  <c r="C10" i="9"/>
  <c r="D10" i="9"/>
  <c r="E10" i="9"/>
  <c r="F10" i="9"/>
  <c r="G10" i="9"/>
  <c r="H10" i="9"/>
  <c r="J10" i="9"/>
  <c r="K10" i="9"/>
  <c r="C11" i="9"/>
  <c r="D11" i="9"/>
  <c r="E11" i="9"/>
  <c r="F11" i="9"/>
  <c r="G11" i="9"/>
  <c r="H11" i="9"/>
  <c r="J11" i="9"/>
  <c r="K11" i="9"/>
  <c r="C12" i="9"/>
  <c r="D12" i="9"/>
  <c r="E12" i="9"/>
  <c r="F12" i="9"/>
  <c r="G12" i="9"/>
  <c r="H12" i="9"/>
  <c r="J12" i="9"/>
  <c r="K12" i="9"/>
  <c r="C13" i="9"/>
  <c r="D13" i="9"/>
  <c r="E13" i="9"/>
  <c r="F13" i="9"/>
  <c r="G13" i="9"/>
  <c r="H13" i="9"/>
  <c r="J13" i="9"/>
  <c r="K13" i="9"/>
  <c r="C14" i="9"/>
  <c r="D14" i="9"/>
  <c r="E14" i="9"/>
  <c r="F14" i="9"/>
  <c r="G14" i="9"/>
  <c r="H14" i="9"/>
  <c r="J14" i="9"/>
  <c r="K14" i="9"/>
  <c r="C15" i="9"/>
  <c r="D15" i="9"/>
  <c r="E15" i="9"/>
  <c r="F15" i="9"/>
  <c r="G15" i="9"/>
  <c r="H15" i="9"/>
  <c r="J15" i="9"/>
  <c r="K15" i="9"/>
  <c r="C16" i="9"/>
  <c r="D16" i="9"/>
  <c r="E16" i="9"/>
  <c r="F16" i="9"/>
  <c r="G16" i="9"/>
  <c r="H16" i="9"/>
  <c r="J16" i="9"/>
  <c r="K16" i="9"/>
  <c r="C17" i="9"/>
  <c r="D17" i="9"/>
  <c r="E17" i="9"/>
  <c r="F17" i="9"/>
  <c r="G17" i="9"/>
  <c r="H17" i="9"/>
  <c r="J17" i="9"/>
  <c r="K17" i="9"/>
  <c r="C19" i="9"/>
  <c r="D19" i="9"/>
  <c r="E19" i="9"/>
  <c r="F19" i="9"/>
  <c r="G19" i="9"/>
  <c r="H19" i="9"/>
  <c r="J19" i="9"/>
  <c r="K19" i="9"/>
  <c r="C21" i="9"/>
  <c r="D21" i="9"/>
  <c r="E21" i="9"/>
  <c r="F21" i="9"/>
  <c r="G21" i="9"/>
  <c r="H21" i="9"/>
  <c r="J21" i="9"/>
  <c r="K21" i="9"/>
  <c r="C22" i="9"/>
  <c r="D22" i="9"/>
  <c r="E22" i="9"/>
  <c r="F22" i="9"/>
  <c r="G22" i="9"/>
  <c r="H22" i="9"/>
  <c r="J22" i="9"/>
  <c r="K22" i="9"/>
  <c r="C23" i="9"/>
  <c r="D23" i="9"/>
  <c r="E23" i="9"/>
  <c r="F23" i="9"/>
  <c r="G23" i="9"/>
  <c r="H23" i="9"/>
  <c r="J23" i="9"/>
  <c r="K23" i="9"/>
  <c r="C24" i="9"/>
  <c r="D24" i="9"/>
  <c r="E24" i="9"/>
  <c r="F24" i="9"/>
  <c r="G24" i="9"/>
  <c r="H24" i="9"/>
  <c r="J24" i="9"/>
  <c r="K24" i="9"/>
  <c r="C25" i="9"/>
  <c r="D25" i="9"/>
  <c r="E25" i="9"/>
  <c r="F25" i="9"/>
  <c r="G25" i="9"/>
  <c r="H25" i="9"/>
  <c r="J25" i="9"/>
  <c r="K25" i="9"/>
  <c r="C26" i="9"/>
  <c r="D26" i="9"/>
  <c r="E26" i="9"/>
  <c r="F26" i="9"/>
  <c r="H26" i="9"/>
  <c r="J26" i="9"/>
  <c r="K26" i="9"/>
  <c r="C27" i="9"/>
  <c r="D27" i="9"/>
  <c r="E27" i="9"/>
  <c r="F27" i="9"/>
  <c r="H27" i="9"/>
  <c r="J27" i="9"/>
  <c r="K27" i="9"/>
  <c r="C28" i="9"/>
  <c r="D28" i="9"/>
  <c r="E28" i="9"/>
  <c r="F28" i="9"/>
  <c r="H28" i="9"/>
  <c r="J28" i="9"/>
  <c r="K28" i="9"/>
  <c r="C29" i="9"/>
  <c r="D29" i="9"/>
  <c r="E29" i="9"/>
  <c r="F29" i="9"/>
  <c r="H29" i="9"/>
  <c r="J29" i="9"/>
  <c r="K29" i="9"/>
  <c r="C30" i="9"/>
  <c r="D30" i="9"/>
  <c r="E30" i="9"/>
  <c r="F30" i="9"/>
  <c r="H30" i="9"/>
  <c r="J30" i="9"/>
  <c r="K30" i="9"/>
  <c r="C31" i="9"/>
  <c r="D31" i="9"/>
  <c r="E31" i="9"/>
  <c r="F31" i="9"/>
  <c r="H31" i="9"/>
  <c r="J31" i="9"/>
  <c r="K31" i="9"/>
  <c r="C33" i="9"/>
  <c r="D33" i="9"/>
  <c r="E33" i="9"/>
  <c r="F33" i="9"/>
  <c r="G33" i="9"/>
  <c r="H33" i="9"/>
  <c r="J33" i="9"/>
  <c r="K33" i="9"/>
  <c r="C36" i="9"/>
  <c r="D36" i="9"/>
  <c r="E36" i="9"/>
  <c r="F36" i="9"/>
  <c r="H36" i="9"/>
  <c r="J36" i="9"/>
  <c r="K36" i="9"/>
  <c r="C37" i="9"/>
  <c r="D37" i="9"/>
  <c r="E37" i="9"/>
  <c r="F37" i="9"/>
  <c r="H37" i="9"/>
  <c r="J37" i="9"/>
  <c r="K37" i="9"/>
  <c r="C38" i="9"/>
  <c r="D38" i="9"/>
  <c r="E38" i="9"/>
  <c r="F38" i="9"/>
  <c r="H38" i="9"/>
  <c r="J38" i="9"/>
  <c r="K38" i="9"/>
  <c r="C39" i="9"/>
  <c r="D39" i="9"/>
  <c r="E39" i="9"/>
  <c r="F39" i="9"/>
  <c r="H39" i="9"/>
  <c r="J39" i="9"/>
  <c r="K39" i="9"/>
  <c r="C40" i="9"/>
  <c r="D40" i="9"/>
  <c r="E40" i="9"/>
  <c r="F40" i="9"/>
  <c r="H40" i="9"/>
  <c r="J40" i="9"/>
  <c r="K40" i="9"/>
  <c r="C42" i="9"/>
  <c r="D42" i="9"/>
  <c r="E42" i="9"/>
  <c r="F42" i="9"/>
  <c r="G42" i="9"/>
  <c r="H42" i="9"/>
  <c r="J42" i="9"/>
  <c r="K42" i="9"/>
  <c r="C44" i="9"/>
  <c r="D44" i="9"/>
  <c r="E44" i="9"/>
  <c r="F44" i="9"/>
  <c r="H44" i="9"/>
  <c r="J44" i="9"/>
  <c r="K44" i="9"/>
  <c r="C46" i="9"/>
  <c r="D46" i="9"/>
  <c r="E46" i="9"/>
  <c r="F46" i="9"/>
  <c r="H46" i="9"/>
  <c r="J46" i="9"/>
  <c r="K46" i="9"/>
  <c r="C48" i="9"/>
  <c r="D48" i="9"/>
  <c r="E48" i="9"/>
  <c r="F48" i="9"/>
  <c r="H48" i="9"/>
  <c r="J48" i="9"/>
  <c r="K48" i="9"/>
  <c r="C50" i="9"/>
  <c r="D50" i="9"/>
  <c r="E50" i="9"/>
  <c r="F50" i="9"/>
  <c r="H50" i="9"/>
  <c r="J50" i="9"/>
  <c r="K50" i="9"/>
  <c r="C52" i="9"/>
  <c r="D52" i="9"/>
  <c r="E52" i="9"/>
  <c r="F52" i="9"/>
  <c r="G52" i="9"/>
  <c r="H52" i="9"/>
  <c r="J52" i="9"/>
  <c r="K52" i="9"/>
  <c r="I60" i="9"/>
  <c r="J60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9" i="12"/>
  <c r="G49" i="12"/>
  <c r="I49" i="12"/>
  <c r="K49" i="12"/>
  <c r="M49" i="12"/>
  <c r="E76" i="12"/>
  <c r="G76" i="12"/>
  <c r="I76" i="12"/>
  <c r="K76" i="12"/>
  <c r="M76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0" i="12"/>
  <c r="G90" i="12"/>
  <c r="I90" i="12"/>
  <c r="K90" i="12"/>
  <c r="M90" i="12"/>
  <c r="M100" i="12"/>
  <c r="M105" i="12"/>
  <c r="M113" i="12"/>
  <c r="M118" i="12"/>
  <c r="M126" i="12"/>
  <c r="M131" i="12"/>
  <c r="M136" i="12"/>
  <c r="M141" i="12"/>
  <c r="M143" i="12"/>
  <c r="T335" i="12"/>
  <c r="U335" i="12"/>
  <c r="V335" i="12"/>
  <c r="W335" i="12"/>
  <c r="X335" i="12"/>
  <c r="Y335" i="12"/>
  <c r="Z335" i="12"/>
  <c r="B4" i="2"/>
  <c r="D10" i="2"/>
  <c r="J10" i="2"/>
  <c r="M10" i="2"/>
  <c r="N10" i="2"/>
  <c r="O10" i="2"/>
  <c r="R10" i="2"/>
  <c r="S10" i="2"/>
  <c r="T10" i="2"/>
  <c r="J11" i="2"/>
  <c r="M11" i="2"/>
  <c r="N11" i="2"/>
  <c r="O11" i="2"/>
  <c r="R11" i="2"/>
  <c r="S11" i="2"/>
  <c r="T11" i="2"/>
  <c r="D12" i="2"/>
  <c r="J12" i="2"/>
  <c r="M12" i="2"/>
  <c r="N12" i="2"/>
  <c r="O12" i="2"/>
  <c r="R12" i="2"/>
  <c r="S12" i="2"/>
  <c r="T12" i="2"/>
  <c r="J13" i="2"/>
  <c r="M13" i="2"/>
  <c r="N13" i="2"/>
  <c r="O13" i="2"/>
  <c r="R13" i="2"/>
  <c r="S13" i="2"/>
  <c r="T13" i="2"/>
  <c r="D14" i="2"/>
  <c r="J14" i="2"/>
  <c r="M14" i="2"/>
  <c r="N14" i="2"/>
  <c r="O14" i="2"/>
  <c r="R14" i="2"/>
  <c r="S14" i="2"/>
  <c r="T14" i="2"/>
  <c r="D15" i="2"/>
  <c r="J15" i="2"/>
  <c r="M15" i="2"/>
  <c r="O15" i="2"/>
  <c r="R15" i="2"/>
  <c r="S15" i="2"/>
  <c r="T15" i="2"/>
  <c r="J16" i="2"/>
  <c r="M16" i="2"/>
  <c r="N16" i="2"/>
  <c r="O16" i="2"/>
  <c r="R16" i="2"/>
  <c r="S16" i="2"/>
  <c r="T16" i="2"/>
  <c r="J17" i="2"/>
  <c r="M17" i="2"/>
  <c r="N17" i="2"/>
  <c r="O17" i="2"/>
  <c r="R17" i="2"/>
  <c r="S17" i="2"/>
  <c r="T17" i="2"/>
  <c r="J18" i="2"/>
  <c r="M18" i="2"/>
  <c r="N18" i="2"/>
  <c r="O18" i="2"/>
  <c r="R18" i="2"/>
  <c r="S18" i="2"/>
  <c r="T18" i="2"/>
  <c r="D20" i="2"/>
  <c r="E20" i="2"/>
  <c r="F20" i="2"/>
  <c r="H20" i="2"/>
  <c r="I20" i="2"/>
  <c r="J20" i="2"/>
  <c r="K20" i="2"/>
  <c r="L20" i="2"/>
  <c r="M20" i="2"/>
  <c r="N20" i="2"/>
  <c r="O20" i="2"/>
  <c r="R20" i="2"/>
  <c r="S20" i="2"/>
  <c r="T20" i="2"/>
  <c r="J22" i="2"/>
  <c r="M22" i="2"/>
  <c r="N22" i="2"/>
  <c r="O22" i="2"/>
  <c r="R22" i="2"/>
  <c r="S22" i="2"/>
  <c r="T22" i="2"/>
  <c r="J23" i="2"/>
  <c r="M23" i="2"/>
  <c r="N23" i="2"/>
  <c r="O23" i="2"/>
  <c r="R23" i="2"/>
  <c r="S23" i="2"/>
  <c r="T23" i="2"/>
  <c r="D24" i="2"/>
  <c r="E24" i="2"/>
  <c r="J24" i="2"/>
  <c r="M24" i="2"/>
  <c r="N24" i="2"/>
  <c r="O24" i="2"/>
  <c r="R24" i="2"/>
  <c r="S24" i="2"/>
  <c r="T24" i="2"/>
  <c r="J25" i="2"/>
  <c r="M25" i="2"/>
  <c r="N25" i="2"/>
  <c r="O25" i="2"/>
  <c r="R25" i="2"/>
  <c r="S25" i="2"/>
  <c r="T25" i="2"/>
  <c r="J26" i="2"/>
  <c r="M26" i="2"/>
  <c r="N26" i="2"/>
  <c r="O26" i="2"/>
  <c r="H27" i="2"/>
  <c r="J27" i="2"/>
  <c r="M27" i="2"/>
  <c r="O27" i="2"/>
  <c r="J28" i="2"/>
  <c r="M28" i="2"/>
  <c r="N28" i="2"/>
  <c r="O28" i="2"/>
  <c r="R28" i="2"/>
  <c r="S28" i="2"/>
  <c r="T28" i="2"/>
  <c r="J29" i="2"/>
  <c r="M29" i="2"/>
  <c r="N29" i="2"/>
  <c r="O29" i="2"/>
  <c r="J30" i="2"/>
  <c r="M30" i="2"/>
  <c r="N30" i="2"/>
  <c r="O30" i="2"/>
  <c r="J31" i="2"/>
  <c r="M31" i="2"/>
  <c r="N31" i="2"/>
  <c r="O31" i="2"/>
  <c r="R31" i="2"/>
  <c r="S31" i="2"/>
  <c r="T31" i="2"/>
  <c r="J32" i="2"/>
  <c r="M32" i="2"/>
  <c r="N32" i="2"/>
  <c r="O32" i="2"/>
  <c r="R32" i="2"/>
  <c r="S32" i="2"/>
  <c r="T32" i="2"/>
  <c r="D34" i="2"/>
  <c r="E34" i="2"/>
  <c r="F34" i="2"/>
  <c r="G34" i="2"/>
  <c r="H34" i="2"/>
  <c r="I34" i="2"/>
  <c r="J34" i="2"/>
  <c r="K34" i="2"/>
  <c r="L34" i="2"/>
  <c r="M34" i="2"/>
  <c r="N34" i="2"/>
  <c r="O34" i="2"/>
  <c r="R34" i="2"/>
  <c r="S34" i="2"/>
  <c r="T34" i="2"/>
  <c r="J37" i="2"/>
  <c r="M37" i="2"/>
  <c r="N37" i="2"/>
  <c r="O37" i="2"/>
  <c r="R37" i="2"/>
  <c r="S37" i="2"/>
  <c r="T37" i="2"/>
  <c r="J38" i="2"/>
  <c r="M38" i="2"/>
  <c r="N38" i="2"/>
  <c r="O38" i="2"/>
  <c r="R38" i="2"/>
  <c r="S38" i="2"/>
  <c r="T38" i="2"/>
  <c r="E39" i="2"/>
  <c r="J39" i="2"/>
  <c r="K39" i="2"/>
  <c r="M39" i="2"/>
  <c r="N39" i="2"/>
  <c r="O39" i="2"/>
  <c r="R39" i="2"/>
  <c r="S39" i="2"/>
  <c r="T39" i="2"/>
  <c r="J40" i="2"/>
  <c r="M40" i="2"/>
  <c r="N40" i="2"/>
  <c r="O40" i="2"/>
  <c r="R40" i="2"/>
  <c r="S40" i="2"/>
  <c r="T40" i="2"/>
  <c r="D41" i="2"/>
  <c r="E41" i="2"/>
  <c r="F41" i="2"/>
  <c r="H41" i="2"/>
  <c r="I41" i="2"/>
  <c r="J41" i="2"/>
  <c r="L41" i="2"/>
  <c r="M41" i="2"/>
  <c r="N41" i="2"/>
  <c r="O41" i="2"/>
  <c r="D43" i="2"/>
  <c r="E43" i="2"/>
  <c r="F43" i="2"/>
  <c r="H43" i="2"/>
  <c r="I43" i="2"/>
  <c r="J43" i="2"/>
  <c r="K43" i="2"/>
  <c r="L43" i="2"/>
  <c r="M43" i="2"/>
  <c r="N43" i="2"/>
  <c r="O43" i="2"/>
  <c r="R43" i="2"/>
  <c r="S43" i="2"/>
  <c r="T43" i="2"/>
  <c r="J45" i="2"/>
  <c r="M45" i="2"/>
  <c r="N45" i="2"/>
  <c r="O45" i="2"/>
  <c r="R45" i="2"/>
  <c r="S45" i="2"/>
  <c r="T45" i="2"/>
  <c r="J47" i="2"/>
  <c r="M47" i="2"/>
  <c r="O47" i="2"/>
  <c r="J49" i="2"/>
  <c r="M49" i="2"/>
  <c r="N49" i="2"/>
  <c r="O49" i="2"/>
  <c r="J51" i="2"/>
  <c r="M51" i="2"/>
  <c r="N51" i="2"/>
  <c r="O51" i="2"/>
  <c r="D53" i="2"/>
  <c r="E53" i="2"/>
  <c r="F53" i="2"/>
  <c r="H53" i="2"/>
  <c r="I53" i="2"/>
  <c r="J53" i="2"/>
  <c r="K53" i="2"/>
  <c r="L53" i="2"/>
  <c r="M53" i="2"/>
  <c r="N53" i="2"/>
  <c r="O53" i="2"/>
  <c r="D61" i="2"/>
  <c r="D62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20" i="8"/>
  <c r="E20" i="8"/>
  <c r="F20" i="8"/>
  <c r="H20" i="8"/>
  <c r="I20" i="8"/>
  <c r="J20" i="8"/>
  <c r="L20" i="8"/>
  <c r="M20" i="8"/>
  <c r="N20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D34" i="8"/>
  <c r="E34" i="8"/>
  <c r="F34" i="8"/>
  <c r="H34" i="8"/>
  <c r="I34" i="8"/>
  <c r="J34" i="8"/>
  <c r="L34" i="8"/>
  <c r="M34" i="8"/>
  <c r="N34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F42" i="8"/>
  <c r="J42" i="8"/>
  <c r="N42" i="8"/>
  <c r="D43" i="8"/>
  <c r="E43" i="8"/>
  <c r="F43" i="8"/>
  <c r="H43" i="8"/>
  <c r="I43" i="8"/>
  <c r="J43" i="8"/>
  <c r="L43" i="8"/>
  <c r="M43" i="8"/>
  <c r="N43" i="8"/>
  <c r="D45" i="8"/>
  <c r="E45" i="8"/>
  <c r="F45" i="8"/>
  <c r="H45" i="8"/>
  <c r="I45" i="8"/>
  <c r="J45" i="8"/>
  <c r="L45" i="8"/>
  <c r="M45" i="8"/>
  <c r="N45" i="8"/>
  <c r="E47" i="8"/>
  <c r="F47" i="8"/>
  <c r="I47" i="8"/>
  <c r="J47" i="8"/>
  <c r="L47" i="8"/>
  <c r="M47" i="8"/>
  <c r="N47" i="8"/>
  <c r="D49" i="8"/>
  <c r="E49" i="8"/>
  <c r="F49" i="8"/>
  <c r="H49" i="8"/>
  <c r="I49" i="8"/>
  <c r="J49" i="8"/>
  <c r="L49" i="8"/>
  <c r="M49" i="8"/>
  <c r="N49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K11" i="1"/>
  <c r="L11" i="1"/>
  <c r="M11" i="1"/>
  <c r="N11" i="1"/>
  <c r="O11" i="1"/>
  <c r="Q11" i="1"/>
  <c r="R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C27" i="1"/>
  <c r="D27" i="1"/>
  <c r="E27" i="1"/>
  <c r="G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C28" i="1"/>
  <c r="D28" i="1"/>
  <c r="E28" i="1"/>
  <c r="G28" i="1"/>
  <c r="H28" i="1"/>
  <c r="I28" i="1"/>
  <c r="J28" i="1"/>
  <c r="L28" i="1"/>
  <c r="M28" i="1"/>
  <c r="N28" i="1"/>
  <c r="O28" i="1"/>
  <c r="Q28" i="1"/>
  <c r="S28" i="1"/>
  <c r="T28" i="1"/>
  <c r="U28" i="1"/>
  <c r="V28" i="1"/>
  <c r="C29" i="1"/>
  <c r="D29" i="1"/>
  <c r="E29" i="1"/>
  <c r="G29" i="1"/>
  <c r="H29" i="1"/>
  <c r="I29" i="1"/>
  <c r="J29" i="1"/>
  <c r="L29" i="1"/>
  <c r="M29" i="1"/>
  <c r="N29" i="1"/>
  <c r="O29" i="1"/>
  <c r="Q29" i="1"/>
  <c r="S29" i="1"/>
  <c r="T29" i="1"/>
  <c r="U29" i="1"/>
  <c r="V29" i="1"/>
  <c r="C30" i="1"/>
  <c r="D30" i="1"/>
  <c r="E30" i="1"/>
  <c r="G30" i="1"/>
  <c r="H30" i="1"/>
  <c r="I30" i="1"/>
  <c r="J30" i="1"/>
  <c r="L30" i="1"/>
  <c r="M30" i="1"/>
  <c r="N30" i="1"/>
  <c r="O30" i="1"/>
  <c r="Q30" i="1"/>
  <c r="S30" i="1"/>
  <c r="T30" i="1"/>
  <c r="U30" i="1"/>
  <c r="V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C34" i="1"/>
  <c r="D34" i="1"/>
  <c r="E34" i="1"/>
  <c r="G34" i="1"/>
  <c r="H34" i="1"/>
  <c r="I34" i="1"/>
  <c r="J34" i="1"/>
  <c r="L34" i="1"/>
  <c r="M34" i="1"/>
  <c r="N34" i="1"/>
  <c r="O34" i="1"/>
  <c r="Q34" i="1"/>
  <c r="S34" i="1"/>
  <c r="T34" i="1"/>
  <c r="U34" i="1"/>
  <c r="V34" i="1"/>
  <c r="C35" i="1"/>
  <c r="D35" i="1"/>
  <c r="E35" i="1"/>
  <c r="G35" i="1"/>
  <c r="H35" i="1"/>
  <c r="I35" i="1"/>
  <c r="J35" i="1"/>
  <c r="L35" i="1"/>
  <c r="M35" i="1"/>
  <c r="N35" i="1"/>
  <c r="O35" i="1"/>
  <c r="Q35" i="1"/>
  <c r="S35" i="1"/>
  <c r="T35" i="1"/>
  <c r="U35" i="1"/>
  <c r="V35" i="1"/>
  <c r="C36" i="1"/>
  <c r="D36" i="1"/>
  <c r="E36" i="1"/>
  <c r="G36" i="1"/>
  <c r="H36" i="1"/>
  <c r="I36" i="1"/>
  <c r="J36" i="1"/>
  <c r="L36" i="1"/>
  <c r="M36" i="1"/>
  <c r="N36" i="1"/>
  <c r="O36" i="1"/>
  <c r="Q36" i="1"/>
  <c r="S36" i="1"/>
  <c r="T36" i="1"/>
  <c r="U36" i="1"/>
  <c r="V36" i="1"/>
  <c r="C37" i="1"/>
  <c r="D37" i="1"/>
  <c r="E37" i="1"/>
  <c r="G37" i="1"/>
  <c r="H37" i="1"/>
  <c r="I37" i="1"/>
  <c r="J37" i="1"/>
  <c r="K37" i="1"/>
  <c r="L37" i="1"/>
  <c r="M37" i="1"/>
  <c r="N37" i="1"/>
  <c r="O37" i="1"/>
  <c r="Q37" i="1"/>
  <c r="R37" i="1"/>
  <c r="S37" i="1"/>
  <c r="T37" i="1"/>
  <c r="U37" i="1"/>
  <c r="V37" i="1"/>
  <c r="C39" i="1"/>
  <c r="D39" i="1"/>
  <c r="E39" i="1"/>
  <c r="G39" i="1"/>
  <c r="H39" i="1"/>
  <c r="I39" i="1"/>
  <c r="J39" i="1"/>
  <c r="L39" i="1"/>
  <c r="M39" i="1"/>
  <c r="N39" i="1"/>
  <c r="O39" i="1"/>
  <c r="Q39" i="1"/>
  <c r="S39" i="1"/>
  <c r="T39" i="1"/>
  <c r="U39" i="1"/>
  <c r="V39" i="1"/>
  <c r="C41" i="1"/>
  <c r="E41" i="1"/>
  <c r="G41" i="1"/>
  <c r="I41" i="1"/>
  <c r="J41" i="1"/>
  <c r="O41" i="1"/>
  <c r="Q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D47" i="1"/>
  <c r="E47" i="1"/>
  <c r="M47" i="1"/>
  <c r="O47" i="1"/>
  <c r="T47" i="1"/>
  <c r="V47" i="1"/>
  <c r="E48" i="1"/>
  <c r="D49" i="1"/>
  <c r="E49" i="1"/>
  <c r="N49" i="1"/>
  <c r="O49" i="1"/>
  <c r="U49" i="1"/>
  <c r="V49" i="1"/>
  <c r="D51" i="1"/>
  <c r="E51" i="1"/>
  <c r="M51" i="1"/>
  <c r="O51" i="1"/>
  <c r="T51" i="1"/>
  <c r="V51" i="1"/>
  <c r="D53" i="1"/>
  <c r="E53" i="1"/>
  <c r="N53" i="1"/>
  <c r="O53" i="1"/>
  <c r="U53" i="1"/>
  <c r="V53" i="1"/>
  <c r="C55" i="1"/>
  <c r="D55" i="1"/>
  <c r="E55" i="1"/>
  <c r="G55" i="1"/>
  <c r="H55" i="1"/>
  <c r="I55" i="1"/>
  <c r="J55" i="1"/>
  <c r="M55" i="1"/>
  <c r="O55" i="1"/>
  <c r="Q55" i="1"/>
  <c r="T55" i="1"/>
  <c r="V55" i="1"/>
  <c r="D57" i="1"/>
  <c r="E57" i="1"/>
  <c r="J57" i="1"/>
  <c r="L57" i="1"/>
  <c r="O57" i="1"/>
  <c r="S57" i="1"/>
  <c r="V57" i="1"/>
  <c r="V58" i="1"/>
  <c r="C59" i="1"/>
  <c r="D59" i="1"/>
  <c r="E59" i="1"/>
  <c r="G59" i="1"/>
  <c r="H59" i="1"/>
  <c r="I59" i="1"/>
  <c r="J59" i="1"/>
  <c r="K59" i="1"/>
  <c r="L59" i="1"/>
  <c r="M59" i="1"/>
  <c r="N59" i="1"/>
  <c r="O59" i="1"/>
  <c r="Q59" i="1"/>
  <c r="R59" i="1"/>
  <c r="S59" i="1"/>
  <c r="T59" i="1"/>
  <c r="U59" i="1"/>
  <c r="V59" i="1"/>
  <c r="E61" i="1"/>
  <c r="O61" i="1"/>
  <c r="T61" i="1"/>
  <c r="V61" i="1"/>
  <c r="C63" i="1"/>
  <c r="D63" i="1"/>
  <c r="E63" i="1"/>
  <c r="G63" i="1"/>
  <c r="H63" i="1"/>
  <c r="I63" i="1"/>
  <c r="J63" i="1"/>
  <c r="K63" i="1"/>
  <c r="L63" i="1"/>
  <c r="M63" i="1"/>
  <c r="N63" i="1"/>
  <c r="O63" i="1"/>
  <c r="Q63" i="1"/>
  <c r="R63" i="1"/>
  <c r="S63" i="1"/>
  <c r="T63" i="1"/>
  <c r="U63" i="1"/>
  <c r="V63" i="1"/>
  <c r="G65" i="1"/>
  <c r="C8" i="17"/>
  <c r="E8" i="17"/>
  <c r="G8" i="17"/>
  <c r="H8" i="17"/>
  <c r="J8" i="17"/>
  <c r="L8" i="17"/>
  <c r="M8" i="17"/>
  <c r="N8" i="17"/>
  <c r="E9" i="17"/>
  <c r="J9" i="17"/>
  <c r="L9" i="17"/>
  <c r="M9" i="17"/>
  <c r="N9" i="17"/>
  <c r="C10" i="17"/>
  <c r="D10" i="17"/>
  <c r="E10" i="17"/>
  <c r="G10" i="17"/>
  <c r="H10" i="17"/>
  <c r="J10" i="17"/>
  <c r="L10" i="17"/>
  <c r="M10" i="17"/>
  <c r="N10" i="17"/>
  <c r="E11" i="17"/>
  <c r="J11" i="17"/>
  <c r="L11" i="17"/>
  <c r="M11" i="17"/>
  <c r="N11" i="17"/>
  <c r="C12" i="17"/>
  <c r="D12" i="17"/>
  <c r="E12" i="17"/>
  <c r="G12" i="17"/>
  <c r="H12" i="17"/>
  <c r="J12" i="17"/>
  <c r="L12" i="17"/>
  <c r="M12" i="17"/>
  <c r="N12" i="17"/>
  <c r="C13" i="17"/>
  <c r="E13" i="17"/>
  <c r="G13" i="17"/>
  <c r="H13" i="17"/>
  <c r="J13" i="17"/>
  <c r="L13" i="17"/>
  <c r="M13" i="17"/>
  <c r="N13" i="17"/>
  <c r="E14" i="17"/>
  <c r="L14" i="17"/>
  <c r="M14" i="17"/>
  <c r="N14" i="17"/>
  <c r="E15" i="17"/>
  <c r="J15" i="17"/>
  <c r="L15" i="17"/>
  <c r="M15" i="17"/>
  <c r="N15" i="17"/>
  <c r="E16" i="17"/>
  <c r="J16" i="17"/>
  <c r="L16" i="17"/>
  <c r="M16" i="17"/>
  <c r="N16" i="17"/>
  <c r="C17" i="17"/>
  <c r="D17" i="17"/>
  <c r="E17" i="17"/>
  <c r="G17" i="17"/>
  <c r="H17" i="17"/>
  <c r="I17" i="17"/>
  <c r="J17" i="17"/>
  <c r="L17" i="17"/>
  <c r="M17" i="17"/>
  <c r="N17" i="17"/>
  <c r="E19" i="17"/>
  <c r="J19" i="17"/>
  <c r="L19" i="17"/>
  <c r="M19" i="17"/>
  <c r="N19" i="17"/>
  <c r="E20" i="17"/>
  <c r="J20" i="17"/>
  <c r="L20" i="17"/>
  <c r="M20" i="17"/>
  <c r="N20" i="17"/>
  <c r="C21" i="17"/>
  <c r="D21" i="17"/>
  <c r="E21" i="17"/>
  <c r="G21" i="17"/>
  <c r="H21" i="17"/>
  <c r="I21" i="17"/>
  <c r="J21" i="17"/>
  <c r="L21" i="17"/>
  <c r="M21" i="17"/>
  <c r="N21" i="17"/>
  <c r="D22" i="17"/>
  <c r="E22" i="17"/>
  <c r="G22" i="17"/>
  <c r="H22" i="17"/>
  <c r="I22" i="17"/>
  <c r="J22" i="17"/>
  <c r="L22" i="17"/>
  <c r="M22" i="17"/>
  <c r="N22" i="17"/>
  <c r="C23" i="17"/>
  <c r="E23" i="17"/>
  <c r="L23" i="17"/>
  <c r="M23" i="17"/>
  <c r="N23" i="17"/>
  <c r="C24" i="17"/>
  <c r="E24" i="17"/>
  <c r="G24" i="17"/>
  <c r="H24" i="17"/>
  <c r="J24" i="17"/>
  <c r="L24" i="17"/>
  <c r="M24" i="17"/>
  <c r="N24" i="17"/>
  <c r="E25" i="17"/>
  <c r="J25" i="17"/>
  <c r="L25" i="17"/>
  <c r="M25" i="17"/>
  <c r="N25" i="17"/>
  <c r="E26" i="17"/>
  <c r="N26" i="17"/>
  <c r="E27" i="17"/>
  <c r="N27" i="17"/>
  <c r="E28" i="17"/>
  <c r="J28" i="17"/>
  <c r="L28" i="17"/>
  <c r="M28" i="17"/>
  <c r="N28" i="17"/>
  <c r="E29" i="17"/>
  <c r="J29" i="17"/>
  <c r="L29" i="17"/>
  <c r="M29" i="17"/>
  <c r="N29" i="17"/>
  <c r="C30" i="17"/>
  <c r="D30" i="17"/>
  <c r="E30" i="17"/>
  <c r="G30" i="17"/>
  <c r="H30" i="17"/>
  <c r="I30" i="17"/>
  <c r="J30" i="17"/>
  <c r="L30" i="17"/>
  <c r="M30" i="17"/>
  <c r="N30" i="17"/>
  <c r="E32" i="17"/>
  <c r="J32" i="17"/>
  <c r="L32" i="17"/>
  <c r="M32" i="17"/>
  <c r="N32" i="17"/>
  <c r="E33" i="17"/>
  <c r="J33" i="17"/>
  <c r="L33" i="17"/>
  <c r="M33" i="17"/>
  <c r="N33" i="17"/>
  <c r="C34" i="17"/>
  <c r="E34" i="17"/>
  <c r="G34" i="17"/>
  <c r="H34" i="17"/>
  <c r="I34" i="17"/>
  <c r="J34" i="17"/>
  <c r="L34" i="17"/>
  <c r="M34" i="17"/>
  <c r="N34" i="17"/>
  <c r="C35" i="17"/>
  <c r="D35" i="17"/>
  <c r="E35" i="17"/>
  <c r="G35" i="17"/>
  <c r="H35" i="17"/>
  <c r="I35" i="17"/>
  <c r="J35" i="17"/>
  <c r="L35" i="17"/>
  <c r="M35" i="17"/>
  <c r="N35" i="17"/>
  <c r="E37" i="17"/>
  <c r="J37" i="17"/>
  <c r="L37" i="17"/>
  <c r="M37" i="17"/>
  <c r="N37" i="17"/>
  <c r="E38" i="17"/>
  <c r="J38" i="17"/>
  <c r="L38" i="17"/>
  <c r="M38" i="17"/>
  <c r="N38" i="17"/>
  <c r="E39" i="17"/>
  <c r="J39" i="17"/>
  <c r="L39" i="17"/>
  <c r="M39" i="17"/>
  <c r="N39" i="17"/>
  <c r="C40" i="17"/>
  <c r="D40" i="17"/>
  <c r="E40" i="17"/>
  <c r="G40" i="17"/>
  <c r="H40" i="17"/>
  <c r="I40" i="17"/>
  <c r="J40" i="17"/>
  <c r="L40" i="17"/>
  <c r="M40" i="17"/>
  <c r="N40" i="17"/>
  <c r="E42" i="17"/>
  <c r="J42" i="17"/>
  <c r="L42" i="17"/>
  <c r="M42" i="17"/>
  <c r="N42" i="17"/>
  <c r="E43" i="17"/>
  <c r="G43" i="17"/>
  <c r="H43" i="17"/>
  <c r="J43" i="17"/>
  <c r="L43" i="17"/>
  <c r="M43" i="17"/>
  <c r="N43" i="17"/>
  <c r="E44" i="17"/>
  <c r="J44" i="17"/>
  <c r="L44" i="17"/>
  <c r="M44" i="17"/>
  <c r="N44" i="17"/>
  <c r="C45" i="17"/>
  <c r="D45" i="17"/>
  <c r="E45" i="17"/>
  <c r="J45" i="17"/>
  <c r="L45" i="17"/>
  <c r="M45" i="17"/>
  <c r="N45" i="17"/>
  <c r="C46" i="17"/>
  <c r="D46" i="17"/>
  <c r="E46" i="17"/>
  <c r="G46" i="17"/>
  <c r="H46" i="17"/>
  <c r="I46" i="17"/>
  <c r="J46" i="17"/>
  <c r="L46" i="17"/>
  <c r="M46" i="17"/>
  <c r="N46" i="17"/>
  <c r="E47" i="17"/>
  <c r="J47" i="17"/>
  <c r="L47" i="17"/>
  <c r="M47" i="17"/>
  <c r="N47" i="17"/>
  <c r="C48" i="17"/>
  <c r="D48" i="17"/>
  <c r="E48" i="17"/>
  <c r="G48" i="17"/>
  <c r="H48" i="17"/>
  <c r="I48" i="17"/>
  <c r="J48" i="17"/>
  <c r="L48" i="17"/>
  <c r="M48" i="17"/>
  <c r="N48" i="17"/>
  <c r="N3" i="13"/>
  <c r="C8" i="13"/>
  <c r="D8" i="13"/>
  <c r="E8" i="13"/>
  <c r="G8" i="13"/>
  <c r="H8" i="13"/>
  <c r="I8" i="13"/>
  <c r="J8" i="13"/>
  <c r="L8" i="13"/>
  <c r="M8" i="13"/>
  <c r="N8" i="13"/>
  <c r="C9" i="13"/>
  <c r="D9" i="13"/>
  <c r="E9" i="13"/>
  <c r="G9" i="13"/>
  <c r="H9" i="13"/>
  <c r="I9" i="13"/>
  <c r="J9" i="13"/>
  <c r="L9" i="13"/>
  <c r="M9" i="13"/>
  <c r="N9" i="13"/>
  <c r="C10" i="13"/>
  <c r="D10" i="13"/>
  <c r="E10" i="13"/>
  <c r="G10" i="13"/>
  <c r="H10" i="13"/>
  <c r="I10" i="13"/>
  <c r="J10" i="13"/>
  <c r="L10" i="13"/>
  <c r="M10" i="13"/>
  <c r="N10" i="13"/>
  <c r="C11" i="13"/>
  <c r="D11" i="13"/>
  <c r="E11" i="13"/>
  <c r="G11" i="13"/>
  <c r="H11" i="13"/>
  <c r="I11" i="13"/>
  <c r="J11" i="13"/>
  <c r="L11" i="13"/>
  <c r="M11" i="13"/>
  <c r="N11" i="13"/>
  <c r="C12" i="13"/>
  <c r="D12" i="13"/>
  <c r="E12" i="13"/>
  <c r="G12" i="13"/>
  <c r="H12" i="13"/>
  <c r="I12" i="13"/>
  <c r="J12" i="13"/>
  <c r="L12" i="13"/>
  <c r="M12" i="13"/>
  <c r="N12" i="13"/>
  <c r="C13" i="13"/>
  <c r="D13" i="13"/>
  <c r="E13" i="13"/>
  <c r="G13" i="13"/>
  <c r="H13" i="13"/>
  <c r="I13" i="13"/>
  <c r="J13" i="13"/>
  <c r="L13" i="13"/>
  <c r="M13" i="13"/>
  <c r="N13" i="13"/>
  <c r="C14" i="13"/>
  <c r="D14" i="13"/>
  <c r="E14" i="13"/>
  <c r="G14" i="13"/>
  <c r="H14" i="13"/>
  <c r="I14" i="13"/>
  <c r="J14" i="13"/>
  <c r="L14" i="13"/>
  <c r="M14" i="13"/>
  <c r="N14" i="13"/>
  <c r="C15" i="13"/>
  <c r="D15" i="13"/>
  <c r="E15" i="13"/>
  <c r="G15" i="13"/>
  <c r="H15" i="13"/>
  <c r="I15" i="13"/>
  <c r="J15" i="13"/>
  <c r="L15" i="13"/>
  <c r="M15" i="13"/>
  <c r="N15" i="13"/>
  <c r="C16" i="13"/>
  <c r="D16" i="13"/>
  <c r="E16" i="13"/>
  <c r="G16" i="13"/>
  <c r="H16" i="13"/>
  <c r="I16" i="13"/>
  <c r="J16" i="13"/>
  <c r="L16" i="13"/>
  <c r="M16" i="13"/>
  <c r="N16" i="13"/>
  <c r="C17" i="13"/>
  <c r="D17" i="13"/>
  <c r="E17" i="13"/>
  <c r="F17" i="13"/>
  <c r="G17" i="13"/>
  <c r="H17" i="13"/>
  <c r="I17" i="13"/>
  <c r="J17" i="13"/>
  <c r="L17" i="13"/>
  <c r="M17" i="13"/>
  <c r="N17" i="13"/>
  <c r="C19" i="13"/>
  <c r="D19" i="13"/>
  <c r="E19" i="13"/>
  <c r="G19" i="13"/>
  <c r="H19" i="13"/>
  <c r="I19" i="13"/>
  <c r="J19" i="13"/>
  <c r="L19" i="13"/>
  <c r="M19" i="13"/>
  <c r="N19" i="13"/>
  <c r="C20" i="13"/>
  <c r="D20" i="13"/>
  <c r="E20" i="13"/>
  <c r="G20" i="13"/>
  <c r="H20" i="13"/>
  <c r="I20" i="13"/>
  <c r="J20" i="13"/>
  <c r="L20" i="13"/>
  <c r="M20" i="13"/>
  <c r="N20" i="13"/>
  <c r="C21" i="13"/>
  <c r="D21" i="13"/>
  <c r="E21" i="13"/>
  <c r="G21" i="13"/>
  <c r="H21" i="13"/>
  <c r="I21" i="13"/>
  <c r="J21" i="13"/>
  <c r="L21" i="13"/>
  <c r="M21" i="13"/>
  <c r="N21" i="13"/>
  <c r="C22" i="13"/>
  <c r="D22" i="13"/>
  <c r="E22" i="13"/>
  <c r="G22" i="13"/>
  <c r="H22" i="13"/>
  <c r="I22" i="13"/>
  <c r="J22" i="13"/>
  <c r="L22" i="13"/>
  <c r="M22" i="13"/>
  <c r="N22" i="13"/>
  <c r="C23" i="13"/>
  <c r="D23" i="13"/>
  <c r="E23" i="13"/>
  <c r="G23" i="13"/>
  <c r="H23" i="13"/>
  <c r="I23" i="13"/>
  <c r="J23" i="13"/>
  <c r="L23" i="13"/>
  <c r="M23" i="13"/>
  <c r="N23" i="13"/>
  <c r="C24" i="13"/>
  <c r="D24" i="13"/>
  <c r="E24" i="13"/>
  <c r="G24" i="13"/>
  <c r="H24" i="13"/>
  <c r="I24" i="13"/>
  <c r="J24" i="13"/>
  <c r="L24" i="13"/>
  <c r="M24" i="13"/>
  <c r="N24" i="13"/>
  <c r="C25" i="13"/>
  <c r="D25" i="13"/>
  <c r="E25" i="13"/>
  <c r="G25" i="13"/>
  <c r="H25" i="13"/>
  <c r="I25" i="13"/>
  <c r="J25" i="13"/>
  <c r="L25" i="13"/>
  <c r="M25" i="13"/>
  <c r="N25" i="13"/>
  <c r="C26" i="13"/>
  <c r="D26" i="13"/>
  <c r="E26" i="13"/>
  <c r="G26" i="13"/>
  <c r="H26" i="13"/>
  <c r="I26" i="13"/>
  <c r="J26" i="13"/>
  <c r="L26" i="13"/>
  <c r="M26" i="13"/>
  <c r="N26" i="13"/>
  <c r="C27" i="13"/>
  <c r="D27" i="13"/>
  <c r="E27" i="13"/>
  <c r="G27" i="13"/>
  <c r="H27" i="13"/>
  <c r="I27" i="13"/>
  <c r="J27" i="13"/>
  <c r="L27" i="13"/>
  <c r="M27" i="13"/>
  <c r="N27" i="13"/>
  <c r="C28" i="13"/>
  <c r="D28" i="13"/>
  <c r="E28" i="13"/>
  <c r="G28" i="13"/>
  <c r="H28" i="13"/>
  <c r="I28" i="13"/>
  <c r="J28" i="13"/>
  <c r="L28" i="13"/>
  <c r="M28" i="13"/>
  <c r="N28" i="13"/>
  <c r="C29" i="13"/>
  <c r="D29" i="13"/>
  <c r="E29" i="13"/>
  <c r="G29" i="13"/>
  <c r="H29" i="13"/>
  <c r="I29" i="13"/>
  <c r="J29" i="13"/>
  <c r="L29" i="13"/>
  <c r="M29" i="13"/>
  <c r="N29" i="13"/>
  <c r="C30" i="13"/>
  <c r="D30" i="13"/>
  <c r="E30" i="13"/>
  <c r="F30" i="13"/>
  <c r="G30" i="13"/>
  <c r="H30" i="13"/>
  <c r="I30" i="13"/>
  <c r="J30" i="13"/>
  <c r="L30" i="13"/>
  <c r="M30" i="13"/>
  <c r="N30" i="13"/>
  <c r="C32" i="13"/>
  <c r="D32" i="13"/>
  <c r="E32" i="13"/>
  <c r="G32" i="13"/>
  <c r="H32" i="13"/>
  <c r="I32" i="13"/>
  <c r="J32" i="13"/>
  <c r="L32" i="13"/>
  <c r="M32" i="13"/>
  <c r="N32" i="13"/>
  <c r="C33" i="13"/>
  <c r="D33" i="13"/>
  <c r="E33" i="13"/>
  <c r="G33" i="13"/>
  <c r="H33" i="13"/>
  <c r="I33" i="13"/>
  <c r="J33" i="13"/>
  <c r="L33" i="13"/>
  <c r="M33" i="13"/>
  <c r="N33" i="13"/>
  <c r="C34" i="13"/>
  <c r="D34" i="13"/>
  <c r="E34" i="13"/>
  <c r="G34" i="13"/>
  <c r="H34" i="13"/>
  <c r="I34" i="13"/>
  <c r="J34" i="13"/>
  <c r="L34" i="13"/>
  <c r="M34" i="13"/>
  <c r="N34" i="13"/>
  <c r="C35" i="13"/>
  <c r="D35" i="13"/>
  <c r="E35" i="13"/>
  <c r="G35" i="13"/>
  <c r="H35" i="13"/>
  <c r="I35" i="13"/>
  <c r="J35" i="13"/>
  <c r="L35" i="13"/>
  <c r="M35" i="13"/>
  <c r="N35" i="13"/>
  <c r="C37" i="13"/>
  <c r="D37" i="13"/>
  <c r="E37" i="13"/>
  <c r="G37" i="13"/>
  <c r="H37" i="13"/>
  <c r="I37" i="13"/>
  <c r="J37" i="13"/>
  <c r="L37" i="13"/>
  <c r="M37" i="13"/>
  <c r="N37" i="13"/>
  <c r="C38" i="13"/>
  <c r="D38" i="13"/>
  <c r="E38" i="13"/>
  <c r="G38" i="13"/>
  <c r="H38" i="13"/>
  <c r="I38" i="13"/>
  <c r="J38" i="13"/>
  <c r="L38" i="13"/>
  <c r="M38" i="13"/>
  <c r="N38" i="13"/>
  <c r="C39" i="13"/>
  <c r="D39" i="13"/>
  <c r="E39" i="13"/>
  <c r="G39" i="13"/>
  <c r="H39" i="13"/>
  <c r="J39" i="13"/>
  <c r="L39" i="13"/>
  <c r="M39" i="13"/>
  <c r="N39" i="13"/>
  <c r="C40" i="13"/>
  <c r="D40" i="13"/>
  <c r="E40" i="13"/>
  <c r="G40" i="13"/>
  <c r="H40" i="13"/>
  <c r="I40" i="13"/>
  <c r="J40" i="13"/>
  <c r="L40" i="13"/>
  <c r="M40" i="13"/>
  <c r="N40" i="13"/>
  <c r="E42" i="13"/>
  <c r="G42" i="13"/>
  <c r="H42" i="13"/>
  <c r="J42" i="13"/>
  <c r="L42" i="13"/>
  <c r="M42" i="13"/>
  <c r="N42" i="13"/>
  <c r="E43" i="13"/>
  <c r="G43" i="13"/>
  <c r="H43" i="13"/>
  <c r="J43" i="13"/>
  <c r="L43" i="13"/>
  <c r="M43" i="13"/>
  <c r="N43" i="13"/>
  <c r="E44" i="13"/>
  <c r="G44" i="13"/>
  <c r="H44" i="13"/>
  <c r="J44" i="13"/>
  <c r="L44" i="13"/>
  <c r="M44" i="13"/>
  <c r="N44" i="13"/>
  <c r="E45" i="13"/>
  <c r="G45" i="13"/>
  <c r="H45" i="13"/>
  <c r="J45" i="13"/>
  <c r="L45" i="13"/>
  <c r="M45" i="13"/>
  <c r="N45" i="13"/>
  <c r="C46" i="13"/>
  <c r="D46" i="13"/>
  <c r="E46" i="13"/>
  <c r="G46" i="13"/>
  <c r="H46" i="13"/>
  <c r="J46" i="13"/>
  <c r="L46" i="13"/>
  <c r="M46" i="13"/>
  <c r="N46" i="13"/>
  <c r="E47" i="13"/>
  <c r="G47" i="13"/>
  <c r="H47" i="13"/>
  <c r="I47" i="13"/>
  <c r="J47" i="13"/>
  <c r="L47" i="13"/>
  <c r="M47" i="13"/>
  <c r="N47" i="13"/>
  <c r="C48" i="13"/>
  <c r="D48" i="13"/>
  <c r="E48" i="13"/>
  <c r="G48" i="13"/>
  <c r="H48" i="13"/>
  <c r="I48" i="13"/>
  <c r="J48" i="13"/>
  <c r="L48" i="13"/>
  <c r="M48" i="13"/>
  <c r="N48" i="13"/>
  <c r="E49" i="13"/>
  <c r="G49" i="13"/>
  <c r="H49" i="13"/>
  <c r="J49" i="13"/>
  <c r="L49" i="13"/>
  <c r="M49" i="13"/>
  <c r="N49" i="13"/>
  <c r="C50" i="13"/>
  <c r="D50" i="13"/>
  <c r="E50" i="13"/>
  <c r="G50" i="13"/>
  <c r="H50" i="13"/>
  <c r="I50" i="13"/>
  <c r="J50" i="13"/>
  <c r="L50" i="13"/>
  <c r="M50" i="13"/>
  <c r="N50" i="13"/>
  <c r="E55" i="13"/>
  <c r="I55" i="13"/>
  <c r="E56" i="13"/>
  <c r="I56" i="13"/>
  <c r="E57" i="13"/>
  <c r="J57" i="13"/>
  <c r="E59" i="13"/>
  <c r="I59" i="13"/>
  <c r="E62" i="13"/>
  <c r="I62" i="13"/>
  <c r="E63" i="13"/>
  <c r="I63" i="13"/>
  <c r="E65" i="13"/>
  <c r="I65" i="13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N3" i="18"/>
  <c r="C8" i="18"/>
  <c r="D8" i="18"/>
  <c r="E8" i="18"/>
  <c r="G8" i="18"/>
  <c r="H8" i="18"/>
  <c r="I8" i="18"/>
  <c r="J8" i="18"/>
  <c r="L8" i="18"/>
  <c r="M8" i="18"/>
  <c r="N8" i="18"/>
  <c r="C9" i="18"/>
  <c r="D9" i="18"/>
  <c r="E9" i="18"/>
  <c r="G9" i="18"/>
  <c r="H9" i="18"/>
  <c r="I9" i="18"/>
  <c r="J9" i="18"/>
  <c r="L9" i="18"/>
  <c r="M9" i="18"/>
  <c r="N9" i="18"/>
  <c r="C10" i="18"/>
  <c r="D10" i="18"/>
  <c r="E10" i="18"/>
  <c r="G10" i="18"/>
  <c r="H10" i="18"/>
  <c r="I10" i="18"/>
  <c r="J10" i="18"/>
  <c r="L10" i="18"/>
  <c r="M10" i="18"/>
  <c r="N10" i="18"/>
  <c r="C11" i="18"/>
  <c r="D11" i="18"/>
  <c r="E11" i="18"/>
  <c r="G11" i="18"/>
  <c r="H11" i="18"/>
  <c r="I11" i="18"/>
  <c r="J11" i="18"/>
  <c r="L11" i="18"/>
  <c r="M11" i="18"/>
  <c r="N11" i="18"/>
  <c r="C12" i="18"/>
  <c r="D12" i="18"/>
  <c r="E12" i="18"/>
  <c r="G12" i="18"/>
  <c r="H12" i="18"/>
  <c r="I12" i="18"/>
  <c r="J12" i="18"/>
  <c r="L12" i="18"/>
  <c r="M12" i="18"/>
  <c r="N12" i="18"/>
  <c r="C13" i="18"/>
  <c r="D13" i="18"/>
  <c r="E13" i="18"/>
  <c r="G13" i="18"/>
  <c r="H13" i="18"/>
  <c r="I13" i="18"/>
  <c r="J13" i="18"/>
  <c r="L13" i="18"/>
  <c r="M13" i="18"/>
  <c r="N13" i="18"/>
  <c r="C14" i="18"/>
  <c r="D14" i="18"/>
  <c r="E14" i="18"/>
  <c r="G14" i="18"/>
  <c r="H14" i="18"/>
  <c r="I14" i="18"/>
  <c r="J14" i="18"/>
  <c r="L14" i="18"/>
  <c r="M14" i="18"/>
  <c r="N14" i="18"/>
  <c r="C15" i="18"/>
  <c r="D15" i="18"/>
  <c r="E15" i="18"/>
  <c r="G15" i="18"/>
  <c r="H15" i="18"/>
  <c r="I15" i="18"/>
  <c r="J15" i="18"/>
  <c r="L15" i="18"/>
  <c r="M15" i="18"/>
  <c r="N15" i="18"/>
  <c r="C16" i="18"/>
  <c r="D16" i="18"/>
  <c r="E16" i="18"/>
  <c r="G16" i="18"/>
  <c r="H16" i="18"/>
  <c r="I16" i="18"/>
  <c r="J16" i="18"/>
  <c r="L16" i="18"/>
  <c r="M16" i="18"/>
  <c r="N16" i="18"/>
  <c r="C17" i="18"/>
  <c r="D17" i="18"/>
  <c r="E17" i="18"/>
  <c r="G17" i="18"/>
  <c r="H17" i="18"/>
  <c r="I17" i="18"/>
  <c r="J17" i="18"/>
  <c r="L17" i="18"/>
  <c r="M17" i="18"/>
  <c r="N17" i="18"/>
  <c r="C19" i="18"/>
  <c r="D19" i="18"/>
  <c r="E19" i="18"/>
  <c r="G19" i="18"/>
  <c r="H19" i="18"/>
  <c r="I19" i="18"/>
  <c r="J19" i="18"/>
  <c r="L19" i="18"/>
  <c r="M19" i="18"/>
  <c r="N19" i="18"/>
  <c r="C20" i="18"/>
  <c r="D20" i="18"/>
  <c r="E20" i="18"/>
  <c r="G20" i="18"/>
  <c r="H20" i="18"/>
  <c r="I20" i="18"/>
  <c r="J20" i="18"/>
  <c r="L20" i="18"/>
  <c r="M20" i="18"/>
  <c r="N20" i="18"/>
  <c r="C21" i="18"/>
  <c r="D21" i="18"/>
  <c r="E21" i="18"/>
  <c r="G21" i="18"/>
  <c r="H21" i="18"/>
  <c r="I21" i="18"/>
  <c r="J21" i="18"/>
  <c r="L21" i="18"/>
  <c r="M21" i="18"/>
  <c r="N21" i="18"/>
  <c r="C22" i="18"/>
  <c r="D22" i="18"/>
  <c r="E22" i="18"/>
  <c r="G22" i="18"/>
  <c r="H22" i="18"/>
  <c r="I22" i="18"/>
  <c r="J22" i="18"/>
  <c r="L22" i="18"/>
  <c r="M22" i="18"/>
  <c r="N22" i="18"/>
  <c r="C23" i="18"/>
  <c r="D23" i="18"/>
  <c r="E23" i="18"/>
  <c r="G23" i="18"/>
  <c r="H23" i="18"/>
  <c r="I23" i="18"/>
  <c r="J23" i="18"/>
  <c r="L23" i="18"/>
  <c r="M23" i="18"/>
  <c r="N23" i="18"/>
  <c r="C24" i="18"/>
  <c r="D24" i="18"/>
  <c r="E24" i="18"/>
  <c r="G24" i="18"/>
  <c r="H24" i="18"/>
  <c r="I24" i="18"/>
  <c r="J24" i="18"/>
  <c r="L24" i="18"/>
  <c r="M24" i="18"/>
  <c r="N24" i="18"/>
  <c r="C25" i="18"/>
  <c r="D25" i="18"/>
  <c r="E25" i="18"/>
  <c r="G25" i="18"/>
  <c r="H25" i="18"/>
  <c r="I25" i="18"/>
  <c r="J25" i="18"/>
  <c r="L25" i="18"/>
  <c r="M25" i="18"/>
  <c r="N25" i="18"/>
  <c r="E26" i="18"/>
  <c r="I26" i="18"/>
  <c r="J26" i="18"/>
  <c r="N26" i="18"/>
  <c r="E27" i="18"/>
  <c r="I27" i="18"/>
  <c r="J27" i="18"/>
  <c r="N27" i="18"/>
  <c r="C28" i="18"/>
  <c r="D28" i="18"/>
  <c r="E28" i="18"/>
  <c r="G28" i="18"/>
  <c r="H28" i="18"/>
  <c r="I28" i="18"/>
  <c r="J28" i="18"/>
  <c r="L28" i="18"/>
  <c r="M28" i="18"/>
  <c r="N28" i="18"/>
  <c r="C29" i="18"/>
  <c r="D29" i="18"/>
  <c r="E29" i="18"/>
  <c r="G29" i="18"/>
  <c r="H29" i="18"/>
  <c r="I29" i="18"/>
  <c r="J29" i="18"/>
  <c r="L29" i="18"/>
  <c r="M29" i="18"/>
  <c r="N29" i="18"/>
  <c r="C30" i="18"/>
  <c r="D30" i="18"/>
  <c r="E30" i="18"/>
  <c r="G30" i="18"/>
  <c r="H30" i="18"/>
  <c r="I30" i="18"/>
  <c r="J30" i="18"/>
  <c r="L30" i="18"/>
  <c r="M30" i="18"/>
  <c r="N30" i="18"/>
  <c r="C32" i="18"/>
  <c r="D32" i="18"/>
  <c r="E32" i="18"/>
  <c r="G32" i="18"/>
  <c r="H32" i="18"/>
  <c r="I32" i="18"/>
  <c r="J32" i="18"/>
  <c r="L32" i="18"/>
  <c r="M32" i="18"/>
  <c r="N32" i="18"/>
  <c r="C33" i="18"/>
  <c r="D33" i="18"/>
  <c r="E33" i="18"/>
  <c r="G33" i="18"/>
  <c r="H33" i="18"/>
  <c r="I33" i="18"/>
  <c r="J33" i="18"/>
  <c r="L33" i="18"/>
  <c r="M33" i="18"/>
  <c r="N33" i="18"/>
  <c r="C34" i="18"/>
  <c r="D34" i="18"/>
  <c r="E34" i="18"/>
  <c r="G34" i="18"/>
  <c r="H34" i="18"/>
  <c r="I34" i="18"/>
  <c r="J34" i="18"/>
  <c r="L34" i="18"/>
  <c r="M34" i="18"/>
  <c r="N34" i="18"/>
  <c r="C35" i="18"/>
  <c r="D35" i="18"/>
  <c r="E35" i="18"/>
  <c r="G35" i="18"/>
  <c r="H35" i="18"/>
  <c r="I35" i="18"/>
  <c r="J35" i="18"/>
  <c r="L35" i="18"/>
  <c r="M35" i="18"/>
  <c r="N35" i="18"/>
  <c r="C37" i="18"/>
  <c r="D37" i="18"/>
  <c r="E37" i="18"/>
  <c r="G37" i="18"/>
  <c r="H37" i="18"/>
  <c r="I37" i="18"/>
  <c r="J37" i="18"/>
  <c r="L37" i="18"/>
  <c r="M37" i="18"/>
  <c r="N37" i="18"/>
  <c r="C38" i="18"/>
  <c r="D38" i="18"/>
  <c r="E38" i="18"/>
  <c r="G38" i="18"/>
  <c r="H38" i="18"/>
  <c r="I38" i="18"/>
  <c r="J38" i="18"/>
  <c r="L38" i="18"/>
  <c r="M38" i="18"/>
  <c r="N38" i="18"/>
  <c r="C39" i="18"/>
  <c r="D39" i="18"/>
  <c r="E39" i="18"/>
  <c r="G39" i="18"/>
  <c r="H39" i="18"/>
  <c r="I39" i="18"/>
  <c r="J39" i="18"/>
  <c r="L39" i="18"/>
  <c r="M39" i="18"/>
  <c r="N39" i="18"/>
  <c r="C40" i="18"/>
  <c r="D40" i="18"/>
  <c r="E40" i="18"/>
  <c r="G40" i="18"/>
  <c r="H40" i="18"/>
  <c r="I40" i="18"/>
  <c r="J40" i="18"/>
  <c r="L40" i="18"/>
  <c r="M40" i="18"/>
  <c r="N40" i="18"/>
  <c r="C42" i="18"/>
  <c r="D42" i="18"/>
  <c r="E42" i="18"/>
  <c r="G42" i="18"/>
  <c r="H42" i="18"/>
  <c r="I42" i="18"/>
  <c r="J42" i="18"/>
  <c r="L42" i="18"/>
  <c r="M42" i="18"/>
  <c r="N42" i="18"/>
  <c r="C43" i="18"/>
  <c r="D43" i="18"/>
  <c r="E43" i="18"/>
  <c r="G43" i="18"/>
  <c r="H43" i="18"/>
  <c r="I43" i="18"/>
  <c r="J43" i="18"/>
  <c r="L43" i="18"/>
  <c r="M43" i="18"/>
  <c r="N43" i="18"/>
  <c r="C44" i="18"/>
  <c r="D44" i="18"/>
  <c r="E44" i="18"/>
  <c r="G44" i="18"/>
  <c r="H44" i="18"/>
  <c r="I44" i="18"/>
  <c r="J44" i="18"/>
  <c r="L44" i="18"/>
  <c r="M44" i="18"/>
  <c r="N44" i="18"/>
  <c r="C45" i="18"/>
  <c r="D45" i="18"/>
  <c r="E45" i="18"/>
  <c r="G45" i="18"/>
  <c r="H45" i="18"/>
  <c r="I45" i="18"/>
  <c r="J45" i="18"/>
  <c r="L45" i="18"/>
  <c r="M45" i="18"/>
  <c r="N45" i="18"/>
  <c r="C46" i="18"/>
  <c r="D46" i="18"/>
  <c r="E46" i="18"/>
  <c r="G46" i="18"/>
  <c r="H46" i="18"/>
  <c r="I46" i="18"/>
  <c r="J46" i="18"/>
  <c r="L46" i="18"/>
  <c r="M46" i="18"/>
  <c r="N46" i="18"/>
  <c r="C47" i="18"/>
  <c r="D47" i="18"/>
  <c r="E47" i="18"/>
  <c r="G47" i="18"/>
  <c r="H47" i="18"/>
  <c r="I47" i="18"/>
  <c r="J47" i="18"/>
  <c r="L47" i="18"/>
  <c r="M47" i="18"/>
  <c r="N47" i="18"/>
  <c r="C48" i="18"/>
  <c r="D48" i="18"/>
  <c r="E48" i="18"/>
  <c r="G48" i="18"/>
  <c r="H48" i="18"/>
  <c r="I48" i="18"/>
  <c r="J48" i="18"/>
  <c r="L48" i="18"/>
  <c r="M48" i="18"/>
  <c r="N48" i="18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<sst xmlns="http://schemas.openxmlformats.org/spreadsheetml/2006/main" count="1145" uniqueCount="317">
  <si>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</si>
  <si>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</si>
  <si>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</si>
  <si>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</si>
  <si>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</si>
  <si>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</si>
  <si>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</si>
  <si>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</si>
  <si>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</si>
  <si>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</si>
  <si>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</si>
  <si>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</si>
  <si>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</si>
  <si>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</si>
  <si>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</si>
  <si>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</si>
  <si>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</si>
  <si>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</si>
  <si>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</si>
  <si>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</si>
  <si>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</si>
  <si>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</si>
  <si>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</si>
  <si>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</si>
  <si>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</si>
  <si>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</si>
  <si>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</si>
  <si>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</si>
  <si>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</si>
  <si>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</si>
  <si>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</si>
  <si>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</si>
  <si>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</si>
  <si>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</si>
  <si>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</si>
  <si>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</si>
  <si>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</si>
  <si>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</si>
  <si>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</si>
  <si>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</si>
  <si>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</si>
  <si>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</si>
  <si>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</si>
  <si>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</si>
  <si>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</si>
  <si>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</si>
  <si>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</si>
  <si>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</si>
  <si>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</si>
  <si>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</si>
  <si>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</si>
  <si>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</si>
  <si>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</si>
  <si>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</si>
  <si>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</si>
  <si>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</si>
  <si>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</si>
  <si>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</si>
  <si>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</si>
  <si>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</si>
  <si>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</si>
  <si>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</si>
  <si>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</si>
  <si>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</si>
  <si>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</si>
  <si>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</si>
  <si>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</si>
  <si>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</si>
  <si>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</si>
  <si>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</si>
  <si>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</si>
  <si>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</si>
  <si>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</si>
  <si>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</si>
  <si>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</si>
  <si>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</si>
  <si>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</si>
  <si>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</si>
  <si>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</si>
  <si>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</si>
  <si>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</si>
  <si>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</si>
  <si>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</si>
  <si>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</si>
  <si>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</si>
  <si>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</si>
  <si>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</si>
  <si>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</si>
  <si>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</si>
  <si>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</si>
  <si>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</si>
  <si>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</si>
  <si>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</si>
  <si>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</si>
  <si>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</si>
  <si>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</si>
  <si>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</si>
  <si>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</si>
  <si>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</si>
  <si>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</si>
  <si>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</si>
  <si>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</si>
  <si>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</si>
  <si>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</si>
  <si>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</si>
  <si>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</si>
  <si>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</si>
  <si>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</si>
  <si>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</si>
  <si>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</si>
  <si>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</si>
  <si>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</si>
  <si>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</si>
  <si>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</si>
  <si>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</si>
  <si>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</si>
  <si>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</si>
  <si>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</si>
  <si>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</si>
  <si>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</si>
  <si>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</si>
  <si>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</si>
  <si>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</si>
  <si>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</si>
  <si>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</si>
  <si>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</si>
  <si>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</si>
  <si>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</si>
  <si>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</si>
  <si>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</si>
  <si>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</si>
  <si>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</si>
  <si>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</si>
  <si>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</si>
  <si>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</si>
  <si>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</si>
  <si>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</si>
  <si>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</si>
  <si>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</si>
  <si>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</si>
  <si>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</si>
  <si>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</si>
  <si>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</si>
  <si>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</si>
  <si>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</si>
  <si>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</si>
  <si>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</si>
  <si>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</si>
  <si>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</si>
  <si>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</si>
  <si>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</si>
  <si>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</si>
  <si>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</si>
  <si>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</si>
  <si>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</si>
  <si>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</si>
  <si>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</si>
  <si>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</si>
  <si>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</si>
  <si>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</si>
  <si>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</si>
  <si>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</si>
  <si>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</si>
  <si>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</si>
  <si>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</si>
  <si>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</si>
  <si>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</si>
  <si>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</si>
  <si>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</si>
  <si>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</si>
  <si>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</si>
  <si>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</si>
  <si>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</si>
  <si>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</si>
  <si>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</si>
  <si>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</si>
  <si>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</si>
  <si>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</si>
  <si>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</si>
  <si>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</si>
  <si>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</si>
  <si>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</si>
  <si>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</si>
  <si>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</si>
  <si>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</si>
  <si>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</si>
  <si>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</si>
  <si>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</si>
  <si>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</si>
  <si>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</si>
  <si>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</si>
  <si>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</si>
  <si>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</si>
  <si>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</si>
  <si>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</si>
  <si>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</si>
  <si>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</si>
  <si>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</si>
  <si>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</si>
  <si>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</si>
  <si>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</si>
  <si>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</si>
  <si>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</si>
  <si>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</si>
  <si>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</si>
  <si>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</si>
  <si>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</si>
  <si>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</si>
  <si>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</si>
  <si>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</si>
  <si>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</si>
  <si>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</si>
  <si>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</si>
  <si>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</si>
  <si>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</si>
  <si>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</si>
  <si>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</si>
  <si>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</si>
  <si>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</si>
  <si>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</si>
  <si>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</si>
  <si>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</si>
  <si>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</si>
  <si>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</si>
  <si>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</si>
  <si>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t>EBIT</t>
  </si>
  <si>
    <t>EEX Insurance</t>
  </si>
  <si>
    <t>Overdyke</t>
  </si>
  <si>
    <t>Plan*</t>
  </si>
  <si>
    <t>Industrial Downstream</t>
  </si>
  <si>
    <t>DWNSTRM_IND_ORIG</t>
  </si>
  <si>
    <t>GAS_TRAD</t>
  </si>
  <si>
    <t>GAS_trad</t>
  </si>
  <si>
    <t xml:space="preserve">Industrial Downstream </t>
  </si>
  <si>
    <t>DEALS IDENTIFIED</t>
  </si>
  <si>
    <t>Prior Week: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</si>
  <si>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</si>
  <si>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</si>
  <si>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</si>
  <si>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</si>
  <si>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</si>
  <si>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</si>
  <si>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Cap Charge</t>
  </si>
  <si>
    <t>Cash Exp</t>
  </si>
  <si>
    <t>This Week:</t>
  </si>
  <si>
    <t>Operating Expense</t>
  </si>
  <si>
    <t>2ND QUARTER 2000 EXPENSES-Weekly Change</t>
  </si>
  <si>
    <t>DPR Change</t>
  </si>
  <si>
    <t>ENA Upstream Assets</t>
  </si>
  <si>
    <t>ENA Upstream Assets - Trading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</si>
  <si>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</si>
  <si>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</si>
  <si>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</si>
  <si>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</si>
  <si>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</si>
  <si>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</si>
  <si>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</si>
  <si>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Energy Capital Services</t>
  </si>
  <si>
    <t>Merlin (HV Marine, LSI, Ridgelake)</t>
  </si>
  <si>
    <r>
      <t xml:space="preserve">DPR </t>
    </r>
    <r>
      <rPr>
        <sz val="6"/>
        <rFont val="Arial Narrow"/>
        <family val="2"/>
      </rPr>
      <t>(1)</t>
    </r>
  </si>
  <si>
    <t>(1) Excludes Cap. Charge &amp; Operating Costs</t>
  </si>
  <si>
    <t xml:space="preserve">Other </t>
  </si>
  <si>
    <t>Coal-Trading</t>
  </si>
  <si>
    <t>Coal-Origination &amp; Finance</t>
  </si>
  <si>
    <t>Coal Origination &amp; Finance</t>
  </si>
  <si>
    <t>Coal Origination &amp; Trading</t>
  </si>
  <si>
    <t>Generation Investments/IPP</t>
  </si>
  <si>
    <t>Energy Capital Resources</t>
  </si>
  <si>
    <t>Trading</t>
  </si>
  <si>
    <t>Other Expenses:</t>
  </si>
  <si>
    <t>Commercial Expense</t>
  </si>
  <si>
    <t>Increase due to $1MM unaccounted gas write-off from PY and add'l PY write-offs.</t>
  </si>
  <si>
    <t>Texas Desk</t>
  </si>
  <si>
    <t>Texas Trading</t>
  </si>
  <si>
    <t>Enron Net Works</t>
  </si>
  <si>
    <t>Coal Trading</t>
  </si>
  <si>
    <t>Total Trading &amp; Risk Mgmt.</t>
  </si>
  <si>
    <t>Enron Net Works Allocated to Teams</t>
  </si>
  <si>
    <t>Turbines</t>
  </si>
  <si>
    <t>Headcount is 31 FTE's over plan</t>
  </si>
  <si>
    <t>London &amp; Australia Expenses are running over plan</t>
  </si>
  <si>
    <t>Did not execute a prepay</t>
  </si>
  <si>
    <t xml:space="preserve">Turbines </t>
  </si>
  <si>
    <t>FTE's over by 20, Increased special pays, Franchise taxes paid in April</t>
  </si>
  <si>
    <t>Special Pays in May</t>
  </si>
  <si>
    <t>Offset in allocated expenses &amp; Bonus Accrual</t>
  </si>
  <si>
    <t xml:space="preserve"> </t>
  </si>
  <si>
    <t>MPR Change</t>
  </si>
  <si>
    <t>Other Margin Changes</t>
  </si>
  <si>
    <t>HPL</t>
  </si>
  <si>
    <t>LRC</t>
  </si>
  <si>
    <t>lrc</t>
  </si>
  <si>
    <t>Emissions (Coal)</t>
  </si>
  <si>
    <t>Special Pay in April &amp; May, &amp; Turbines</t>
  </si>
  <si>
    <t>Merlin (Canfibre, Heartland) and Condor, Carrizo</t>
  </si>
  <si>
    <t>Mariner Term Loan</t>
  </si>
  <si>
    <t>Merlin (ECP Sub-note)</t>
  </si>
  <si>
    <t>More Accurate 2000 Peaker's numbers and Utilities &amp; Labor over budgeted.</t>
  </si>
  <si>
    <t>** Emissions Losses of $1.6M are reflected in Power Trading Margin</t>
  </si>
  <si>
    <t>Upstream Originations</t>
  </si>
  <si>
    <t>Margin change from: 06/16/00</t>
  </si>
  <si>
    <t>Expense changes from: 06/16/00</t>
  </si>
  <si>
    <t>Headcount is over Plan by 28FTE's &amp; Ft. James.  Outside services are also over plan</t>
  </si>
  <si>
    <t>London direct and allocated expenses are over plan</t>
  </si>
  <si>
    <t>Downstream is aprox. 22 FTE's Under plan</t>
  </si>
  <si>
    <t>Downstream is approx 23 FTE's under plan</t>
  </si>
  <si>
    <t>HPl</t>
  </si>
  <si>
    <t>Results based on Activity through June 22, 2000</t>
  </si>
  <si>
    <t>Additional Bammel write off.</t>
  </si>
  <si>
    <t>Offset in Operating Expenses</t>
  </si>
  <si>
    <t>Offset in direct expenses</t>
  </si>
  <si>
    <t>Additional expenses from insurance--EEX Interest rate swap.</t>
  </si>
  <si>
    <t>EEX interest Rate Swap</t>
  </si>
  <si>
    <t>Additional special pay in May</t>
  </si>
  <si>
    <t>Compensation over plan</t>
  </si>
  <si>
    <t>Canada Severance &amp; Ft James write off</t>
  </si>
  <si>
    <t>Headcount is over Plan by 28FTE's .  Outside services are also over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</si>
</sst>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4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i/>
      <sz val="8"/>
      <name val="Arial"/>
      <family val="2"/>
    </font>
    <font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0" fillId="0" borderId="4" xfId="0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39" fillId="2" borderId="25" xfId="1" applyNumberFormat="1" applyFont="1" applyFill="1" applyBorder="1" applyAlignment="1">
      <alignment vertical="center"/>
    </xf>
    <xf numFmtId="0" fontId="40" fillId="2" borderId="10" xfId="0" applyFont="1" applyFill="1" applyBorder="1"/>
    <xf numFmtId="0" fontId="40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39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3" fillId="0" borderId="0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8" xfId="0" quotePrefix="1" applyFont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0" fontId="41" fillId="0" borderId="4" xfId="0" applyFont="1" applyBorder="1"/>
    <xf numFmtId="0" fontId="9" fillId="0" borderId="37" xfId="0" applyFont="1" applyBorder="1"/>
    <xf numFmtId="165" fontId="2" fillId="0" borderId="2" xfId="2" applyNumberFormat="1" applyFont="1" applyBorder="1"/>
    <xf numFmtId="165" fontId="2" fillId="0" borderId="0" xfId="2" applyNumberFormat="1" applyFont="1" applyBorder="1"/>
    <xf numFmtId="165" fontId="3" fillId="0" borderId="1" xfId="2" applyNumberFormat="1" applyFont="1" applyBorder="1"/>
    <xf numFmtId="165" fontId="3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9" fillId="3" borderId="20" xfId="0" applyFont="1" applyFill="1" applyBorder="1"/>
    <xf numFmtId="165" fontId="2" fillId="0" borderId="8" xfId="2" applyNumberFormat="1" applyFont="1" applyBorder="1"/>
    <xf numFmtId="165" fontId="2" fillId="0" borderId="9" xfId="2" applyNumberFormat="1" applyFont="1" applyBorder="1"/>
    <xf numFmtId="165" fontId="3" fillId="0" borderId="14" xfId="2" applyNumberFormat="1" applyFont="1" applyBorder="1"/>
    <xf numFmtId="0" fontId="37" fillId="0" borderId="45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40" fillId="2" borderId="10" xfId="0" applyFont="1" applyFill="1" applyBorder="1" applyAlignment="1">
      <alignment horizontal="left"/>
    </xf>
    <xf numFmtId="0" fontId="40" fillId="2" borderId="11" xfId="0" applyFont="1" applyFill="1" applyBorder="1" applyAlignment="1">
      <alignment horizontal="left"/>
    </xf>
    <xf numFmtId="0" fontId="40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4577" name="Text Box 1"/>
        <xdr:cNvSpPr txBox="1">
          <a:spLocks noChangeArrowheads="1"/>
        </xdr:cNvSpPr>
      </xdr:nvSpPr>
      <xdr:spPr bwMode="auto">
        <a:xfrm>
          <a:off x="75361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4578" name="Line 2"/>
        <xdr:cNvSpPr>
          <a:spLocks noChangeShapeType="1"/>
        </xdr:cNvSpPr>
      </xdr:nvSpPr>
      <xdr:spPr bwMode="auto">
        <a:xfrm flipH="1">
          <a:off x="7620" y="45720"/>
          <a:ext cx="3421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4579" name="Line 3"/>
        <xdr:cNvSpPr>
          <a:spLocks noChangeShapeType="1"/>
        </xdr:cNvSpPr>
      </xdr:nvSpPr>
      <xdr:spPr bwMode="auto">
        <a:xfrm flipH="1">
          <a:off x="2141220" y="800100"/>
          <a:ext cx="5326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4580" name="Text Box 4"/>
        <xdr:cNvSpPr txBox="1">
          <a:spLocks noChangeArrowheads="1"/>
        </xdr:cNvSpPr>
      </xdr:nvSpPr>
      <xdr:spPr bwMode="auto">
        <a:xfrm>
          <a:off x="75361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7</xdr:col>
      <xdr:colOff>502920</xdr:colOff>
      <xdr:row>0</xdr:row>
      <xdr:rowOff>45720</xdr:rowOff>
    </xdr:to>
    <xdr:sp macro="" textlink="">
      <xdr:nvSpPr>
        <xdr:cNvPr id="24581" name="Line 5"/>
        <xdr:cNvSpPr>
          <a:spLocks noChangeShapeType="1"/>
        </xdr:cNvSpPr>
      </xdr:nvSpPr>
      <xdr:spPr bwMode="auto">
        <a:xfrm flipH="1" flipV="1">
          <a:off x="7620" y="45720"/>
          <a:ext cx="45415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4582" name="Line 6"/>
        <xdr:cNvSpPr>
          <a:spLocks noChangeShapeType="1"/>
        </xdr:cNvSpPr>
      </xdr:nvSpPr>
      <xdr:spPr bwMode="auto">
        <a:xfrm flipH="1">
          <a:off x="2141220" y="800100"/>
          <a:ext cx="5326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06540" y="23622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06540" y="23622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06540" y="23622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6995160" y="24384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3553" name="Text Box 1"/>
        <xdr:cNvSpPr txBox="1">
          <a:spLocks noChangeArrowheads="1"/>
        </xdr:cNvSpPr>
      </xdr:nvSpPr>
      <xdr:spPr bwMode="auto">
        <a:xfrm>
          <a:off x="75057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7620" y="45720"/>
          <a:ext cx="33375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2118360" y="800100"/>
          <a:ext cx="5318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3556" name="Text Box 4"/>
        <xdr:cNvSpPr txBox="1">
          <a:spLocks noChangeArrowheads="1"/>
        </xdr:cNvSpPr>
      </xdr:nvSpPr>
      <xdr:spPr bwMode="auto">
        <a:xfrm>
          <a:off x="75057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0</xdr:colOff>
      <xdr:row>0</xdr:row>
      <xdr:rowOff>45720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7620" y="45720"/>
          <a:ext cx="44119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2118360" y="800100"/>
          <a:ext cx="5318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774192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7620" y="45720"/>
          <a:ext cx="36271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202180" y="800100"/>
          <a:ext cx="54711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0486" name="Text Box 6"/>
        <xdr:cNvSpPr txBox="1">
          <a:spLocks noChangeArrowheads="1"/>
        </xdr:cNvSpPr>
      </xdr:nvSpPr>
      <xdr:spPr bwMode="auto">
        <a:xfrm>
          <a:off x="774192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9</xdr:col>
      <xdr:colOff>7620</xdr:colOff>
      <xdr:row>0</xdr:row>
      <xdr:rowOff>45720</xdr:rowOff>
    </xdr:to>
    <xdr:sp macro="" textlink="">
      <xdr:nvSpPr>
        <xdr:cNvPr id="20487" name="Line 7"/>
        <xdr:cNvSpPr>
          <a:spLocks noChangeShapeType="1"/>
        </xdr:cNvSpPr>
      </xdr:nvSpPr>
      <xdr:spPr bwMode="auto">
        <a:xfrm flipH="1">
          <a:off x="7620" y="45720"/>
          <a:ext cx="5349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0488" name="Line 8"/>
        <xdr:cNvSpPr>
          <a:spLocks noChangeShapeType="1"/>
        </xdr:cNvSpPr>
      </xdr:nvSpPr>
      <xdr:spPr bwMode="auto">
        <a:xfrm flipH="1">
          <a:off x="2202180" y="800100"/>
          <a:ext cx="54711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91440</xdr:rowOff>
    </xdr:from>
    <xdr:to>
      <xdr:col>12</xdr:col>
      <xdr:colOff>518160</xdr:colOff>
      <xdr:row>2</xdr:row>
      <xdr:rowOff>91440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541520" y="91440"/>
          <a:ext cx="112014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434340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511540" y="76200"/>
          <a:ext cx="25831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894588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1</xdr:row>
      <xdr:rowOff>76200</xdr:rowOff>
    </xdr:from>
    <xdr:to>
      <xdr:col>21</xdr:col>
      <xdr:colOff>449580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267700" y="76200"/>
          <a:ext cx="1539240" cy="37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12826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1</xdr:row>
      <xdr:rowOff>76200</xdr:rowOff>
    </xdr:from>
    <xdr:to>
      <xdr:col>14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21792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gmt%20Summary\quarter%202\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2-06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50">
          <cell r="C50">
            <v>530934</v>
          </cell>
          <cell r="G50">
            <v>254154</v>
          </cell>
        </row>
      </sheetData>
      <sheetData sheetId="3"/>
      <sheetData sheetId="4"/>
      <sheetData sheetId="5"/>
      <sheetData sheetId="6"/>
      <sheetData sheetId="7"/>
      <sheetData sheetId="8">
        <row r="10">
          <cell r="D10">
            <v>262649</v>
          </cell>
        </row>
        <row r="11">
          <cell r="D11">
            <v>48664</v>
          </cell>
        </row>
        <row r="12">
          <cell r="D12">
            <v>171550</v>
          </cell>
          <cell r="H12">
            <v>-1562</v>
          </cell>
        </row>
        <row r="13">
          <cell r="D13">
            <v>30754</v>
          </cell>
        </row>
        <row r="14">
          <cell r="D14">
            <v>12293</v>
          </cell>
        </row>
        <row r="15">
          <cell r="D15">
            <v>19056</v>
          </cell>
        </row>
        <row r="16">
          <cell r="D16">
            <v>1195</v>
          </cell>
        </row>
        <row r="17">
          <cell r="D17">
            <v>2713</v>
          </cell>
        </row>
        <row r="18">
          <cell r="D18">
            <v>-4085</v>
          </cell>
          <cell r="H18">
            <v>1562</v>
          </cell>
        </row>
        <row r="23">
          <cell r="E23">
            <v>506</v>
          </cell>
        </row>
        <row r="24">
          <cell r="D24">
            <v>3403</v>
          </cell>
          <cell r="E24">
            <v>-152</v>
          </cell>
          <cell r="F24">
            <v>0</v>
          </cell>
        </row>
        <row r="25">
          <cell r="E25">
            <v>16150</v>
          </cell>
        </row>
        <row r="26">
          <cell r="E26">
            <v>120</v>
          </cell>
          <cell r="F26">
            <v>103</v>
          </cell>
        </row>
        <row r="27">
          <cell r="D27">
            <v>0</v>
          </cell>
          <cell r="E27">
            <v>2471</v>
          </cell>
          <cell r="H27">
            <v>6240</v>
          </cell>
        </row>
        <row r="28">
          <cell r="D28">
            <v>2188</v>
          </cell>
          <cell r="E28">
            <v>115</v>
          </cell>
          <cell r="F28">
            <v>8179</v>
          </cell>
          <cell r="H28">
            <v>1388</v>
          </cell>
        </row>
        <row r="29">
          <cell r="F29">
            <v>9684</v>
          </cell>
          <cell r="H29">
            <v>4827</v>
          </cell>
        </row>
        <row r="30">
          <cell r="F30">
            <v>-816</v>
          </cell>
          <cell r="H30">
            <v>0</v>
          </cell>
        </row>
        <row r="31">
          <cell r="H31">
            <v>653</v>
          </cell>
        </row>
        <row r="32">
          <cell r="H32">
            <v>2</v>
          </cell>
        </row>
        <row r="37">
          <cell r="E37">
            <v>-28213</v>
          </cell>
          <cell r="F37">
            <v>1</v>
          </cell>
        </row>
        <row r="38">
          <cell r="E38">
            <v>2325</v>
          </cell>
          <cell r="F38">
            <v>0</v>
          </cell>
        </row>
        <row r="39">
          <cell r="E39">
            <v>2591</v>
          </cell>
          <cell r="F39">
            <v>2</v>
          </cell>
          <cell r="K39">
            <v>0</v>
          </cell>
        </row>
        <row r="40">
          <cell r="E40">
            <v>-7329</v>
          </cell>
          <cell r="F40">
            <v>-14</v>
          </cell>
          <cell r="H40">
            <v>0</v>
          </cell>
        </row>
        <row r="41">
          <cell r="D41">
            <v>0</v>
          </cell>
          <cell r="E41">
            <v>-4738</v>
          </cell>
          <cell r="F41">
            <v>-12</v>
          </cell>
          <cell r="H41">
            <v>0</v>
          </cell>
        </row>
        <row r="43">
          <cell r="K43">
            <v>0</v>
          </cell>
        </row>
        <row r="45">
          <cell r="E45">
            <v>0</v>
          </cell>
        </row>
        <row r="47">
          <cell r="D47">
            <v>-19101</v>
          </cell>
        </row>
        <row r="49">
          <cell r="E49">
            <v>-3777</v>
          </cell>
          <cell r="F49">
            <v>-15401</v>
          </cell>
        </row>
      </sheetData>
      <sheetData sheetId="9">
        <row r="9">
          <cell r="D9">
            <v>5187</v>
          </cell>
          <cell r="E9">
            <v>3212</v>
          </cell>
        </row>
        <row r="10">
          <cell r="D10">
            <v>656</v>
          </cell>
          <cell r="E10">
            <v>717</v>
          </cell>
        </row>
        <row r="11">
          <cell r="D11">
            <v>5723</v>
          </cell>
          <cell r="E11">
            <v>4712</v>
          </cell>
        </row>
        <row r="12">
          <cell r="D12">
            <v>1063</v>
          </cell>
          <cell r="E12">
            <v>655</v>
          </cell>
        </row>
        <row r="13">
          <cell r="D13">
            <v>975</v>
          </cell>
          <cell r="E13">
            <v>948</v>
          </cell>
        </row>
        <row r="14">
          <cell r="D14">
            <v>1147</v>
          </cell>
          <cell r="E14">
            <v>1852</v>
          </cell>
        </row>
        <row r="15">
          <cell r="D15">
            <v>1224</v>
          </cell>
          <cell r="E15">
            <v>1224</v>
          </cell>
        </row>
        <row r="16">
          <cell r="D16">
            <v>892</v>
          </cell>
          <cell r="E16">
            <v>892</v>
          </cell>
        </row>
        <row r="17">
          <cell r="D17">
            <v>104</v>
          </cell>
          <cell r="E17">
            <v>104</v>
          </cell>
        </row>
        <row r="20">
          <cell r="D20">
            <v>8510</v>
          </cell>
          <cell r="E20">
            <v>4969</v>
          </cell>
        </row>
        <row r="21">
          <cell r="D21">
            <v>5215</v>
          </cell>
          <cell r="E21">
            <v>4674</v>
          </cell>
        </row>
        <row r="22">
          <cell r="D22">
            <v>5360</v>
          </cell>
          <cell r="E22">
            <v>5360</v>
          </cell>
        </row>
        <row r="23">
          <cell r="D23">
            <v>2262</v>
          </cell>
          <cell r="E23">
            <v>1294</v>
          </cell>
        </row>
        <row r="24">
          <cell r="D24">
            <v>1224</v>
          </cell>
          <cell r="E24">
            <v>1224</v>
          </cell>
        </row>
        <row r="25">
          <cell r="D25">
            <v>498</v>
          </cell>
          <cell r="E25">
            <v>329</v>
          </cell>
        </row>
        <row r="26">
          <cell r="D26">
            <v>3746</v>
          </cell>
          <cell r="E26">
            <v>2866</v>
          </cell>
        </row>
        <row r="27">
          <cell r="D27">
            <v>2902</v>
          </cell>
          <cell r="E27">
            <v>2595</v>
          </cell>
        </row>
        <row r="28">
          <cell r="D28">
            <v>65</v>
          </cell>
          <cell r="E28">
            <v>96</v>
          </cell>
        </row>
        <row r="29">
          <cell r="D29">
            <v>1364</v>
          </cell>
          <cell r="E29">
            <v>1298</v>
          </cell>
        </row>
        <row r="30">
          <cell r="D30">
            <v>1616</v>
          </cell>
          <cell r="E30">
            <v>2005</v>
          </cell>
        </row>
        <row r="34">
          <cell r="D34">
            <v>635</v>
          </cell>
          <cell r="E34">
            <v>735</v>
          </cell>
        </row>
        <row r="35">
          <cell r="D35">
            <v>1433</v>
          </cell>
          <cell r="E35">
            <v>1307</v>
          </cell>
        </row>
        <row r="36">
          <cell r="D36">
            <v>402</v>
          </cell>
          <cell r="E36">
            <v>839</v>
          </cell>
        </row>
        <row r="37">
          <cell r="D37">
            <v>0</v>
          </cell>
          <cell r="E37">
            <v>0</v>
          </cell>
        </row>
        <row r="38">
          <cell r="D38">
            <v>402</v>
          </cell>
          <cell r="E38">
            <v>839</v>
          </cell>
        </row>
        <row r="41">
          <cell r="D41">
            <v>6035</v>
          </cell>
          <cell r="E41">
            <v>4617</v>
          </cell>
        </row>
        <row r="43">
          <cell r="D43">
            <v>5030</v>
          </cell>
          <cell r="E43">
            <v>2430</v>
          </cell>
        </row>
        <row r="47">
          <cell r="D47">
            <v>90230</v>
          </cell>
          <cell r="E47">
            <v>59297</v>
          </cell>
        </row>
        <row r="49">
          <cell r="D49">
            <v>13698</v>
          </cell>
          <cell r="E49">
            <v>13698</v>
          </cell>
        </row>
        <row r="51">
          <cell r="D51">
            <v>22625</v>
          </cell>
          <cell r="E51">
            <v>26684</v>
          </cell>
        </row>
        <row r="58">
          <cell r="D58">
            <v>9885</v>
          </cell>
          <cell r="E58">
            <v>8789</v>
          </cell>
        </row>
        <row r="59">
          <cell r="D59">
            <v>34093</v>
          </cell>
          <cell r="E59">
            <v>33926</v>
          </cell>
        </row>
        <row r="60">
          <cell r="D60">
            <v>5655</v>
          </cell>
          <cell r="E60">
            <v>3072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"/>
  <sheetViews>
    <sheetView workbookViewId="0">
      <selection activeCell="A17" sqref="A17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4" width="8.6640625" style="27" customWidth="1"/>
    <col min="5" max="5" width="9.5546875" style="27" customWidth="1"/>
    <col min="6" max="6" width="0.88671875" style="27" customWidth="1"/>
    <col min="7" max="8" width="8.6640625" style="27" customWidth="1"/>
    <col min="9" max="9" width="7.33203125" style="27" customWidth="1"/>
    <col min="10" max="10" width="7.109375" style="27" bestFit="1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93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5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241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22,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5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5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">
      <c r="A8" s="207" t="s">
        <v>3</v>
      </c>
      <c r="B8" s="237"/>
      <c r="C8" s="267">
        <f>'Q1 Mgmt Summary'!C8+'QTD Mgmt Summary'!C8</f>
        <v>290913</v>
      </c>
      <c r="D8" s="60">
        <f>'Q1 Mgmt Summary'!D8+'QTD Mgmt Summary'!D8</f>
        <v>83089</v>
      </c>
      <c r="E8" s="211">
        <f>+C8-D8</f>
        <v>207824</v>
      </c>
      <c r="F8" s="241"/>
      <c r="G8" s="267">
        <f>'Q1 Mgmt Summary'!G8+'QTD Mgmt Summary'!G8</f>
        <v>31914</v>
      </c>
      <c r="H8" s="60">
        <f>'Q1 Mgmt Summary'!H8+'QTD Mgmt Summary'!H8</f>
        <v>31131</v>
      </c>
      <c r="I8" s="82">
        <f>'QTD Mgmt Summary'!I8+'Q1 Mgmt Summary'!I8</f>
        <v>0</v>
      </c>
      <c r="J8" s="211">
        <f>'QTD Mgmt Summary'!J8+'Q1 Mgmt Summary'!J8</f>
        <v>-783</v>
      </c>
      <c r="K8" s="214"/>
      <c r="L8" s="210">
        <f t="shared" ref="L8:M10" si="0">+C8-G8</f>
        <v>258999</v>
      </c>
      <c r="M8" s="59">
        <f t="shared" si="0"/>
        <v>51958</v>
      </c>
      <c r="N8" s="211">
        <f>+L8-M8</f>
        <v>207041</v>
      </c>
    </row>
    <row r="9" spans="1:23" ht="12" customHeight="1" x14ac:dyDescent="0.2">
      <c r="A9" s="207" t="s">
        <v>273</v>
      </c>
      <c r="B9" s="237"/>
      <c r="C9" s="268">
        <f>+'Q1 Mgmt Summary'!C9+'QTD Mgmt Summary'!C9</f>
        <v>64572</v>
      </c>
      <c r="D9" s="43">
        <f>+'Q1 Mgmt Summary'!D9+'QTD Mgmt Summary'!D9</f>
        <v>15006</v>
      </c>
      <c r="E9" s="213">
        <f>+C9-D9</f>
        <v>49566</v>
      </c>
      <c r="F9" s="241"/>
      <c r="G9" s="268">
        <f>+'Q1 Mgmt Summary'!G9+'QTD Mgmt Summary'!G9</f>
        <v>5972</v>
      </c>
      <c r="H9" s="43">
        <f>+'Q1 Mgmt Summary'!H9+'QTD Mgmt Summary'!H9</f>
        <v>6513</v>
      </c>
      <c r="I9" s="65">
        <f>'QTD Mgmt Summary'!I9+'Q1 Mgmt Summary'!I9</f>
        <v>0</v>
      </c>
      <c r="J9" s="213">
        <f>'QTD Mgmt Summary'!J9+'Q1 Mgmt Summary'!J9</f>
        <v>541</v>
      </c>
      <c r="K9" s="214"/>
      <c r="L9" s="212">
        <f t="shared" si="0"/>
        <v>58600</v>
      </c>
      <c r="M9" s="41">
        <f t="shared" si="0"/>
        <v>8493</v>
      </c>
      <c r="N9" s="213">
        <f>+L9-M9</f>
        <v>50107</v>
      </c>
    </row>
    <row r="10" spans="1:23" ht="12" customHeight="1" x14ac:dyDescent="0.2">
      <c r="A10" s="207" t="s">
        <v>106</v>
      </c>
      <c r="B10" s="237"/>
      <c r="C10" s="268">
        <f>+'Q1 Mgmt Summary'!C10+'QTD Mgmt Summary'!C10</f>
        <v>260900</v>
      </c>
      <c r="D10" s="43">
        <f>+'Q1 Mgmt Summary'!D10+'QTD Mgmt Summary'!D10</f>
        <v>97187</v>
      </c>
      <c r="E10" s="213">
        <f>+C10-D10</f>
        <v>163713</v>
      </c>
      <c r="F10" s="241"/>
      <c r="G10" s="268">
        <f>+'Q1 Mgmt Summary'!G10+'QTD Mgmt Summary'!G10</f>
        <v>53636</v>
      </c>
      <c r="H10" s="43">
        <f>+'Q1 Mgmt Summary'!H10+'QTD Mgmt Summary'!H10</f>
        <v>52050</v>
      </c>
      <c r="I10" s="65">
        <f>'QTD Mgmt Summary'!I10+'Q1 Mgmt Summary'!I10</f>
        <v>1466</v>
      </c>
      <c r="J10" s="213">
        <f>'QTD Mgmt Summary'!J10+'Q1 Mgmt Summary'!J10</f>
        <v>-3052</v>
      </c>
      <c r="K10" s="214"/>
      <c r="L10" s="212">
        <f t="shared" si="0"/>
        <v>207264</v>
      </c>
      <c r="M10" s="41">
        <f t="shared" si="0"/>
        <v>45137</v>
      </c>
      <c r="N10" s="213">
        <f>+L10-M10</f>
        <v>162127</v>
      </c>
    </row>
    <row r="11" spans="1:23" ht="12" customHeight="1" x14ac:dyDescent="0.2">
      <c r="A11" s="207" t="s">
        <v>132</v>
      </c>
      <c r="B11" s="237"/>
      <c r="C11" s="268">
        <f>+'Q1 Mgmt Summary'!C11+'QTD Mgmt Summary'!C11</f>
        <v>60637</v>
      </c>
      <c r="D11" s="43">
        <f>+'Q1 Mgmt Summary'!D11+'QTD Mgmt Summary'!D11</f>
        <v>44804</v>
      </c>
      <c r="E11" s="213">
        <f t="shared" ref="E11:E16" si="1">+C11-D11</f>
        <v>15833</v>
      </c>
      <c r="F11" s="241"/>
      <c r="G11" s="268">
        <f>+'Q1 Mgmt Summary'!G11+'QTD Mgmt Summary'!G11</f>
        <v>3560</v>
      </c>
      <c r="H11" s="43">
        <f>+'Q1 Mgmt Summary'!H11+'QTD Mgmt Summary'!H11</f>
        <v>3237</v>
      </c>
      <c r="I11" s="65">
        <f>'QTD Mgmt Summary'!I11+'Q1 Mgmt Summary'!I11</f>
        <v>0</v>
      </c>
      <c r="J11" s="213">
        <f>'QTD Mgmt Summary'!J11+'Q1 Mgmt Summary'!J11</f>
        <v>-323</v>
      </c>
      <c r="K11" s="214"/>
      <c r="L11" s="212">
        <f t="shared" ref="L11:M16" si="2">+C11-G11</f>
        <v>57077</v>
      </c>
      <c r="M11" s="41">
        <f t="shared" si="2"/>
        <v>41567</v>
      </c>
      <c r="N11" s="213">
        <f t="shared" ref="N11:N16" si="3">+L11-M11</f>
        <v>15510</v>
      </c>
    </row>
    <row r="12" spans="1:23" ht="12" customHeight="1" x14ac:dyDescent="0.2">
      <c r="A12" s="207" t="s">
        <v>133</v>
      </c>
      <c r="B12" s="237"/>
      <c r="C12" s="268">
        <f>+'Q1 Mgmt Summary'!C12+'QTD Mgmt Summary'!C12</f>
        <v>45212</v>
      </c>
      <c r="D12" s="43">
        <f>+'Q1 Mgmt Summary'!D12+'QTD Mgmt Summary'!D12</f>
        <v>17894</v>
      </c>
      <c r="E12" s="213">
        <f t="shared" si="1"/>
        <v>27318</v>
      </c>
      <c r="F12" s="241"/>
      <c r="G12" s="268">
        <f>+'Q1 Mgmt Summary'!G12+'QTD Mgmt Summary'!G12</f>
        <v>3068</v>
      </c>
      <c r="H12" s="43">
        <f>+'Q1 Mgmt Summary'!H12+'QTD Mgmt Summary'!H12</f>
        <v>3555</v>
      </c>
      <c r="I12" s="65">
        <f>'QTD Mgmt Summary'!I12+'Q1 Mgmt Summary'!I12</f>
        <v>0</v>
      </c>
      <c r="J12" s="213">
        <f>'QTD Mgmt Summary'!J12+'Q1 Mgmt Summary'!J12</f>
        <v>487</v>
      </c>
      <c r="K12" s="214"/>
      <c r="L12" s="212">
        <f t="shared" si="2"/>
        <v>42144</v>
      </c>
      <c r="M12" s="41">
        <f t="shared" si="2"/>
        <v>14339</v>
      </c>
      <c r="N12" s="213">
        <f t="shared" si="3"/>
        <v>27805</v>
      </c>
    </row>
    <row r="13" spans="1:23" ht="12" customHeight="1" x14ac:dyDescent="0.2">
      <c r="A13" s="207" t="s">
        <v>251</v>
      </c>
      <c r="B13" s="237"/>
      <c r="C13" s="268">
        <f>+'Q1 Mgmt Summary'!C13+'QTD Mgmt Summary'!C13</f>
        <v>31285</v>
      </c>
      <c r="D13" s="43">
        <f>+'Q1 Mgmt Summary'!D13+'QTD Mgmt Summary'!D13</f>
        <v>23112</v>
      </c>
      <c r="E13" s="213">
        <f t="shared" si="1"/>
        <v>8173</v>
      </c>
      <c r="F13" s="241"/>
      <c r="G13" s="268">
        <f>+'Q1 Mgmt Summary'!G13+'QTD Mgmt Summary'!G13</f>
        <v>5348</v>
      </c>
      <c r="H13" s="43">
        <f>+'Q1 Mgmt Summary'!H13+'QTD Mgmt Summary'!H13</f>
        <v>6439</v>
      </c>
      <c r="I13" s="65">
        <f>'QTD Mgmt Summary'!I13+'Q1 Mgmt Summary'!I13</f>
        <v>0</v>
      </c>
      <c r="J13" s="213">
        <f>'QTD Mgmt Summary'!J13+'Q1 Mgmt Summary'!J13</f>
        <v>1091</v>
      </c>
      <c r="K13" s="214"/>
      <c r="L13" s="212">
        <f t="shared" si="2"/>
        <v>25937</v>
      </c>
      <c r="M13" s="41">
        <f t="shared" si="2"/>
        <v>16673</v>
      </c>
      <c r="N13" s="213">
        <f t="shared" si="3"/>
        <v>9264</v>
      </c>
    </row>
    <row r="14" spans="1:23" ht="12" customHeight="1" x14ac:dyDescent="0.2">
      <c r="A14" s="207" t="s">
        <v>262</v>
      </c>
      <c r="B14" s="237"/>
      <c r="C14" s="268">
        <f>+'Q1 Mgmt Summary'!C14+'QTD Mgmt Summary'!C14</f>
        <v>6610</v>
      </c>
      <c r="D14" s="43">
        <f>+'Q1 Mgmt Summary'!D14+'QTD Mgmt Summary'!D14</f>
        <v>19282</v>
      </c>
      <c r="E14" s="213">
        <f t="shared" si="1"/>
        <v>-12672</v>
      </c>
      <c r="F14" s="241"/>
      <c r="G14" s="268">
        <f>+'Q1 Mgmt Summary'!G14+'QTD Mgmt Summary'!G14</f>
        <v>9069</v>
      </c>
      <c r="H14" s="43">
        <f>+'Q1 Mgmt Summary'!H14+'QTD Mgmt Summary'!H14</f>
        <v>6766</v>
      </c>
      <c r="I14" s="65">
        <f>'QTD Mgmt Summary'!I14+'Q1 Mgmt Summary'!I14</f>
        <v>0</v>
      </c>
      <c r="J14" s="213">
        <f>'QTD Mgmt Summary'!J14+'Q1 Mgmt Summary'!J14</f>
        <v>-2340</v>
      </c>
      <c r="K14" s="214"/>
      <c r="L14" s="212">
        <f t="shared" si="2"/>
        <v>-2459</v>
      </c>
      <c r="M14" s="41">
        <f t="shared" si="2"/>
        <v>12516</v>
      </c>
      <c r="N14" s="213">
        <f t="shared" si="3"/>
        <v>-14975</v>
      </c>
    </row>
    <row r="15" spans="1:23" ht="12" customHeight="1" x14ac:dyDescent="0.2">
      <c r="A15" s="207" t="s">
        <v>155</v>
      </c>
      <c r="B15" s="237"/>
      <c r="C15" s="268">
        <f>+'Q1 Mgmt Summary'!C15+'QTD Mgmt Summary'!C15</f>
        <v>8287</v>
      </c>
      <c r="D15" s="43">
        <f>+'Q1 Mgmt Summary'!D15+'QTD Mgmt Summary'!D15</f>
        <v>6430</v>
      </c>
      <c r="E15" s="213">
        <f t="shared" si="1"/>
        <v>1857</v>
      </c>
      <c r="F15" s="241"/>
      <c r="G15" s="268">
        <f>+'Q1 Mgmt Summary'!G15+'QTD Mgmt Summary'!G15</f>
        <v>4249</v>
      </c>
      <c r="H15" s="43">
        <f>+'Q1 Mgmt Summary'!H15+'QTD Mgmt Summary'!H15</f>
        <v>3383</v>
      </c>
      <c r="I15" s="65">
        <f>'QTD Mgmt Summary'!I15+'Q1 Mgmt Summary'!I15</f>
        <v>0</v>
      </c>
      <c r="J15" s="213">
        <f>'QTD Mgmt Summary'!J15+'Q1 Mgmt Summary'!J15</f>
        <v>-866</v>
      </c>
      <c r="K15" s="214"/>
      <c r="L15" s="212">
        <f t="shared" si="2"/>
        <v>4038</v>
      </c>
      <c r="M15" s="41">
        <f t="shared" si="2"/>
        <v>3047</v>
      </c>
      <c r="N15" s="213">
        <f t="shared" si="3"/>
        <v>991</v>
      </c>
    </row>
    <row r="16" spans="1:23" ht="12" customHeight="1" x14ac:dyDescent="0.2">
      <c r="A16" s="207" t="s">
        <v>292</v>
      </c>
      <c r="B16" s="237"/>
      <c r="C16" s="268">
        <f>+'Q1 Mgmt Summary'!C16+'QTD Mgmt Summary'!C16</f>
        <v>-2786</v>
      </c>
      <c r="D16" s="43">
        <f>+'Q1 Mgmt Summary'!D16+'QTD Mgmt Summary'!D16</f>
        <v>1500</v>
      </c>
      <c r="E16" s="213">
        <f t="shared" si="1"/>
        <v>-4286</v>
      </c>
      <c r="F16" s="241"/>
      <c r="G16" s="268">
        <f>+'Q1 Mgmt Summary'!G16+'QTD Mgmt Summary'!G16</f>
        <v>552</v>
      </c>
      <c r="H16" s="43">
        <f>+'Q1 Mgmt Summary'!H16+'QTD Mgmt Summary'!H16</f>
        <v>680</v>
      </c>
      <c r="I16" s="65">
        <f>'QTD Mgmt Summary'!I16+'Q1 Mgmt Summary'!I16</f>
        <v>0</v>
      </c>
      <c r="J16" s="213">
        <f>'QTD Mgmt Summary'!J16+'Q1 Mgmt Summary'!J16</f>
        <v>128</v>
      </c>
      <c r="K16" s="214"/>
      <c r="L16" s="212">
        <f t="shared" si="2"/>
        <v>-3338</v>
      </c>
      <c r="M16" s="41">
        <f t="shared" si="2"/>
        <v>820</v>
      </c>
      <c r="N16" s="213">
        <f t="shared" si="3"/>
        <v>-4158</v>
      </c>
    </row>
    <row r="17" spans="1:14" s="202" customFormat="1" ht="12" customHeight="1" x14ac:dyDescent="0.25">
      <c r="A17" s="229" t="s">
        <v>130</v>
      </c>
      <c r="B17" s="238"/>
      <c r="C17" s="259">
        <f>SUM(C8:C16)</f>
        <v>765630</v>
      </c>
      <c r="D17" s="259">
        <f>SUM(D8:D16)</f>
        <v>308304</v>
      </c>
      <c r="E17" s="260">
        <f>SUM(E8:E16)</f>
        <v>457326</v>
      </c>
      <c r="F17" s="242">
        <v>129970</v>
      </c>
      <c r="G17" s="259">
        <f>SUM(G8:G16)</f>
        <v>117368</v>
      </c>
      <c r="H17" s="259">
        <f>SUM(H8:H16)</f>
        <v>113754</v>
      </c>
      <c r="I17" s="259">
        <f>SUM(I8:I16)</f>
        <v>1466</v>
      </c>
      <c r="J17" s="260">
        <f>SUM(J8:J16)</f>
        <v>-5117</v>
      </c>
      <c r="K17" s="215"/>
      <c r="L17" s="230">
        <f>SUM(L8:L16)</f>
        <v>648262</v>
      </c>
      <c r="M17" s="231">
        <f>SUM(M8:M16)</f>
        <v>194550</v>
      </c>
      <c r="N17" s="260">
        <f>SUM(N8:N16)</f>
        <v>453712</v>
      </c>
    </row>
    <row r="18" spans="1:14" ht="12" customHeight="1" x14ac:dyDescent="0.2">
      <c r="A18" s="207"/>
      <c r="B18" s="237"/>
      <c r="C18" s="212"/>
      <c r="D18" s="257"/>
      <c r="E18" s="213"/>
      <c r="F18" s="241"/>
      <c r="G18" s="212"/>
      <c r="H18" s="257"/>
      <c r="I18" s="41"/>
      <c r="J18" s="213"/>
      <c r="K18" s="214"/>
      <c r="L18" s="212"/>
      <c r="M18" s="41"/>
      <c r="N18" s="213"/>
    </row>
    <row r="19" spans="1:14" ht="12" customHeight="1" x14ac:dyDescent="0.2">
      <c r="A19" s="207" t="s">
        <v>88</v>
      </c>
      <c r="B19" s="237"/>
      <c r="C19" s="268">
        <f>+'Q1 Mgmt Summary'!C19+'QTD Mgmt Summary'!C19</f>
        <v>2838</v>
      </c>
      <c r="D19" s="43">
        <f>+'Q1 Mgmt Summary'!D19+'QTD Mgmt Summary'!D19</f>
        <v>34736</v>
      </c>
      <c r="E19" s="213">
        <f t="shared" ref="E19:E29" si="4">+C19-D19</f>
        <v>-31898</v>
      </c>
      <c r="F19" s="241"/>
      <c r="G19" s="268">
        <f>+'Q1 Mgmt Summary'!G19+'QTD Mgmt Summary'!G19</f>
        <v>16926</v>
      </c>
      <c r="H19" s="43">
        <f>+'Q1 Mgmt Summary'!H19+'QTD Mgmt Summary'!H19</f>
        <v>15133</v>
      </c>
      <c r="I19" s="65">
        <f>'QTD Mgmt Summary'!I19+'Q1 Mgmt Summary'!I19</f>
        <v>0</v>
      </c>
      <c r="J19" s="213">
        <f>'QTD Mgmt Summary'!J19+'Q1 Mgmt Summary'!J19</f>
        <v>-1793</v>
      </c>
      <c r="K19" s="214"/>
      <c r="L19" s="212">
        <f t="shared" ref="L19:M21" si="5">+C19-G19</f>
        <v>-14088</v>
      </c>
      <c r="M19" s="41">
        <f t="shared" si="5"/>
        <v>19603</v>
      </c>
      <c r="N19" s="213">
        <f t="shared" ref="N19:N29" si="6">+L19-M19</f>
        <v>-33691</v>
      </c>
    </row>
    <row r="20" spans="1:14" ht="12" customHeight="1" x14ac:dyDescent="0.2">
      <c r="A20" s="207" t="s">
        <v>89</v>
      </c>
      <c r="B20" s="237"/>
      <c r="C20" s="268">
        <f>+'Q1 Mgmt Summary'!C20+'QTD Mgmt Summary'!C20</f>
        <v>8862</v>
      </c>
      <c r="D20" s="43">
        <f>+'Q1 Mgmt Summary'!D20+'QTD Mgmt Summary'!D20</f>
        <v>26470</v>
      </c>
      <c r="E20" s="213">
        <f t="shared" si="4"/>
        <v>-17608</v>
      </c>
      <c r="F20" s="241"/>
      <c r="G20" s="268">
        <f>+'Q1 Mgmt Summary'!G20+'QTD Mgmt Summary'!G20</f>
        <v>13504</v>
      </c>
      <c r="H20" s="43">
        <f>+'Q1 Mgmt Summary'!H20+'QTD Mgmt Summary'!H20</f>
        <v>14730</v>
      </c>
      <c r="I20" s="65">
        <f>'QTD Mgmt Summary'!I20+'Q1 Mgmt Summary'!I20</f>
        <v>-1254</v>
      </c>
      <c r="J20" s="213">
        <f>'QTD Mgmt Summary'!J20+'Q1 Mgmt Summary'!J20</f>
        <v>2480</v>
      </c>
      <c r="K20" s="214"/>
      <c r="L20" s="212">
        <f t="shared" si="5"/>
        <v>-4642</v>
      </c>
      <c r="M20" s="41">
        <f t="shared" si="5"/>
        <v>11740</v>
      </c>
      <c r="N20" s="213">
        <f t="shared" si="6"/>
        <v>-16382</v>
      </c>
    </row>
    <row r="21" spans="1:14" ht="12" customHeight="1" x14ac:dyDescent="0.2">
      <c r="A21" s="207" t="s">
        <v>233</v>
      </c>
      <c r="B21" s="237"/>
      <c r="C21" s="268">
        <f>+'Q1 Mgmt Summary'!C21+'QTD Mgmt Summary'!C21</f>
        <v>7730</v>
      </c>
      <c r="D21" s="43">
        <f>+'Q1 Mgmt Summary'!D21+'QTD Mgmt Summary'!D21</f>
        <v>39722</v>
      </c>
      <c r="E21" s="213">
        <f t="shared" si="4"/>
        <v>-31992</v>
      </c>
      <c r="F21" s="241"/>
      <c r="G21" s="268">
        <f>+'Q1 Mgmt Summary'!G21+'QTD Mgmt Summary'!G21</f>
        <v>13392</v>
      </c>
      <c r="H21" s="43">
        <f>+'Q1 Mgmt Summary'!H21+'QTD Mgmt Summary'!H21</f>
        <v>18610</v>
      </c>
      <c r="I21" s="65">
        <f>'QTD Mgmt Summary'!I21+'Q1 Mgmt Summary'!I21</f>
        <v>2372</v>
      </c>
      <c r="J21" s="213">
        <f>'QTD Mgmt Summary'!J21+'Q1 Mgmt Summary'!J21</f>
        <v>2846</v>
      </c>
      <c r="K21" s="214"/>
      <c r="L21" s="212">
        <f t="shared" si="5"/>
        <v>-5662</v>
      </c>
      <c r="M21" s="41">
        <f t="shared" si="5"/>
        <v>21112</v>
      </c>
      <c r="N21" s="213">
        <f t="shared" si="6"/>
        <v>-26774</v>
      </c>
    </row>
    <row r="22" spans="1:14" ht="12" customHeight="1" x14ac:dyDescent="0.2">
      <c r="A22" s="207" t="s">
        <v>266</v>
      </c>
      <c r="B22" s="237"/>
      <c r="C22" s="268">
        <f>+'Q1 Mgmt Summary'!C22+'QTD Mgmt Summary'!C22</f>
        <v>23369</v>
      </c>
      <c r="D22" s="43">
        <f>+'Q1 Mgmt Summary'!D22+'QTD Mgmt Summary'!D22</f>
        <v>37422</v>
      </c>
      <c r="E22" s="213">
        <f>+C22-D22</f>
        <v>-14053</v>
      </c>
      <c r="F22" s="241"/>
      <c r="G22" s="268">
        <f>+'Q1 Mgmt Summary'!G22+'QTD Mgmt Summary'!G22</f>
        <v>18634</v>
      </c>
      <c r="H22" s="43">
        <f>+'Q1 Mgmt Summary'!H22+'QTD Mgmt Summary'!H22</f>
        <v>19089</v>
      </c>
      <c r="I22" s="65">
        <f>'QTD Mgmt Summary'!I22+'Q1 Mgmt Summary'!I22</f>
        <v>642</v>
      </c>
      <c r="J22" s="213">
        <f>'QTD Mgmt Summary'!J22+'Q1 Mgmt Summary'!J22</f>
        <v>-187</v>
      </c>
      <c r="K22" s="214"/>
      <c r="L22" s="212">
        <f t="shared" ref="L22:M28" si="7">+C22-G22</f>
        <v>4735</v>
      </c>
      <c r="M22" s="41">
        <f t="shared" si="7"/>
        <v>18333</v>
      </c>
      <c r="N22" s="213">
        <f>+L22-M22</f>
        <v>-13598</v>
      </c>
    </row>
    <row r="23" spans="1:14" ht="12" customHeight="1" x14ac:dyDescent="0.2">
      <c r="A23" s="207" t="s">
        <v>264</v>
      </c>
      <c r="B23" s="237"/>
      <c r="C23" s="268">
        <f>+'Q1 Mgmt Summary'!C23+'QTD Mgmt Summary'!C23</f>
        <v>-963</v>
      </c>
      <c r="D23" s="43">
        <f>+'Q1 Mgmt Summary'!D23+'QTD Mgmt Summary'!D23</f>
        <v>6212</v>
      </c>
      <c r="E23" s="213">
        <f>+C23-D23</f>
        <v>-7175</v>
      </c>
      <c r="F23" s="241"/>
      <c r="G23" s="268">
        <f>+'Q1 Mgmt Summary'!G23+'QTD Mgmt Summary'!G23</f>
        <v>3316</v>
      </c>
      <c r="H23" s="43">
        <f>+'Q1 Mgmt Summary'!H23+'QTD Mgmt Summary'!H23</f>
        <v>2755</v>
      </c>
      <c r="I23" s="65">
        <f>'QTD Mgmt Summary'!I23+'Q1 Mgmt Summary'!I23</f>
        <v>114</v>
      </c>
      <c r="J23" s="213">
        <f>'QTD Mgmt Summary'!J23+'Q1 Mgmt Summary'!J23</f>
        <v>-638</v>
      </c>
      <c r="K23" s="214"/>
      <c r="L23" s="212">
        <f t="shared" si="7"/>
        <v>-4279</v>
      </c>
      <c r="M23" s="41">
        <f t="shared" si="7"/>
        <v>3457</v>
      </c>
      <c r="N23" s="213">
        <f>+L23-M23</f>
        <v>-7736</v>
      </c>
    </row>
    <row r="24" spans="1:14" ht="12" customHeight="1" x14ac:dyDescent="0.2">
      <c r="A24" s="207" t="s">
        <v>252</v>
      </c>
      <c r="B24" s="237"/>
      <c r="C24" s="268">
        <f>+'Q1 Mgmt Summary'!C24+'QTD Mgmt Summary'!C24</f>
        <v>20848</v>
      </c>
      <c r="D24" s="43">
        <f>+'Q1 Mgmt Summary'!D24+'QTD Mgmt Summary'!D24</f>
        <v>23112</v>
      </c>
      <c r="E24" s="213">
        <f t="shared" si="4"/>
        <v>-2264</v>
      </c>
      <c r="F24" s="241"/>
      <c r="G24" s="268">
        <f>+'Q1 Mgmt Summary'!G24+'QTD Mgmt Summary'!G24</f>
        <v>3660</v>
      </c>
      <c r="H24" s="43">
        <f>+'Q1 Mgmt Summary'!H24+'QTD Mgmt Summary'!H24</f>
        <v>4070</v>
      </c>
      <c r="I24" s="65">
        <f>'QTD Mgmt Summary'!I24+'Q1 Mgmt Summary'!I24</f>
        <v>400</v>
      </c>
      <c r="J24" s="213">
        <f>'QTD Mgmt Summary'!J24+'Q1 Mgmt Summary'!J24</f>
        <v>10</v>
      </c>
      <c r="K24" s="214"/>
      <c r="L24" s="212">
        <f t="shared" si="7"/>
        <v>17188</v>
      </c>
      <c r="M24" s="41">
        <f t="shared" si="7"/>
        <v>19042</v>
      </c>
      <c r="N24" s="213">
        <f t="shared" si="6"/>
        <v>-1854</v>
      </c>
    </row>
    <row r="25" spans="1:14" ht="12" customHeight="1" x14ac:dyDescent="0.2">
      <c r="A25" s="207" t="s">
        <v>248</v>
      </c>
      <c r="B25" s="237"/>
      <c r="C25" s="268">
        <f>+'Q1 Mgmt Summary'!C25+'QTD Mgmt Summary'!C25</f>
        <v>40851</v>
      </c>
      <c r="D25" s="43">
        <f>+'Q1 Mgmt Summary'!D25+'QTD Mgmt Summary'!D25</f>
        <v>48743</v>
      </c>
      <c r="E25" s="213">
        <f>+C25-D25</f>
        <v>-7892</v>
      </c>
      <c r="F25" s="241"/>
      <c r="G25" s="268">
        <f>+'Q1 Mgmt Summary'!G25+'QTD Mgmt Summary'!G25</f>
        <v>77403.5</v>
      </c>
      <c r="H25" s="43">
        <f>+'Q1 Mgmt Summary'!H25+'QTD Mgmt Summary'!H25</f>
        <v>70579.5</v>
      </c>
      <c r="I25" s="65">
        <f>'QTD Mgmt Summary'!I25+'Q1 Mgmt Summary'!I25</f>
        <v>1805</v>
      </c>
      <c r="J25" s="213">
        <f>'QTD Mgmt Summary'!J25+'Q1 Mgmt Summary'!J25</f>
        <v>-8629</v>
      </c>
      <c r="K25" s="214"/>
      <c r="L25" s="212">
        <f>+C25-G25</f>
        <v>-36552.5</v>
      </c>
      <c r="M25" s="41">
        <f>+D25-H25</f>
        <v>-21836.5</v>
      </c>
      <c r="N25" s="213">
        <f>+L25-M25</f>
        <v>-14716</v>
      </c>
    </row>
    <row r="26" spans="1:14" ht="12" customHeight="1" x14ac:dyDescent="0.2">
      <c r="A26" s="207" t="s">
        <v>289</v>
      </c>
      <c r="B26" s="237"/>
      <c r="C26" s="268"/>
      <c r="D26" s="43"/>
      <c r="E26" s="213">
        <f>+C26-D26</f>
        <v>0</v>
      </c>
      <c r="F26" s="241"/>
      <c r="G26" s="268"/>
      <c r="H26" s="43"/>
      <c r="I26" s="65">
        <f>'QTD Mgmt Summary'!I26+'Q1 Mgmt Summary'!I26</f>
        <v>-603</v>
      </c>
      <c r="J26" s="213">
        <f>'QTD Mgmt Summary'!J26+'Q1 Mgmt Summary'!J26</f>
        <v>-410</v>
      </c>
      <c r="K26" s="214"/>
      <c r="L26" s="212"/>
      <c r="M26" s="41"/>
      <c r="N26" s="213">
        <f>+L26-M26</f>
        <v>0</v>
      </c>
    </row>
    <row r="27" spans="1:14" ht="12" customHeight="1" x14ac:dyDescent="0.2">
      <c r="A27" s="207" t="s">
        <v>290</v>
      </c>
      <c r="B27" s="237"/>
      <c r="C27" s="268"/>
      <c r="D27" s="43"/>
      <c r="E27" s="213">
        <f>+C27-D27</f>
        <v>0</v>
      </c>
      <c r="F27" s="241"/>
      <c r="G27" s="268"/>
      <c r="H27" s="43"/>
      <c r="I27" s="65">
        <f>'QTD Mgmt Summary'!I27+'Q1 Mgmt Summary'!I27</f>
        <v>199</v>
      </c>
      <c r="J27" s="213">
        <f>'QTD Mgmt Summary'!J27+'Q1 Mgmt Summary'!J27</f>
        <v>31</v>
      </c>
      <c r="K27" s="214"/>
      <c r="L27" s="212"/>
      <c r="M27" s="41"/>
      <c r="N27" s="213">
        <f>+L27-M27</f>
        <v>0</v>
      </c>
    </row>
    <row r="28" spans="1:14" ht="12" customHeight="1" x14ac:dyDescent="0.2">
      <c r="A28" s="207" t="s">
        <v>156</v>
      </c>
      <c r="B28" s="237"/>
      <c r="C28" s="268">
        <f>+'Q1 Mgmt Summary'!C28+'QTD Mgmt Summary'!C28</f>
        <v>671</v>
      </c>
      <c r="D28" s="43">
        <f>+'Q1 Mgmt Summary'!D28+'QTD Mgmt Summary'!D28</f>
        <v>15424</v>
      </c>
      <c r="E28" s="213">
        <f>+C28-D28</f>
        <v>-14753</v>
      </c>
      <c r="F28" s="241"/>
      <c r="G28" s="268">
        <f>+'Q1 Mgmt Summary'!G28+'QTD Mgmt Summary'!G28</f>
        <v>2262</v>
      </c>
      <c r="H28" s="43">
        <f>+'Q1 Mgmt Summary'!H28+'QTD Mgmt Summary'!H28</f>
        <v>2551</v>
      </c>
      <c r="I28" s="65">
        <f>'QTD Mgmt Summary'!I28+'Q1 Mgmt Summary'!I28</f>
        <v>704</v>
      </c>
      <c r="J28" s="213">
        <f>'QTD Mgmt Summary'!J28+'Q1 Mgmt Summary'!J28</f>
        <v>-415</v>
      </c>
      <c r="K28" s="214"/>
      <c r="L28" s="212">
        <f t="shared" si="7"/>
        <v>-1591</v>
      </c>
      <c r="M28" s="41">
        <f t="shared" si="7"/>
        <v>12873</v>
      </c>
      <c r="N28" s="213">
        <f>+L28-M28</f>
        <v>-14464</v>
      </c>
    </row>
    <row r="29" spans="1:14" ht="12" customHeight="1" x14ac:dyDescent="0.2">
      <c r="A29" s="207" t="s">
        <v>0</v>
      </c>
      <c r="B29" s="237"/>
      <c r="C29" s="269">
        <f>+'Q1 Mgmt Summary'!C29+'QTD Mgmt Summary'!C29</f>
        <v>13</v>
      </c>
      <c r="D29" s="43">
        <f>+'Q1 Mgmt Summary'!D29+'QTD Mgmt Summary'!D29</f>
        <v>9312</v>
      </c>
      <c r="E29" s="213">
        <f t="shared" si="4"/>
        <v>-9299</v>
      </c>
      <c r="F29" s="241"/>
      <c r="G29" s="269">
        <f>+'Q1 Mgmt Summary'!G29+'QTD Mgmt Summary'!G29</f>
        <v>4455</v>
      </c>
      <c r="H29" s="43">
        <f>+'Q1 Mgmt Summary'!H29+'QTD Mgmt Summary'!H29</f>
        <v>5082</v>
      </c>
      <c r="I29" s="65">
        <f>'QTD Mgmt Summary'!I29+'Q1 Mgmt Summary'!I29</f>
        <v>0</v>
      </c>
      <c r="J29" s="213">
        <f>'QTD Mgmt Summary'!J29+'Q1 Mgmt Summary'!J29</f>
        <v>627</v>
      </c>
      <c r="K29" s="214"/>
      <c r="L29" s="212">
        <f>+C29-G29</f>
        <v>-4442</v>
      </c>
      <c r="M29" s="41">
        <f>+D29-H29</f>
        <v>4230</v>
      </c>
      <c r="N29" s="213">
        <f t="shared" si="6"/>
        <v>-8672</v>
      </c>
    </row>
    <row r="30" spans="1:14" s="202" customFormat="1" ht="12" customHeight="1" x14ac:dyDescent="0.25">
      <c r="A30" s="229" t="s">
        <v>1</v>
      </c>
      <c r="B30" s="238"/>
      <c r="C30" s="259">
        <f>SUM(C19:C29)</f>
        <v>104219</v>
      </c>
      <c r="D30" s="259">
        <f>SUM(D19:D29)</f>
        <v>241153</v>
      </c>
      <c r="E30" s="232">
        <f>SUM(E19:E29)</f>
        <v>-136934</v>
      </c>
      <c r="F30" s="242">
        <v>0</v>
      </c>
      <c r="G30" s="259">
        <f>SUM(G19:G29)</f>
        <v>153552.5</v>
      </c>
      <c r="H30" s="259">
        <f>SUM(H19:H29)</f>
        <v>152599.5</v>
      </c>
      <c r="I30" s="259">
        <f>SUM(I19:I29)</f>
        <v>4379</v>
      </c>
      <c r="J30" s="232">
        <f>SUM(J19:J29)</f>
        <v>-6078</v>
      </c>
      <c r="K30" s="215"/>
      <c r="L30" s="230">
        <f>SUM(L19:L29)</f>
        <v>-49333.5</v>
      </c>
      <c r="M30" s="231">
        <f>SUM(M19:M29)</f>
        <v>88553.5</v>
      </c>
      <c r="N30" s="232">
        <f>SUM(N19:N29)</f>
        <v>-137887</v>
      </c>
    </row>
    <row r="31" spans="1:14" ht="12" customHeight="1" x14ac:dyDescent="0.2">
      <c r="A31" s="207"/>
      <c r="B31" s="237"/>
      <c r="C31" s="212"/>
      <c r="D31" s="257"/>
      <c r="E31" s="213"/>
      <c r="F31" s="241"/>
      <c r="G31" s="212"/>
      <c r="H31" s="257"/>
      <c r="I31" s="41"/>
      <c r="J31" s="213"/>
      <c r="K31" s="214"/>
      <c r="L31" s="212"/>
      <c r="M31" s="41"/>
      <c r="N31" s="213"/>
    </row>
    <row r="32" spans="1:14" ht="12" customHeight="1" x14ac:dyDescent="0.2">
      <c r="A32" s="207" t="s">
        <v>9</v>
      </c>
      <c r="B32" s="237"/>
      <c r="C32" s="268">
        <f>+'Q1 Mgmt Summary'!C32+'QTD Mgmt Summary'!C32</f>
        <v>63999</v>
      </c>
      <c r="D32" s="43">
        <f>+'Q1 Mgmt Summary'!D32+'QTD Mgmt Summary'!D32</f>
        <v>30764</v>
      </c>
      <c r="E32" s="213">
        <f>+C32-D32</f>
        <v>33235</v>
      </c>
      <c r="F32" s="241"/>
      <c r="G32" s="268">
        <f>+'Q1 Mgmt Summary'!G32+'QTD Mgmt Summary'!G32</f>
        <v>4714</v>
      </c>
      <c r="H32" s="43">
        <f>+'Q1 Mgmt Summary'!H32+'QTD Mgmt Summary'!H32</f>
        <v>6895</v>
      </c>
      <c r="I32" s="65">
        <f>'QTD Mgmt Summary'!I32+'Q1 Mgmt Summary'!I32</f>
        <v>1995</v>
      </c>
      <c r="J32" s="213">
        <f>'QTD Mgmt Summary'!J32+'Q1 Mgmt Summary'!J32</f>
        <v>186</v>
      </c>
      <c r="K32" s="214"/>
      <c r="L32" s="212">
        <f t="shared" ref="L32:M34" si="8">+C32-G32</f>
        <v>59285</v>
      </c>
      <c r="M32" s="41">
        <f t="shared" si="8"/>
        <v>23869</v>
      </c>
      <c r="N32" s="213">
        <f>+L32-M32</f>
        <v>35416</v>
      </c>
    </row>
    <row r="33" spans="1:14" ht="12" customHeight="1" x14ac:dyDescent="0.2">
      <c r="A33" s="207" t="s">
        <v>257</v>
      </c>
      <c r="B33" s="237"/>
      <c r="C33" s="268">
        <f>+'Q1 Mgmt Summary'!C33+'QTD Mgmt Summary'!C33</f>
        <v>4434</v>
      </c>
      <c r="D33" s="43">
        <f>+'Q1 Mgmt Summary'!D33+'QTD Mgmt Summary'!D33</f>
        <v>2000</v>
      </c>
      <c r="E33" s="213">
        <f>+C33-D33</f>
        <v>2434</v>
      </c>
      <c r="F33" s="241"/>
      <c r="G33" s="268">
        <f>+'Q1 Mgmt Summary'!G33+'QTD Mgmt Summary'!G33</f>
        <v>11591</v>
      </c>
      <c r="H33" s="43">
        <f>+'Q1 Mgmt Summary'!H33+'QTD Mgmt Summary'!H33</f>
        <v>14296</v>
      </c>
      <c r="I33" s="65">
        <f>'QTD Mgmt Summary'!I33+'Q1 Mgmt Summary'!I33</f>
        <v>3312</v>
      </c>
      <c r="J33" s="213">
        <f>'QTD Mgmt Summary'!J33+'Q1 Mgmt Summary'!J33</f>
        <v>-607</v>
      </c>
      <c r="K33" s="214"/>
      <c r="L33" s="212">
        <f t="shared" si="8"/>
        <v>-7157</v>
      </c>
      <c r="M33" s="41">
        <f t="shared" si="8"/>
        <v>-12296</v>
      </c>
      <c r="N33" s="213">
        <f>+L33-M33</f>
        <v>5139</v>
      </c>
    </row>
    <row r="34" spans="1:14" x14ac:dyDescent="0.2">
      <c r="A34" s="207" t="s">
        <v>154</v>
      </c>
      <c r="B34" s="237"/>
      <c r="C34" s="269">
        <f>+'Q1 Mgmt Summary'!C34+'QTD Mgmt Summary'!C34</f>
        <v>-13491</v>
      </c>
      <c r="D34" s="51">
        <f>+'Q1 Mgmt Summary'!D34+'QTD Mgmt Summary'!D34</f>
        <v>29109</v>
      </c>
      <c r="E34" s="213">
        <f>+C34-D34</f>
        <v>-42600</v>
      </c>
      <c r="F34" s="206"/>
      <c r="G34" s="269">
        <f>+'Q1 Mgmt Summary'!G34+'QTD Mgmt Summary'!G34</f>
        <v>20629</v>
      </c>
      <c r="H34" s="51">
        <f>+'Q1 Mgmt Summary'!H34+'QTD Mgmt Summary'!H34</f>
        <v>20771</v>
      </c>
      <c r="I34" s="65">
        <f>'QTD Mgmt Summary'!I34+'Q1 Mgmt Summary'!I34</f>
        <v>-313</v>
      </c>
      <c r="J34" s="213">
        <f>'QTD Mgmt Summary'!J34+'Q1 Mgmt Summary'!J34</f>
        <v>455</v>
      </c>
      <c r="K34" s="206"/>
      <c r="L34" s="212">
        <f t="shared" si="8"/>
        <v>-34120</v>
      </c>
      <c r="M34" s="41">
        <f t="shared" si="8"/>
        <v>8338</v>
      </c>
      <c r="N34" s="213">
        <f>+L34-M34</f>
        <v>-42458</v>
      </c>
    </row>
    <row r="35" spans="1:14" s="202" customFormat="1" ht="12" customHeight="1" x14ac:dyDescent="0.25">
      <c r="A35" s="229" t="s">
        <v>87</v>
      </c>
      <c r="B35" s="238"/>
      <c r="C35" s="259">
        <f>SUM(C32:C34)</f>
        <v>54942</v>
      </c>
      <c r="D35" s="259">
        <f>SUM(D32:D34)</f>
        <v>61873</v>
      </c>
      <c r="E35" s="232">
        <f>SUM(E32:E34)</f>
        <v>-6931</v>
      </c>
      <c r="F35" s="242"/>
      <c r="G35" s="259">
        <f>SUM(G32:G34)</f>
        <v>36934</v>
      </c>
      <c r="H35" s="259">
        <f>SUM(H32:H34)</f>
        <v>41962</v>
      </c>
      <c r="I35" s="259">
        <f>SUM(I32:I34)</f>
        <v>4994</v>
      </c>
      <c r="J35" s="232">
        <f>SUM(J32:J34)</f>
        <v>34</v>
      </c>
      <c r="K35" s="215"/>
      <c r="L35" s="230">
        <f>SUM(L32:L34)</f>
        <v>18008</v>
      </c>
      <c r="M35" s="231">
        <f>SUM(M32:M34)</f>
        <v>19911</v>
      </c>
      <c r="N35" s="232">
        <f>SUM(N32:N34)</f>
        <v>-1903</v>
      </c>
    </row>
    <row r="36" spans="1:14" ht="12" customHeight="1" x14ac:dyDescent="0.2">
      <c r="A36" s="217"/>
      <c r="B36" s="237"/>
      <c r="C36" s="218"/>
      <c r="D36" s="262"/>
      <c r="E36" s="219"/>
      <c r="F36" s="241"/>
      <c r="G36" s="218"/>
      <c r="H36" s="262"/>
      <c r="I36" s="104"/>
      <c r="J36" s="219"/>
      <c r="K36" s="214"/>
      <c r="L36" s="218"/>
      <c r="M36" s="104"/>
      <c r="N36" s="219"/>
    </row>
    <row r="37" spans="1:14" ht="12" customHeight="1" x14ac:dyDescent="0.2">
      <c r="A37" s="217" t="s">
        <v>8</v>
      </c>
      <c r="B37" s="237"/>
      <c r="C37" s="268">
        <f>+'Q1 Mgmt Summary'!C37+'QTD Mgmt Summary'!C37</f>
        <v>1719</v>
      </c>
      <c r="D37" s="43">
        <f>+'Q1 Mgmt Summary'!D37+'QTD Mgmt Summary'!D37</f>
        <v>5000</v>
      </c>
      <c r="E37" s="213">
        <f>+C37-D37</f>
        <v>-3281</v>
      </c>
      <c r="F37" s="241"/>
      <c r="G37" s="268">
        <f>+'Q1 Mgmt Summary'!G37+'QTD Mgmt Summary'!G37</f>
        <v>17664</v>
      </c>
      <c r="H37" s="43">
        <f>+'Q1 Mgmt Summary'!H37+'QTD Mgmt Summary'!H37</f>
        <v>16200</v>
      </c>
      <c r="I37" s="65">
        <f>'QTD Mgmt Summary'!I37+'Q1 Mgmt Summary'!I37</f>
        <v>0</v>
      </c>
      <c r="J37" s="213">
        <f>'QTD Mgmt Summary'!J37+'Q1 Mgmt Summary'!J37</f>
        <v>-1464</v>
      </c>
      <c r="K37" s="214"/>
      <c r="L37" s="212">
        <f t="shared" ref="L37:M39" si="9">+C37-G37</f>
        <v>-15945</v>
      </c>
      <c r="M37" s="41">
        <f t="shared" si="9"/>
        <v>-11200</v>
      </c>
      <c r="N37" s="213">
        <f>+L37-M37</f>
        <v>-4745</v>
      </c>
    </row>
    <row r="38" spans="1:14" ht="12" customHeight="1" x14ac:dyDescent="0.2">
      <c r="A38" s="217" t="s">
        <v>7</v>
      </c>
      <c r="B38" s="237"/>
      <c r="C38" s="268">
        <f>+'Q1 Mgmt Summary'!C38+'QTD Mgmt Summary'!C38</f>
        <v>-18812</v>
      </c>
      <c r="D38" s="43">
        <f>+'Q1 Mgmt Summary'!D38+'QTD Mgmt Summary'!D38</f>
        <v>0</v>
      </c>
      <c r="E38" s="213">
        <f>+C38-D38</f>
        <v>-18812</v>
      </c>
      <c r="F38" s="241"/>
      <c r="G38" s="268">
        <f>+'Q1 Mgmt Summary'!G38+'QTD Mgmt Summary'!G38</f>
        <v>17601</v>
      </c>
      <c r="H38" s="43">
        <f>+'Q1 Mgmt Summary'!H38+'QTD Mgmt Summary'!H38</f>
        <v>14751</v>
      </c>
      <c r="I38" s="65">
        <f>'QTD Mgmt Summary'!I38+'Q1 Mgmt Summary'!I38</f>
        <v>0</v>
      </c>
      <c r="J38" s="213">
        <f>'QTD Mgmt Summary'!J38+'Q1 Mgmt Summary'!J38</f>
        <v>-2850</v>
      </c>
      <c r="K38" s="214"/>
      <c r="L38" s="212">
        <f t="shared" si="9"/>
        <v>-36413</v>
      </c>
      <c r="M38" s="41">
        <f t="shared" si="9"/>
        <v>-14751</v>
      </c>
      <c r="N38" s="213">
        <f>+L38-M38</f>
        <v>-21662</v>
      </c>
    </row>
    <row r="39" spans="1:14" ht="12" customHeight="1" x14ac:dyDescent="0.2">
      <c r="A39" s="217" t="s">
        <v>19</v>
      </c>
      <c r="B39" s="237"/>
      <c r="C39" s="269">
        <f>+'Q1 Mgmt Summary'!C39+'QTD Mgmt Summary'!C39</f>
        <v>0</v>
      </c>
      <c r="D39" s="51">
        <f>+'Q1 Mgmt Summary'!D39+'QTD Mgmt Summary'!D39</f>
        <v>100909</v>
      </c>
      <c r="E39" s="213">
        <f>+C39-D39</f>
        <v>-100909</v>
      </c>
      <c r="F39" s="241"/>
      <c r="G39" s="269">
        <f>+'Q1 Mgmt Summary'!G39+'QTD Mgmt Summary'!G39</f>
        <v>0</v>
      </c>
      <c r="H39" s="51">
        <f>+'Q1 Mgmt Summary'!H39+'QTD Mgmt Summary'!H39</f>
        <v>0</v>
      </c>
      <c r="I39" s="65">
        <f>'QTD Mgmt Summary'!I39+'Q1 Mgmt Summary'!I39</f>
        <v>0</v>
      </c>
      <c r="J39" s="213">
        <f>'QTD Mgmt Summary'!J39+'Q1 Mgmt Summary'!J39</f>
        <v>0</v>
      </c>
      <c r="K39" s="214"/>
      <c r="L39" s="212">
        <f t="shared" si="9"/>
        <v>0</v>
      </c>
      <c r="M39" s="41">
        <f t="shared" si="9"/>
        <v>100909</v>
      </c>
      <c r="N39" s="213">
        <f>+L39-M39</f>
        <v>-100909</v>
      </c>
    </row>
    <row r="40" spans="1:14" s="202" customFormat="1" ht="12" customHeight="1" x14ac:dyDescent="0.25">
      <c r="A40" s="229" t="s">
        <v>10</v>
      </c>
      <c r="B40" s="238"/>
      <c r="C40" s="259">
        <f>C39+C38+C37+C35+C30+C17</f>
        <v>907698</v>
      </c>
      <c r="D40" s="259">
        <f>D39+D38+D37+D35+D30+D17</f>
        <v>717239</v>
      </c>
      <c r="E40" s="232">
        <f>E39+E38+E37+E35+E30+E17</f>
        <v>190459</v>
      </c>
      <c r="F40" s="242"/>
      <c r="G40" s="259">
        <f>G39+G38+G37+G35+G30+G17</f>
        <v>343119.5</v>
      </c>
      <c r="H40" s="259">
        <f>H39+H38+H37+H35+H30+H17</f>
        <v>339266.5</v>
      </c>
      <c r="I40" s="259">
        <f>I39+I38+I37+I35+I30+I17</f>
        <v>10839</v>
      </c>
      <c r="J40" s="232">
        <f>J39+J38+J37+J35+J30+J17</f>
        <v>-15475</v>
      </c>
      <c r="K40" s="215"/>
      <c r="L40" s="259">
        <f>L39+L38+L37+L35+L30+L17</f>
        <v>564578.5</v>
      </c>
      <c r="M40" s="259">
        <f>M39+M38+M37+M35+M30+M17</f>
        <v>377972.5</v>
      </c>
      <c r="N40" s="232">
        <f>N39+N38+N37+N35+N30+N17</f>
        <v>186606</v>
      </c>
    </row>
    <row r="41" spans="1:14" ht="12" customHeight="1" x14ac:dyDescent="0.2">
      <c r="A41" s="217"/>
      <c r="B41" s="237"/>
      <c r="C41" s="218"/>
      <c r="D41" s="262"/>
      <c r="E41" s="219"/>
      <c r="F41" s="241"/>
      <c r="G41" s="218"/>
      <c r="H41" s="262"/>
      <c r="I41" s="104"/>
      <c r="J41" s="219"/>
      <c r="K41" s="214"/>
      <c r="L41" s="218"/>
      <c r="M41" s="104"/>
      <c r="N41" s="219"/>
    </row>
    <row r="42" spans="1:14" ht="12" customHeight="1" x14ac:dyDescent="0.2">
      <c r="A42" s="217" t="s">
        <v>236</v>
      </c>
      <c r="B42" s="237"/>
      <c r="C42" s="268">
        <f>+'Q1 Mgmt Summary'!C42+'QTD Mgmt Summary'!C42</f>
        <v>0</v>
      </c>
      <c r="D42" s="43">
        <f>+'Q1 Mgmt Summary'!D42+'QTD Mgmt Summary'!D42</f>
        <v>0</v>
      </c>
      <c r="E42" s="213">
        <f>+C42-D42</f>
        <v>0</v>
      </c>
      <c r="F42" s="241"/>
      <c r="G42" s="268">
        <f>+'Q1 Mgmt Summary'!G42+'QTD Mgmt Summary'!G42</f>
        <v>169398</v>
      </c>
      <c r="H42" s="43">
        <f>+'Q1 Mgmt Summary'!H42+'QTD Mgmt Summary'!H42</f>
        <v>122673</v>
      </c>
      <c r="I42" s="65">
        <f>'QTD Mgmt Summary'!I42+'Q1 Mgmt Summary'!I42</f>
        <v>0</v>
      </c>
      <c r="J42" s="213">
        <f>'QTD Mgmt Summary'!J42+'Q1 Mgmt Summary'!J42</f>
        <v>-46725</v>
      </c>
      <c r="K42" s="214"/>
      <c r="L42" s="212">
        <f>+C42-G42</f>
        <v>-169398</v>
      </c>
      <c r="M42" s="41">
        <f>+D42-H42</f>
        <v>-122673</v>
      </c>
      <c r="N42" s="213">
        <f>+L42-M42</f>
        <v>-46725</v>
      </c>
    </row>
    <row r="43" spans="1:14" ht="12" customHeight="1" x14ac:dyDescent="0.2">
      <c r="A43" s="217" t="s">
        <v>237</v>
      </c>
      <c r="B43" s="237"/>
      <c r="C43" s="268">
        <f>+'Q1 Mgmt Summary'!C43+'QTD Mgmt Summary'!C43</f>
        <v>0</v>
      </c>
      <c r="D43" s="43">
        <f>+'Q1 Mgmt Summary'!D43+'QTD Mgmt Summary'!D43</f>
        <v>0</v>
      </c>
      <c r="E43" s="213">
        <f>+C43-D43</f>
        <v>0</v>
      </c>
      <c r="F43" s="241"/>
      <c r="G43" s="268">
        <f>+'Q1 Mgmt Summary'!G43+'QTD Mgmt Summary'!G43</f>
        <v>-91747</v>
      </c>
      <c r="H43" s="43">
        <f>+'Q1 Mgmt Summary'!H43+'QTD Mgmt Summary'!H43</f>
        <v>-98360</v>
      </c>
      <c r="I43" s="65">
        <f>'QTD Mgmt Summary'!I43+'Q1 Mgmt Summary'!I43</f>
        <v>0</v>
      </c>
      <c r="J43" s="213">
        <f>'QTD Mgmt Summary'!J43+'Q1 Mgmt Summary'!J43</f>
        <v>-6613</v>
      </c>
      <c r="K43" s="214"/>
      <c r="L43" s="212">
        <f t="shared" ref="L43:M45" si="10">+C43-G43</f>
        <v>91747</v>
      </c>
      <c r="M43" s="41">
        <f t="shared" si="10"/>
        <v>98360</v>
      </c>
      <c r="N43" s="213">
        <f>+L43-M43</f>
        <v>-6613</v>
      </c>
    </row>
    <row r="44" spans="1:14" ht="12" customHeight="1" x14ac:dyDescent="0.2">
      <c r="A44" s="217" t="s">
        <v>18</v>
      </c>
      <c r="B44" s="237"/>
      <c r="C44" s="268">
        <f>+'Q1 Mgmt Summary'!C44+'QTD Mgmt Summary'!C46</f>
        <v>-41336</v>
      </c>
      <c r="D44" s="43">
        <f>+'Q1 Mgmt Summary'!D44+'QTD Mgmt Summary'!D46</f>
        <v>-21590</v>
      </c>
      <c r="E44" s="213">
        <f>+C44-D44</f>
        <v>-19746</v>
      </c>
      <c r="F44" s="243"/>
      <c r="G44" s="268">
        <f>+'Q1 Mgmt Summary'!G44+'QTD Mgmt Summary'!G46</f>
        <v>37352</v>
      </c>
      <c r="H44" s="43">
        <f>+'Q1 Mgmt Summary'!H44+'QTD Mgmt Summary'!H46</f>
        <v>49287</v>
      </c>
      <c r="I44" s="65">
        <f>'QTD Mgmt Summary'!I46+'Q1 Mgmt Summary'!I44</f>
        <v>0</v>
      </c>
      <c r="J44" s="213">
        <f>'QTD Mgmt Summary'!J46+'Q1 Mgmt Summary'!J44</f>
        <v>11935</v>
      </c>
      <c r="K44" s="214"/>
      <c r="L44" s="212">
        <f t="shared" si="10"/>
        <v>-78688</v>
      </c>
      <c r="M44" s="41">
        <f t="shared" si="10"/>
        <v>-70877</v>
      </c>
      <c r="N44" s="213">
        <f>+L44-M44</f>
        <v>-7811</v>
      </c>
    </row>
    <row r="45" spans="1:14" ht="12" customHeight="1" x14ac:dyDescent="0.2">
      <c r="A45" s="217" t="s">
        <v>60</v>
      </c>
      <c r="B45" s="237"/>
      <c r="C45" s="268">
        <f>+'Q1 Mgmt Summary'!C45+'QTD Mgmt Summary'!C47</f>
        <v>0</v>
      </c>
      <c r="D45" s="43">
        <f>+'Q1 Mgmt Summary'!D45+'QTD Mgmt Summary'!D47</f>
        <v>0</v>
      </c>
      <c r="E45" s="213">
        <f>+C45-D45</f>
        <v>0</v>
      </c>
      <c r="F45" s="241"/>
      <c r="G45" s="268">
        <f>+'Q1 Mgmt Summary'!G45+'QTD Mgmt Summary'!G47</f>
        <v>-71975</v>
      </c>
      <c r="H45" s="43">
        <f>+'Q1 Mgmt Summary'!H45+'QTD Mgmt Summary'!H47</f>
        <v>-82814</v>
      </c>
      <c r="I45" s="65">
        <f>'QTD Mgmt Summary'!I47+'Q1 Mgmt Summary'!I45</f>
        <v>-10839</v>
      </c>
      <c r="J45" s="213">
        <f>'QTD Mgmt Summary'!J47+'Q1 Mgmt Summary'!J45</f>
        <v>0</v>
      </c>
      <c r="K45" s="214"/>
      <c r="L45" s="212">
        <f t="shared" si="10"/>
        <v>71975</v>
      </c>
      <c r="M45" s="41">
        <f t="shared" si="10"/>
        <v>82814</v>
      </c>
      <c r="N45" s="213">
        <f>+L45-M45</f>
        <v>-10839</v>
      </c>
    </row>
    <row r="46" spans="1:14" s="202" customFormat="1" ht="12" customHeight="1" x14ac:dyDescent="0.25">
      <c r="A46" s="229" t="s">
        <v>65</v>
      </c>
      <c r="B46" s="238"/>
      <c r="C46" s="259">
        <f>SUM(C40:C45)</f>
        <v>866362</v>
      </c>
      <c r="D46" s="259">
        <f>SUM(D40:D45)</f>
        <v>695649</v>
      </c>
      <c r="E46" s="233">
        <f>SUM(E40:E45)</f>
        <v>170713</v>
      </c>
      <c r="F46" s="242"/>
      <c r="G46" s="259">
        <f>SUM(G40:G45)</f>
        <v>386147.5</v>
      </c>
      <c r="H46" s="259">
        <f>SUM(H40:H45)</f>
        <v>330052.5</v>
      </c>
      <c r="I46" s="259">
        <f>SUM(I40:I45)</f>
        <v>0</v>
      </c>
      <c r="J46" s="233">
        <f>SUM(J40:J45)</f>
        <v>-56878</v>
      </c>
      <c r="K46" s="215"/>
      <c r="L46" s="259">
        <f>SUM(L40:L45)</f>
        <v>480214.5</v>
      </c>
      <c r="M46" s="259">
        <f>SUM(M40:M45)</f>
        <v>365596.5</v>
      </c>
      <c r="N46" s="233">
        <f>SUM(N40:N45)</f>
        <v>114618</v>
      </c>
    </row>
    <row r="47" spans="1:14" ht="12" customHeight="1" thickBot="1" x14ac:dyDescent="0.25">
      <c r="A47" s="217" t="s">
        <v>150</v>
      </c>
      <c r="B47" s="237"/>
      <c r="C47" s="212">
        <f>+'[1]1Q'!C46+'[1]2QTD'!C46</f>
        <v>0</v>
      </c>
      <c r="D47" s="257">
        <f>+'[1]1Q'!D46+'[1]2QTD'!D46</f>
        <v>0</v>
      </c>
      <c r="E47" s="213">
        <f>+C47-D47</f>
        <v>0</v>
      </c>
      <c r="F47" s="241"/>
      <c r="G47" s="212">
        <f>+'[1]1Q'!G46+'[1]2QTD'!G46</f>
        <v>9823</v>
      </c>
      <c r="H47" s="257">
        <f>+'[1]1Q'!H46+'[1]2QTD'!H46</f>
        <v>20600</v>
      </c>
      <c r="I47" s="65">
        <f>'QTD Mgmt Summary'!I49+'Q1 Mgmt Summary'!I47</f>
        <v>0</v>
      </c>
      <c r="J47" s="213">
        <f>'QTD Mgmt Summary'!J49+'Q1 Mgmt Summary'!J47</f>
        <v>4677</v>
      </c>
      <c r="K47" s="214"/>
      <c r="L47" s="212">
        <f>+C47-G47</f>
        <v>-9823</v>
      </c>
      <c r="M47" s="41">
        <f>+D47-H47</f>
        <v>-20600</v>
      </c>
      <c r="N47" s="213">
        <f>+L47-M47</f>
        <v>10777</v>
      </c>
    </row>
    <row r="48" spans="1:14" s="202" customFormat="1" ht="12" customHeight="1" thickBot="1" x14ac:dyDescent="0.3">
      <c r="A48" s="249" t="s">
        <v>66</v>
      </c>
      <c r="B48" s="250"/>
      <c r="C48" s="264">
        <f>SUM(C46:C47)</f>
        <v>866362</v>
      </c>
      <c r="D48" s="264">
        <f>SUM(D46:D47)</f>
        <v>695649</v>
      </c>
      <c r="E48" s="253">
        <f>SUM(E46:E47)</f>
        <v>170713</v>
      </c>
      <c r="F48" s="254"/>
      <c r="G48" s="264">
        <f>SUM(G46:G47)</f>
        <v>395970.5</v>
      </c>
      <c r="H48" s="264">
        <f>SUM(H46:H47)</f>
        <v>350652.5</v>
      </c>
      <c r="I48" s="264">
        <f>SUM(I46:I47)</f>
        <v>0</v>
      </c>
      <c r="J48" s="253">
        <f>SUM(J46:J47)</f>
        <v>-52201</v>
      </c>
      <c r="K48" s="254"/>
      <c r="L48" s="264">
        <f>SUM(L46:L47)</f>
        <v>470391.5</v>
      </c>
      <c r="M48" s="264">
        <f>SUM(M46:M47)</f>
        <v>344996.5</v>
      </c>
      <c r="N48" s="253">
        <f>SUM(N46:N47)</f>
        <v>125395</v>
      </c>
    </row>
    <row r="49" spans="1:10" ht="3" customHeight="1" x14ac:dyDescent="0.3">
      <c r="A49" s="184"/>
      <c r="C49" s="185"/>
      <c r="D49" s="42"/>
      <c r="E49" s="184"/>
      <c r="F49" s="44"/>
      <c r="J49" s="176"/>
    </row>
    <row r="50" spans="1:10" x14ac:dyDescent="0.2">
      <c r="A50" s="176" t="s">
        <v>149</v>
      </c>
      <c r="C50" s="44"/>
      <c r="D50" s="42"/>
      <c r="E50" s="44"/>
      <c r="F50" s="44"/>
    </row>
    <row r="51" spans="1:10" ht="13.5" customHeight="1" x14ac:dyDescent="0.2">
      <c r="D51" s="38"/>
      <c r="E51" s="38"/>
      <c r="F51" s="38"/>
      <c r="G51" s="38"/>
      <c r="H51" s="38"/>
      <c r="I51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K156"/>
  <sheetViews>
    <sheetView topLeftCell="B1" workbookViewId="0">
      <selection activeCell="E53" sqref="E53"/>
    </sheetView>
  </sheetViews>
  <sheetFormatPr defaultRowHeight="13.2" x14ac:dyDescent="0.25"/>
  <cols>
    <col min="1" max="1" width="16.88671875" style="23" hidden="1" customWidth="1"/>
    <col min="2" max="2" width="31.88671875" bestFit="1" customWidth="1"/>
    <col min="3" max="3" width="1.6640625" customWidth="1"/>
    <col min="4" max="4" width="10.6640625" bestFit="1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x14ac:dyDescent="0.25">
      <c r="A1" s="23" t="s">
        <v>102</v>
      </c>
    </row>
    <row r="2" spans="1:37" ht="15.6" x14ac:dyDescent="0.3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Q2" t="s">
        <v>234</v>
      </c>
    </row>
    <row r="3" spans="1:37" ht="13.8" x14ac:dyDescent="0.25">
      <c r="A3" s="24">
        <v>36678</v>
      </c>
      <c r="B3" s="331" t="s">
        <v>163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5">
      <c r="A4" s="23" t="s">
        <v>47</v>
      </c>
      <c r="B4" s="332" t="str">
        <f>'Old Mgmt Summary'!A3</f>
        <v>Results based on Activity through June 22,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5"/>
    <row r="6" spans="1:37" x14ac:dyDescent="0.25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232</v>
      </c>
      <c r="B9" s="7" t="s">
        <v>3</v>
      </c>
      <c r="D9" s="62">
        <f>E9+1975</f>
        <v>5187</v>
      </c>
      <c r="E9" s="63">
        <f>ROUND(_xll.HPVAL($A9,$A$1,$A$2,$A$3,$A$4,$A$6)/1000,0)</f>
        <v>3212</v>
      </c>
      <c r="F9" s="122">
        <f>E9-D9</f>
        <v>-1975</v>
      </c>
      <c r="G9" s="5"/>
      <c r="H9" s="297" t="s">
        <v>283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80" t="s">
        <v>42</v>
      </c>
      <c r="B10" s="29" t="s">
        <v>272</v>
      </c>
      <c r="C10" s="72"/>
      <c r="D10" s="20">
        <v>656</v>
      </c>
      <c r="E10" s="12">
        <f>ROUND(_xll.HPVAL($A10,$A$1,$A$2,$A$3,$A$4,$A$6)/1000,0)</f>
        <v>717</v>
      </c>
      <c r="F10" s="123">
        <f>E10-D10</f>
        <v>61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105</v>
      </c>
      <c r="B11" s="7" t="s">
        <v>106</v>
      </c>
      <c r="D11" s="20">
        <f>6123</f>
        <v>6123</v>
      </c>
      <c r="E11" s="12">
        <f>ROUND(_xll.HPVAL($A11,$A$1,$A$2,$A$3,$A$4,$A$6)/1000,0)</f>
        <v>4712</v>
      </c>
      <c r="F11" s="123">
        <f t="shared" ref="F11:F17" si="0">E11-D11</f>
        <v>-1411</v>
      </c>
      <c r="G11" s="5"/>
      <c r="H11" s="4" t="s">
        <v>316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27</v>
      </c>
      <c r="B12" s="7" t="s">
        <v>132</v>
      </c>
      <c r="D12" s="20">
        <v>774</v>
      </c>
      <c r="E12" s="12">
        <f>ROUND(_xll.HPVAL($A12,$A$1,$A$2,$A$3,$A$4,$A$6)*0.8577/1000,0)</f>
        <v>655</v>
      </c>
      <c r="F12" s="123">
        <f t="shared" si="0"/>
        <v>-119</v>
      </c>
      <c r="G12" s="5"/>
      <c r="H12" s="4" t="s">
        <v>280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134</v>
      </c>
      <c r="B13" s="7" t="s">
        <v>133</v>
      </c>
      <c r="D13" s="20">
        <f>1434-459</f>
        <v>975</v>
      </c>
      <c r="E13" s="12">
        <f>ROUND(_xll.HPVAL($A13,$A$1,$A$2,$A$3,$A$4,$A$6)/1000,0)-E12-494</f>
        <v>948</v>
      </c>
      <c r="F13" s="123">
        <f>E13-D13</f>
        <v>-27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254</v>
      </c>
      <c r="B14" s="7" t="s">
        <v>251</v>
      </c>
      <c r="C14" s="72"/>
      <c r="D14" s="20">
        <v>1147</v>
      </c>
      <c r="E14" s="12">
        <f>ROUND(_xll.HPVAL($A14,$A$1,$A$2,$A$3,$A$4,$A$6)/1000,0)</f>
        <v>1852</v>
      </c>
      <c r="F14" s="123">
        <f>E14-D14</f>
        <v>705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28</v>
      </c>
      <c r="B15" s="7" t="s">
        <v>275</v>
      </c>
      <c r="D15" s="20">
        <v>1549</v>
      </c>
      <c r="E15" s="12">
        <f>ROUND(_xll.HPVAL($A15,$A$1,$A$2,$A$3,$A$4,$A$6)/1000,0)/2</f>
        <v>1224</v>
      </c>
      <c r="F15" s="123">
        <f t="shared" si="0"/>
        <v>-325</v>
      </c>
      <c r="G15" s="5"/>
      <c r="H15" s="4" t="s">
        <v>303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30</v>
      </c>
      <c r="B16" s="7" t="s">
        <v>155</v>
      </c>
      <c r="D16" s="20">
        <v>721</v>
      </c>
      <c r="E16" s="12">
        <f>ROUND(_xll.HPVAL($A16,$A$1,$A$2,$A$3,$A$4,$A$6)/1000,0)</f>
        <v>892</v>
      </c>
      <c r="F16" s="123">
        <f t="shared" si="0"/>
        <v>171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4</v>
      </c>
      <c r="B17" s="7" t="s">
        <v>292</v>
      </c>
      <c r="D17" s="20">
        <v>52</v>
      </c>
      <c r="E17" s="12">
        <f>ROUND(_xll.HPVAL($A17,$A$1,$A$2,$A$3,$A$4,$A$6)/1000,0)</f>
        <v>104</v>
      </c>
      <c r="F17" s="123">
        <f t="shared" si="0"/>
        <v>52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B18" s="115" t="s">
        <v>6</v>
      </c>
      <c r="C18" s="114"/>
      <c r="D18" s="120">
        <f>SUM(D9:D17)</f>
        <v>17184</v>
      </c>
      <c r="E18" s="121">
        <f>SUM(E9:E17)</f>
        <v>14316</v>
      </c>
      <c r="F18" s="113">
        <f>SUM(F9:F17)</f>
        <v>-2868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5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5">
      <c r="A20" s="23" t="s">
        <v>32</v>
      </c>
      <c r="B20" s="7" t="s">
        <v>88</v>
      </c>
      <c r="D20" s="20">
        <f>E20+3000+541</f>
        <v>8510</v>
      </c>
      <c r="E20" s="12">
        <f>ROUND(_xll.HPVAL($A20,$A$1,$A$2,$A$3,$A$4,$A$6)/1000,0)</f>
        <v>4969</v>
      </c>
      <c r="F20" s="123">
        <f t="shared" ref="F20:F30" si="1">E20-D20</f>
        <v>-3541</v>
      </c>
      <c r="G20" s="5"/>
      <c r="H20" s="4" t="s">
        <v>278</v>
      </c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38</v>
      </c>
      <c r="B21" s="7" t="s">
        <v>89</v>
      </c>
      <c r="D21" s="20">
        <f>E21+541</f>
        <v>5215</v>
      </c>
      <c r="E21" s="12">
        <f>ROUND(_xll.HPVAL($A21,$A$1,$A$2,$A$3,$A$4,$A$6)/1000,0)</f>
        <v>4674</v>
      </c>
      <c r="F21" s="123">
        <f t="shared" si="1"/>
        <v>-541</v>
      </c>
      <c r="G21" s="5"/>
      <c r="H21" s="4" t="s">
        <v>282</v>
      </c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230</v>
      </c>
      <c r="B22" s="7" t="s">
        <v>229</v>
      </c>
      <c r="D22" s="20">
        <v>4610</v>
      </c>
      <c r="E22" s="12">
        <f>ROUND(_xll.HPVAL($A22,$A$1,$A$2,$A$3,$A$4,$A$6)/1000,0)</f>
        <v>5360</v>
      </c>
      <c r="F22" s="123">
        <f t="shared" si="1"/>
        <v>750</v>
      </c>
      <c r="G22" s="5"/>
      <c r="H22" s="4" t="s">
        <v>304</v>
      </c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2" customHeight="1" x14ac:dyDescent="0.25">
      <c r="A23" s="23" t="s">
        <v>37</v>
      </c>
      <c r="B23" s="7" t="s">
        <v>67</v>
      </c>
      <c r="D23" s="20">
        <v>2124</v>
      </c>
      <c r="E23" s="12">
        <f>ROUND(_xll.HPVAL($A23,$A$1,$A$2,$A$3,$A$4,$A$6)/1000,0)</f>
        <v>1294</v>
      </c>
      <c r="F23" s="123">
        <f>E23-D23</f>
        <v>-830</v>
      </c>
      <c r="G23" s="5"/>
      <c r="H23" s="4" t="s">
        <v>293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B24" s="7" t="s">
        <v>264</v>
      </c>
      <c r="D24" s="20">
        <v>1549</v>
      </c>
      <c r="E24" s="12">
        <f>2448/2</f>
        <v>1224</v>
      </c>
      <c r="F24" s="123">
        <f t="shared" si="1"/>
        <v>-325</v>
      </c>
      <c r="G24" s="5"/>
      <c r="H24" s="4" t="s">
        <v>303</v>
      </c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A25" s="23" t="s">
        <v>253</v>
      </c>
      <c r="B25" s="7" t="s">
        <v>252</v>
      </c>
      <c r="D25" s="20">
        <f>1298-800</f>
        <v>498</v>
      </c>
      <c r="E25" s="12">
        <f>ROUND(_xll.HPVAL($A25,$A$1,$A$2,$A$3,$A$4,$A$6)/1000,0)</f>
        <v>329</v>
      </c>
      <c r="F25" s="123">
        <f t="shared" si="1"/>
        <v>-169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80" t="s">
        <v>41</v>
      </c>
      <c r="B26" s="7" t="s">
        <v>299</v>
      </c>
      <c r="C26" s="72"/>
      <c r="D26" s="20">
        <v>3746</v>
      </c>
      <c r="E26" s="12">
        <f>ROUND(_xll.HPVAL($A26,$A$1,$A$2,$A$3,$A$4,$A$6)/1000,0)-E27-E28</f>
        <v>2866</v>
      </c>
      <c r="F26" s="123">
        <f>E26-D26</f>
        <v>-880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A27" s="162" t="s">
        <v>289</v>
      </c>
      <c r="B27" s="7" t="s">
        <v>289</v>
      </c>
      <c r="C27" s="72"/>
      <c r="D27" s="20">
        <v>2275</v>
      </c>
      <c r="E27" s="12">
        <v>2595</v>
      </c>
      <c r="F27" s="123">
        <f>E27-D27</f>
        <v>320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A28" s="162" t="s">
        <v>290</v>
      </c>
      <c r="B28" s="7" t="s">
        <v>290</v>
      </c>
      <c r="C28" s="72"/>
      <c r="D28" s="20">
        <v>65</v>
      </c>
      <c r="E28" s="12">
        <v>96</v>
      </c>
      <c r="F28" s="123">
        <f>E28-D28</f>
        <v>31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23" t="s">
        <v>73</v>
      </c>
      <c r="B29" s="7" t="s">
        <v>156</v>
      </c>
      <c r="D29" s="20">
        <v>1064</v>
      </c>
      <c r="E29" s="12">
        <f>ROUND(_xll.HPVAL($A29,$A$1,$A$2,$A$3,$A$4,$A$6)/1000,0)</f>
        <v>1298</v>
      </c>
      <c r="F29" s="123">
        <f t="shared" si="1"/>
        <v>234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23" t="s">
        <v>36</v>
      </c>
      <c r="B30" s="7" t="s">
        <v>0</v>
      </c>
      <c r="D30" s="20">
        <v>1616</v>
      </c>
      <c r="E30" s="12">
        <f>ROUND(_xll.HPVAL($A30,$A$1,$A$2,$A$3,$A$4,$A$6)/1000,0)</f>
        <v>2005</v>
      </c>
      <c r="F30" s="123">
        <f t="shared" si="1"/>
        <v>389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5">
      <c r="B31" s="115" t="s">
        <v>1</v>
      </c>
      <c r="C31" s="114"/>
      <c r="D31" s="120">
        <f>D20+D21+D22+D23+D24+D25+D30+D29+D26+D27+D28</f>
        <v>31272</v>
      </c>
      <c r="E31" s="121">
        <f>E20+E21+E22+E23+E24+E25+E30+E29+E26+E27+E28</f>
        <v>26710</v>
      </c>
      <c r="F31" s="113">
        <f>F20+F21+F22+F23+F24+F25+F26+F29+F30+F27+F28</f>
        <v>-4562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5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" customHeight="1" x14ac:dyDescent="0.25">
      <c r="B33" s="7"/>
      <c r="D33" s="20"/>
      <c r="E33" s="12"/>
      <c r="F33" s="123"/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5">
      <c r="A34" s="23" t="s">
        <v>40</v>
      </c>
      <c r="B34" s="7" t="s">
        <v>9</v>
      </c>
      <c r="D34" s="20">
        <v>459</v>
      </c>
      <c r="E34" s="12">
        <f>ROUND(_xll.HPVAL($A34,$A$1,$A$2,$A$3,$A$4,$A$6)/1000,0)</f>
        <v>735</v>
      </c>
      <c r="F34" s="123">
        <f>E34-D34</f>
        <v>276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5">
      <c r="A35" s="23" t="s">
        <v>39</v>
      </c>
      <c r="B35" s="7" t="s">
        <v>267</v>
      </c>
      <c r="D35" s="20">
        <v>1486</v>
      </c>
      <c r="E35" s="12">
        <f>ROUND(_xll.HPVAL($A35,$A$1,$A$2,$A$3,$A$4,$A$6)/1000,0)</f>
        <v>1307</v>
      </c>
      <c r="F35" s="123">
        <f>E35-D35</f>
        <v>-179</v>
      </c>
      <c r="G35" s="5"/>
      <c r="H35" s="4" t="s">
        <v>284</v>
      </c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5">
      <c r="A36" s="23" t="s">
        <v>153</v>
      </c>
      <c r="B36" s="291" t="s">
        <v>180</v>
      </c>
      <c r="D36" s="20">
        <v>502</v>
      </c>
      <c r="E36" s="12">
        <f>ROUND(_xll.HPVAL($A36,$A$1,$A$2,$A$3,$A$4,$A$6)/1000,0)</f>
        <v>839</v>
      </c>
      <c r="F36" s="123">
        <f>E36-D36</f>
        <v>337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hidden="1" customHeight="1" x14ac:dyDescent="0.25">
      <c r="A37" s="23" t="s">
        <v>157</v>
      </c>
      <c r="B37" s="291" t="s">
        <v>154</v>
      </c>
      <c r="D37" s="20">
        <v>10</v>
      </c>
      <c r="E37" s="12">
        <f>ROUND(_xll.HPVAL($A37,$A$1,$A$2,$A$3,$A$4,$A$6)/1000,0)</f>
        <v>0</v>
      </c>
      <c r="F37" s="123">
        <f>E37-D37</f>
        <v>-10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5">
      <c r="B38" s="7" t="s">
        <v>154</v>
      </c>
      <c r="D38" s="226">
        <f>SUM(D36:D37)</f>
        <v>512</v>
      </c>
      <c r="E38" s="227">
        <f>SUM(E36:E37)</f>
        <v>839</v>
      </c>
      <c r="F38" s="296">
        <f>SUM(F36:F37)</f>
        <v>327</v>
      </c>
      <c r="G38" s="225"/>
      <c r="K38" s="283"/>
    </row>
    <row r="39" spans="1:37" ht="11.25" customHeight="1" x14ac:dyDescent="0.25">
      <c r="B39" s="115" t="s">
        <v>87</v>
      </c>
      <c r="C39" s="114"/>
      <c r="D39" s="120">
        <f>SUM(D34:D37)</f>
        <v>2457</v>
      </c>
      <c r="E39" s="121">
        <f>SUM(E34:E37)</f>
        <v>2881</v>
      </c>
      <c r="F39" s="113">
        <f>SUM(F34:F37)</f>
        <v>424</v>
      </c>
      <c r="G39" s="116"/>
      <c r="H39" s="117"/>
      <c r="I39" s="118"/>
      <c r="J39" s="118"/>
      <c r="K39" s="1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5">
      <c r="B40" s="7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5">
      <c r="A41" s="23" t="s">
        <v>82</v>
      </c>
      <c r="B41" s="7" t="s">
        <v>8</v>
      </c>
      <c r="C41" s="72"/>
      <c r="D41" s="20">
        <v>6128</v>
      </c>
      <c r="E41" s="12">
        <f>ROUND(_xll.HPVAL($A41,$A$1,$A$2,$A$3,$A$4,$A$6)/1000,0)</f>
        <v>4617</v>
      </c>
      <c r="F41" s="123">
        <f>E41-D41</f>
        <v>-1511</v>
      </c>
      <c r="G41" s="5"/>
      <c r="H41" s="4" t="s">
        <v>279</v>
      </c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5">
      <c r="B42" s="7"/>
      <c r="C42" s="72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5">
      <c r="A43" s="23" t="s">
        <v>44</v>
      </c>
      <c r="B43" s="7" t="s">
        <v>7</v>
      </c>
      <c r="C43" s="72"/>
      <c r="D43" s="20">
        <f>3230+1800</f>
        <v>5030</v>
      </c>
      <c r="E43" s="12">
        <f>ROUND(_xll.HPVAL($A43,$A$1,$A$2,$A$3,$A$4,$A$6)/1000,0)</f>
        <v>2430</v>
      </c>
      <c r="F43" s="123">
        <f>E43-D43</f>
        <v>-2600</v>
      </c>
      <c r="G43" s="5"/>
      <c r="H43" s="4" t="s">
        <v>315</v>
      </c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5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14" customFormat="1" ht="11.25" customHeight="1" x14ac:dyDescent="0.25">
      <c r="A45" s="23"/>
      <c r="B45" s="115" t="s">
        <v>10</v>
      </c>
      <c r="D45" s="120">
        <f>SUM(D39:D43)+D18+D31</f>
        <v>62071</v>
      </c>
      <c r="E45" s="121">
        <f>SUM(E39:E43)+E18+E31</f>
        <v>50954</v>
      </c>
      <c r="F45" s="113">
        <f>SUM(F39:F43)+F18+F31</f>
        <v>-11117</v>
      </c>
      <c r="G45" s="116"/>
      <c r="H45" s="117"/>
      <c r="I45" s="118"/>
      <c r="J45" s="118"/>
      <c r="K45" s="119"/>
    </row>
    <row r="46" spans="1:37" ht="3" customHeight="1" x14ac:dyDescent="0.25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5">
      <c r="A47" s="23" t="s">
        <v>45</v>
      </c>
      <c r="B47" s="7" t="s">
        <v>48</v>
      </c>
      <c r="C47" s="72"/>
      <c r="D47" s="20">
        <f>75928-15698+30000</f>
        <v>90230</v>
      </c>
      <c r="E47" s="12">
        <f>ROUND(_xll.HPVAL($A47,$A$1,$A$2,$A$3,$A$4,$A$6)/1000,0)-13698</f>
        <v>59297</v>
      </c>
      <c r="F47" s="123">
        <f>E47-D47</f>
        <v>-30933</v>
      </c>
      <c r="G47" s="5"/>
      <c r="H47" s="4" t="s">
        <v>285</v>
      </c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5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" customHeight="1" x14ac:dyDescent="0.25">
      <c r="B49" s="7" t="s">
        <v>274</v>
      </c>
      <c r="D49" s="20">
        <v>13698</v>
      </c>
      <c r="E49" s="12">
        <v>13698</v>
      </c>
      <c r="F49" s="123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5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5">
      <c r="A51" s="23" t="s">
        <v>46</v>
      </c>
      <c r="B51" s="7" t="s">
        <v>18</v>
      </c>
      <c r="C51" s="72"/>
      <c r="D51" s="20">
        <v>22625</v>
      </c>
      <c r="E51" s="12">
        <f>ROUND(_xll.HPVAL($A51,$A$1,$A$2,$A$3,$A$4,$A$6)/1000,0)</f>
        <v>26684</v>
      </c>
      <c r="F51" s="123">
        <f>E51-D51</f>
        <v>4059</v>
      </c>
      <c r="G51" s="5"/>
      <c r="H51" s="4" t="s">
        <v>281</v>
      </c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5">
      <c r="B52" s="7"/>
      <c r="D52" s="20"/>
      <c r="E52" s="12"/>
      <c r="F52" s="12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14" customFormat="1" ht="11.25" customHeight="1" x14ac:dyDescent="0.25">
      <c r="B53" s="115" t="s">
        <v>14</v>
      </c>
      <c r="D53" s="108">
        <f>D45+D47+D51+D49</f>
        <v>188624</v>
      </c>
      <c r="E53" s="109">
        <f>E45+E47+E51+E49</f>
        <v>150633</v>
      </c>
      <c r="F53" s="110">
        <f>F45+F47+F51+F49</f>
        <v>-37991</v>
      </c>
      <c r="G53" s="116"/>
      <c r="H53" s="117"/>
      <c r="I53" s="118"/>
      <c r="J53" s="118"/>
      <c r="K53" s="119"/>
    </row>
    <row r="54" spans="1:37" ht="3" customHeight="1" x14ac:dyDescent="0.25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86" customFormat="1" ht="3" customHeight="1" x14ac:dyDescent="0.25">
      <c r="A55" s="16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5">
      <c r="B56" s="6"/>
      <c r="D56" s="327" t="s">
        <v>131</v>
      </c>
      <c r="E56" s="328"/>
      <c r="F56" s="329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178" t="s">
        <v>16</v>
      </c>
      <c r="D57" s="16" t="s">
        <v>13</v>
      </c>
      <c r="E57" s="17" t="s">
        <v>15</v>
      </c>
      <c r="F57" s="18" t="s">
        <v>20</v>
      </c>
      <c r="G57" s="1"/>
      <c r="H57" s="324" t="s">
        <v>70</v>
      </c>
      <c r="I57" s="325"/>
      <c r="J57" s="325"/>
      <c r="K57" s="32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B58" s="6" t="s">
        <v>33</v>
      </c>
      <c r="D58" s="181">
        <v>9900</v>
      </c>
      <c r="E58" s="182">
        <v>8789</v>
      </c>
      <c r="F58" s="179">
        <f>E58-D58</f>
        <v>-1111</v>
      </c>
      <c r="G58" s="1"/>
      <c r="H58" s="9" t="s">
        <v>297</v>
      </c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B59" s="7" t="s">
        <v>289</v>
      </c>
      <c r="D59" s="20">
        <v>34656</v>
      </c>
      <c r="E59" s="12">
        <v>33926</v>
      </c>
      <c r="F59" s="123">
        <f>E59-D59</f>
        <v>-730</v>
      </c>
      <c r="G59" s="1"/>
      <c r="H59" s="4"/>
      <c r="I59" s="2"/>
      <c r="J59" s="2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B60" s="19" t="s">
        <v>248</v>
      </c>
      <c r="D60" s="21">
        <v>6741</v>
      </c>
      <c r="E60" s="15">
        <v>3072</v>
      </c>
      <c r="F60" s="180">
        <f>E60-D60</f>
        <v>-3669</v>
      </c>
      <c r="G60" s="1"/>
      <c r="H60" s="13" t="s">
        <v>271</v>
      </c>
      <c r="I60" s="14"/>
      <c r="J60" s="14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279">
        <f>SUM(D58:D60)</f>
        <v>51297</v>
      </c>
      <c r="E61" s="279">
        <f>SUM(E58:E60)</f>
        <v>45787</v>
      </c>
      <c r="F61" s="1"/>
      <c r="G61" s="1"/>
      <c r="H61" s="1"/>
      <c r="I61" s="1"/>
      <c r="J61" s="1"/>
      <c r="K61" s="1"/>
      <c r="L61" s="1"/>
      <c r="M61" s="1" t="s">
        <v>286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5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5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5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6"/>
  <sheetViews>
    <sheetView topLeftCell="B24" workbookViewId="0">
      <selection activeCell="E53" sqref="E53"/>
    </sheetView>
  </sheetViews>
  <sheetFormatPr defaultRowHeight="13.2" x14ac:dyDescent="0.25"/>
  <cols>
    <col min="1" max="1" width="13.109375" style="23" hidden="1" customWidth="1"/>
    <col min="2" max="2" width="31.8867187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x14ac:dyDescent="0.25">
      <c r="A1" s="23" t="s">
        <v>102</v>
      </c>
    </row>
    <row r="2" spans="1:37" ht="15.6" x14ac:dyDescent="0.3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</row>
    <row r="3" spans="1:37" ht="13.8" x14ac:dyDescent="0.25">
      <c r="A3" s="24">
        <v>36678</v>
      </c>
      <c r="B3" s="331" t="s">
        <v>246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5">
      <c r="A4" s="23" t="s">
        <v>47</v>
      </c>
      <c r="B4" s="332" t="str">
        <f>Expenses!B4</f>
        <v>Results based on Activity through June 22,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5"/>
    <row r="6" spans="1:37" x14ac:dyDescent="0.25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232</v>
      </c>
      <c r="B9" s="7" t="s">
        <v>3</v>
      </c>
      <c r="D9" s="62">
        <f>Expenses!D9-[2]Expenses!D9</f>
        <v>0</v>
      </c>
      <c r="E9" s="63">
        <f>Expenses!E9-[2]Expenses!E9</f>
        <v>0</v>
      </c>
      <c r="F9" s="122">
        <f>E9-D9</f>
        <v>0</v>
      </c>
      <c r="G9" s="5"/>
      <c r="H9" s="297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42</v>
      </c>
      <c r="B10" s="29" t="s">
        <v>272</v>
      </c>
      <c r="C10" s="72"/>
      <c r="D10" s="293">
        <f>Expenses!D10-[2]Expenses!D10</f>
        <v>0</v>
      </c>
      <c r="E10" s="294">
        <f>Expenses!E10-[2]Expenses!E10</f>
        <v>0</v>
      </c>
      <c r="F10" s="295">
        <f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105</v>
      </c>
      <c r="B11" s="7" t="s">
        <v>106</v>
      </c>
      <c r="D11" s="293">
        <f>Expenses!D11-[2]Expenses!D11</f>
        <v>400</v>
      </c>
      <c r="E11" s="294">
        <f>Expenses!E11-[2]Expenses!E11</f>
        <v>0</v>
      </c>
      <c r="F11" s="295">
        <f t="shared" ref="F11:F17" si="0">E11-D11</f>
        <v>-400</v>
      </c>
      <c r="G11" s="5"/>
      <c r="H11" s="4" t="s">
        <v>302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27</v>
      </c>
      <c r="B12" s="7" t="s">
        <v>132</v>
      </c>
      <c r="D12" s="293">
        <f>Expenses!D12-[2]Expenses!D12</f>
        <v>-289</v>
      </c>
      <c r="E12" s="294">
        <f>Expenses!E12-[2]Expenses!E12</f>
        <v>0</v>
      </c>
      <c r="F12" s="295">
        <f t="shared" si="0"/>
        <v>289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134</v>
      </c>
      <c r="B13" s="7" t="s">
        <v>133</v>
      </c>
      <c r="D13" s="293">
        <f>Expenses!D13-[2]Expenses!D13</f>
        <v>0</v>
      </c>
      <c r="E13" s="294">
        <f>Expenses!E13-[2]Expenses!E13</f>
        <v>0</v>
      </c>
      <c r="F13" s="295">
        <f t="shared" si="0"/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43</v>
      </c>
      <c r="B14" s="7" t="s">
        <v>251</v>
      </c>
      <c r="C14" s="72"/>
      <c r="D14" s="293">
        <f>Expenses!D14-[2]Expenses!D14</f>
        <v>0</v>
      </c>
      <c r="E14" s="294">
        <f>Expenses!E14-[2]Expenses!E14</f>
        <v>0</v>
      </c>
      <c r="F14" s="295">
        <f t="shared" si="0"/>
        <v>0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28</v>
      </c>
      <c r="B15" s="7" t="s">
        <v>262</v>
      </c>
      <c r="D15" s="293">
        <f>Expenses!D15-[2]Expenses!D15</f>
        <v>325</v>
      </c>
      <c r="E15" s="294">
        <f>Expenses!E15-[2]Expenses!E15</f>
        <v>0</v>
      </c>
      <c r="F15" s="295">
        <f t="shared" si="0"/>
        <v>-325</v>
      </c>
      <c r="G15" s="5"/>
      <c r="H15" s="4" t="s">
        <v>303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30</v>
      </c>
      <c r="B16" s="7" t="s">
        <v>155</v>
      </c>
      <c r="D16" s="293">
        <f>Expenses!D16-[2]Expenses!D16</f>
        <v>-171</v>
      </c>
      <c r="E16" s="294">
        <f>Expenses!E16-[2]Expenses!E16</f>
        <v>0</v>
      </c>
      <c r="F16" s="295">
        <f t="shared" si="0"/>
        <v>171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4</v>
      </c>
      <c r="B17" s="7" t="s">
        <v>292</v>
      </c>
      <c r="D17" s="293">
        <f>Expenses!D17-[2]Expenses!D17</f>
        <v>-52</v>
      </c>
      <c r="E17" s="294">
        <f>Expenses!E17-[2]Expenses!E17</f>
        <v>0</v>
      </c>
      <c r="F17" s="295">
        <f t="shared" si="0"/>
        <v>52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B18" s="115" t="s">
        <v>6</v>
      </c>
      <c r="C18" s="114"/>
      <c r="D18" s="120">
        <f>SUM(D9:D17)</f>
        <v>213</v>
      </c>
      <c r="E18" s="121">
        <f>SUM(E9:E17)</f>
        <v>0</v>
      </c>
      <c r="F18" s="113">
        <f>SUM(F9:F17)</f>
        <v>-213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5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5">
      <c r="A20" s="23" t="s">
        <v>32</v>
      </c>
      <c r="B20" s="7" t="s">
        <v>88</v>
      </c>
      <c r="D20" s="293">
        <f>Expenses!D20-[2]Expenses!D20</f>
        <v>0</v>
      </c>
      <c r="E20" s="294">
        <f>Expenses!E20-[2]Expenses!E20</f>
        <v>0</v>
      </c>
      <c r="F20" s="295">
        <f t="shared" ref="F20:F26" si="1">E20-D20</f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38</v>
      </c>
      <c r="B21" s="7" t="s">
        <v>89</v>
      </c>
      <c r="D21" s="293">
        <f>Expenses!D21-[2]Expenses!D21</f>
        <v>0</v>
      </c>
      <c r="E21" s="294">
        <f>Expenses!E21-[2]Expenses!E21</f>
        <v>0</v>
      </c>
      <c r="F21" s="295">
        <f t="shared" si="1"/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230</v>
      </c>
      <c r="B22" s="7" t="s">
        <v>229</v>
      </c>
      <c r="D22" s="293">
        <f>Expenses!D22-[2]Expenses!D22</f>
        <v>-750</v>
      </c>
      <c r="E22" s="294">
        <f>Expenses!E22-[2]Expenses!E22</f>
        <v>0</v>
      </c>
      <c r="F22" s="295">
        <f t="shared" si="1"/>
        <v>750</v>
      </c>
      <c r="G22" s="5"/>
      <c r="H22" s="4" t="s">
        <v>305</v>
      </c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5">
      <c r="A23" s="23" t="s">
        <v>37</v>
      </c>
      <c r="B23" s="7" t="s">
        <v>67</v>
      </c>
      <c r="D23" s="293">
        <f>Expenses!D23-[2]Expenses!D23</f>
        <v>-138</v>
      </c>
      <c r="E23" s="294">
        <f>Expenses!E23-[2]Expenses!E23</f>
        <v>0</v>
      </c>
      <c r="F23" s="295">
        <f>E23-D23</f>
        <v>138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B24" s="7" t="s">
        <v>264</v>
      </c>
      <c r="D24" s="293">
        <f>Expenses!D24-[2]Expenses!D24</f>
        <v>325</v>
      </c>
      <c r="E24" s="294">
        <f>Expenses!E24-[2]Expenses!E24</f>
        <v>0</v>
      </c>
      <c r="F24" s="295">
        <f t="shared" si="1"/>
        <v>-325</v>
      </c>
      <c r="G24" s="5"/>
      <c r="H24" s="4" t="s">
        <v>303</v>
      </c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B25" s="7" t="s">
        <v>252</v>
      </c>
      <c r="D25" s="293">
        <f>Expenses!D25-[2]Expenses!D25</f>
        <v>0</v>
      </c>
      <c r="E25" s="294">
        <f>Expenses!E25-[2]Expenses!E25</f>
        <v>0</v>
      </c>
      <c r="F25" s="295">
        <f t="shared" si="1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3" t="s">
        <v>41</v>
      </c>
      <c r="B26" s="7" t="s">
        <v>299</v>
      </c>
      <c r="C26" s="72"/>
      <c r="D26" s="293">
        <f>Expenses!D26-[2]Expenses!D26</f>
        <v>0</v>
      </c>
      <c r="E26" s="294">
        <f>Expenses!E26-[2]Expenses!E26</f>
        <v>0</v>
      </c>
      <c r="F26" s="295">
        <f t="shared" si="1"/>
        <v>0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B27" s="29" t="s">
        <v>289</v>
      </c>
      <c r="C27" s="72"/>
      <c r="D27" s="293">
        <f>Expenses!D27-[2]Expenses!D27</f>
        <v>-627</v>
      </c>
      <c r="E27" s="294">
        <f>Expenses!E27-[2]Expenses!E27</f>
        <v>0</v>
      </c>
      <c r="F27" s="295">
        <f>E27-D27</f>
        <v>627</v>
      </c>
      <c r="G27" s="5"/>
      <c r="H27" s="4" t="s">
        <v>309</v>
      </c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B28" s="29" t="s">
        <v>290</v>
      </c>
      <c r="C28" s="72"/>
      <c r="D28" s="293">
        <f>Expenses!D28-[2]Expenses!D28</f>
        <v>0</v>
      </c>
      <c r="E28" s="294">
        <f>Expenses!E28-[2]Expenses!E28</f>
        <v>0</v>
      </c>
      <c r="F28" s="295">
        <f>E28-D28</f>
        <v>0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23" t="s">
        <v>73</v>
      </c>
      <c r="B29" s="7" t="s">
        <v>156</v>
      </c>
      <c r="D29" s="293">
        <f>Expenses!D29-[2]Expenses!D29</f>
        <v>-300</v>
      </c>
      <c r="E29" s="294">
        <f>Expenses!E29-[2]Expenses!E29</f>
        <v>0</v>
      </c>
      <c r="F29" s="295">
        <f>E29-D29</f>
        <v>300</v>
      </c>
      <c r="G29" s="5"/>
      <c r="H29" s="4" t="s">
        <v>312</v>
      </c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23" t="s">
        <v>36</v>
      </c>
      <c r="B30" s="7" t="s">
        <v>0</v>
      </c>
      <c r="D30" s="293">
        <f>Expenses!D30-[2]Expenses!D30</f>
        <v>0</v>
      </c>
      <c r="E30" s="294">
        <f>Expenses!E30-[2]Expenses!E30</f>
        <v>0</v>
      </c>
      <c r="F30" s="295">
        <f>E30-D30</f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5">
      <c r="B31" s="115" t="s">
        <v>1</v>
      </c>
      <c r="C31" s="114"/>
      <c r="D31" s="120">
        <f>SUM(D20:D30)</f>
        <v>-1490</v>
      </c>
      <c r="E31" s="121">
        <f>SUM(E20:E30)</f>
        <v>0</v>
      </c>
      <c r="F31" s="113">
        <f>SUM(F20:F30)</f>
        <v>1490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5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" customHeight="1" x14ac:dyDescent="0.25">
      <c r="B33" s="7"/>
      <c r="D33" s="20"/>
      <c r="E33" s="12"/>
      <c r="F33" s="123"/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5">
      <c r="A34" s="23" t="s">
        <v>40</v>
      </c>
      <c r="B34" s="7" t="s">
        <v>9</v>
      </c>
      <c r="D34" s="293">
        <f>Expenses!D34-[2]Expenses!D34</f>
        <v>-176</v>
      </c>
      <c r="E34" s="294">
        <f>Expenses!E34-[2]Expenses!E34</f>
        <v>0</v>
      </c>
      <c r="F34" s="295">
        <f>E34-D34</f>
        <v>176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5">
      <c r="A35" s="23" t="s">
        <v>39</v>
      </c>
      <c r="B35" s="7" t="s">
        <v>267</v>
      </c>
      <c r="D35" s="293">
        <f>Expenses!D35-[2]Expenses!D35</f>
        <v>53</v>
      </c>
      <c r="E35" s="294">
        <f>Expenses!E35-[2]Expenses!E35</f>
        <v>0</v>
      </c>
      <c r="F35" s="295">
        <f>E35-D35</f>
        <v>-53</v>
      </c>
      <c r="G35" s="5"/>
      <c r="H35" s="4" t="s">
        <v>313</v>
      </c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5">
      <c r="A36" s="23" t="s">
        <v>153</v>
      </c>
      <c r="B36" s="291" t="s">
        <v>180</v>
      </c>
      <c r="D36" s="293">
        <f>Expenses!D36-[2]Expenses!D36</f>
        <v>100</v>
      </c>
      <c r="E36" s="294">
        <f>Expenses!E36-[2]Expenses!E36</f>
        <v>0</v>
      </c>
      <c r="F36" s="295">
        <f>E36-D36</f>
        <v>-100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hidden="1" customHeight="1" x14ac:dyDescent="0.25">
      <c r="A37" s="23" t="s">
        <v>157</v>
      </c>
      <c r="B37" s="291" t="s">
        <v>154</v>
      </c>
      <c r="D37" s="293">
        <f>Expenses!D37-[2]Expenses!D37</f>
        <v>10</v>
      </c>
      <c r="E37" s="294">
        <f>Expenses!E37-[2]Expenses!E37</f>
        <v>0</v>
      </c>
      <c r="F37" s="295">
        <f>E37-D37</f>
        <v>-10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5">
      <c r="B38" s="7" t="s">
        <v>154</v>
      </c>
      <c r="D38" s="293">
        <f>Expenses!D38-[2]Expenses!D38</f>
        <v>110</v>
      </c>
      <c r="E38" s="294">
        <f>Expenses!E38-[2]Expenses!E38</f>
        <v>0</v>
      </c>
      <c r="F38" s="295">
        <f>E38-D38</f>
        <v>-110</v>
      </c>
      <c r="G38" s="225"/>
      <c r="H38" s="1" t="s">
        <v>314</v>
      </c>
      <c r="K38" s="283"/>
    </row>
    <row r="39" spans="1:37" ht="11.25" customHeight="1" x14ac:dyDescent="0.25">
      <c r="B39" s="115" t="s">
        <v>87</v>
      </c>
      <c r="C39" s="114"/>
      <c r="D39" s="120">
        <f>SUM(D34:D37)</f>
        <v>-13</v>
      </c>
      <c r="E39" s="121">
        <f>SUM(E34:E37)</f>
        <v>0</v>
      </c>
      <c r="F39" s="113">
        <f>SUM(F34:F37)</f>
        <v>13</v>
      </c>
      <c r="G39" s="116"/>
      <c r="H39" s="117"/>
      <c r="I39" s="118"/>
      <c r="J39" s="118"/>
      <c r="K39" s="1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5">
      <c r="B40" s="7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5">
      <c r="A41" s="23" t="s">
        <v>82</v>
      </c>
      <c r="B41" s="7" t="s">
        <v>8</v>
      </c>
      <c r="C41" s="72"/>
      <c r="D41" s="293">
        <f>Expenses!D41-[2]Expenses!D41</f>
        <v>93</v>
      </c>
      <c r="E41" s="294">
        <f>Expenses!E41-[2]Expenses!E41</f>
        <v>0</v>
      </c>
      <c r="F41" s="295">
        <f>E41-D41</f>
        <v>-93</v>
      </c>
      <c r="G41" s="5"/>
      <c r="H41" s="4" t="s">
        <v>311</v>
      </c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5">
      <c r="B42" s="7"/>
      <c r="C42" s="72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5">
      <c r="A43" s="23" t="s">
        <v>44</v>
      </c>
      <c r="B43" s="7" t="s">
        <v>7</v>
      </c>
      <c r="C43" s="72"/>
      <c r="D43" s="293">
        <f>Expenses!D43-[2]Expenses!D43</f>
        <v>0</v>
      </c>
      <c r="E43" s="294">
        <f>Expenses!E43-[2]Expenses!E43</f>
        <v>0</v>
      </c>
      <c r="F43" s="295">
        <f>E43-D43</f>
        <v>0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5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14" customFormat="1" ht="11.25" customHeight="1" x14ac:dyDescent="0.25">
      <c r="A45" s="23"/>
      <c r="B45" s="115" t="s">
        <v>10</v>
      </c>
      <c r="D45" s="120">
        <f>SUM(D39:D43)+D18+D31</f>
        <v>-1197</v>
      </c>
      <c r="E45" s="121">
        <f>SUM(E39:E43)+E18+E31</f>
        <v>0</v>
      </c>
      <c r="F45" s="113">
        <f>SUM(F39:F43)+F18+F31</f>
        <v>1197</v>
      </c>
      <c r="G45" s="116"/>
      <c r="H45" s="117"/>
      <c r="I45" s="118"/>
      <c r="J45" s="118"/>
      <c r="K45" s="119"/>
    </row>
    <row r="46" spans="1:37" ht="3" customHeight="1" x14ac:dyDescent="0.25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5">
      <c r="A47" s="23" t="s">
        <v>45</v>
      </c>
      <c r="B47" s="7" t="s">
        <v>48</v>
      </c>
      <c r="C47" s="72"/>
      <c r="D47" s="293">
        <f>Expenses!D47-[2]Expenses!D47</f>
        <v>0</v>
      </c>
      <c r="E47" s="294">
        <f>Expenses!E47-[2]Expenses!E47</f>
        <v>0</v>
      </c>
      <c r="F47" s="295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5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" customHeight="1" x14ac:dyDescent="0.25">
      <c r="B49" s="7" t="s">
        <v>274</v>
      </c>
      <c r="D49" s="293">
        <f>Expenses!D49-[2]Expenses!D49</f>
        <v>0</v>
      </c>
      <c r="E49" s="294">
        <f>Expenses!E49-[2]Expenses!E49</f>
        <v>0</v>
      </c>
      <c r="F49" s="295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5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5">
      <c r="A51" s="23" t="s">
        <v>46</v>
      </c>
      <c r="B51" s="7" t="s">
        <v>18</v>
      </c>
      <c r="C51" s="72"/>
      <c r="D51" s="293">
        <f>Expenses!D51-[2]Expenses!D51</f>
        <v>0</v>
      </c>
      <c r="E51" s="294">
        <f>Expenses!E51-[2]Expenses!E51</f>
        <v>0</v>
      </c>
      <c r="F51" s="295">
        <f>E51-D51</f>
        <v>0</v>
      </c>
      <c r="G51" s="5"/>
      <c r="H51" s="4"/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5">
      <c r="B52" s="7"/>
      <c r="D52" s="20"/>
      <c r="E52" s="12"/>
      <c r="F52" s="12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14" customFormat="1" ht="11.25" customHeight="1" x14ac:dyDescent="0.25">
      <c r="B53" s="115" t="s">
        <v>14</v>
      </c>
      <c r="D53" s="108">
        <f>D45+D47+D51+D49</f>
        <v>-1197</v>
      </c>
      <c r="E53" s="109">
        <f>E45+E47+E51+E49</f>
        <v>0</v>
      </c>
      <c r="F53" s="110">
        <f>F45+F47+F51+F49</f>
        <v>1197</v>
      </c>
      <c r="G53" s="116"/>
      <c r="H53" s="117"/>
      <c r="I53" s="118"/>
      <c r="J53" s="118"/>
      <c r="K53" s="119"/>
    </row>
    <row r="54" spans="1:37" ht="3" customHeight="1" x14ac:dyDescent="0.25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86" customFormat="1" ht="3" customHeight="1" x14ac:dyDescent="0.25">
      <c r="A55" s="16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5">
      <c r="B56" s="6"/>
      <c r="D56" s="327" t="s">
        <v>131</v>
      </c>
      <c r="E56" s="328"/>
      <c r="F56" s="329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178" t="s">
        <v>16</v>
      </c>
      <c r="D57" s="16" t="s">
        <v>13</v>
      </c>
      <c r="E57" s="17" t="s">
        <v>15</v>
      </c>
      <c r="F57" s="18" t="s">
        <v>20</v>
      </c>
      <c r="G57" s="1"/>
      <c r="H57" s="324" t="s">
        <v>70</v>
      </c>
      <c r="I57" s="325"/>
      <c r="J57" s="325"/>
      <c r="K57" s="32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B58" s="6" t="s">
        <v>33</v>
      </c>
      <c r="D58" s="293">
        <f>Expenses!D58-[2]Expenses!D58</f>
        <v>15</v>
      </c>
      <c r="E58" s="294">
        <f>Expenses!E58-[2]Expenses!E58</f>
        <v>0</v>
      </c>
      <c r="F58" s="295">
        <f>E58-D58</f>
        <v>-15</v>
      </c>
      <c r="G58" s="1"/>
      <c r="H58" s="9"/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B59" s="7" t="s">
        <v>289</v>
      </c>
      <c r="D59" s="293">
        <f>Expenses!D59-[2]Expenses!D59</f>
        <v>563</v>
      </c>
      <c r="E59" s="294">
        <f>Expenses!E59-[2]Expenses!E59</f>
        <v>0</v>
      </c>
      <c r="F59" s="295">
        <f>E59-D59</f>
        <v>-563</v>
      </c>
      <c r="G59" s="1"/>
      <c r="H59" s="4" t="s">
        <v>310</v>
      </c>
      <c r="I59" s="2"/>
      <c r="J59" s="2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B60" s="19" t="s">
        <v>248</v>
      </c>
      <c r="D60" s="299">
        <f>Expenses!D60-[2]Expenses!D60</f>
        <v>1086</v>
      </c>
      <c r="E60" s="300">
        <f>Expenses!E60-[2]Expenses!E60</f>
        <v>0</v>
      </c>
      <c r="F60" s="301">
        <f>E60-D60</f>
        <v>-1086</v>
      </c>
      <c r="G60" s="1"/>
      <c r="H60" s="13" t="s">
        <v>308</v>
      </c>
      <c r="I60" s="14"/>
      <c r="J60" s="14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1"/>
      <c r="E61" s="1"/>
      <c r="F61" s="1"/>
      <c r="G61" s="1"/>
      <c r="H61" s="1"/>
      <c r="I61" s="1"/>
      <c r="J61" s="1"/>
      <c r="K61" s="1"/>
      <c r="L61" s="1"/>
      <c r="M61" s="1" t="s">
        <v>286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5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5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5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</sheetData>
  <mergeCells count="7">
    <mergeCell ref="H7:K7"/>
    <mergeCell ref="D56:F56"/>
    <mergeCell ref="H57:K57"/>
    <mergeCell ref="B2:K2"/>
    <mergeCell ref="B3:K3"/>
    <mergeCell ref="B4:K4"/>
    <mergeCell ref="D6:F6"/>
  </mergeCells>
  <printOptions horizontalCentered="1" verticalCentered="1"/>
  <pageMargins left="0.17" right="0.17" top="0.22" bottom="0.17" header="0.18" footer="0.17"/>
  <pageSetup scale="9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zoomScaleNormal="100" workbookViewId="0">
      <pane xSplit="3" ySplit="9" topLeftCell="D10" activePane="bottomRight" state="frozen"/>
      <selection activeCell="E53" sqref="E53"/>
      <selection pane="topRight" activeCell="E53" sqref="E53"/>
      <selection pane="bottomLeft" activeCell="E53" sqref="E53"/>
      <selection pane="bottomRight" activeCell="E53" sqref="E53"/>
    </sheetView>
  </sheetViews>
  <sheetFormatPr defaultRowHeight="13.2" x14ac:dyDescent="0.25"/>
  <cols>
    <col min="1" max="1" width="16.88671875" style="23" hidden="1" customWidth="1"/>
    <col min="2" max="2" width="27.6640625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x14ac:dyDescent="0.25">
      <c r="A1" s="23" t="s">
        <v>102</v>
      </c>
    </row>
    <row r="2" spans="1:20" ht="15.6" x14ac:dyDescent="0.3">
      <c r="A2" s="23" t="s">
        <v>55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t="s">
        <v>234</v>
      </c>
    </row>
    <row r="3" spans="1:20" ht="13.8" x14ac:dyDescent="0.25">
      <c r="A3" s="23" t="s">
        <v>56</v>
      </c>
      <c r="B3" s="331" t="s">
        <v>164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</row>
    <row r="4" spans="1:20" x14ac:dyDescent="0.25">
      <c r="A4" s="24">
        <v>36678</v>
      </c>
      <c r="B4" s="332" t="str">
        <f>'Old Mgmt Summary'!A3</f>
        <v>Results based on Activity through June 22, 2000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</row>
    <row r="5" spans="1:20" ht="3" customHeight="1" x14ac:dyDescent="0.25">
      <c r="A5" s="23" t="s">
        <v>47</v>
      </c>
    </row>
    <row r="6" spans="1:20" x14ac:dyDescent="0.25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5">
      <c r="B7" s="7"/>
      <c r="D7" s="324" t="s">
        <v>57</v>
      </c>
      <c r="E7" s="325"/>
      <c r="F7" s="325"/>
      <c r="G7" s="325"/>
      <c r="H7" s="325"/>
      <c r="I7" s="326"/>
      <c r="J7" s="1"/>
      <c r="K7" s="324" t="s">
        <v>143</v>
      </c>
      <c r="L7" s="325"/>
      <c r="M7" s="325"/>
      <c r="N7" s="325"/>
      <c r="O7" s="325"/>
      <c r="P7" s="326"/>
      <c r="Q7" s="1"/>
      <c r="R7" s="1"/>
      <c r="S7" s="1"/>
      <c r="T7" s="1"/>
    </row>
    <row r="8" spans="1:20" x14ac:dyDescent="0.25">
      <c r="B8" s="8" t="s">
        <v>16</v>
      </c>
      <c r="D8" s="16" t="s">
        <v>13</v>
      </c>
      <c r="E8" s="17" t="s">
        <v>15</v>
      </c>
      <c r="F8" s="18" t="s">
        <v>20</v>
      </c>
      <c r="G8" s="327" t="s">
        <v>58</v>
      </c>
      <c r="H8" s="328"/>
      <c r="I8" s="329"/>
      <c r="J8" s="1"/>
      <c r="K8" s="16" t="s">
        <v>13</v>
      </c>
      <c r="L8" s="17" t="s">
        <v>15</v>
      </c>
      <c r="M8" s="18" t="s">
        <v>20</v>
      </c>
      <c r="N8" s="327" t="s">
        <v>58</v>
      </c>
      <c r="O8" s="328"/>
      <c r="P8" s="329"/>
      <c r="Q8" s="1"/>
      <c r="R8" s="1"/>
      <c r="S8" s="1"/>
      <c r="T8" s="1"/>
    </row>
    <row r="9" spans="1:20" ht="3" customHeight="1" x14ac:dyDescent="0.25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5">
      <c r="A10" s="23" t="s">
        <v>232</v>
      </c>
      <c r="B10" s="7" t="s">
        <v>3</v>
      </c>
      <c r="D10" s="62">
        <v>0</v>
      </c>
      <c r="E10" s="63">
        <f>ROUND(_xll.HPVAL($A10,$A$1,$A$2,$A$4,$A$5,$A$6)/1000,0)</f>
        <v>0</v>
      </c>
      <c r="F10" s="124">
        <f>E10-D10</f>
        <v>0</v>
      </c>
      <c r="G10" s="2"/>
      <c r="H10" s="2"/>
      <c r="I10" s="3"/>
      <c r="J10" s="1"/>
      <c r="K10" s="62">
        <f>L10</f>
        <v>11645</v>
      </c>
      <c r="L10" s="63">
        <f>ROUND(_xll.HPVAL($A10,$A$1,$A$3,$A$4,$A$5,$A$6)/1000,0)</f>
        <v>11645</v>
      </c>
      <c r="M10" s="12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42</v>
      </c>
      <c r="B11" s="29" t="s">
        <v>272</v>
      </c>
      <c r="C11" s="72"/>
      <c r="D11" s="20">
        <f>E11</f>
        <v>0</v>
      </c>
      <c r="E11" s="12">
        <f>ROUND(_xll.HPVAL($A11,$A$1,$A$2,$A$4,$A$5,$A$6)/1000,0)</f>
        <v>0</v>
      </c>
      <c r="F11" s="125">
        <f>E11-D11</f>
        <v>0</v>
      </c>
      <c r="G11" s="2"/>
      <c r="H11" s="2"/>
      <c r="I11" s="3"/>
      <c r="J11" s="1"/>
      <c r="K11" s="20">
        <f>L11</f>
        <v>2441</v>
      </c>
      <c r="L11" s="12">
        <f>ROUND(_xll.HPVAL($A11,$A$1,$A$3,$A$4,$A$5,$A$6)/1000,0)</f>
        <v>2441</v>
      </c>
      <c r="M11" s="12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5">
      <c r="A12" s="23" t="s">
        <v>105</v>
      </c>
      <c r="B12" s="7" t="s">
        <v>106</v>
      </c>
      <c r="D12" s="20">
        <v>7803</v>
      </c>
      <c r="E12" s="12">
        <f>ROUND(_xll.HPVAL($A12,$A$1,$A$2,$A$4,$A$5,$A$6)/1000,0)</f>
        <v>8791</v>
      </c>
      <c r="F12" s="125">
        <f t="shared" ref="F12:F18" si="0">E12-D12</f>
        <v>988</v>
      </c>
      <c r="G12" s="2"/>
      <c r="H12" s="2"/>
      <c r="I12" s="3"/>
      <c r="J12" s="1"/>
      <c r="K12" s="20">
        <f t="shared" ref="K12:K18" si="1">L12</f>
        <v>5942</v>
      </c>
      <c r="L12" s="12">
        <f>ROUND(_xll.HPVAL($A12,$A$1,$A$3,$A$4,$A$5,$A$6)/1000,0)</f>
        <v>5942</v>
      </c>
      <c r="M12" s="125">
        <f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5">
      <c r="A13" s="23" t="s">
        <v>27</v>
      </c>
      <c r="B13" s="7" t="s">
        <v>132</v>
      </c>
      <c r="D13" s="20">
        <f t="shared" ref="D13:D18" si="2">E13</f>
        <v>0</v>
      </c>
      <c r="E13" s="12">
        <f>ROUND(_xll.HPVAL($A13,$A$1,$A$2,$A$4,$A$5,$A$6)/1000,0)</f>
        <v>0</v>
      </c>
      <c r="F13" s="125">
        <f t="shared" si="0"/>
        <v>0</v>
      </c>
      <c r="G13" s="2"/>
      <c r="H13" s="2"/>
      <c r="I13" s="3"/>
      <c r="J13" s="1"/>
      <c r="K13" s="20">
        <f t="shared" si="1"/>
        <v>952</v>
      </c>
      <c r="L13" s="12">
        <f>ROUND(_xll.HPVAL($A13,$A$1,$A$3,$A$4,$A$5,$A$6)*0.8577/1000,0)</f>
        <v>952</v>
      </c>
      <c r="M13" s="125">
        <f t="shared" ref="M13:M18" si="3"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5">
      <c r="A14" s="23" t="s">
        <v>134</v>
      </c>
      <c r="B14" s="7" t="s">
        <v>133</v>
      </c>
      <c r="D14" s="20">
        <f t="shared" si="2"/>
        <v>0</v>
      </c>
      <c r="E14" s="12">
        <f>ROUND(_xll.HPVAL($A14,$A$1,$A$2,$A$4,$A$5,$A$6)/1000,0)</f>
        <v>0</v>
      </c>
      <c r="F14" s="125">
        <f>E14-D14</f>
        <v>0</v>
      </c>
      <c r="G14" s="2"/>
      <c r="H14" s="2"/>
      <c r="I14" s="3"/>
      <c r="J14" s="1"/>
      <c r="K14" s="20">
        <f>L14</f>
        <v>859</v>
      </c>
      <c r="L14" s="12">
        <f>ROUND(_xll.HPVAL("ECT_INV_IRFX",$A$1,$A$3,$A$4,$A$5,$A$6)/1000,0)-L13-195</f>
        <v>859</v>
      </c>
      <c r="M14" s="125">
        <f>ROUND(L14-K14,0)</f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5">
      <c r="A15" s="23" t="s">
        <v>43</v>
      </c>
      <c r="B15" s="7" t="s">
        <v>251</v>
      </c>
      <c r="C15" s="72"/>
      <c r="D15" s="20">
        <v>0</v>
      </c>
      <c r="E15" s="12">
        <v>0</v>
      </c>
      <c r="F15" s="125">
        <f>E15-D15</f>
        <v>0</v>
      </c>
      <c r="G15" s="2"/>
      <c r="H15" s="2"/>
      <c r="I15" s="3"/>
      <c r="J15" s="1"/>
      <c r="K15" s="20">
        <f t="shared" si="1"/>
        <v>1195</v>
      </c>
      <c r="L15" s="12">
        <f>ROUND(_xll.HPVAL($A15,$A$1,$A$3,$A$4,$A$5,$A$6)/1000,0)/2</f>
        <v>1195</v>
      </c>
      <c r="M15" s="12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5">
      <c r="A16" s="23" t="s">
        <v>28</v>
      </c>
      <c r="B16" s="7" t="s">
        <v>262</v>
      </c>
      <c r="D16" s="20">
        <v>0</v>
      </c>
      <c r="E16" s="12">
        <v>0</v>
      </c>
      <c r="F16" s="125">
        <f t="shared" si="0"/>
        <v>0</v>
      </c>
      <c r="G16" s="2"/>
      <c r="H16" s="2"/>
      <c r="I16" s="3"/>
      <c r="J16" s="1"/>
      <c r="K16" s="20">
        <v>1127</v>
      </c>
      <c r="L16" s="12">
        <f>ROUND(_xll.HPVAL($A16,$A$1,$A$3,$A$4,$A$5,$A$6)/1000,0)/2</f>
        <v>814</v>
      </c>
      <c r="M16" s="125">
        <f t="shared" si="3"/>
        <v>-313</v>
      </c>
      <c r="N16" s="2"/>
      <c r="O16" s="2"/>
      <c r="P16" s="3"/>
      <c r="Q16" s="1"/>
      <c r="R16" s="1"/>
      <c r="S16" s="1"/>
      <c r="T16" s="1"/>
    </row>
    <row r="17" spans="1:20" ht="11.25" customHeight="1" x14ac:dyDescent="0.25">
      <c r="A17" s="23" t="s">
        <v>30</v>
      </c>
      <c r="B17" s="7" t="s">
        <v>155</v>
      </c>
      <c r="D17" s="20">
        <f t="shared" si="2"/>
        <v>0</v>
      </c>
      <c r="E17" s="12">
        <f>ROUND(_xll.HPVAL($A17,$A$1,$A$2,$A$4,$A$5,$A$6)/1000,0)</f>
        <v>0</v>
      </c>
      <c r="F17" s="125">
        <f t="shared" si="0"/>
        <v>0</v>
      </c>
      <c r="G17" s="2"/>
      <c r="H17" s="2"/>
      <c r="I17" s="3"/>
      <c r="J17" s="1"/>
      <c r="K17" s="20">
        <v>919</v>
      </c>
      <c r="L17" s="12">
        <f>ROUND(_xll.HPVAL($A17,$A$1,$A$3,$A$4,$A$5,$A$6)/1000,0)</f>
        <v>769</v>
      </c>
      <c r="M17" s="125">
        <f t="shared" si="3"/>
        <v>-150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5">
      <c r="A18" s="23" t="s">
        <v>4</v>
      </c>
      <c r="B18" s="7" t="s">
        <v>292</v>
      </c>
      <c r="D18" s="20">
        <f t="shared" si="2"/>
        <v>0</v>
      </c>
      <c r="E18" s="12">
        <f>ROUND(_xll.HPVAL($A18,$A$1,$A$2,$A$4,$A$5,$A$6)/1000,0)</f>
        <v>0</v>
      </c>
      <c r="F18" s="125">
        <f t="shared" si="0"/>
        <v>0</v>
      </c>
      <c r="G18" s="2"/>
      <c r="H18" s="2"/>
      <c r="I18" s="3"/>
      <c r="J18" s="1"/>
      <c r="K18" s="20">
        <f t="shared" si="1"/>
        <v>234</v>
      </c>
      <c r="L18" s="12">
        <f>ROUND(_xll.HPVAL($A18,$A$1,$A$3,$A$4,$A$5,$A$6)/1000,0)</f>
        <v>234</v>
      </c>
      <c r="M18" s="125">
        <f t="shared" si="3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5">
      <c r="B19" s="115" t="s">
        <v>69</v>
      </c>
      <c r="C19" s="114"/>
      <c r="D19" s="120">
        <f>SUM(D10:D18)</f>
        <v>7803</v>
      </c>
      <c r="E19" s="121">
        <f>SUM(E10:E18)</f>
        <v>8791</v>
      </c>
      <c r="F19" s="121">
        <f>SUM(F10:F18)</f>
        <v>988</v>
      </c>
      <c r="G19" s="118"/>
      <c r="H19" s="118"/>
      <c r="I19" s="119"/>
      <c r="J19" s="114"/>
      <c r="K19" s="120">
        <f>SUM(K10:K18)</f>
        <v>25314</v>
      </c>
      <c r="L19" s="121">
        <f>SUM(L10:L18)</f>
        <v>24851</v>
      </c>
      <c r="M19" s="121">
        <f>SUM(M10:M18)</f>
        <v>-463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5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5">
      <c r="A21" s="23" t="s">
        <v>32</v>
      </c>
      <c r="B21" s="7" t="s">
        <v>88</v>
      </c>
      <c r="D21" s="20">
        <f>E21</f>
        <v>0</v>
      </c>
      <c r="E21" s="12">
        <f>ROUND(_xll.HPVAL($A21,$A$1,$A$2,$A$4,$A$5,$A$6)/1000,0)</f>
        <v>0</v>
      </c>
      <c r="F21" s="125">
        <f t="shared" ref="F21:F31" si="4">E21-D21</f>
        <v>0</v>
      </c>
      <c r="G21" s="2"/>
      <c r="H21" s="2"/>
      <c r="I21" s="3"/>
      <c r="J21" s="1"/>
      <c r="K21" s="20">
        <f>L21</f>
        <v>3601</v>
      </c>
      <c r="L21" s="12">
        <f>ROUND(_xll.HPVAL($A21,$A$1,$A$3,$A$4,$A$5,$A$6)/1000,0)</f>
        <v>3601</v>
      </c>
      <c r="M21" s="125">
        <f t="shared" ref="M21:M31" si="5">ROUND(L21-K21,0)</f>
        <v>0</v>
      </c>
      <c r="N21" s="2"/>
      <c r="O21" s="2"/>
      <c r="P21" s="3"/>
      <c r="Q21" s="1"/>
      <c r="R21" s="1"/>
      <c r="S21" s="1"/>
      <c r="T21" s="1"/>
    </row>
    <row r="22" spans="1:20" ht="11.25" customHeight="1" x14ac:dyDescent="0.25">
      <c r="A22" s="23" t="s">
        <v>38</v>
      </c>
      <c r="B22" s="7" t="s">
        <v>89</v>
      </c>
      <c r="D22" s="20">
        <v>938</v>
      </c>
      <c r="E22" s="12">
        <f>ROUND(_xll.HPVAL($A22,$A$1,$A$2,$A$4,$A$5,$A$6)/1000,0)</f>
        <v>288</v>
      </c>
      <c r="F22" s="125">
        <f t="shared" si="4"/>
        <v>-650</v>
      </c>
      <c r="G22" s="2" t="s">
        <v>190</v>
      </c>
      <c r="H22" s="2"/>
      <c r="I22" s="3"/>
      <c r="J22" s="1"/>
      <c r="K22" s="20">
        <f>L22</f>
        <v>2304</v>
      </c>
      <c r="L22" s="12">
        <f>ROUND(_xll.HPVAL($A22,$A$1,$A$3,$A$4,$A$5,$A$6)/1000,0)</f>
        <v>2304</v>
      </c>
      <c r="M22" s="125">
        <f t="shared" si="5"/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5">
      <c r="A23" s="23" t="s">
        <v>230</v>
      </c>
      <c r="B23" s="7" t="s">
        <v>229</v>
      </c>
      <c r="D23" s="20">
        <f>93+16</f>
        <v>109</v>
      </c>
      <c r="E23" s="12">
        <f>ROUND(_xll.HPVAL($A23,$A$1,$A$2,$A$4,$A$5,$A$6)/1000,0)</f>
        <v>1086</v>
      </c>
      <c r="F23" s="125">
        <f t="shared" si="4"/>
        <v>977</v>
      </c>
      <c r="G23" s="2" t="s">
        <v>191</v>
      </c>
      <c r="H23" s="2"/>
      <c r="I23" s="3"/>
      <c r="J23" s="1"/>
      <c r="K23" s="20">
        <v>2620</v>
      </c>
      <c r="L23" s="12">
        <f>ROUND(_xll.HPVAL($A23,$A$1,$A$3,$A$4,$A$5,$A$6)/1000,0)</f>
        <v>2463</v>
      </c>
      <c r="M23" s="125">
        <f t="shared" si="5"/>
        <v>-157</v>
      </c>
      <c r="N23" s="2"/>
      <c r="O23" s="2"/>
      <c r="P23" s="3"/>
      <c r="Q23" s="1"/>
      <c r="R23" s="1"/>
      <c r="S23" s="1"/>
      <c r="T23" s="1"/>
    </row>
    <row r="24" spans="1:20" ht="12" customHeight="1" x14ac:dyDescent="0.25">
      <c r="A24" s="23" t="s">
        <v>37</v>
      </c>
      <c r="B24" s="7" t="s">
        <v>67</v>
      </c>
      <c r="D24" s="20">
        <v>6057</v>
      </c>
      <c r="E24" s="12">
        <f>ROUND(_xll.HPVAL($A24,$A$1,$A$2,$A$4,$A$5,$A$6)/1000,0)</f>
        <v>6294</v>
      </c>
      <c r="F24" s="125">
        <f>E24-D24</f>
        <v>237</v>
      </c>
      <c r="G24" s="2" t="s">
        <v>296</v>
      </c>
      <c r="H24" s="2"/>
      <c r="I24" s="3"/>
      <c r="J24" s="1"/>
      <c r="K24" s="20">
        <f>L24</f>
        <v>897</v>
      </c>
      <c r="L24" s="12">
        <f>ROUND(_xll.HPVAL($A24,$A$1,$A$3,$A$4,$A$5,$A$6)/1000,0)</f>
        <v>897</v>
      </c>
      <c r="M24" s="125">
        <f>ROUND(L24-K24,0)</f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5">
      <c r="B25" s="7" t="s">
        <v>264</v>
      </c>
      <c r="D25" s="20">
        <v>640</v>
      </c>
      <c r="E25" s="12">
        <v>717</v>
      </c>
      <c r="F25" s="125">
        <f t="shared" si="4"/>
        <v>77</v>
      </c>
      <c r="G25" s="2"/>
      <c r="H25" s="2"/>
      <c r="I25" s="3"/>
      <c r="J25" s="1"/>
      <c r="K25" s="20">
        <v>1127</v>
      </c>
      <c r="L25" s="12">
        <v>814</v>
      </c>
      <c r="M25" s="125">
        <f t="shared" si="5"/>
        <v>-313</v>
      </c>
      <c r="N25" s="2"/>
      <c r="O25" s="2"/>
      <c r="P25" s="3"/>
      <c r="Q25" s="1"/>
      <c r="R25" s="1"/>
      <c r="S25" s="1"/>
      <c r="T25" s="1"/>
    </row>
    <row r="26" spans="1:20" ht="11.25" customHeight="1" x14ac:dyDescent="0.25">
      <c r="B26" s="7" t="s">
        <v>252</v>
      </c>
      <c r="D26" s="20">
        <v>159</v>
      </c>
      <c r="E26" s="12">
        <v>376</v>
      </c>
      <c r="F26" s="125">
        <f t="shared" si="4"/>
        <v>217</v>
      </c>
      <c r="G26" s="2"/>
      <c r="H26" s="2"/>
      <c r="I26" s="3"/>
      <c r="J26" s="1"/>
      <c r="K26" s="20">
        <f>L26</f>
        <v>1195</v>
      </c>
      <c r="L26" s="12">
        <v>1195</v>
      </c>
      <c r="M26" s="125">
        <f t="shared" si="5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5">
      <c r="A27" s="23" t="s">
        <v>41</v>
      </c>
      <c r="B27" s="7" t="s">
        <v>299</v>
      </c>
      <c r="C27" s="72"/>
      <c r="D27" s="20">
        <v>1006</v>
      </c>
      <c r="E27" s="12">
        <f>ROUND(_xll.HPVAL($A27,$A$1,$A$2,$A$4,$A$5,$A$6)/1000,0)-E28-E29</f>
        <v>467</v>
      </c>
      <c r="F27" s="125">
        <f>E27-D27</f>
        <v>-539</v>
      </c>
      <c r="G27" s="2"/>
      <c r="H27" s="2"/>
      <c r="I27" s="3"/>
      <c r="J27" s="1"/>
      <c r="K27" s="20">
        <f>L27</f>
        <v>3481.5</v>
      </c>
      <c r="L27" s="12">
        <f>ROUND(_xll.HPVAL($A27,$A$1,$A$3,$A$4,$A$5,$A$6)/1000,0)/2</f>
        <v>3481.5</v>
      </c>
      <c r="M27" s="125">
        <f>ROUND(L27-K27,0)</f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5">
      <c r="A28" s="23" t="s">
        <v>306</v>
      </c>
      <c r="B28" s="7" t="s">
        <v>289</v>
      </c>
      <c r="C28" s="72"/>
      <c r="D28" s="20">
        <v>7707</v>
      </c>
      <c r="E28" s="12">
        <v>7104</v>
      </c>
      <c r="F28" s="125">
        <f>E28-D28</f>
        <v>-603</v>
      </c>
      <c r="G28" s="2"/>
      <c r="H28" s="2"/>
      <c r="I28" s="3"/>
      <c r="J28" s="1"/>
      <c r="K28" s="20">
        <f>L28</f>
        <v>3481.5</v>
      </c>
      <c r="L28" s="12">
        <f>L27</f>
        <v>3481.5</v>
      </c>
      <c r="M28" s="125">
        <f>ROUND(L28-K28,0)</f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5">
      <c r="A29" s="23" t="s">
        <v>291</v>
      </c>
      <c r="B29" s="7" t="s">
        <v>290</v>
      </c>
      <c r="C29" s="72"/>
      <c r="D29" s="20">
        <v>3295</v>
      </c>
      <c r="E29" s="12">
        <v>3494</v>
      </c>
      <c r="F29" s="125">
        <f>E29-D29</f>
        <v>199</v>
      </c>
      <c r="G29" s="2"/>
      <c r="H29" s="2"/>
      <c r="I29" s="3"/>
      <c r="J29" s="1"/>
      <c r="K29" s="20">
        <f>L29</f>
        <v>0</v>
      </c>
      <c r="L29" s="12">
        <f>ROUND(_xll.HPVAL($A29,$A$1,$A$3,$A$4,$A$5,$A$6)/1000,0)</f>
        <v>0</v>
      </c>
      <c r="M29" s="125">
        <f>ROUND(L29-K29,0)</f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5">
      <c r="A30" s="23" t="s">
        <v>73</v>
      </c>
      <c r="B30" s="7" t="s">
        <v>156</v>
      </c>
      <c r="D30" s="20">
        <v>-704</v>
      </c>
      <c r="E30" s="12">
        <f>ROUND(_xll.HPVAL($A30,$A$1,$A$2,$A$4,$A$5,$A$6)/1000,0)</f>
        <v>0</v>
      </c>
      <c r="F30" s="125">
        <f>E30-D30</f>
        <v>704</v>
      </c>
      <c r="G30" s="2"/>
      <c r="H30" s="2"/>
      <c r="I30" s="3"/>
      <c r="J30" s="1"/>
      <c r="K30" s="20">
        <v>418</v>
      </c>
      <c r="L30" s="12">
        <f>ROUND(_xll.HPVAL($A30,$A$1,$A$3,$A$4,$A$5,$A$6)/1000,0)</f>
        <v>36</v>
      </c>
      <c r="M30" s="125">
        <f>ROUND(L30-K30,0)</f>
        <v>-382</v>
      </c>
      <c r="N30" s="2"/>
      <c r="O30" s="2"/>
      <c r="P30" s="3"/>
      <c r="Q30" s="1"/>
      <c r="R30" s="1"/>
      <c r="S30" s="1"/>
      <c r="T30" s="1"/>
    </row>
    <row r="31" spans="1:20" ht="11.25" customHeight="1" x14ac:dyDescent="0.25">
      <c r="A31" s="23" t="s">
        <v>36</v>
      </c>
      <c r="B31" s="7" t="s">
        <v>0</v>
      </c>
      <c r="D31" s="20">
        <f>E31</f>
        <v>0</v>
      </c>
      <c r="E31" s="12">
        <f>ROUND(_xll.HPVAL($A31,$A$1,$A$2,$A$4,$A$5,$A$6)/1000,0)</f>
        <v>0</v>
      </c>
      <c r="F31" s="125">
        <f t="shared" si="4"/>
        <v>0</v>
      </c>
      <c r="G31" s="2"/>
      <c r="H31" s="2"/>
      <c r="I31" s="3"/>
      <c r="J31" s="1"/>
      <c r="K31" s="20">
        <f>L31</f>
        <v>621</v>
      </c>
      <c r="L31" s="12">
        <f>ROUND(_xll.HPVAL($A31,$A$1,$A$3,$A$4,$A$5,$A$6)/1000,0)</f>
        <v>621</v>
      </c>
      <c r="M31" s="125">
        <f t="shared" si="5"/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5">
      <c r="B32" s="115" t="s">
        <v>1</v>
      </c>
      <c r="C32" s="114"/>
      <c r="D32" s="120">
        <f>D21+D22+D23+D24+D25+D26+D31+D30+D27+D28+D29</f>
        <v>19207</v>
      </c>
      <c r="E32" s="121">
        <f>E21+E22+E23+E24+E25+E26+E31+E30+E27+E28+E29</f>
        <v>19826</v>
      </c>
      <c r="F32" s="121">
        <f>F21+F22+F23+F24+F25+F26+F31+F30+F27+F28+F29</f>
        <v>619</v>
      </c>
      <c r="G32" s="118"/>
      <c r="H32" s="118"/>
      <c r="I32" s="119"/>
      <c r="J32" s="114"/>
      <c r="K32" s="120">
        <f>K21+K22+K23+K24+K25+K26+K31+K30+K27+K28+K29</f>
        <v>19746</v>
      </c>
      <c r="L32" s="121">
        <f>L21+L22+L23+L24+L25+L26+L31+L30+L27+L28+L29</f>
        <v>18894</v>
      </c>
      <c r="M32" s="121">
        <f>M21+M22+M23+M24+M25+M26+M31+M30+M27+M28+M29</f>
        <v>-852</v>
      </c>
      <c r="N32" s="118"/>
      <c r="O32" s="118"/>
      <c r="P32" s="119"/>
      <c r="Q32" s="1"/>
      <c r="R32" s="1"/>
      <c r="S32" s="1"/>
      <c r="T32" s="1"/>
    </row>
    <row r="33" spans="1:20" ht="3" customHeight="1" x14ac:dyDescent="0.25">
      <c r="B33" s="7"/>
      <c r="D33" s="20"/>
      <c r="E33" s="12"/>
      <c r="F33" s="125"/>
      <c r="G33" s="2"/>
      <c r="H33" s="2"/>
      <c r="I33" s="3"/>
      <c r="J33" s="1"/>
      <c r="K33" s="20"/>
      <c r="L33" s="12"/>
      <c r="M33" s="125"/>
      <c r="N33" s="2"/>
      <c r="O33" s="2"/>
      <c r="P33" s="3"/>
      <c r="Q33" s="1"/>
      <c r="R33" s="1"/>
      <c r="S33" s="1"/>
      <c r="T33" s="1"/>
    </row>
    <row r="34" spans="1:20" ht="3" customHeight="1" x14ac:dyDescent="0.25">
      <c r="B34" s="7"/>
      <c r="D34" s="20"/>
      <c r="E34" s="12"/>
      <c r="F34" s="125"/>
      <c r="G34" s="2"/>
      <c r="H34" s="2"/>
      <c r="I34" s="3"/>
      <c r="J34" s="1"/>
      <c r="K34" s="20"/>
      <c r="L34" s="12"/>
      <c r="M34" s="125"/>
      <c r="N34" s="2"/>
      <c r="O34" s="2"/>
      <c r="P34" s="3"/>
      <c r="Q34" s="1"/>
      <c r="R34" s="1"/>
      <c r="S34" s="1"/>
      <c r="T34" s="1"/>
    </row>
    <row r="35" spans="1:20" ht="11.25" customHeight="1" x14ac:dyDescent="0.25">
      <c r="A35" s="23" t="s">
        <v>40</v>
      </c>
      <c r="B35" s="7" t="s">
        <v>9</v>
      </c>
      <c r="D35" s="20">
        <v>672</v>
      </c>
      <c r="E35" s="12">
        <f>ROUND(_xll.HPVAL($A35,$A$1,$A$2,$A$4,$A$5,$A$6)/1000,0)</f>
        <v>2042</v>
      </c>
      <c r="F35" s="125">
        <f>E35-D35</f>
        <v>1370</v>
      </c>
      <c r="G35" s="2" t="s">
        <v>192</v>
      </c>
      <c r="H35" s="2"/>
      <c r="I35" s="3"/>
      <c r="J35" s="1"/>
      <c r="K35" s="20">
        <f>L35</f>
        <v>914</v>
      </c>
      <c r="L35" s="12">
        <f>ROUND(_xll.HPVAL($A35,$A$1,$A$3,$A$4,$A$5,$A$6)/1000,0)</f>
        <v>914</v>
      </c>
      <c r="M35" s="125">
        <f>ROUND(L35-K35,0)</f>
        <v>0</v>
      </c>
      <c r="N35" s="2"/>
      <c r="O35" s="2"/>
      <c r="P35" s="3"/>
      <c r="Q35" s="1"/>
      <c r="R35" s="1"/>
      <c r="S35" s="1"/>
      <c r="T35" s="1"/>
    </row>
    <row r="36" spans="1:20" ht="10.5" customHeight="1" x14ac:dyDescent="0.25">
      <c r="A36" s="23" t="s">
        <v>39</v>
      </c>
      <c r="B36" s="7" t="s">
        <v>267</v>
      </c>
      <c r="D36" s="20">
        <v>2464</v>
      </c>
      <c r="E36" s="12">
        <f>ROUND(_xll.HPVAL($A36,$A$1,$A$2,$A$4,$A$5,$A$6)/1000,0)</f>
        <v>4237</v>
      </c>
      <c r="F36" s="125">
        <f>E36-D36</f>
        <v>1773</v>
      </c>
      <c r="G36" s="163" t="s">
        <v>258</v>
      </c>
      <c r="H36" s="2"/>
      <c r="I36" s="3"/>
      <c r="J36" s="1"/>
      <c r="K36" s="20">
        <f>L36</f>
        <v>1614</v>
      </c>
      <c r="L36" s="12">
        <f>ROUND(_xll.HPVAL($A36,$A$1,$A$3,$A$4,$A$5,$A$6)/1000,0)</f>
        <v>1614</v>
      </c>
      <c r="M36" s="12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hidden="1" customHeight="1" x14ac:dyDescent="0.25">
      <c r="A37" s="23" t="s">
        <v>153</v>
      </c>
      <c r="B37" s="291" t="s">
        <v>180</v>
      </c>
      <c r="D37" s="20">
        <f>2251+1125</f>
        <v>3376</v>
      </c>
      <c r="E37" s="12">
        <f>ROUND(_xll.HPVAL($A37,$A$1,$A$2,$A$4,$A$5,$A$6)/1000,0)</f>
        <v>5483</v>
      </c>
      <c r="F37" s="125">
        <f>E37-D37</f>
        <v>2107</v>
      </c>
      <c r="G37" s="162" t="s">
        <v>294</v>
      </c>
      <c r="H37" s="2"/>
      <c r="I37" s="3"/>
      <c r="J37" s="1"/>
      <c r="K37" s="20">
        <f>L37</f>
        <v>1516</v>
      </c>
      <c r="L37" s="12">
        <f>ROUND(_xll.HPVAL($A37,$A$1,$A$3,$A$4,$A$5,$A$6)/1000,0)</f>
        <v>1516</v>
      </c>
      <c r="M37" s="12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hidden="1" customHeight="1" x14ac:dyDescent="0.25">
      <c r="A38" s="23" t="s">
        <v>157</v>
      </c>
      <c r="B38" s="291" t="s">
        <v>154</v>
      </c>
      <c r="D38" s="20">
        <v>5712</v>
      </c>
      <c r="E38" s="12">
        <f>ROUND(_xll.HPVAL($A38,$A$1,$A$2,$A$4,$A$5,$A$6)/1000,0)</f>
        <v>2561</v>
      </c>
      <c r="F38" s="125">
        <f>E38-D38</f>
        <v>-3151</v>
      </c>
      <c r="G38" s="2" t="s">
        <v>295</v>
      </c>
      <c r="H38" s="2"/>
      <c r="I38" s="3"/>
      <c r="J38" s="1"/>
      <c r="K38" s="20">
        <f>L38</f>
        <v>0</v>
      </c>
      <c r="L38" s="12">
        <f>ROUND(_xll.HPVAL($A38,$A$1,$A$3,$A$4,$A$5,$A$6)/1000,0)</f>
        <v>0</v>
      </c>
      <c r="M38" s="125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5">
      <c r="B39" s="7" t="s">
        <v>154</v>
      </c>
      <c r="D39" s="20">
        <f>SUM(D37:D38)</f>
        <v>9088</v>
      </c>
      <c r="E39" s="12">
        <f>SUM(E37:E38)</f>
        <v>8044</v>
      </c>
      <c r="F39" s="125">
        <f>SUM(F37:F38)</f>
        <v>-1044</v>
      </c>
      <c r="G39" s="2"/>
      <c r="H39" s="2"/>
      <c r="I39" s="3"/>
      <c r="J39" s="1"/>
      <c r="K39" s="20">
        <f>SUM(K37:K38)</f>
        <v>1516</v>
      </c>
      <c r="L39" s="12">
        <f>SUM(L37:L38)</f>
        <v>1516</v>
      </c>
      <c r="M39" s="125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5">
      <c r="B40" s="115" t="s">
        <v>87</v>
      </c>
      <c r="C40" s="114"/>
      <c r="D40" s="120">
        <f>SUM(D35:D38)</f>
        <v>12224</v>
      </c>
      <c r="E40" s="121">
        <f>SUM(E35:E38)</f>
        <v>14323</v>
      </c>
      <c r="F40" s="121">
        <f>SUM(F35:F38)</f>
        <v>2099</v>
      </c>
      <c r="G40" s="118"/>
      <c r="H40" s="118"/>
      <c r="I40" s="119"/>
      <c r="J40" s="114"/>
      <c r="K40" s="120">
        <f>SUM(K35:K38)</f>
        <v>4044</v>
      </c>
      <c r="L40" s="121">
        <f>SUM(L35:L38)</f>
        <v>4044</v>
      </c>
      <c r="M40" s="121">
        <f>SUM(M35:M39)</f>
        <v>0</v>
      </c>
      <c r="N40" s="118"/>
      <c r="O40" s="118"/>
      <c r="P40" s="119"/>
      <c r="Q40" s="1"/>
      <c r="R40" s="1"/>
      <c r="S40" s="1"/>
      <c r="T40" s="1"/>
    </row>
    <row r="41" spans="1:20" ht="3" customHeight="1" x14ac:dyDescent="0.25">
      <c r="B41" s="7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5">
      <c r="A42" s="23" t="s">
        <v>82</v>
      </c>
      <c r="B42" s="7" t="s">
        <v>8</v>
      </c>
      <c r="C42" s="72"/>
      <c r="D42" s="20">
        <f>E42</f>
        <v>0</v>
      </c>
      <c r="E42" s="12">
        <f>ROUND(_xll.HPVAL($A42,$A$1,$A$2,$A$4,$A$5,$A$6)/1000,0)</f>
        <v>0</v>
      </c>
      <c r="F42" s="125">
        <f>E42-D42</f>
        <v>0</v>
      </c>
      <c r="G42" s="2"/>
      <c r="H42" s="2"/>
      <c r="I42" s="3"/>
      <c r="J42" s="1"/>
      <c r="K42" s="20">
        <f>L42</f>
        <v>3069</v>
      </c>
      <c r="L42" s="12">
        <f>ROUND(_xll.HPVAL($A42,$A$1,$A$3,$A$4,$A$5,$A$6)/1000,0)</f>
        <v>3069</v>
      </c>
      <c r="M42" s="125">
        <f>ROUND(L42-K42,0)</f>
        <v>0</v>
      </c>
      <c r="N42" s="2"/>
      <c r="O42" s="2"/>
      <c r="P42" s="3"/>
      <c r="Q42" s="1"/>
      <c r="R42" s="1"/>
      <c r="S42" s="1"/>
      <c r="T42" s="1"/>
    </row>
    <row r="43" spans="1:20" ht="3" customHeight="1" x14ac:dyDescent="0.25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5">
      <c r="A44" s="23" t="s">
        <v>44</v>
      </c>
      <c r="B44" s="7" t="s">
        <v>7</v>
      </c>
      <c r="C44" s="72"/>
      <c r="D44" s="20">
        <f>E44</f>
        <v>0</v>
      </c>
      <c r="E44" s="12">
        <f>ROUND(_xll.HPVAL($A44,$A$1,$A$2,$A$4,$A$5,$A$6)/1000,0)</f>
        <v>0</v>
      </c>
      <c r="F44" s="125">
        <f>E44-D44</f>
        <v>0</v>
      </c>
      <c r="G44" s="2"/>
      <c r="H44" s="2"/>
      <c r="I44" s="3"/>
      <c r="J44" s="1"/>
      <c r="K44" s="20">
        <v>4286</v>
      </c>
      <c r="L44" s="12">
        <f>ROUND(_xll.HPVAL($A44,$A$1,$A$3,$A$4,$A$5,$A$6)/1000,0)</f>
        <v>4669</v>
      </c>
      <c r="M44" s="125">
        <f>ROUND(L44-K44,0)</f>
        <v>383</v>
      </c>
      <c r="N44" s="2"/>
      <c r="O44" s="2"/>
      <c r="P44" s="3"/>
      <c r="Q44" s="1"/>
      <c r="R44" s="1"/>
      <c r="S44" s="1"/>
      <c r="T44" s="1"/>
    </row>
    <row r="45" spans="1:20" ht="3" customHeight="1" x14ac:dyDescent="0.25">
      <c r="B45" s="7"/>
      <c r="C45" s="72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ht="11.25" customHeight="1" x14ac:dyDescent="0.25">
      <c r="B46" s="7" t="s">
        <v>60</v>
      </c>
      <c r="C46" s="72"/>
      <c r="D46" s="20">
        <f>-SUM(D40:D44,D19,D32)</f>
        <v>-39234</v>
      </c>
      <c r="E46" s="12">
        <f>-SUM(E40:E44,E19,E32)</f>
        <v>-42940</v>
      </c>
      <c r="F46" s="125">
        <f>E46-D46</f>
        <v>-3706</v>
      </c>
      <c r="G46" s="2"/>
      <c r="H46" s="2"/>
      <c r="I46" s="3"/>
      <c r="J46" s="1"/>
      <c r="K46" s="20">
        <f>L46</f>
        <v>0</v>
      </c>
      <c r="L46" s="12"/>
      <c r="M46" s="125"/>
      <c r="N46" s="2"/>
      <c r="O46" s="2"/>
      <c r="P46" s="3"/>
      <c r="Q46" s="1"/>
      <c r="R46" s="1"/>
      <c r="S46" s="1"/>
      <c r="T46" s="1"/>
    </row>
    <row r="47" spans="1:20" ht="3" customHeight="1" x14ac:dyDescent="0.25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s="114" customFormat="1" ht="11.25" customHeight="1" x14ac:dyDescent="0.25">
      <c r="B48" s="115" t="s">
        <v>10</v>
      </c>
      <c r="D48" s="120">
        <f>SUM(D40:D46)+D32+D19</f>
        <v>0</v>
      </c>
      <c r="E48" s="121">
        <f>SUM(E40:E46)+E32+E19</f>
        <v>0</v>
      </c>
      <c r="F48" s="121">
        <f>SUM(F40:F46)+F32+F19</f>
        <v>0</v>
      </c>
      <c r="G48" s="118"/>
      <c r="H48" s="118"/>
      <c r="I48" s="119"/>
      <c r="K48" s="120">
        <f>SUM(K40:K46)+K32+K19</f>
        <v>56459</v>
      </c>
      <c r="L48" s="121">
        <f>SUM(L40:L46)+L32+L19</f>
        <v>55527</v>
      </c>
      <c r="M48" s="121">
        <f>SUM(M40:M46)+M32+M19</f>
        <v>-932</v>
      </c>
      <c r="N48" s="118"/>
      <c r="O48" s="118"/>
      <c r="P48" s="119"/>
    </row>
    <row r="49" spans="1:20" ht="3" customHeight="1" x14ac:dyDescent="0.25">
      <c r="B49" s="7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1:20" ht="11.25" customHeight="1" x14ac:dyDescent="0.25">
      <c r="A50" s="23" t="s">
        <v>45</v>
      </c>
      <c r="B50" s="7" t="s">
        <v>48</v>
      </c>
      <c r="C50" s="72"/>
      <c r="D50" s="20">
        <f>E50</f>
        <v>0</v>
      </c>
      <c r="E50" s="12">
        <f>_xll.HPVAL($A50,$A$1,$A$2,$A$4,$A$5,$A$6)/1000</f>
        <v>0</v>
      </c>
      <c r="F50" s="125">
        <f>E50-D50</f>
        <v>0</v>
      </c>
      <c r="G50" s="2"/>
      <c r="H50" s="2"/>
      <c r="I50" s="3"/>
      <c r="J50" s="1"/>
      <c r="K50" s="20">
        <f>-K48+13343</f>
        <v>-43116</v>
      </c>
      <c r="L50" s="12">
        <f>-L48+13343</f>
        <v>-42184</v>
      </c>
      <c r="M50" s="125">
        <f>ROUND(L50-K50,0)</f>
        <v>932</v>
      </c>
      <c r="N50" s="2"/>
      <c r="O50" s="2"/>
      <c r="P50" s="3"/>
      <c r="Q50" s="1"/>
      <c r="R50" s="1"/>
      <c r="S50" s="1"/>
      <c r="T50" s="1"/>
    </row>
    <row r="51" spans="1:20" ht="3" customHeight="1" x14ac:dyDescent="0.25">
      <c r="B51" s="7"/>
      <c r="C51" s="72"/>
      <c r="D51" s="20"/>
      <c r="E51" s="12"/>
      <c r="F51" s="125"/>
      <c r="G51" s="2"/>
      <c r="H51" s="2"/>
      <c r="I51" s="3"/>
      <c r="J51" s="1"/>
      <c r="K51" s="20"/>
      <c r="L51" s="12"/>
      <c r="M51" s="125"/>
      <c r="N51" s="2"/>
      <c r="O51" s="2"/>
      <c r="P51" s="3"/>
      <c r="Q51" s="1"/>
      <c r="R51" s="1"/>
      <c r="S51" s="1"/>
      <c r="T51" s="1"/>
    </row>
    <row r="52" spans="1:20" ht="11.25" customHeight="1" x14ac:dyDescent="0.25">
      <c r="B52" s="7" t="s">
        <v>274</v>
      </c>
      <c r="C52" s="72"/>
      <c r="D52" s="20">
        <v>0</v>
      </c>
      <c r="E52" s="12">
        <v>0</v>
      </c>
      <c r="F52" s="125">
        <v>0</v>
      </c>
      <c r="G52" s="2"/>
      <c r="H52" s="2"/>
      <c r="I52" s="3"/>
      <c r="J52" s="1"/>
      <c r="K52" s="20">
        <v>-13343</v>
      </c>
      <c r="L52" s="12">
        <v>-13343</v>
      </c>
      <c r="M52" s="125">
        <f>ROUND(L52-K52,0)</f>
        <v>0</v>
      </c>
      <c r="N52" s="2"/>
      <c r="O52" s="2"/>
      <c r="P52" s="3"/>
      <c r="Q52" s="1"/>
      <c r="R52" s="1"/>
      <c r="S52" s="1"/>
      <c r="T52" s="1"/>
    </row>
    <row r="53" spans="1:20" ht="3" customHeight="1" x14ac:dyDescent="0.25">
      <c r="B53" s="7"/>
      <c r="D53" s="20"/>
      <c r="E53" s="12"/>
      <c r="F53" s="125"/>
      <c r="G53" s="2"/>
      <c r="H53" s="2"/>
      <c r="I53" s="3"/>
      <c r="J53" s="1"/>
      <c r="K53" s="20"/>
      <c r="L53" s="12"/>
      <c r="M53" s="125"/>
      <c r="N53" s="2"/>
      <c r="O53" s="2"/>
      <c r="P53" s="3"/>
      <c r="Q53" s="1"/>
      <c r="R53" s="1"/>
      <c r="S53" s="1"/>
      <c r="T53" s="1"/>
    </row>
    <row r="54" spans="1:20" s="114" customFormat="1" ht="11.25" customHeight="1" x14ac:dyDescent="0.25">
      <c r="B54" s="115" t="s">
        <v>14</v>
      </c>
      <c r="D54" s="108">
        <f>D50+D48</f>
        <v>0</v>
      </c>
      <c r="E54" s="109">
        <f>E50+E48</f>
        <v>0</v>
      </c>
      <c r="F54" s="109">
        <f>F50+F48</f>
        <v>0</v>
      </c>
      <c r="G54" s="118"/>
      <c r="H54" s="118"/>
      <c r="I54" s="119"/>
      <c r="K54" s="108">
        <f>K50+K48+K52</f>
        <v>0</v>
      </c>
      <c r="L54" s="109">
        <f>L50+L48+L52</f>
        <v>0</v>
      </c>
      <c r="M54" s="109">
        <f>M50+M48+M52</f>
        <v>0</v>
      </c>
      <c r="N54" s="118"/>
      <c r="O54" s="118"/>
      <c r="P54" s="119"/>
    </row>
    <row r="55" spans="1:20" ht="3" customHeight="1" x14ac:dyDescent="0.25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5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5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5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5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5">
      <c r="D60" s="5"/>
      <c r="E60" s="5"/>
      <c r="F60" s="5"/>
      <c r="G60" s="1"/>
      <c r="H60" s="1"/>
      <c r="I60" s="1"/>
      <c r="J60" s="1"/>
      <c r="K60" s="5"/>
      <c r="L60" s="5"/>
      <c r="M60" s="5" t="s">
        <v>286</v>
      </c>
      <c r="N60" s="1"/>
      <c r="O60" s="1"/>
      <c r="P60" s="1"/>
      <c r="Q60" s="1"/>
      <c r="R60" s="1"/>
      <c r="S60" s="1"/>
      <c r="T60" s="1"/>
    </row>
    <row r="61" spans="1:20" x14ac:dyDescent="0.25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5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5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5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5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5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5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5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5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5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5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5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5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5">
      <c r="D74" s="5"/>
      <c r="E74" s="5"/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5">
      <c r="D75" s="5"/>
      <c r="E75" s="5"/>
      <c r="L75" s="5"/>
      <c r="M75" s="5"/>
      <c r="N75" s="1"/>
      <c r="O75" s="1"/>
      <c r="P75" s="1"/>
      <c r="Q75" s="1"/>
      <c r="R75" s="1"/>
      <c r="S75" s="1"/>
      <c r="T75" s="1"/>
    </row>
    <row r="76" spans="1:20" x14ac:dyDescent="0.25">
      <c r="D76" s="5"/>
      <c r="E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5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5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5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5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1:20" hidden="1" x14ac:dyDescent="0.25">
      <c r="A81" s="5"/>
      <c r="B81" s="1"/>
      <c r="C81" s="1"/>
      <c r="D81" s="1"/>
      <c r="E81" s="1"/>
      <c r="F81" s="5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1:20" hidden="1" x14ac:dyDescent="0.25">
      <c r="A82" s="5"/>
      <c r="B82" s="1"/>
      <c r="C82" s="1"/>
      <c r="D82" s="1"/>
      <c r="E82" s="1"/>
      <c r="F82" s="5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1:20" hidden="1" x14ac:dyDescent="0.25">
      <c r="A83" s="5"/>
      <c r="B83" s="1"/>
      <c r="C83" s="1"/>
      <c r="D83" s="1"/>
      <c r="E83" s="1"/>
      <c r="F83" s="5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1:20" hidden="1" x14ac:dyDescent="0.25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1:20" hidden="1" x14ac:dyDescent="0.25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1:20" hidden="1" x14ac:dyDescent="0.25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1:20" hidden="1" x14ac:dyDescent="0.25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1:20" hidden="1" x14ac:dyDescent="0.25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1:20" hidden="1" x14ac:dyDescent="0.25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5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5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5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5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5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5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5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5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5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5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5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5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5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5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5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5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5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5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5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5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5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5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5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5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5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5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5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5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5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5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5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5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5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5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5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5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5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5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5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5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5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5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5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5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5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5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5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5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5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5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5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5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5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4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A20" workbookViewId="0">
      <selection activeCell="A8" sqref="A8"/>
    </sheetView>
  </sheetViews>
  <sheetFormatPr defaultRowHeight="13.2" x14ac:dyDescent="0.25"/>
  <cols>
    <col min="1" max="1" width="16.88671875" style="23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 x14ac:dyDescent="0.3">
      <c r="A1" s="23" t="s">
        <v>102</v>
      </c>
      <c r="B1" s="330" t="s">
        <v>17</v>
      </c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</row>
    <row r="2" spans="1:40" ht="13.8" x14ac:dyDescent="0.25">
      <c r="A2" s="23" t="s">
        <v>108</v>
      </c>
      <c r="B2" s="331" t="s">
        <v>165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</row>
    <row r="3" spans="1:40" x14ac:dyDescent="0.25">
      <c r="A3" s="23" t="s">
        <v>109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</row>
    <row r="4" spans="1:40" ht="3" customHeight="1" x14ac:dyDescent="0.25">
      <c r="A4" s="24">
        <v>36586</v>
      </c>
    </row>
    <row r="5" spans="1:40" x14ac:dyDescent="0.25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23" t="s">
        <v>47</v>
      </c>
      <c r="B6" s="7"/>
      <c r="D6" s="324" t="s">
        <v>166</v>
      </c>
      <c r="E6" s="325"/>
      <c r="F6" s="326"/>
      <c r="G6" s="1"/>
      <c r="H6" s="324" t="s">
        <v>167</v>
      </c>
      <c r="I6" s="325"/>
      <c r="J6" s="326"/>
      <c r="K6" s="1"/>
      <c r="L6" s="324" t="s">
        <v>68</v>
      </c>
      <c r="M6" s="325"/>
      <c r="N6" s="32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5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5">
      <c r="A9" s="23" t="s">
        <v>232</v>
      </c>
      <c r="B9" s="7" t="s">
        <v>3</v>
      </c>
      <c r="D9" s="87">
        <f>_xll.HPVAL($A9,$A$49,$A$2,$A$5,$A$6,$A$7)</f>
        <v>55</v>
      </c>
      <c r="E9" s="88">
        <f>_xll.HPVAL($A9,$A$49,$A$3,$A$5,$A$6,$A$7)</f>
        <v>24</v>
      </c>
      <c r="F9" s="89">
        <f>+D9+E9</f>
        <v>79</v>
      </c>
      <c r="G9" s="5"/>
      <c r="H9" s="87">
        <f>_xll.HPVAL($A9,$A$1,$A$2,$A$5,$A$6,$A$7)</f>
        <v>52</v>
      </c>
      <c r="I9" s="88">
        <f>_xll.HPVAL($A9,$A$1,$A$3,$A$5,$A$6,$A$7)</f>
        <v>11</v>
      </c>
      <c r="J9" s="89">
        <f>+H9+I9</f>
        <v>63</v>
      </c>
      <c r="K9" s="1"/>
      <c r="L9" s="87">
        <f>+D9-H9</f>
        <v>3</v>
      </c>
      <c r="M9" s="88">
        <f>+E9-I9</f>
        <v>13</v>
      </c>
      <c r="N9" s="89">
        <f>+L9+M9</f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5">
      <c r="A10" s="23" t="s">
        <v>105</v>
      </c>
      <c r="B10" s="7" t="s">
        <v>106</v>
      </c>
      <c r="D10" s="87">
        <f>_xll.HPVAL($A10,$A$49,$A$2,$A$5,$A$6,$A$7)</f>
        <v>47</v>
      </c>
      <c r="E10" s="88">
        <f>_xll.HPVAL($A10,$A$49,$A$3,$A$5,$A$6,$A$7)</f>
        <v>86.8</v>
      </c>
      <c r="F10" s="89">
        <f t="shared" ref="F10:F17" si="0">+D10+E10</f>
        <v>133.80000000000001</v>
      </c>
      <c r="G10" s="5"/>
      <c r="H10" s="87">
        <f>_xll.HPVAL($A10,$A$1,$A$2,$A$5,$A$6,$A$7)</f>
        <v>48</v>
      </c>
      <c r="I10" s="88">
        <f>_xll.HPVAL($A10,$A$1,$A$3,$A$5,$A$6,$A$7)</f>
        <v>75</v>
      </c>
      <c r="J10" s="89">
        <f t="shared" ref="J10:J17" si="1">+H10+I10</f>
        <v>123</v>
      </c>
      <c r="K10" s="1"/>
      <c r="L10" s="87">
        <f t="shared" ref="L10:L17" si="2">+D10-H10</f>
        <v>-1</v>
      </c>
      <c r="M10" s="88">
        <f t="shared" ref="M10:M17" si="3">+E10-I10</f>
        <v>11.799999999999997</v>
      </c>
      <c r="N10" s="89">
        <f t="shared" ref="N10:N17" si="4">+L10+M10</f>
        <v>10.799999999999997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5">
      <c r="A11" s="23" t="s">
        <v>27</v>
      </c>
      <c r="B11" s="7" t="s">
        <v>132</v>
      </c>
      <c r="D11" s="87">
        <f>_xll.HPVAL($A11,$A$49,$A$2,$A$5,$A$6,$A$7)</f>
        <v>10</v>
      </c>
      <c r="E11" s="88">
        <f>_xll.HPVAL($A11,$A$49,$A$3,$A$5,$A$6,$A$7)</f>
        <v>6</v>
      </c>
      <c r="F11" s="89">
        <f t="shared" si="0"/>
        <v>16</v>
      </c>
      <c r="G11" s="5"/>
      <c r="H11" s="87">
        <f>_xll.HPVAL($A11,$A$1,$A$2,$A$5,$A$6,$A$7)</f>
        <v>10</v>
      </c>
      <c r="I11" s="88">
        <f>_xll.HPVAL($A11,$A$1,$A$3,$A$5,$A$6,$A$7)</f>
        <v>3</v>
      </c>
      <c r="J11" s="89">
        <f t="shared" si="1"/>
        <v>13</v>
      </c>
      <c r="K11" s="1"/>
      <c r="L11" s="87">
        <f t="shared" si="2"/>
        <v>0</v>
      </c>
      <c r="M11" s="88">
        <f t="shared" si="3"/>
        <v>3</v>
      </c>
      <c r="N11" s="89">
        <f t="shared" si="4"/>
        <v>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5">
      <c r="A12" s="23" t="s">
        <v>29</v>
      </c>
      <c r="B12" s="7" t="s">
        <v>133</v>
      </c>
      <c r="D12" s="87">
        <f>_xll.HPVAL($A12,$A$49,$A$2,$A$5,$A$6,$A$7)</f>
        <v>8</v>
      </c>
      <c r="E12" s="88">
        <f>_xll.HPVAL($A12,$A$49,$A$3,$A$5,$A$6,$A$7)</f>
        <v>10</v>
      </c>
      <c r="F12" s="89">
        <f>+D12+E12</f>
        <v>18</v>
      </c>
      <c r="G12" s="5"/>
      <c r="H12" s="87">
        <f>_xll.HPVAL($A12,$A$1,$A$2,$A$5,$A$6,$A$7)</f>
        <v>10</v>
      </c>
      <c r="I12" s="88">
        <f>_xll.HPVAL($A12,$A$1,$A$3,$A$5,$A$6,$A$7)</f>
        <v>8</v>
      </c>
      <c r="J12" s="89">
        <f>+H12+I12</f>
        <v>18</v>
      </c>
      <c r="K12" s="1"/>
      <c r="L12" s="87">
        <f>+D12-H12</f>
        <v>-2</v>
      </c>
      <c r="M12" s="88">
        <f>+E12-I12</f>
        <v>2</v>
      </c>
      <c r="N12" s="89">
        <f>+L12+M12</f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5">
      <c r="A13" s="25" t="s">
        <v>43</v>
      </c>
      <c r="B13" s="7" t="s">
        <v>251</v>
      </c>
      <c r="C13" s="72"/>
      <c r="D13" s="87">
        <f>_xll.HPVAL($A13,$A$49,$A$2,$A$5,$A$6,$A$7)</f>
        <v>19</v>
      </c>
      <c r="E13" s="88">
        <f>_xll.HPVAL($A13,$A$49,$A$3,$A$5,$A$6,$A$7)</f>
        <v>20</v>
      </c>
      <c r="F13" s="89">
        <f t="shared" si="0"/>
        <v>39</v>
      </c>
      <c r="G13" s="5"/>
      <c r="H13" s="87">
        <f>_xll.HPVAL($A13,$A$1,$A$2,$A$5,$A$6,$A$7)</f>
        <v>15.5</v>
      </c>
      <c r="I13" s="88">
        <f>_xll.HPVAL($A13,$A$1,$A$3,$A$5,$A$6,$A$7)</f>
        <v>29</v>
      </c>
      <c r="J13" s="89">
        <f t="shared" si="1"/>
        <v>44.5</v>
      </c>
      <c r="K13" s="1"/>
      <c r="L13" s="87">
        <f t="shared" si="2"/>
        <v>3.5</v>
      </c>
      <c r="M13" s="88">
        <f t="shared" si="3"/>
        <v>-9</v>
      </c>
      <c r="N13" s="89">
        <f t="shared" si="4"/>
        <v>-5.5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5">
      <c r="A14" s="23" t="s">
        <v>28</v>
      </c>
      <c r="B14" s="7" t="s">
        <v>262</v>
      </c>
      <c r="D14" s="87">
        <f>_xll.HPVAL($A14,$A$49,$A$2,$A$5,$A$6,$A$7)</f>
        <v>15</v>
      </c>
      <c r="E14" s="88">
        <f>_xll.HPVAL($A14,$A$49,$A$3,$A$5,$A$6,$A$7)</f>
        <v>7</v>
      </c>
      <c r="F14" s="89">
        <f t="shared" si="0"/>
        <v>22</v>
      </c>
      <c r="G14" s="5"/>
      <c r="H14" s="87">
        <f>_xll.HPVAL($A14,$A$1,$A$2,$A$5,$A$6,$A$7)</f>
        <v>24</v>
      </c>
      <c r="I14" s="88">
        <f>_xll.HPVAL($A14,$A$1,$A$3,$A$5,$A$6,$A$7)</f>
        <v>17</v>
      </c>
      <c r="J14" s="89">
        <f t="shared" si="1"/>
        <v>41</v>
      </c>
      <c r="K14" s="1"/>
      <c r="L14" s="87">
        <f t="shared" si="2"/>
        <v>-9</v>
      </c>
      <c r="M14" s="88">
        <f t="shared" si="3"/>
        <v>-10</v>
      </c>
      <c r="N14" s="89">
        <f t="shared" si="4"/>
        <v>-19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5">
      <c r="A15" s="23" t="s">
        <v>30</v>
      </c>
      <c r="B15" s="7" t="s">
        <v>155</v>
      </c>
      <c r="D15" s="87">
        <f>_xll.HPVAL($A15,$A$49,$A$2,$A$5,$A$6,$A$7)</f>
        <v>6</v>
      </c>
      <c r="E15" s="88">
        <f>_xll.HPVAL($A15,$A$49,$A$3,$A$5,$A$6,$A$7)</f>
        <v>8</v>
      </c>
      <c r="F15" s="89">
        <f t="shared" si="0"/>
        <v>14</v>
      </c>
      <c r="G15" s="5"/>
      <c r="H15" s="87">
        <f>_xll.HPVAL($A15,$A$1,$A$2,$A$5,$A$6,$A$7)</f>
        <v>9</v>
      </c>
      <c r="I15" s="88">
        <f>_xll.HPVAL($A15,$A$1,$A$3,$A$5,$A$6,$A$7)</f>
        <v>14</v>
      </c>
      <c r="J15" s="89">
        <f t="shared" si="1"/>
        <v>23</v>
      </c>
      <c r="K15" s="1"/>
      <c r="L15" s="87">
        <f t="shared" si="2"/>
        <v>-3</v>
      </c>
      <c r="M15" s="88">
        <f t="shared" si="3"/>
        <v>-6</v>
      </c>
      <c r="N15" s="89">
        <f t="shared" si="4"/>
        <v>-9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5">
      <c r="A16" s="23" t="s">
        <v>4</v>
      </c>
      <c r="B16" s="7" t="s">
        <v>107</v>
      </c>
      <c r="D16" s="87">
        <f>_xll.HPVAL($A16,$A$49,$A$2,$A$5,$A$6,$A$7)</f>
        <v>0</v>
      </c>
      <c r="E16" s="88">
        <f>_xll.HPVAL($A16,$A$49,$A$3,$A$5,$A$6,$A$7)</f>
        <v>1</v>
      </c>
      <c r="F16" s="89">
        <f t="shared" si="0"/>
        <v>1</v>
      </c>
      <c r="G16" s="5"/>
      <c r="H16" s="87">
        <f>_xll.HPVAL($A16,$A$1,$A$2,$A$5,$A$6,$A$7)</f>
        <v>1</v>
      </c>
      <c r="I16" s="88">
        <f>_xll.HPVAL($A16,$A$1,$A$3,$A$5,$A$6,$A$7)</f>
        <v>1</v>
      </c>
      <c r="J16" s="89">
        <f t="shared" si="1"/>
        <v>2</v>
      </c>
      <c r="K16" s="1"/>
      <c r="L16" s="87">
        <f t="shared" si="2"/>
        <v>-1</v>
      </c>
      <c r="M16" s="88">
        <f t="shared" si="3"/>
        <v>0</v>
      </c>
      <c r="N16" s="89">
        <f t="shared" si="4"/>
        <v>-1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5">
      <c r="A17" s="23" t="s">
        <v>73</v>
      </c>
      <c r="B17" s="7" t="s">
        <v>156</v>
      </c>
      <c r="D17" s="87">
        <f>_xll.HPVAL($A17,$A$49,$A$2,$A$5,$A$6,$A$7)</f>
        <v>8</v>
      </c>
      <c r="E17" s="88">
        <f>_xll.HPVAL($A17,$A$49,$A$3,$A$5,$A$6,$A$7)</f>
        <v>8</v>
      </c>
      <c r="F17" s="89">
        <f t="shared" si="0"/>
        <v>16</v>
      </c>
      <c r="G17" s="5"/>
      <c r="H17" s="87">
        <f>_xll.HPVAL($A17,$A$1,$A$2,$A$5,$A$6,$A$7)</f>
        <v>10</v>
      </c>
      <c r="I17" s="88">
        <f>_xll.HPVAL($A17,$A$1,$A$3,$A$5,$A$6,$A$7)</f>
        <v>13</v>
      </c>
      <c r="J17" s="89">
        <f t="shared" si="1"/>
        <v>23</v>
      </c>
      <c r="K17" s="1"/>
      <c r="L17" s="87">
        <f t="shared" si="2"/>
        <v>-2</v>
      </c>
      <c r="M17" s="88">
        <f t="shared" si="3"/>
        <v>-5</v>
      </c>
      <c r="N17" s="89">
        <f t="shared" si="4"/>
        <v>-7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5">
      <c r="B18" s="115" t="s">
        <v>6</v>
      </c>
      <c r="C18" s="114"/>
      <c r="D18" s="111">
        <f>SUM(D9:D17)</f>
        <v>168</v>
      </c>
      <c r="E18" s="112">
        <f>SUM(E9:E17)</f>
        <v>170.8</v>
      </c>
      <c r="F18" s="130">
        <f>SUM(F9:F17)</f>
        <v>338.8</v>
      </c>
      <c r="G18" s="116"/>
      <c r="H18" s="111">
        <f>SUM(H9:H17)</f>
        <v>179.5</v>
      </c>
      <c r="I18" s="112">
        <f>SUM(I9:I17)</f>
        <v>171</v>
      </c>
      <c r="J18" s="130">
        <f>SUM(J9:J17)</f>
        <v>350.5</v>
      </c>
      <c r="K18" s="114"/>
      <c r="L18" s="111">
        <f>SUM(L9:L17)</f>
        <v>-11.5</v>
      </c>
      <c r="M18" s="112">
        <f>SUM(M9:M17)</f>
        <v>-0.20000000000000284</v>
      </c>
      <c r="N18" s="130">
        <f>SUM(N9:N17)</f>
        <v>-11.700000000000003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5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5">
      <c r="A20" s="23" t="s">
        <v>32</v>
      </c>
      <c r="B20" s="7" t="s">
        <v>88</v>
      </c>
      <c r="D20" s="87">
        <f>_xll.HPVAL($A20,$A$49,$A$2,$A$5,$A$6,$A$7)</f>
        <v>33.5</v>
      </c>
      <c r="E20" s="88">
        <f>_xll.HPVAL($A20,$A$49,$A$3,$A$5,$A$6,$A$7)</f>
        <v>13</v>
      </c>
      <c r="F20" s="89">
        <f>+D20+E20</f>
        <v>46.5</v>
      </c>
      <c r="G20" s="5"/>
      <c r="H20" s="87">
        <f>_xll.HPVAL($A20,$A$1,$A$2,$A$5,$A$6,$A$7)</f>
        <v>45</v>
      </c>
      <c r="I20" s="88">
        <f>_xll.HPVAL($A20,$A$1,$A$3,$A$5,$A$6,$A$7)</f>
        <v>21</v>
      </c>
      <c r="J20" s="89">
        <f>+H20+I20</f>
        <v>66</v>
      </c>
      <c r="K20" s="1"/>
      <c r="L20" s="87">
        <f t="shared" ref="L20:M26" si="5">+D20-H20</f>
        <v>-11.5</v>
      </c>
      <c r="M20" s="88">
        <f t="shared" si="5"/>
        <v>-8</v>
      </c>
      <c r="N20" s="89">
        <f>+L20+M20</f>
        <v>-19.5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5">
      <c r="A21" s="23" t="s">
        <v>38</v>
      </c>
      <c r="B21" s="7" t="s">
        <v>89</v>
      </c>
      <c r="D21" s="87">
        <f>_xll.HPVAL($A21,$A$49,$A$2,$A$5,$A$6,$A$7)</f>
        <v>14</v>
      </c>
      <c r="E21" s="88">
        <f>_xll.HPVAL($A21,$A$49,$A$3,$A$5,$A$6,$A$7)</f>
        <v>16.8</v>
      </c>
      <c r="F21" s="89">
        <f>+D21+E21</f>
        <v>30.8</v>
      </c>
      <c r="G21" s="5"/>
      <c r="H21" s="87">
        <f>_xll.HPVAL($A21,$A$1,$A$2,$A$5,$A$6,$A$7)</f>
        <v>23</v>
      </c>
      <c r="I21" s="88">
        <f>_xll.HPVAL($A21,$A$1,$A$3,$A$5,$A$6,$A$7)</f>
        <v>15</v>
      </c>
      <c r="J21" s="89">
        <f>+H21+I21</f>
        <v>38</v>
      </c>
      <c r="K21" s="1"/>
      <c r="L21" s="87">
        <f t="shared" si="5"/>
        <v>-9</v>
      </c>
      <c r="M21" s="88">
        <f t="shared" si="5"/>
        <v>1.8000000000000007</v>
      </c>
      <c r="N21" s="89">
        <f>+L21+M21</f>
        <v>-7.1999999999999993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5">
      <c r="A22" s="23" t="s">
        <v>230</v>
      </c>
      <c r="B22" s="7" t="s">
        <v>90</v>
      </c>
      <c r="D22" s="87">
        <f>_xll.HPVAL($A22,$A$49,$A$2,$A$5,$A$6,$A$7)</f>
        <v>41</v>
      </c>
      <c r="E22" s="88">
        <f>_xll.HPVAL($A22,$A$49,$A$3,$A$5,$A$6,$A$7)</f>
        <v>10</v>
      </c>
      <c r="F22" s="89">
        <f>+D22+E22</f>
        <v>51</v>
      </c>
      <c r="G22" s="5"/>
      <c r="H22" s="87">
        <f>_xll.HPVAL($A22,$A$1,$A$2,$A$5,$A$6,$A$7)</f>
        <v>56</v>
      </c>
      <c r="I22" s="88">
        <f>_xll.HPVAL($A22,$A$1,$A$3,$A$5,$A$6,$A$7)</f>
        <v>18</v>
      </c>
      <c r="J22" s="89">
        <f>+H22+I22</f>
        <v>74</v>
      </c>
      <c r="K22" s="1"/>
      <c r="L22" s="87">
        <f t="shared" si="5"/>
        <v>-15</v>
      </c>
      <c r="M22" s="88">
        <f t="shared" si="5"/>
        <v>-8</v>
      </c>
      <c r="N22" s="89">
        <f>+L22+M22</f>
        <v>-23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5">
      <c r="A23" s="23" t="s">
        <v>103</v>
      </c>
      <c r="B23" s="7" t="s">
        <v>104</v>
      </c>
      <c r="D23" s="87">
        <f>_xll.HPVAL($A23,$A$49,$A$2,$A$5,$A$6,$A$7)</f>
        <v>13</v>
      </c>
      <c r="E23" s="88">
        <f>_xll.HPVAL($A23,$A$49,$A$3,$A$5,$A$6,$A$7)</f>
        <v>6</v>
      </c>
      <c r="F23" s="89">
        <f>+D23+E23</f>
        <v>19</v>
      </c>
      <c r="G23" s="5"/>
      <c r="H23" s="87">
        <f>_xll.HPVAL($A23,$A$1,$A$2,$A$5,$A$6,$A$7)</f>
        <v>14</v>
      </c>
      <c r="I23" s="88">
        <f>_xll.HPVAL($A23,$A$1,$A$3,$A$5,$A$6,$A$7)</f>
        <v>9</v>
      </c>
      <c r="J23" s="89">
        <f>+H23+I23</f>
        <v>23</v>
      </c>
      <c r="K23" s="1"/>
      <c r="L23" s="87">
        <f t="shared" si="5"/>
        <v>-1</v>
      </c>
      <c r="M23" s="88">
        <f t="shared" si="5"/>
        <v>-3</v>
      </c>
      <c r="N23" s="89">
        <f>+L23+M23</f>
        <v>-4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5">
      <c r="B24" s="7" t="s">
        <v>265</v>
      </c>
      <c r="D24" s="87"/>
      <c r="E24" s="88"/>
      <c r="F24" s="89"/>
      <c r="G24" s="5"/>
      <c r="H24" s="87"/>
      <c r="I24" s="88"/>
      <c r="J24" s="89"/>
      <c r="K24" s="1"/>
      <c r="L24" s="87"/>
      <c r="M24" s="88"/>
      <c r="N24" s="8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5">
      <c r="B25" s="7" t="s">
        <v>252</v>
      </c>
      <c r="D25" s="87"/>
      <c r="E25" s="88"/>
      <c r="F25" s="89"/>
      <c r="G25" s="5"/>
      <c r="H25" s="87">
        <v>0</v>
      </c>
      <c r="I25" s="88">
        <v>0</v>
      </c>
      <c r="J25" s="89">
        <v>0</v>
      </c>
      <c r="K25" s="1"/>
      <c r="L25" s="87">
        <v>0</v>
      </c>
      <c r="M25" s="88">
        <v>0</v>
      </c>
      <c r="N25" s="89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5">
      <c r="A26" s="23" t="s">
        <v>36</v>
      </c>
      <c r="B26" s="7" t="s">
        <v>0</v>
      </c>
      <c r="D26" s="87">
        <f>_xll.HPVAL($A26,$A$49,$A$2,$A$5,$A$6,$A$7)</f>
        <v>3</v>
      </c>
      <c r="E26" s="88">
        <f>_xll.HPVAL($A26,$A$49,$A$3,$A$5,$A$6,$A$7)</f>
        <v>2</v>
      </c>
      <c r="F26" s="89">
        <f>+D26+E26</f>
        <v>5</v>
      </c>
      <c r="G26" s="5"/>
      <c r="H26" s="87">
        <f>_xll.HPVAL($A26,$A$1,$A$2,$A$5,$A$6,$A$7)</f>
        <v>11</v>
      </c>
      <c r="I26" s="88">
        <f>_xll.HPVAL($A26,$A$1,$A$3,$A$5,$A$6,$A$7)</f>
        <v>11</v>
      </c>
      <c r="J26" s="89">
        <f>+H26+I26</f>
        <v>22</v>
      </c>
      <c r="K26" s="1"/>
      <c r="L26" s="87">
        <f t="shared" si="5"/>
        <v>-8</v>
      </c>
      <c r="M26" s="88">
        <f t="shared" si="5"/>
        <v>-9</v>
      </c>
      <c r="N26" s="89">
        <f>+L26+M26</f>
        <v>-17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5">
      <c r="B27" s="115" t="s">
        <v>1</v>
      </c>
      <c r="C27" s="114"/>
      <c r="D27" s="111">
        <f>SUM(D20:D26)</f>
        <v>104.5</v>
      </c>
      <c r="E27" s="112">
        <f>SUM(E20:E26)</f>
        <v>47.8</v>
      </c>
      <c r="F27" s="130">
        <f>SUM(F20:F26)</f>
        <v>152.30000000000001</v>
      </c>
      <c r="G27" s="116"/>
      <c r="H27" s="111">
        <f>SUM(H20:H26)</f>
        <v>149</v>
      </c>
      <c r="I27" s="112">
        <f>SUM(I20:I26)</f>
        <v>74</v>
      </c>
      <c r="J27" s="130">
        <f>SUM(J20:J26)</f>
        <v>223</v>
      </c>
      <c r="K27" s="114"/>
      <c r="L27" s="111">
        <f>SUM(L20:L26)</f>
        <v>-44.5</v>
      </c>
      <c r="M27" s="112">
        <f>SUM(M20:M26)</f>
        <v>-26.2</v>
      </c>
      <c r="N27" s="130">
        <f>SUM(N20:N26)</f>
        <v>-70.7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5">
      <c r="B28" s="7"/>
      <c r="D28" s="87"/>
      <c r="E28" s="88"/>
      <c r="F28" s="89"/>
      <c r="G28" s="5"/>
      <c r="H28" s="87"/>
      <c r="I28" s="88"/>
      <c r="J28" s="89"/>
      <c r="K28" s="1"/>
      <c r="L28" s="87"/>
      <c r="M28" s="88"/>
      <c r="N28" s="8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5">
      <c r="A29" s="23" t="s">
        <v>37</v>
      </c>
      <c r="B29" s="7" t="s">
        <v>67</v>
      </c>
      <c r="D29" s="87">
        <f>_xll.HPVAL($A29,$A$49,$A$2,$A$5,$A$6,$A$7)</f>
        <v>6</v>
      </c>
      <c r="E29" s="88">
        <f>_xll.HPVAL($A29,$A$49,$A$3,$A$5,$A$6,$A$7)</f>
        <v>3</v>
      </c>
      <c r="F29" s="89">
        <f>+D29+E29</f>
        <v>9</v>
      </c>
      <c r="G29" s="5"/>
      <c r="H29" s="87">
        <f>_xll.HPVAL($A29,$A$1,$A$2,$A$5,$A$6,$A$7)</f>
        <v>8</v>
      </c>
      <c r="I29" s="88">
        <f>_xll.HPVAL($A29,$A$1,$A$3,$A$5,$A$6,$A$7)</f>
        <v>6</v>
      </c>
      <c r="J29" s="89">
        <f>+H29+I29</f>
        <v>14</v>
      </c>
      <c r="K29" s="1"/>
      <c r="L29" s="87">
        <f t="shared" ref="L29:M31" si="6">+D29-H29</f>
        <v>-2</v>
      </c>
      <c r="M29" s="88">
        <f t="shared" si="6"/>
        <v>-3</v>
      </c>
      <c r="N29" s="89">
        <f>+L29+M29</f>
        <v>-5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41</v>
      </c>
      <c r="B30" s="292" t="s">
        <v>248</v>
      </c>
      <c r="C30" s="72"/>
      <c r="D30" s="87">
        <f>_xll.HPVAL($A30,$A$49,$A$2,$A$5,$A$6,$A$7)</f>
        <v>55</v>
      </c>
      <c r="E30" s="88">
        <f>_xll.HPVAL($A30,$A$49,$A$3,$A$5,$A$6,$A$7)</f>
        <v>88</v>
      </c>
      <c r="F30" s="89">
        <f>+D30+E30</f>
        <v>143</v>
      </c>
      <c r="G30" s="5"/>
      <c r="H30" s="87">
        <f>_xll.HPVAL($A30,$A$1,$A$2,$A$5,$A$6,$A$7)</f>
        <v>58</v>
      </c>
      <c r="I30" s="88">
        <f>_xll.HPVAL($A30,$A$1,$A$3,$A$5,$A$6,$A$7)</f>
        <v>107</v>
      </c>
      <c r="J30" s="89">
        <f>+H30+I30</f>
        <v>165</v>
      </c>
      <c r="K30" s="1"/>
      <c r="L30" s="87">
        <f t="shared" si="6"/>
        <v>-3</v>
      </c>
      <c r="M30" s="88">
        <f t="shared" si="6"/>
        <v>-19</v>
      </c>
      <c r="N30" s="89">
        <f>+L30+M30</f>
        <v>-22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42</v>
      </c>
      <c r="B31" s="292" t="s">
        <v>249</v>
      </c>
      <c r="C31" s="72"/>
      <c r="D31" s="87">
        <f>_xll.HPVAL($A31,$A$49,$A$2,$A$5,$A$6,$A$7)</f>
        <v>4</v>
      </c>
      <c r="E31" s="88">
        <f>_xll.HPVAL($A31,$A$49,$A$3,$A$5,$A$6,$A$7)</f>
        <v>13</v>
      </c>
      <c r="F31" s="89">
        <f>+D31+E31</f>
        <v>17</v>
      </c>
      <c r="G31" s="5"/>
      <c r="H31" s="87">
        <f>_xll.HPVAL($A31,$A$1,$A$2,$A$5,$A$6,$A$7)</f>
        <v>6</v>
      </c>
      <c r="I31" s="88">
        <f>_xll.HPVAL($A31,$A$1,$A$3,$A$5,$A$6,$A$7)</f>
        <v>18</v>
      </c>
      <c r="J31" s="89">
        <f>+H31+I31</f>
        <v>24</v>
      </c>
      <c r="K31" s="1"/>
      <c r="L31" s="87">
        <f t="shared" si="6"/>
        <v>-2</v>
      </c>
      <c r="M31" s="88">
        <f t="shared" si="6"/>
        <v>-5</v>
      </c>
      <c r="N31" s="89">
        <f>+L31+M31</f>
        <v>-7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5">
      <c r="B32" s="115" t="s">
        <v>86</v>
      </c>
      <c r="C32" s="114"/>
      <c r="D32" s="111">
        <f>SUM(D29:D31)</f>
        <v>65</v>
      </c>
      <c r="E32" s="112">
        <f>SUM(E29:E31)</f>
        <v>104</v>
      </c>
      <c r="F32" s="130">
        <f>SUM(F29:F31)</f>
        <v>169</v>
      </c>
      <c r="G32" s="116"/>
      <c r="H32" s="111">
        <f>SUM(H29:H31)</f>
        <v>72</v>
      </c>
      <c r="I32" s="112">
        <f>SUM(I29:I31)</f>
        <v>131</v>
      </c>
      <c r="J32" s="130">
        <f>SUM(J29:J31)</f>
        <v>203</v>
      </c>
      <c r="K32" s="114"/>
      <c r="L32" s="111">
        <f>SUM(L29:L31)</f>
        <v>-7</v>
      </c>
      <c r="M32" s="112" t="s">
        <v>268</v>
      </c>
      <c r="N32" s="130">
        <v>5000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3" customHeight="1" x14ac:dyDescent="0.25">
      <c r="B33" s="7"/>
      <c r="D33" s="87"/>
      <c r="E33" s="88"/>
      <c r="F33" s="89"/>
      <c r="G33" s="5"/>
      <c r="H33" s="87"/>
      <c r="I33" s="88"/>
      <c r="J33" s="89"/>
      <c r="K33" s="1"/>
      <c r="L33" s="87"/>
      <c r="M33" s="88"/>
      <c r="N33" s="8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5">
      <c r="A34" s="23" t="s">
        <v>40</v>
      </c>
      <c r="B34" s="7" t="s">
        <v>9</v>
      </c>
      <c r="D34" s="87">
        <f>_xll.HPVAL($A34,$A$49,$A$2,$A$5,$A$6,$A$7)</f>
        <v>5.5</v>
      </c>
      <c r="E34" s="88">
        <f>_xll.HPVAL($A34,$A$49,$A$3,$A$5,$A$6,$A$7)</f>
        <v>6</v>
      </c>
      <c r="F34" s="89">
        <f>+D34+E34</f>
        <v>11.5</v>
      </c>
      <c r="G34" s="5"/>
      <c r="H34" s="87">
        <f>_xll.HPVAL($A34,$A$1,$A$2,$A$5,$A$6,$A$7)</f>
        <v>9</v>
      </c>
      <c r="I34" s="88">
        <f>_xll.HPVAL($A34,$A$1,$A$3,$A$5,$A$6,$A$7)</f>
        <v>8</v>
      </c>
      <c r="J34" s="89">
        <f>+H34+I34</f>
        <v>17</v>
      </c>
      <c r="K34" s="1"/>
      <c r="L34" s="87">
        <f t="shared" ref="L34:M36" si="7">+D34-H34</f>
        <v>-3.5</v>
      </c>
      <c r="M34" s="88">
        <f t="shared" si="7"/>
        <v>-2</v>
      </c>
      <c r="N34" s="89">
        <f>+L34+M34</f>
        <v>-5.5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5">
      <c r="A35" s="23" t="s">
        <v>39</v>
      </c>
      <c r="B35" s="7" t="s">
        <v>267</v>
      </c>
      <c r="D35" s="87">
        <f>_xll.HPVAL($A35,$A$49,$A$2,$A$5,$A$6,$A$7)</f>
        <v>6</v>
      </c>
      <c r="E35" s="88">
        <f>_xll.HPVAL($A35,$A$49,$A$3,$A$5,$A$6,$A$7)</f>
        <v>12</v>
      </c>
      <c r="F35" s="89">
        <f>+D35+E35</f>
        <v>18</v>
      </c>
      <c r="G35" s="5"/>
      <c r="H35" s="87">
        <f>_xll.HPVAL($A35,$A$1,$A$2,$A$5,$A$6,$A$7)</f>
        <v>7</v>
      </c>
      <c r="I35" s="88">
        <f>_xll.HPVAL($A35,$A$1,$A$3,$A$5,$A$6,$A$7)</f>
        <v>8</v>
      </c>
      <c r="J35" s="89">
        <f>+H35+I35</f>
        <v>15</v>
      </c>
      <c r="K35" s="1"/>
      <c r="L35" s="87">
        <f t="shared" si="7"/>
        <v>-1</v>
      </c>
      <c r="M35" s="88">
        <f t="shared" si="7"/>
        <v>4</v>
      </c>
      <c r="N35" s="89">
        <f>+L35+M35</f>
        <v>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5">
      <c r="A36" s="23" t="s">
        <v>153</v>
      </c>
      <c r="B36" s="291" t="s">
        <v>180</v>
      </c>
      <c r="D36" s="87">
        <f>_xll.HPVAL($A36,$A$49,$A$2,$A$5,$A$6,$A$7)</f>
        <v>5</v>
      </c>
      <c r="E36" s="88">
        <f>_xll.HPVAL($A36,$A$49,$A$3,$A$5,$A$6,$A$7)</f>
        <v>3</v>
      </c>
      <c r="F36" s="89">
        <f>+D36+E36</f>
        <v>8</v>
      </c>
      <c r="G36" s="5"/>
      <c r="H36" s="87">
        <f>_xll.HPVAL($A36,$A$1,$A$2,$A$5,$A$6,$A$7)</f>
        <v>12</v>
      </c>
      <c r="I36" s="88">
        <f>_xll.HPVAL($A36,$A$1,$A$3,$A$5,$A$6,$A$7)</f>
        <v>8</v>
      </c>
      <c r="J36" s="89">
        <f>+H36+I36</f>
        <v>20</v>
      </c>
      <c r="K36" s="1"/>
      <c r="L36" s="87">
        <f t="shared" si="7"/>
        <v>-7</v>
      </c>
      <c r="M36" s="88">
        <f t="shared" si="7"/>
        <v>-5</v>
      </c>
      <c r="N36" s="89">
        <f>+L36+M36</f>
        <v>-12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5">
      <c r="A37" s="23" t="s">
        <v>157</v>
      </c>
      <c r="B37" s="291" t="s">
        <v>154</v>
      </c>
      <c r="D37" s="87">
        <f>_xll.HPVAL($A37,$A$49,$A$2,$A$5,$A$6,$A$7)</f>
        <v>0</v>
      </c>
      <c r="E37" s="88">
        <f>_xll.HPVAL($A37,$A$49,$A$3,$A$5,$A$6,$A$7)</f>
        <v>0</v>
      </c>
      <c r="F37" s="89">
        <f>+D37+E37</f>
        <v>0</v>
      </c>
      <c r="G37" s="5"/>
      <c r="H37" s="87">
        <f>_xll.HPVAL($A37,$A$1,$A$2,$A$5,$A$6,$A$7)</f>
        <v>0</v>
      </c>
      <c r="I37" s="88">
        <f>_xll.HPVAL($A37,$A$1,$A$3,$A$5,$A$6,$A$7)</f>
        <v>0</v>
      </c>
      <c r="J37" s="89">
        <f>+H37+I37</f>
        <v>0</v>
      </c>
      <c r="K37" s="1"/>
      <c r="L37" s="87">
        <f>+D37-H37</f>
        <v>0</v>
      </c>
      <c r="M37" s="88">
        <f>+E37-I37</f>
        <v>0</v>
      </c>
      <c r="N37" s="89">
        <f>+L37+M37</f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5">
      <c r="B38" s="7" t="s">
        <v>154</v>
      </c>
      <c r="D38" s="87">
        <f>SUM(D36:D37)</f>
        <v>5</v>
      </c>
      <c r="E38" s="88">
        <f>SUM(E36:E37)</f>
        <v>3</v>
      </c>
      <c r="F38" s="89">
        <f>SUM(F36:F37)</f>
        <v>8</v>
      </c>
      <c r="G38" s="5"/>
      <c r="H38" s="87">
        <f>SUM(H36:H37)</f>
        <v>12</v>
      </c>
      <c r="I38" s="88">
        <f>SUM(I36:I37)</f>
        <v>8</v>
      </c>
      <c r="J38" s="89">
        <f>SUM(J36:J37)</f>
        <v>20</v>
      </c>
      <c r="K38" s="1"/>
      <c r="L38" s="87">
        <f>SUM(L36:L37)</f>
        <v>-7</v>
      </c>
      <c r="M38" s="88">
        <f>SUM(M36:M37)</f>
        <v>-5</v>
      </c>
      <c r="N38" s="89">
        <f>SUM(N36:N37)</f>
        <v>-12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5">
      <c r="B39" s="115" t="s">
        <v>87</v>
      </c>
      <c r="C39" s="114"/>
      <c r="D39" s="111">
        <f>SUM(D34:D37)</f>
        <v>16.5</v>
      </c>
      <c r="E39" s="112">
        <f>SUM(E34:E37)</f>
        <v>21</v>
      </c>
      <c r="F39" s="130">
        <f>SUM(F34:F37)</f>
        <v>37.5</v>
      </c>
      <c r="G39" s="116"/>
      <c r="H39" s="111">
        <f>SUM(H34:H37)</f>
        <v>28</v>
      </c>
      <c r="I39" s="112">
        <f>SUM(I34:I37)</f>
        <v>24</v>
      </c>
      <c r="J39" s="130">
        <f>SUM(J34:J37)</f>
        <v>52</v>
      </c>
      <c r="K39" s="114"/>
      <c r="L39" s="111">
        <f>SUM(L34:L37)</f>
        <v>-11.5</v>
      </c>
      <c r="M39" s="112">
        <f>SUM(M34:M37)</f>
        <v>-3</v>
      </c>
      <c r="N39" s="130">
        <f>SUM(N34:N37)</f>
        <v>-14.5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5">
      <c r="B40" s="7"/>
      <c r="D40" s="87"/>
      <c r="E40" s="88"/>
      <c r="F40" s="89"/>
      <c r="G40" s="5"/>
      <c r="H40" s="87"/>
      <c r="I40" s="88"/>
      <c r="J40" s="89"/>
      <c r="K40" s="1"/>
      <c r="L40" s="87"/>
      <c r="M40" s="88"/>
      <c r="N40" s="8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5">
      <c r="A41" s="23" t="s">
        <v>82</v>
      </c>
      <c r="B41" s="7" t="s">
        <v>8</v>
      </c>
      <c r="C41" s="72"/>
      <c r="D41" s="87">
        <f>_xll.HPVAL($A41,$A$49,$A$2,$A$5,$A$6,$A$7)</f>
        <v>66.5</v>
      </c>
      <c r="E41" s="88">
        <f>_xll.HPVAL($A41,$A$49,$A$3,$A$5,$A$6,$A$7)</f>
        <v>89</v>
      </c>
      <c r="F41" s="89">
        <f>+D41+E41</f>
        <v>155.5</v>
      </c>
      <c r="G41" s="5"/>
      <c r="H41" s="87">
        <f>_xll.HPVAL($A41,$A$1,$A$2,$A$5,$A$6,$A$7)</f>
        <v>62</v>
      </c>
      <c r="I41" s="88">
        <f>_xll.HPVAL($A41,$A$1,$A$3,$A$5,$A$6,$A$7)</f>
        <v>67</v>
      </c>
      <c r="J41" s="89">
        <f>+H41+I41</f>
        <v>129</v>
      </c>
      <c r="K41" s="1"/>
      <c r="L41" s="87">
        <f>+D41-H41</f>
        <v>4.5</v>
      </c>
      <c r="M41" s="88">
        <f>+E41-I41</f>
        <v>22</v>
      </c>
      <c r="N41" s="89">
        <f>+L41+M41</f>
        <v>26.5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5">
      <c r="B42" s="7"/>
      <c r="C42" s="72"/>
      <c r="D42" s="87"/>
      <c r="E42" s="88"/>
      <c r="F42" s="89">
        <f>+D42+E42</f>
        <v>0</v>
      </c>
      <c r="G42" s="5"/>
      <c r="H42" s="87"/>
      <c r="I42" s="88"/>
      <c r="J42" s="89">
        <f>+H42+I42</f>
        <v>0</v>
      </c>
      <c r="K42" s="1"/>
      <c r="L42" s="87"/>
      <c r="M42" s="88"/>
      <c r="N42" s="89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5">
      <c r="A43" s="25" t="s">
        <v>44</v>
      </c>
      <c r="B43" s="7" t="s">
        <v>7</v>
      </c>
      <c r="C43" s="72"/>
      <c r="D43" s="87">
        <f>_xll.HPVAL($A43,$A$49,$A$2,$A$5,$A$6,$A$7)</f>
        <v>21</v>
      </c>
      <c r="E43" s="88">
        <f>_xll.HPVAL($A43,$A$49,$A$3,$A$5,$A$6,$A$7)</f>
        <v>35</v>
      </c>
      <c r="F43" s="89">
        <f>+D43+E43</f>
        <v>56</v>
      </c>
      <c r="G43" s="5"/>
      <c r="H43" s="87">
        <f>_xll.HPVAL($A43,$A$1,$A$2,$A$5,$A$6,$A$7)</f>
        <v>18</v>
      </c>
      <c r="I43" s="88">
        <f>_xll.HPVAL($A43,$A$1,$A$3,$A$5,$A$6,$A$7)</f>
        <v>30</v>
      </c>
      <c r="J43" s="89">
        <f>+H43+I43</f>
        <v>48</v>
      </c>
      <c r="K43" s="1"/>
      <c r="L43" s="87">
        <f>+D43-H43</f>
        <v>3</v>
      </c>
      <c r="M43" s="88">
        <f>+E43-I43</f>
        <v>5</v>
      </c>
      <c r="N43" s="89">
        <f>+L43+M43</f>
        <v>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5"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14" customFormat="1" ht="11.25" customHeight="1" x14ac:dyDescent="0.25">
      <c r="A45" s="23"/>
      <c r="B45" s="115" t="s">
        <v>10</v>
      </c>
      <c r="D45" s="111">
        <f>SUM(D39:D43)+D18+D27+D32</f>
        <v>441.5</v>
      </c>
      <c r="E45" s="112">
        <f>SUM(E39:E43)+E18+E27+E32</f>
        <v>467.6</v>
      </c>
      <c r="F45" s="130">
        <f>SUM(F39:F43)+F18+F27+F32</f>
        <v>909.09999999999991</v>
      </c>
      <c r="G45" s="116"/>
      <c r="H45" s="111">
        <f>SUM(H39:H43)+H18+H27+H32</f>
        <v>508.5</v>
      </c>
      <c r="I45" s="112">
        <f>SUM(I39:I43)+I18+I27+I32</f>
        <v>497</v>
      </c>
      <c r="J45" s="130">
        <f>SUM(J39:J43)+J18+J27+J32</f>
        <v>1005.5</v>
      </c>
      <c r="L45" s="111">
        <f>SUM(L39:L43)+L18+L27+L32</f>
        <v>-67</v>
      </c>
      <c r="M45" s="112" t="e">
        <f>SUM(M39:M43)+M18+M27+M32</f>
        <v>#VALUE!</v>
      </c>
      <c r="N45" s="130">
        <f>SUM(N39:N43)+N18+N27+N32</f>
        <v>4937.6000000000004</v>
      </c>
    </row>
    <row r="46" spans="1:40" ht="3" customHeight="1" x14ac:dyDescent="0.25">
      <c r="A46" s="114"/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5">
      <c r="A47" s="23" t="s">
        <v>45</v>
      </c>
      <c r="B47" s="7" t="s">
        <v>48</v>
      </c>
      <c r="C47" s="72"/>
      <c r="D47" s="87"/>
      <c r="E47" s="88">
        <f>_xll.HPVAL($A47,$A$49,"total_headcount",$A$5,$A$6,$A$7)</f>
        <v>881</v>
      </c>
      <c r="F47" s="89">
        <f>+D47+E47</f>
        <v>881</v>
      </c>
      <c r="G47" s="5"/>
      <c r="H47" s="87"/>
      <c r="I47" s="88">
        <f>_xll.HPVAL($A47,$A$1,"total_headcount",$A$5,$A$6,$A$7)</f>
        <v>971.55</v>
      </c>
      <c r="J47" s="89">
        <f>+H47+I47</f>
        <v>971.55</v>
      </c>
      <c r="K47" s="1"/>
      <c r="L47" s="87">
        <f>+D47-H47</f>
        <v>0</v>
      </c>
      <c r="M47" s="88">
        <f>+E47-I47</f>
        <v>-90.549999999999955</v>
      </c>
      <c r="N47" s="89">
        <f>+L47+M47</f>
        <v>-90.549999999999955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5">
      <c r="A48" s="23" t="s">
        <v>45</v>
      </c>
      <c r="B48" s="7"/>
      <c r="D48" s="87"/>
      <c r="E48" s="88"/>
      <c r="F48" s="89"/>
      <c r="G48" s="5"/>
      <c r="H48" s="87"/>
      <c r="I48" s="88"/>
      <c r="J48" s="89"/>
      <c r="K48" s="1"/>
      <c r="L48" s="87"/>
      <c r="M48" s="88"/>
      <c r="N48" s="8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5">
      <c r="A49" s="23" t="s">
        <v>64</v>
      </c>
      <c r="B49" s="107" t="s">
        <v>14</v>
      </c>
      <c r="D49" s="111">
        <f>D45+D47</f>
        <v>441.5</v>
      </c>
      <c r="E49" s="112">
        <f>E45+E47</f>
        <v>1348.6</v>
      </c>
      <c r="F49" s="130">
        <f>F45+F47</f>
        <v>1790.1</v>
      </c>
      <c r="G49" s="5"/>
      <c r="H49" s="111">
        <f>H45+H47</f>
        <v>508.5</v>
      </c>
      <c r="I49" s="112">
        <f>I45+I47</f>
        <v>1468.55</v>
      </c>
      <c r="J49" s="130">
        <f>J45+J47</f>
        <v>1977.05</v>
      </c>
      <c r="K49" s="1"/>
      <c r="L49" s="111">
        <f>L45+L47</f>
        <v>-67</v>
      </c>
      <c r="M49" s="112" t="e">
        <f>M45+M47</f>
        <v>#VALUE!</v>
      </c>
      <c r="N49" s="130">
        <f>N45+N47</f>
        <v>4847.05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5">
      <c r="A50" s="114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workbookViewId="0">
      <selection activeCell="J14" sqref="J14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3" width="8.33203125" style="27" customWidth="1"/>
    <col min="4" max="5" width="8.6640625" style="27" customWidth="1"/>
    <col min="6" max="6" width="0.88671875" style="27" customWidth="1"/>
    <col min="7" max="8" width="7.6640625" style="27" customWidth="1"/>
    <col min="9" max="9" width="8.6640625" style="27" bestFit="1" customWidth="1"/>
    <col min="10" max="10" width="8.5546875" style="27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93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5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239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199" t="s">
        <v>240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5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5">
      <c r="A6" s="244" t="s">
        <v>16</v>
      </c>
      <c r="B6" s="255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">
      <c r="A7" s="207"/>
      <c r="B7" s="237"/>
      <c r="C7" s="208"/>
      <c r="D7" s="36"/>
      <c r="E7" s="209"/>
      <c r="F7" s="240"/>
      <c r="G7" s="208"/>
      <c r="H7" s="36"/>
      <c r="I7" s="270" t="s">
        <v>242</v>
      </c>
      <c r="J7" s="271" t="s">
        <v>243</v>
      </c>
      <c r="K7" s="206"/>
      <c r="L7" s="208"/>
      <c r="M7" s="36"/>
      <c r="N7" s="209"/>
    </row>
    <row r="8" spans="1:23" ht="12" customHeight="1" x14ac:dyDescent="0.2">
      <c r="A8" s="207" t="s">
        <v>3</v>
      </c>
      <c r="B8" s="237"/>
      <c r="C8" s="59">
        <f>59009-6286</f>
        <v>52723</v>
      </c>
      <c r="D8" s="59">
        <v>41592</v>
      </c>
      <c r="E8" s="211">
        <f>+C8-D8</f>
        <v>11131</v>
      </c>
      <c r="F8" s="241"/>
      <c r="G8" s="60">
        <f>15010+72</f>
        <v>15082</v>
      </c>
      <c r="H8" s="256">
        <f>16105+169</f>
        <v>16274</v>
      </c>
      <c r="I8" s="103">
        <v>0</v>
      </c>
      <c r="J8" s="211">
        <f>(H8-G8)-I8</f>
        <v>1192</v>
      </c>
      <c r="K8" s="214"/>
      <c r="L8" s="210">
        <f t="shared" ref="L8:M10" si="0">+C8-G8</f>
        <v>37641</v>
      </c>
      <c r="M8" s="59">
        <f t="shared" si="0"/>
        <v>25318</v>
      </c>
      <c r="N8" s="211">
        <f>+L8-M8</f>
        <v>12323</v>
      </c>
    </row>
    <row r="9" spans="1:23" ht="12" customHeight="1" x14ac:dyDescent="0.2">
      <c r="A9" s="207" t="s">
        <v>272</v>
      </c>
      <c r="B9" s="261"/>
      <c r="C9" s="257">
        <v>17193</v>
      </c>
      <c r="D9" s="257">
        <v>7436</v>
      </c>
      <c r="E9" s="213">
        <f>+C9-D9</f>
        <v>9757</v>
      </c>
      <c r="F9" s="241"/>
      <c r="G9" s="257">
        <v>2875</v>
      </c>
      <c r="H9" s="257">
        <v>3355</v>
      </c>
      <c r="I9" s="64">
        <v>0</v>
      </c>
      <c r="J9" s="213">
        <f>(H9-G9)-I9</f>
        <v>480</v>
      </c>
      <c r="K9" s="214"/>
      <c r="L9" s="212">
        <f t="shared" si="0"/>
        <v>14318</v>
      </c>
      <c r="M9" s="41">
        <f t="shared" si="0"/>
        <v>4081</v>
      </c>
      <c r="N9" s="213">
        <f>+L9-M9</f>
        <v>10237</v>
      </c>
    </row>
    <row r="10" spans="1:23" ht="12" customHeight="1" x14ac:dyDescent="0.2">
      <c r="A10" s="207" t="s">
        <v>106</v>
      </c>
      <c r="B10" s="237"/>
      <c r="C10" s="41">
        <f>55253+27841</f>
        <v>83094</v>
      </c>
      <c r="D10" s="41">
        <f>31680-1729</f>
        <v>29951</v>
      </c>
      <c r="E10" s="213">
        <f>+C10-D10</f>
        <v>53143</v>
      </c>
      <c r="F10" s="241"/>
      <c r="G10" s="42">
        <f>10718+13150</f>
        <v>23868</v>
      </c>
      <c r="H10" s="257">
        <f>10220+13596</f>
        <v>23816</v>
      </c>
      <c r="I10" s="64">
        <v>478</v>
      </c>
      <c r="J10" s="213">
        <f>(H10-G10)-I10</f>
        <v>-530</v>
      </c>
      <c r="K10" s="214"/>
      <c r="L10" s="212">
        <f t="shared" si="0"/>
        <v>59226</v>
      </c>
      <c r="M10" s="41">
        <f t="shared" si="0"/>
        <v>6135</v>
      </c>
      <c r="N10" s="213">
        <f>+L10-M10</f>
        <v>53091</v>
      </c>
    </row>
    <row r="11" spans="1:23" ht="12" customHeight="1" x14ac:dyDescent="0.2">
      <c r="A11" s="207" t="s">
        <v>132</v>
      </c>
      <c r="B11" s="237"/>
      <c r="C11" s="41">
        <v>25965</v>
      </c>
      <c r="D11" s="41">
        <v>22402</v>
      </c>
      <c r="E11" s="213">
        <f t="shared" ref="E11:E16" si="1">+C11-D11</f>
        <v>3563</v>
      </c>
      <c r="F11" s="241"/>
      <c r="G11" s="42">
        <v>1834</v>
      </c>
      <c r="H11" s="257">
        <v>1630</v>
      </c>
      <c r="I11" s="64">
        <v>0</v>
      </c>
      <c r="J11" s="213">
        <f t="shared" ref="J11:J16" si="2">(H11-G11)-I11</f>
        <v>-204</v>
      </c>
      <c r="K11" s="214"/>
      <c r="L11" s="212">
        <f t="shared" ref="L11:M16" si="3">+C11-G11</f>
        <v>24131</v>
      </c>
      <c r="M11" s="41">
        <f t="shared" si="3"/>
        <v>20772</v>
      </c>
      <c r="N11" s="213">
        <f t="shared" ref="N11:N16" si="4">+L11-M11</f>
        <v>3359</v>
      </c>
    </row>
    <row r="12" spans="1:23" ht="12" customHeight="1" x14ac:dyDescent="0.2">
      <c r="A12" s="207" t="s">
        <v>133</v>
      </c>
      <c r="B12" s="237"/>
      <c r="C12" s="41">
        <f>35765-3252</f>
        <v>32513</v>
      </c>
      <c r="D12" s="41">
        <f>11447-2500</f>
        <v>8947</v>
      </c>
      <c r="E12" s="213">
        <f t="shared" si="1"/>
        <v>23566</v>
      </c>
      <c r="F12" s="241"/>
      <c r="G12" s="42">
        <f>1854-451-169</f>
        <v>1234</v>
      </c>
      <c r="H12" s="257">
        <f>2436-487-201</f>
        <v>1748</v>
      </c>
      <c r="I12" s="64">
        <v>0</v>
      </c>
      <c r="J12" s="213">
        <f t="shared" si="2"/>
        <v>514</v>
      </c>
      <c r="K12" s="214"/>
      <c r="L12" s="212">
        <f t="shared" si="3"/>
        <v>31279</v>
      </c>
      <c r="M12" s="41">
        <f t="shared" si="3"/>
        <v>7199</v>
      </c>
      <c r="N12" s="213">
        <f t="shared" si="4"/>
        <v>24080</v>
      </c>
    </row>
    <row r="13" spans="1:23" ht="12" customHeight="1" x14ac:dyDescent="0.2">
      <c r="A13" s="207" t="s">
        <v>251</v>
      </c>
      <c r="B13" s="237"/>
      <c r="C13" s="41">
        <f>22243-815-10405</f>
        <v>11023</v>
      </c>
      <c r="D13" s="41">
        <v>11556</v>
      </c>
      <c r="E13" s="213">
        <f t="shared" si="1"/>
        <v>-533</v>
      </c>
      <c r="F13" s="241"/>
      <c r="G13" s="42">
        <f>4814-671-1137</f>
        <v>3006</v>
      </c>
      <c r="H13" s="257">
        <f>5562-1210-960</f>
        <v>3392</v>
      </c>
      <c r="I13" s="64">
        <v>0</v>
      </c>
      <c r="J13" s="213">
        <f t="shared" si="2"/>
        <v>386</v>
      </c>
      <c r="K13" s="214"/>
      <c r="L13" s="212">
        <f t="shared" si="3"/>
        <v>8017</v>
      </c>
      <c r="M13" s="41">
        <f t="shared" si="3"/>
        <v>8164</v>
      </c>
      <c r="N13" s="213">
        <f t="shared" si="4"/>
        <v>-147</v>
      </c>
    </row>
    <row r="14" spans="1:23" ht="12" customHeight="1" x14ac:dyDescent="0.2">
      <c r="A14" s="207" t="s">
        <v>262</v>
      </c>
      <c r="B14" s="237"/>
      <c r="C14" s="41">
        <v>3398</v>
      </c>
      <c r="D14" s="41">
        <v>12747</v>
      </c>
      <c r="E14" s="213">
        <f t="shared" si="1"/>
        <v>-9349</v>
      </c>
      <c r="F14" s="241"/>
      <c r="G14" s="42">
        <v>6393</v>
      </c>
      <c r="H14" s="257">
        <v>4728</v>
      </c>
      <c r="I14" s="64">
        <v>0</v>
      </c>
      <c r="J14" s="213">
        <v>-1702</v>
      </c>
      <c r="K14" s="214"/>
      <c r="L14" s="212">
        <f t="shared" si="3"/>
        <v>-2995</v>
      </c>
      <c r="M14" s="41">
        <f t="shared" si="3"/>
        <v>8019</v>
      </c>
      <c r="N14" s="213">
        <f t="shared" si="4"/>
        <v>-11014</v>
      </c>
    </row>
    <row r="15" spans="1:23" ht="12" customHeight="1" x14ac:dyDescent="0.2">
      <c r="A15" s="207" t="s">
        <v>155</v>
      </c>
      <c r="B15" s="237"/>
      <c r="C15" s="41">
        <v>5666</v>
      </c>
      <c r="D15" s="41">
        <v>3215</v>
      </c>
      <c r="E15" s="213">
        <f t="shared" si="1"/>
        <v>2451</v>
      </c>
      <c r="F15" s="241"/>
      <c r="G15" s="42">
        <v>2609</v>
      </c>
      <c r="H15" s="257">
        <v>1722</v>
      </c>
      <c r="I15" s="64">
        <v>0</v>
      </c>
      <c r="J15" s="213">
        <f t="shared" si="2"/>
        <v>-887</v>
      </c>
      <c r="K15" s="214"/>
      <c r="L15" s="212">
        <f t="shared" si="3"/>
        <v>3057</v>
      </c>
      <c r="M15" s="41">
        <f t="shared" si="3"/>
        <v>1493</v>
      </c>
      <c r="N15" s="213">
        <f t="shared" si="4"/>
        <v>1564</v>
      </c>
    </row>
    <row r="16" spans="1:23" ht="12" customHeight="1" x14ac:dyDescent="0.2">
      <c r="A16" s="207" t="s">
        <v>292</v>
      </c>
      <c r="B16" s="237"/>
      <c r="C16" s="41">
        <v>3674</v>
      </c>
      <c r="D16" s="41">
        <v>750</v>
      </c>
      <c r="E16" s="213">
        <f t="shared" si="1"/>
        <v>2924</v>
      </c>
      <c r="F16" s="241"/>
      <c r="G16" s="42">
        <v>266</v>
      </c>
      <c r="H16" s="257">
        <v>342</v>
      </c>
      <c r="I16" s="64">
        <v>0</v>
      </c>
      <c r="J16" s="213">
        <f t="shared" si="2"/>
        <v>76</v>
      </c>
      <c r="K16" s="214"/>
      <c r="L16" s="212">
        <f t="shared" si="3"/>
        <v>3408</v>
      </c>
      <c r="M16" s="41">
        <f t="shared" si="3"/>
        <v>408</v>
      </c>
      <c r="N16" s="213">
        <f t="shared" si="4"/>
        <v>3000</v>
      </c>
    </row>
    <row r="17" spans="1:14" s="202" customFormat="1" ht="12" customHeight="1" x14ac:dyDescent="0.25">
      <c r="A17" s="229" t="s">
        <v>130</v>
      </c>
      <c r="B17" s="258"/>
      <c r="C17" s="259">
        <f>SUM(C8:C16)</f>
        <v>235249</v>
      </c>
      <c r="D17" s="259">
        <f>SUM(D8:D16)</f>
        <v>138596</v>
      </c>
      <c r="E17" s="260">
        <f>SUM(E8:E16)</f>
        <v>96653</v>
      </c>
      <c r="F17" s="242">
        <v>129970</v>
      </c>
      <c r="G17" s="259">
        <f>SUM(G8:G16)</f>
        <v>57167</v>
      </c>
      <c r="H17" s="259">
        <f>SUM(H8:H16)</f>
        <v>57007</v>
      </c>
      <c r="I17" s="259">
        <f>SUM(I8:I16)</f>
        <v>478</v>
      </c>
      <c r="J17" s="260">
        <f>SUM(J8:J16)</f>
        <v>-675</v>
      </c>
      <c r="K17" s="215"/>
      <c r="L17" s="230">
        <f>SUM(L8:L16)</f>
        <v>178082</v>
      </c>
      <c r="M17" s="231">
        <f>SUM(M8:M16)</f>
        <v>81589</v>
      </c>
      <c r="N17" s="260">
        <f>SUM(N8:N16)</f>
        <v>96493</v>
      </c>
    </row>
    <row r="18" spans="1:14" ht="12" customHeight="1" x14ac:dyDescent="0.2">
      <c r="A18" s="207"/>
      <c r="B18" s="261"/>
      <c r="C18" s="257"/>
      <c r="D18" s="257"/>
      <c r="E18" s="213"/>
      <c r="F18" s="241"/>
      <c r="G18" s="257"/>
      <c r="H18" s="257"/>
      <c r="I18" s="41"/>
      <c r="J18" s="213"/>
      <c r="K18" s="214"/>
      <c r="L18" s="212"/>
      <c r="M18" s="41"/>
      <c r="N18" s="213"/>
    </row>
    <row r="19" spans="1:14" ht="12" customHeight="1" x14ac:dyDescent="0.2">
      <c r="A19" s="207" t="s">
        <v>88</v>
      </c>
      <c r="B19" s="261"/>
      <c r="C19" s="257">
        <v>2838</v>
      </c>
      <c r="D19" s="257">
        <v>14243</v>
      </c>
      <c r="E19" s="213">
        <f t="shared" ref="E19:E29" si="5">+C19-D19</f>
        <v>-11405</v>
      </c>
      <c r="F19" s="241"/>
      <c r="G19" s="257">
        <v>4815</v>
      </c>
      <c r="H19" s="257">
        <v>6563</v>
      </c>
      <c r="I19" s="64">
        <v>0</v>
      </c>
      <c r="J19" s="213">
        <f t="shared" ref="J19:J29" si="6">(H19-G19)-I19</f>
        <v>1748</v>
      </c>
      <c r="K19" s="214"/>
      <c r="L19" s="212">
        <f t="shared" ref="L19:M22" si="7">+C19-G19</f>
        <v>-1977</v>
      </c>
      <c r="M19" s="41">
        <f t="shared" si="7"/>
        <v>7680</v>
      </c>
      <c r="N19" s="213">
        <f t="shared" ref="N19:N29" si="8">+L19-M19</f>
        <v>-9657</v>
      </c>
    </row>
    <row r="20" spans="1:14" ht="12" customHeight="1" x14ac:dyDescent="0.2">
      <c r="A20" s="207" t="s">
        <v>89</v>
      </c>
      <c r="B20" s="261"/>
      <c r="C20" s="257">
        <v>8356</v>
      </c>
      <c r="D20" s="257">
        <v>13235</v>
      </c>
      <c r="E20" s="213">
        <f t="shared" si="5"/>
        <v>-4879</v>
      </c>
      <c r="F20" s="241"/>
      <c r="G20" s="257">
        <v>5047</v>
      </c>
      <c r="H20" s="257">
        <v>7464</v>
      </c>
      <c r="I20" s="64">
        <v>-604</v>
      </c>
      <c r="J20" s="213">
        <f t="shared" si="6"/>
        <v>3021</v>
      </c>
      <c r="K20" s="214"/>
      <c r="L20" s="212">
        <f t="shared" si="7"/>
        <v>3309</v>
      </c>
      <c r="M20" s="41">
        <f t="shared" si="7"/>
        <v>5771</v>
      </c>
      <c r="N20" s="213">
        <f t="shared" si="8"/>
        <v>-2462</v>
      </c>
    </row>
    <row r="21" spans="1:14" ht="12" customHeight="1" x14ac:dyDescent="0.2">
      <c r="A21" s="207" t="s">
        <v>233</v>
      </c>
      <c r="B21" s="261"/>
      <c r="C21" s="257">
        <f>3230-2912+2912</f>
        <v>3230</v>
      </c>
      <c r="D21" s="257">
        <f>16861-3571-49+3620</f>
        <v>16861</v>
      </c>
      <c r="E21" s="213">
        <f t="shared" si="5"/>
        <v>-13631</v>
      </c>
      <c r="F21" s="241"/>
      <c r="G21" s="257">
        <f>4591+1462-1543+1543</f>
        <v>6053</v>
      </c>
      <c r="H21" s="257">
        <f>5895+3806-2333+2333</f>
        <v>9701</v>
      </c>
      <c r="I21" s="64">
        <f>943+452</f>
        <v>1395</v>
      </c>
      <c r="J21" s="213">
        <f t="shared" si="6"/>
        <v>2253</v>
      </c>
      <c r="K21" s="214"/>
      <c r="L21" s="212">
        <f t="shared" si="7"/>
        <v>-2823</v>
      </c>
      <c r="M21" s="41">
        <f t="shared" si="7"/>
        <v>7160</v>
      </c>
      <c r="N21" s="213">
        <f t="shared" si="8"/>
        <v>-9983</v>
      </c>
    </row>
    <row r="22" spans="1:14" ht="12" customHeight="1" x14ac:dyDescent="0.2">
      <c r="A22" s="207" t="s">
        <v>266</v>
      </c>
      <c r="B22" s="261"/>
      <c r="C22" s="257">
        <v>7219</v>
      </c>
      <c r="D22" s="257">
        <f>12234+6477</f>
        <v>18711</v>
      </c>
      <c r="E22" s="213">
        <f>+C22-D22</f>
        <v>-11492</v>
      </c>
      <c r="F22" s="241"/>
      <c r="G22" s="257">
        <f>7164+2392</f>
        <v>9556</v>
      </c>
      <c r="H22" s="257">
        <f>7910+2694</f>
        <v>10604</v>
      </c>
      <c r="I22" s="64">
        <f>405</f>
        <v>405</v>
      </c>
      <c r="J22" s="213">
        <f>(H22-G22)-I22</f>
        <v>643</v>
      </c>
      <c r="K22" s="214"/>
      <c r="L22" s="212">
        <f t="shared" si="7"/>
        <v>-2337</v>
      </c>
      <c r="M22" s="41">
        <f t="shared" si="7"/>
        <v>8107</v>
      </c>
      <c r="N22" s="213">
        <f>+L22-M22</f>
        <v>-10444</v>
      </c>
    </row>
    <row r="23" spans="1:14" ht="12" customHeight="1" x14ac:dyDescent="0.2">
      <c r="A23" s="207" t="s">
        <v>264</v>
      </c>
      <c r="B23" s="261"/>
      <c r="C23" s="257">
        <f>-1206+79</f>
        <v>-1127</v>
      </c>
      <c r="D23" s="257">
        <v>0</v>
      </c>
      <c r="E23" s="213">
        <f t="shared" si="5"/>
        <v>-1127</v>
      </c>
      <c r="F23" s="241"/>
      <c r="G23" s="257">
        <v>0</v>
      </c>
      <c r="H23" s="257">
        <v>0</v>
      </c>
      <c r="I23" s="64">
        <v>37</v>
      </c>
      <c r="J23" s="213">
        <v>0</v>
      </c>
      <c r="K23" s="214"/>
      <c r="L23" s="212">
        <f t="shared" ref="L23:M28" si="9">+C23-G23</f>
        <v>-1127</v>
      </c>
      <c r="M23" s="41">
        <f t="shared" si="9"/>
        <v>0</v>
      </c>
      <c r="N23" s="213">
        <f>+L23-M23</f>
        <v>-1127</v>
      </c>
    </row>
    <row r="24" spans="1:14" ht="12" customHeight="1" x14ac:dyDescent="0.2">
      <c r="A24" s="207" t="s">
        <v>252</v>
      </c>
      <c r="B24" s="261"/>
      <c r="C24" s="257">
        <f>815+10405</f>
        <v>11220</v>
      </c>
      <c r="D24" s="257">
        <v>11556</v>
      </c>
      <c r="E24" s="213">
        <f t="shared" si="5"/>
        <v>-336</v>
      </c>
      <c r="F24" s="241"/>
      <c r="G24" s="257">
        <f>1137+671</f>
        <v>1808</v>
      </c>
      <c r="H24" s="257">
        <f>1210+960</f>
        <v>2170</v>
      </c>
      <c r="I24" s="64">
        <v>183</v>
      </c>
      <c r="J24" s="213">
        <f t="shared" si="6"/>
        <v>179</v>
      </c>
      <c r="K24" s="214"/>
      <c r="L24" s="212">
        <f t="shared" si="9"/>
        <v>9412</v>
      </c>
      <c r="M24" s="41">
        <f t="shared" si="9"/>
        <v>9386</v>
      </c>
      <c r="N24" s="213">
        <f t="shared" si="8"/>
        <v>26</v>
      </c>
    </row>
    <row r="25" spans="1:14" ht="12" customHeight="1" x14ac:dyDescent="0.2">
      <c r="A25" s="207" t="s">
        <v>248</v>
      </c>
      <c r="B25" s="261"/>
      <c r="C25" s="257">
        <v>23078</v>
      </c>
      <c r="D25" s="257">
        <v>30320</v>
      </c>
      <c r="E25" s="213">
        <f>+C25-D25</f>
        <v>-7242</v>
      </c>
      <c r="F25" s="241"/>
      <c r="G25" s="257">
        <v>62429</v>
      </c>
      <c r="H25" s="257">
        <v>60693</v>
      </c>
      <c r="I25" s="64">
        <v>2344</v>
      </c>
      <c r="J25" s="213">
        <f>(H25-G25)-I25</f>
        <v>-4080</v>
      </c>
      <c r="K25" s="214"/>
      <c r="L25" s="212">
        <f>+C25-G25</f>
        <v>-39351</v>
      </c>
      <c r="M25" s="41">
        <f>+D25-H25</f>
        <v>-30373</v>
      </c>
      <c r="N25" s="213">
        <f>+L25-M25</f>
        <v>-8978</v>
      </c>
    </row>
    <row r="26" spans="1:14" ht="12" customHeight="1" x14ac:dyDescent="0.2">
      <c r="A26" s="207" t="s">
        <v>289</v>
      </c>
      <c r="B26" s="298"/>
      <c r="C26" s="41"/>
      <c r="D26" s="41"/>
      <c r="E26" s="213">
        <f>+C26-D26</f>
        <v>0</v>
      </c>
      <c r="F26" s="241"/>
      <c r="G26" s="42"/>
      <c r="H26" s="257"/>
      <c r="I26" s="64">
        <v>0</v>
      </c>
      <c r="J26" s="213">
        <v>0</v>
      </c>
      <c r="K26" s="214"/>
      <c r="L26" s="212"/>
      <c r="M26" s="41"/>
      <c r="N26" s="213">
        <f>+L26-M26</f>
        <v>0</v>
      </c>
    </row>
    <row r="27" spans="1:14" ht="12" customHeight="1" x14ac:dyDescent="0.2">
      <c r="A27" s="207" t="s">
        <v>290</v>
      </c>
      <c r="B27" s="298"/>
      <c r="C27" s="41"/>
      <c r="D27" s="41"/>
      <c r="E27" s="213">
        <f>+C27-D27</f>
        <v>0</v>
      </c>
      <c r="F27" s="241"/>
      <c r="G27" s="42"/>
      <c r="H27" s="257"/>
      <c r="I27" s="64">
        <v>0</v>
      </c>
      <c r="J27" s="213">
        <v>0</v>
      </c>
      <c r="K27" s="214"/>
      <c r="L27" s="212"/>
      <c r="M27" s="41"/>
      <c r="N27" s="213">
        <f>+L27-M27</f>
        <v>0</v>
      </c>
    </row>
    <row r="28" spans="1:14" ht="12" customHeight="1" x14ac:dyDescent="0.2">
      <c r="A28" s="207" t="s">
        <v>156</v>
      </c>
      <c r="B28" s="237"/>
      <c r="C28" s="41">
        <v>0</v>
      </c>
      <c r="D28" s="41">
        <v>7712</v>
      </c>
      <c r="E28" s="213">
        <f t="shared" si="5"/>
        <v>-7712</v>
      </c>
      <c r="F28" s="241"/>
      <c r="G28" s="42">
        <v>1484</v>
      </c>
      <c r="H28" s="128">
        <v>1217</v>
      </c>
      <c r="I28" s="64">
        <v>0</v>
      </c>
      <c r="J28" s="213">
        <f t="shared" si="6"/>
        <v>-267</v>
      </c>
      <c r="K28" s="214"/>
      <c r="L28" s="212">
        <f t="shared" si="9"/>
        <v>-1484</v>
      </c>
      <c r="M28" s="41">
        <f t="shared" si="9"/>
        <v>6495</v>
      </c>
      <c r="N28" s="213">
        <f t="shared" si="8"/>
        <v>-7979</v>
      </c>
    </row>
    <row r="29" spans="1:14" ht="12" customHeight="1" x14ac:dyDescent="0.2">
      <c r="A29" s="207" t="s">
        <v>0</v>
      </c>
      <c r="B29" s="261"/>
      <c r="C29" s="257">
        <v>11</v>
      </c>
      <c r="D29" s="257">
        <v>4656</v>
      </c>
      <c r="E29" s="213">
        <f t="shared" si="5"/>
        <v>-4645</v>
      </c>
      <c r="F29" s="241"/>
      <c r="G29" s="257">
        <v>2218</v>
      </c>
      <c r="H29" s="257">
        <v>2456</v>
      </c>
      <c r="I29" s="64">
        <v>0</v>
      </c>
      <c r="J29" s="213">
        <f t="shared" si="6"/>
        <v>238</v>
      </c>
      <c r="K29" s="214"/>
      <c r="L29" s="212">
        <f>+C29-G29</f>
        <v>-2207</v>
      </c>
      <c r="M29" s="41">
        <f>+D29-H29</f>
        <v>2200</v>
      </c>
      <c r="N29" s="213">
        <f t="shared" si="8"/>
        <v>-4407</v>
      </c>
    </row>
    <row r="30" spans="1:14" s="202" customFormat="1" ht="12" customHeight="1" x14ac:dyDescent="0.25">
      <c r="A30" s="229" t="s">
        <v>1</v>
      </c>
      <c r="B30" s="258"/>
      <c r="C30" s="259">
        <f>SUM(C19:C29)</f>
        <v>54825</v>
      </c>
      <c r="D30" s="259">
        <f>SUM(D19:D29)</f>
        <v>117294</v>
      </c>
      <c r="E30" s="232">
        <f>SUM(E19:E29)</f>
        <v>-62469</v>
      </c>
      <c r="F30" s="242">
        <v>0</v>
      </c>
      <c r="G30" s="259">
        <f>SUM(G19:G29)</f>
        <v>93410</v>
      </c>
      <c r="H30" s="259">
        <f>SUM(H19:H29)</f>
        <v>100868</v>
      </c>
      <c r="I30" s="259">
        <f>SUM(I19:I29)</f>
        <v>3760</v>
      </c>
      <c r="J30" s="232">
        <f>SUM(J19:J29)</f>
        <v>3735</v>
      </c>
      <c r="K30" s="215"/>
      <c r="L30" s="230">
        <f>SUM(L19:L29)</f>
        <v>-38585</v>
      </c>
      <c r="M30" s="231">
        <f>SUM(M19:M29)</f>
        <v>16426</v>
      </c>
      <c r="N30" s="232">
        <f>SUM(N19:N29)</f>
        <v>-55011</v>
      </c>
    </row>
    <row r="31" spans="1:14" ht="12" customHeight="1" x14ac:dyDescent="0.2">
      <c r="A31" s="207"/>
      <c r="B31" s="261"/>
      <c r="C31" s="257"/>
      <c r="D31" s="257"/>
      <c r="E31" s="213"/>
      <c r="F31" s="241"/>
      <c r="G31" s="257"/>
      <c r="H31" s="257"/>
      <c r="I31" s="41"/>
      <c r="J31" s="213"/>
      <c r="K31" s="214"/>
      <c r="L31" s="212"/>
      <c r="M31" s="41"/>
      <c r="N31" s="213"/>
    </row>
    <row r="32" spans="1:14" ht="12" customHeight="1" x14ac:dyDescent="0.2">
      <c r="A32" s="207" t="s">
        <v>9</v>
      </c>
      <c r="B32" s="261"/>
      <c r="C32" s="257">
        <v>93673</v>
      </c>
      <c r="D32" s="257">
        <v>15379</v>
      </c>
      <c r="E32" s="213">
        <f>+C32-D32</f>
        <v>78294</v>
      </c>
      <c r="F32" s="241"/>
      <c r="G32" s="257">
        <v>2669</v>
      </c>
      <c r="H32" s="257">
        <v>3204</v>
      </c>
      <c r="I32" s="64">
        <v>625</v>
      </c>
      <c r="J32" s="213">
        <f>(H32-G32)-I32</f>
        <v>-90</v>
      </c>
      <c r="K32" s="214"/>
      <c r="L32" s="212">
        <f t="shared" ref="L32:M34" si="10">+C32-G32</f>
        <v>91004</v>
      </c>
      <c r="M32" s="41">
        <f t="shared" si="10"/>
        <v>12175</v>
      </c>
      <c r="N32" s="213">
        <f>+L32-M32</f>
        <v>78829</v>
      </c>
    </row>
    <row r="33" spans="1:14" ht="12" customHeight="1" x14ac:dyDescent="0.2">
      <c r="A33" s="207" t="s">
        <v>257</v>
      </c>
      <c r="B33" s="261"/>
      <c r="C33" s="257">
        <v>858</v>
      </c>
      <c r="D33" s="257">
        <v>0</v>
      </c>
      <c r="E33" s="213">
        <f>+C33-D33</f>
        <v>858</v>
      </c>
      <c r="F33" s="241"/>
      <c r="G33" s="257">
        <v>6027</v>
      </c>
      <c r="H33" s="257">
        <v>7138</v>
      </c>
      <c r="I33" s="64">
        <v>1539</v>
      </c>
      <c r="J33" s="213">
        <f>(H33-G33)-I33</f>
        <v>-428</v>
      </c>
      <c r="K33" s="214"/>
      <c r="L33" s="212">
        <f t="shared" si="10"/>
        <v>-5169</v>
      </c>
      <c r="M33" s="41">
        <f t="shared" si="10"/>
        <v>-7138</v>
      </c>
      <c r="N33" s="213">
        <f>+L33-M33</f>
        <v>1969</v>
      </c>
    </row>
    <row r="34" spans="1:14" x14ac:dyDescent="0.2">
      <c r="A34" s="207" t="s">
        <v>154</v>
      </c>
      <c r="B34" s="261"/>
      <c r="C34" s="257">
        <f>26838-27505</f>
        <v>-667</v>
      </c>
      <c r="D34" s="257">
        <v>14404</v>
      </c>
      <c r="E34" s="213">
        <f>+C34-D34</f>
        <v>-15071</v>
      </c>
      <c r="F34" s="206"/>
      <c r="G34" s="257">
        <f>3379+6134</f>
        <v>9513</v>
      </c>
      <c r="H34" s="257">
        <f>2561+7811</f>
        <v>10372</v>
      </c>
      <c r="I34" s="64">
        <f>1549-818</f>
        <v>731</v>
      </c>
      <c r="J34" s="213">
        <f>(H34-G34)-I34</f>
        <v>128</v>
      </c>
      <c r="K34" s="206"/>
      <c r="L34" s="212">
        <f t="shared" si="10"/>
        <v>-10180</v>
      </c>
      <c r="M34" s="41">
        <f t="shared" si="10"/>
        <v>4032</v>
      </c>
      <c r="N34" s="213">
        <f>+L34-M34</f>
        <v>-14212</v>
      </c>
    </row>
    <row r="35" spans="1:14" s="202" customFormat="1" ht="12" customHeight="1" x14ac:dyDescent="0.25">
      <c r="A35" s="229" t="s">
        <v>87</v>
      </c>
      <c r="B35" s="258"/>
      <c r="C35" s="259">
        <f>SUM(C32:C34)</f>
        <v>93864</v>
      </c>
      <c r="D35" s="259">
        <f>SUM(D32:D34)</f>
        <v>29783</v>
      </c>
      <c r="E35" s="232">
        <f>SUM(E32:E34)</f>
        <v>64081</v>
      </c>
      <c r="F35" s="242"/>
      <c r="G35" s="259">
        <f>SUM(G32:G34)</f>
        <v>18209</v>
      </c>
      <c r="H35" s="259">
        <f>SUM(H32:H34)</f>
        <v>20714</v>
      </c>
      <c r="I35" s="259">
        <f>SUM(I32:I34)</f>
        <v>2895</v>
      </c>
      <c r="J35" s="232">
        <f>SUM(J32:J34)</f>
        <v>-390</v>
      </c>
      <c r="K35" s="215"/>
      <c r="L35" s="230">
        <f>SUM(L32:L34)</f>
        <v>75655</v>
      </c>
      <c r="M35" s="231">
        <f>SUM(M32:M34)</f>
        <v>9069</v>
      </c>
      <c r="N35" s="232">
        <f>SUM(N32:N34)</f>
        <v>66586</v>
      </c>
    </row>
    <row r="36" spans="1:14" ht="12" customHeight="1" x14ac:dyDescent="0.2">
      <c r="A36" s="217"/>
      <c r="B36" s="261"/>
      <c r="C36" s="262"/>
      <c r="D36" s="262"/>
      <c r="E36" s="219"/>
      <c r="F36" s="241"/>
      <c r="G36" s="262"/>
      <c r="H36" s="262"/>
      <c r="I36" s="104"/>
      <c r="J36" s="219"/>
      <c r="K36" s="214"/>
      <c r="L36" s="218"/>
      <c r="M36" s="104"/>
      <c r="N36" s="219"/>
    </row>
    <row r="37" spans="1:14" ht="12" customHeight="1" x14ac:dyDescent="0.2">
      <c r="A37" s="217" t="s">
        <v>8</v>
      </c>
      <c r="B37" s="261"/>
      <c r="C37" s="257">
        <v>1400</v>
      </c>
      <c r="D37" s="257">
        <v>2500</v>
      </c>
      <c r="E37" s="213">
        <f>+C37-D37</f>
        <v>-1100</v>
      </c>
      <c r="F37" s="241"/>
      <c r="G37" s="257">
        <v>8467</v>
      </c>
      <c r="H37" s="257">
        <v>8514</v>
      </c>
      <c r="I37" s="64">
        <v>0</v>
      </c>
      <c r="J37" s="213">
        <f>(H37-G37)-I37</f>
        <v>47</v>
      </c>
      <c r="K37" s="214"/>
      <c r="L37" s="212">
        <f t="shared" ref="L37:M39" si="11">+C37-G37</f>
        <v>-7067</v>
      </c>
      <c r="M37" s="41">
        <f t="shared" si="11"/>
        <v>-6014</v>
      </c>
      <c r="N37" s="213">
        <f>+L37-M37</f>
        <v>-1053</v>
      </c>
    </row>
    <row r="38" spans="1:14" ht="12" customHeight="1" x14ac:dyDescent="0.2">
      <c r="A38" s="217" t="s">
        <v>7</v>
      </c>
      <c r="B38" s="261"/>
      <c r="C38" s="262">
        <v>0</v>
      </c>
      <c r="D38" s="262">
        <v>0</v>
      </c>
      <c r="E38" s="213">
        <f>+C38-D38</f>
        <v>0</v>
      </c>
      <c r="F38" s="241"/>
      <c r="G38" s="262">
        <v>8285</v>
      </c>
      <c r="H38" s="262">
        <v>7652</v>
      </c>
      <c r="I38" s="105">
        <v>0</v>
      </c>
      <c r="J38" s="213">
        <f>(H38-G38)-I38</f>
        <v>-633</v>
      </c>
      <c r="K38" s="214"/>
      <c r="L38" s="212">
        <f t="shared" si="11"/>
        <v>-8285</v>
      </c>
      <c r="M38" s="41">
        <f t="shared" si="11"/>
        <v>-7652</v>
      </c>
      <c r="N38" s="213">
        <f>+L38-M38</f>
        <v>-633</v>
      </c>
    </row>
    <row r="39" spans="1:14" ht="12" customHeight="1" x14ac:dyDescent="0.2">
      <c r="A39" s="217" t="s">
        <v>19</v>
      </c>
      <c r="B39" s="261"/>
      <c r="C39" s="257">
        <v>0</v>
      </c>
      <c r="D39" s="257">
        <v>48693</v>
      </c>
      <c r="E39" s="213">
        <f>+C39-D39</f>
        <v>-48693</v>
      </c>
      <c r="F39" s="241"/>
      <c r="G39" s="257">
        <v>0</v>
      </c>
      <c r="H39" s="257">
        <v>0</v>
      </c>
      <c r="I39" s="64">
        <v>0</v>
      </c>
      <c r="J39" s="213">
        <f>(H39-G39)-I39</f>
        <v>0</v>
      </c>
      <c r="K39" s="214"/>
      <c r="L39" s="212">
        <f t="shared" si="11"/>
        <v>0</v>
      </c>
      <c r="M39" s="41">
        <f t="shared" si="11"/>
        <v>48693</v>
      </c>
      <c r="N39" s="213">
        <f>+L39-M39</f>
        <v>-48693</v>
      </c>
    </row>
    <row r="40" spans="1:14" s="202" customFormat="1" ht="12" customHeight="1" x14ac:dyDescent="0.25">
      <c r="A40" s="229" t="s">
        <v>10</v>
      </c>
      <c r="B40" s="258"/>
      <c r="C40" s="259">
        <f>C39+C38+C37+C35+C30+C17</f>
        <v>385338</v>
      </c>
      <c r="D40" s="259">
        <f>D39+D38+D37+D35+D30+D17</f>
        <v>336866</v>
      </c>
      <c r="E40" s="232">
        <f>E39+E38+E37+E35+E30+E17</f>
        <v>48472</v>
      </c>
      <c r="F40" s="242"/>
      <c r="G40" s="259">
        <f>G39+G38+G37+G35+G30+G17</f>
        <v>185538</v>
      </c>
      <c r="H40" s="259">
        <f>H39+H38+H37+H35+H30+H17</f>
        <v>194755</v>
      </c>
      <c r="I40" s="259">
        <f>I39+I38+I37+I35+I30+I17</f>
        <v>7133</v>
      </c>
      <c r="J40" s="232">
        <f>J39+J38+J37+J35+J30+J17</f>
        <v>2084</v>
      </c>
      <c r="K40" s="215"/>
      <c r="L40" s="259">
        <f>L39+L38+L37+L35+L30+L17</f>
        <v>199800</v>
      </c>
      <c r="M40" s="259">
        <f>M39+M38+M37+M35+M30+M17</f>
        <v>142111</v>
      </c>
      <c r="N40" s="232">
        <f>N39+N38+N37+N35+N30+N17</f>
        <v>57689</v>
      </c>
    </row>
    <row r="41" spans="1:14" ht="12" customHeight="1" x14ac:dyDescent="0.2">
      <c r="A41" s="217"/>
      <c r="B41" s="261"/>
      <c r="C41" s="262"/>
      <c r="D41" s="262"/>
      <c r="E41" s="219"/>
      <c r="F41" s="241"/>
      <c r="G41" s="262"/>
      <c r="H41" s="262"/>
      <c r="I41" s="104"/>
      <c r="J41" s="219"/>
      <c r="K41" s="214"/>
      <c r="L41" s="218"/>
      <c r="M41" s="104"/>
      <c r="N41" s="219"/>
    </row>
    <row r="42" spans="1:14" ht="12" customHeight="1" x14ac:dyDescent="0.2">
      <c r="A42" s="217" t="s">
        <v>236</v>
      </c>
      <c r="B42" s="261"/>
      <c r="C42" s="262"/>
      <c r="D42" s="262"/>
      <c r="E42" s="213">
        <f>+C42-D42</f>
        <v>0</v>
      </c>
      <c r="F42" s="241"/>
      <c r="G42" s="262">
        <v>79168</v>
      </c>
      <c r="H42" s="262">
        <v>63376</v>
      </c>
      <c r="I42" s="105"/>
      <c r="J42" s="213">
        <f>(H42-G42)-I42</f>
        <v>-15792</v>
      </c>
      <c r="K42" s="214"/>
      <c r="L42" s="212">
        <f>+C42-G42</f>
        <v>-79168</v>
      </c>
      <c r="M42" s="41">
        <f>+D42-H42</f>
        <v>-63376</v>
      </c>
      <c r="N42" s="213">
        <f>+L42-M42</f>
        <v>-15792</v>
      </c>
    </row>
    <row r="43" spans="1:14" ht="12" customHeight="1" x14ac:dyDescent="0.2">
      <c r="A43" s="217" t="s">
        <v>237</v>
      </c>
      <c r="B43" s="261"/>
      <c r="C43" s="262">
        <v>0</v>
      </c>
      <c r="D43" s="262"/>
      <c r="E43" s="213">
        <f>+C43-D43</f>
        <v>0</v>
      </c>
      <c r="F43" s="241"/>
      <c r="G43" s="262">
        <f>-48800+169</f>
        <v>-48631</v>
      </c>
      <c r="H43" s="262">
        <f>-56377+201</f>
        <v>-56176</v>
      </c>
      <c r="I43" s="105">
        <v>0</v>
      </c>
      <c r="J43" s="213">
        <f>(H43-G43)-I43</f>
        <v>-7545</v>
      </c>
      <c r="K43" s="214"/>
      <c r="L43" s="212">
        <f t="shared" ref="L43:M45" si="12">+C43-G43</f>
        <v>48631</v>
      </c>
      <c r="M43" s="41">
        <f t="shared" si="12"/>
        <v>56176</v>
      </c>
      <c r="N43" s="213">
        <f>+L43-M43</f>
        <v>-7545</v>
      </c>
    </row>
    <row r="44" spans="1:14" ht="12" customHeight="1" x14ac:dyDescent="0.2">
      <c r="A44" s="217" t="s">
        <v>18</v>
      </c>
      <c r="B44" s="261"/>
      <c r="C44" s="257">
        <v>-22158</v>
      </c>
      <c r="D44" s="257">
        <v>-10795</v>
      </c>
      <c r="E44" s="213">
        <f>+C44-D44</f>
        <v>-11363</v>
      </c>
      <c r="F44" s="243"/>
      <c r="G44" s="257">
        <v>14727</v>
      </c>
      <c r="H44" s="257">
        <v>22603</v>
      </c>
      <c r="I44" s="64">
        <v>0</v>
      </c>
      <c r="J44" s="213">
        <f>(H44-G44)-I44</f>
        <v>7876</v>
      </c>
      <c r="K44" s="214"/>
      <c r="L44" s="212">
        <f t="shared" si="12"/>
        <v>-36885</v>
      </c>
      <c r="M44" s="41">
        <f t="shared" si="12"/>
        <v>-33398</v>
      </c>
      <c r="N44" s="213">
        <f>+L44-M44</f>
        <v>-3487</v>
      </c>
    </row>
    <row r="45" spans="1:14" ht="12" customHeight="1" x14ac:dyDescent="0.2">
      <c r="A45" s="217" t="s">
        <v>60</v>
      </c>
      <c r="B45" s="261"/>
      <c r="C45" s="262">
        <f>SUM(C41)</f>
        <v>0</v>
      </c>
      <c r="D45" s="262">
        <f>SUM(D41)</f>
        <v>0</v>
      </c>
      <c r="E45" s="213">
        <f>+C45-D45</f>
        <v>0</v>
      </c>
      <c r="F45" s="241"/>
      <c r="G45" s="262">
        <v>-32741</v>
      </c>
      <c r="H45" s="262">
        <v>-39874</v>
      </c>
      <c r="I45" s="105">
        <v>-7133</v>
      </c>
      <c r="J45" s="213">
        <f>(H45-G45)-I45</f>
        <v>0</v>
      </c>
      <c r="K45" s="214"/>
      <c r="L45" s="212">
        <f t="shared" si="12"/>
        <v>32741</v>
      </c>
      <c r="M45" s="41">
        <f t="shared" si="12"/>
        <v>39874</v>
      </c>
      <c r="N45" s="213">
        <f>+L45-M45</f>
        <v>-7133</v>
      </c>
    </row>
    <row r="46" spans="1:14" s="202" customFormat="1" ht="12" customHeight="1" x14ac:dyDescent="0.25">
      <c r="A46" s="229" t="s">
        <v>65</v>
      </c>
      <c r="B46" s="258"/>
      <c r="C46" s="259">
        <f>SUM(C40:C45)</f>
        <v>363180</v>
      </c>
      <c r="D46" s="259">
        <f>SUM(D40:D45)</f>
        <v>326071</v>
      </c>
      <c r="E46" s="233">
        <f>SUM(E40:E45)</f>
        <v>37109</v>
      </c>
      <c r="F46" s="242"/>
      <c r="G46" s="259">
        <f>SUM(G40:G45)</f>
        <v>198061</v>
      </c>
      <c r="H46" s="259">
        <f>SUM(H40:H45)</f>
        <v>184684</v>
      </c>
      <c r="I46" s="259">
        <f>SUM(I40:I45)</f>
        <v>0</v>
      </c>
      <c r="J46" s="233">
        <f>SUM(J40:J45)</f>
        <v>-13377</v>
      </c>
      <c r="K46" s="215"/>
      <c r="L46" s="259">
        <f>SUM(L40:L45)</f>
        <v>165119</v>
      </c>
      <c r="M46" s="259">
        <f>SUM(M40:M45)</f>
        <v>141387</v>
      </c>
      <c r="N46" s="233">
        <f>SUM(N40:N45)</f>
        <v>23732</v>
      </c>
    </row>
    <row r="47" spans="1:14" ht="12" customHeight="1" thickBot="1" x14ac:dyDescent="0.25">
      <c r="A47" s="217" t="s">
        <v>150</v>
      </c>
      <c r="B47" s="261"/>
      <c r="C47" s="262"/>
      <c r="D47" s="262"/>
      <c r="E47" s="213">
        <f>+C47-D47</f>
        <v>0</v>
      </c>
      <c r="F47" s="241"/>
      <c r="G47" s="262">
        <v>1223</v>
      </c>
      <c r="H47" s="262">
        <v>12000</v>
      </c>
      <c r="I47" s="64">
        <v>0</v>
      </c>
      <c r="J47" s="213">
        <f>+H47-G47</f>
        <v>10777</v>
      </c>
      <c r="K47" s="214"/>
      <c r="L47" s="212">
        <f>+C47-G47</f>
        <v>-1223</v>
      </c>
      <c r="M47" s="212">
        <f>+D47-H47</f>
        <v>-12000</v>
      </c>
      <c r="N47" s="213">
        <f>+L47-M47</f>
        <v>10777</v>
      </c>
    </row>
    <row r="48" spans="1:14" s="202" customFormat="1" ht="12" customHeight="1" thickBot="1" x14ac:dyDescent="0.3">
      <c r="A48" s="249" t="s">
        <v>66</v>
      </c>
      <c r="B48" s="263"/>
      <c r="C48" s="264">
        <f>SUM(C46:C47)</f>
        <v>363180</v>
      </c>
      <c r="D48" s="264">
        <f>SUM(D46:D47)</f>
        <v>326071</v>
      </c>
      <c r="E48" s="253">
        <f>SUM(E46:E47)</f>
        <v>37109</v>
      </c>
      <c r="F48" s="254"/>
      <c r="G48" s="264">
        <f>SUM(G46:G47)</f>
        <v>199284</v>
      </c>
      <c r="H48" s="264">
        <f>SUM(H46:H47)</f>
        <v>196684</v>
      </c>
      <c r="I48" s="264">
        <f>SUM(I46:I47)</f>
        <v>0</v>
      </c>
      <c r="J48" s="253">
        <f>SUM(J46:J47)</f>
        <v>-2600</v>
      </c>
      <c r="K48" s="254"/>
      <c r="L48" s="264">
        <f>SUM(L46:L47)</f>
        <v>163896</v>
      </c>
      <c r="M48" s="264">
        <f>SUM(M46:M47)</f>
        <v>129387</v>
      </c>
      <c r="N48" s="253">
        <f>SUM(N46:N47)</f>
        <v>34509</v>
      </c>
    </row>
    <row r="49" spans="1:10" ht="3" customHeight="1" x14ac:dyDescent="0.3">
      <c r="A49" s="184"/>
      <c r="C49" s="185"/>
      <c r="D49" s="42"/>
      <c r="E49" s="184"/>
      <c r="F49" s="44"/>
      <c r="J49" s="176"/>
    </row>
    <row r="50" spans="1:10" x14ac:dyDescent="0.2">
      <c r="A50" s="176" t="s">
        <v>149</v>
      </c>
      <c r="C50" s="44"/>
      <c r="D50" s="42"/>
      <c r="E50" s="44"/>
      <c r="F50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"/>
  <sheetViews>
    <sheetView tabSelected="1" topLeftCell="A36" workbookViewId="0">
      <selection activeCell="E53" sqref="E53"/>
    </sheetView>
  </sheetViews>
  <sheetFormatPr defaultColWidth="9.109375" defaultRowHeight="10.199999999999999" x14ac:dyDescent="0.2"/>
  <cols>
    <col min="1" max="1" width="22.5546875" style="27" customWidth="1"/>
    <col min="2" max="2" width="0.88671875" style="27" customWidth="1"/>
    <col min="3" max="4" width="8.6640625" style="27" customWidth="1"/>
    <col min="5" max="5" width="11.6640625" style="27" customWidth="1"/>
    <col min="6" max="6" width="0.88671875" style="27" customWidth="1"/>
    <col min="7" max="8" width="8.6640625" style="27" customWidth="1"/>
    <col min="9" max="9" width="7.33203125" style="27" customWidth="1"/>
    <col min="10" max="10" width="7.109375" style="27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93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5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238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22,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5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5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10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">
      <c r="A8" s="207" t="s">
        <v>3</v>
      </c>
      <c r="B8" s="237"/>
      <c r="C8" s="210">
        <f>GrossMargin!J10</f>
        <v>238190</v>
      </c>
      <c r="D8" s="59">
        <f>GrossMargin!N10</f>
        <v>41497</v>
      </c>
      <c r="E8" s="211">
        <f t="shared" ref="E8:E16" si="0">-D8+C8</f>
        <v>196693</v>
      </c>
      <c r="F8" s="241"/>
      <c r="G8" s="212">
        <f>Expenses!D9+'CapChrg-AllocExp'!D10+'CapChrg-AllocExp'!K10</f>
        <v>16832</v>
      </c>
      <c r="H8" s="41">
        <f>Expenses!E9+'CapChrg-AllocExp'!E10+'CapChrg-AllocExp'!L10</f>
        <v>14857</v>
      </c>
      <c r="I8" s="64">
        <f>'CapChrg-AllocExp'!F10</f>
        <v>0</v>
      </c>
      <c r="J8" s="213">
        <f>(H8-G8)-I8</f>
        <v>-1975</v>
      </c>
      <c r="K8" s="214"/>
      <c r="L8" s="210">
        <f t="shared" ref="L8:L16" si="1">C8-G8</f>
        <v>221358</v>
      </c>
      <c r="M8" s="59">
        <f t="shared" ref="M8:M16" si="2">D8-H8</f>
        <v>26640</v>
      </c>
      <c r="N8" s="211">
        <f t="shared" ref="N8:N16" si="3">L8-M8</f>
        <v>194718</v>
      </c>
    </row>
    <row r="9" spans="1:23" ht="12" customHeight="1" x14ac:dyDescent="0.2">
      <c r="A9" s="207" t="s">
        <v>273</v>
      </c>
      <c r="B9" s="278"/>
      <c r="C9" s="212">
        <f>GrossMargin!J11</f>
        <v>47379</v>
      </c>
      <c r="D9" s="41">
        <f>GrossMargin!N11</f>
        <v>7570</v>
      </c>
      <c r="E9" s="213">
        <f>-D9+C9</f>
        <v>39809</v>
      </c>
      <c r="F9" s="241"/>
      <c r="G9" s="212">
        <f>Expenses!D10+'CapChrg-AllocExp'!D11+'CapChrg-AllocExp'!K11</f>
        <v>3097</v>
      </c>
      <c r="H9" s="41">
        <f>Expenses!E10+'CapChrg-AllocExp'!E11+'CapChrg-AllocExp'!L11</f>
        <v>3158</v>
      </c>
      <c r="I9" s="64">
        <f>'CapChrg-AllocExp'!F11</f>
        <v>0</v>
      </c>
      <c r="J9" s="213">
        <f>(H9-G9)-I9</f>
        <v>61</v>
      </c>
      <c r="K9" s="214"/>
      <c r="L9" s="212">
        <f>C9-G9</f>
        <v>44282</v>
      </c>
      <c r="M9" s="41">
        <f>D9-H9</f>
        <v>4412</v>
      </c>
      <c r="N9" s="213">
        <f>L9-M9</f>
        <v>39870</v>
      </c>
    </row>
    <row r="10" spans="1:23" ht="12" customHeight="1" x14ac:dyDescent="0.2">
      <c r="A10" s="207" t="s">
        <v>106</v>
      </c>
      <c r="B10" s="237"/>
      <c r="C10" s="212">
        <f>GrossMargin!J12</f>
        <v>177806</v>
      </c>
      <c r="D10" s="41">
        <f>GrossMargin!N12</f>
        <v>67236</v>
      </c>
      <c r="E10" s="213">
        <f t="shared" si="0"/>
        <v>110570</v>
      </c>
      <c r="F10" s="241"/>
      <c r="G10" s="212">
        <f>Expenses!D11+'CapChrg-AllocExp'!D12+'CapChrg-AllocExp'!K12+Expenses!D58</f>
        <v>29768</v>
      </c>
      <c r="H10" s="41">
        <f>Expenses!E11+'CapChrg-AllocExp'!E12+'CapChrg-AllocExp'!L12+Expenses!E58</f>
        <v>28234</v>
      </c>
      <c r="I10" s="64">
        <f>'CapChrg-AllocExp'!F12</f>
        <v>988</v>
      </c>
      <c r="J10" s="213">
        <f>(H10-G10)-I10</f>
        <v>-2522</v>
      </c>
      <c r="K10" s="214"/>
      <c r="L10" s="212">
        <f t="shared" si="1"/>
        <v>148038</v>
      </c>
      <c r="M10" s="41">
        <f t="shared" si="2"/>
        <v>39002</v>
      </c>
      <c r="N10" s="213">
        <f t="shared" si="3"/>
        <v>109036</v>
      </c>
    </row>
    <row r="11" spans="1:23" ht="12" customHeight="1" x14ac:dyDescent="0.2">
      <c r="A11" s="207" t="s">
        <v>132</v>
      </c>
      <c r="B11" s="237"/>
      <c r="C11" s="212">
        <f>GrossMargin!J13</f>
        <v>34672</v>
      </c>
      <c r="D11" s="41">
        <f>GrossMargin!N13</f>
        <v>22402</v>
      </c>
      <c r="E11" s="213">
        <f t="shared" si="0"/>
        <v>12270</v>
      </c>
      <c r="F11" s="241"/>
      <c r="G11" s="212">
        <f>Expenses!D12+'CapChrg-AllocExp'!D13+'CapChrg-AllocExp'!K13</f>
        <v>1726</v>
      </c>
      <c r="H11" s="41">
        <f>Expenses!E12+'CapChrg-AllocExp'!E13+'CapChrg-AllocExp'!L13</f>
        <v>1607</v>
      </c>
      <c r="I11" s="64">
        <f>'CapChrg-AllocExp'!F13</f>
        <v>0</v>
      </c>
      <c r="J11" s="213">
        <f t="shared" ref="J11:J16" si="4">(H11-G11)-I11</f>
        <v>-119</v>
      </c>
      <c r="K11" s="214"/>
      <c r="L11" s="212">
        <f t="shared" si="1"/>
        <v>32946</v>
      </c>
      <c r="M11" s="41">
        <f t="shared" si="2"/>
        <v>20795</v>
      </c>
      <c r="N11" s="213">
        <f t="shared" si="3"/>
        <v>12151</v>
      </c>
    </row>
    <row r="12" spans="1:23" ht="12" customHeight="1" x14ac:dyDescent="0.2">
      <c r="A12" s="207" t="s">
        <v>133</v>
      </c>
      <c r="B12" s="237"/>
      <c r="C12" s="212">
        <f>GrossMargin!J14</f>
        <v>12699</v>
      </c>
      <c r="D12" s="41">
        <f>GrossMargin!N14</f>
        <v>8947</v>
      </c>
      <c r="E12" s="213">
        <f t="shared" si="0"/>
        <v>3752</v>
      </c>
      <c r="F12" s="241"/>
      <c r="G12" s="212">
        <f>Expenses!D13+'CapChrg-AllocExp'!D14+'CapChrg-AllocExp'!K14</f>
        <v>1834</v>
      </c>
      <c r="H12" s="41">
        <f>Expenses!E13+'CapChrg-AllocExp'!E14+'CapChrg-AllocExp'!L14</f>
        <v>1807</v>
      </c>
      <c r="I12" s="64">
        <f>'CapChrg-AllocExp'!F14</f>
        <v>0</v>
      </c>
      <c r="J12" s="213">
        <f t="shared" si="4"/>
        <v>-27</v>
      </c>
      <c r="K12" s="214"/>
      <c r="L12" s="212">
        <f t="shared" si="1"/>
        <v>10865</v>
      </c>
      <c r="M12" s="41">
        <f t="shared" si="2"/>
        <v>7140</v>
      </c>
      <c r="N12" s="213">
        <f t="shared" si="3"/>
        <v>3725</v>
      </c>
    </row>
    <row r="13" spans="1:23" ht="12" customHeight="1" x14ac:dyDescent="0.2">
      <c r="A13" s="207" t="s">
        <v>251</v>
      </c>
      <c r="B13" s="237"/>
      <c r="C13" s="212">
        <f>GrossMargin!J15</f>
        <v>20262</v>
      </c>
      <c r="D13" s="41">
        <f>(GrossMargin!N15)</f>
        <v>11556</v>
      </c>
      <c r="E13" s="213">
        <f t="shared" si="0"/>
        <v>8706</v>
      </c>
      <c r="F13" s="241"/>
      <c r="G13" s="212">
        <f>Expenses!D14+'CapChrg-AllocExp'!D15+'CapChrg-AllocExp'!K15</f>
        <v>2342</v>
      </c>
      <c r="H13" s="41">
        <f>(Expenses!E14+'CapChrg-AllocExp'!E15+'CapChrg-AllocExp'!L15)</f>
        <v>3047</v>
      </c>
      <c r="I13" s="64">
        <f>'CapChrg-AllocExp'!F15</f>
        <v>0</v>
      </c>
      <c r="J13" s="213">
        <f t="shared" si="4"/>
        <v>705</v>
      </c>
      <c r="K13" s="214"/>
      <c r="L13" s="212">
        <f t="shared" si="1"/>
        <v>17920</v>
      </c>
      <c r="M13" s="41">
        <f t="shared" si="2"/>
        <v>8509</v>
      </c>
      <c r="N13" s="213">
        <f t="shared" si="3"/>
        <v>9411</v>
      </c>
    </row>
    <row r="14" spans="1:23" ht="12" customHeight="1" x14ac:dyDescent="0.2">
      <c r="A14" s="207" t="s">
        <v>275</v>
      </c>
      <c r="B14" s="237"/>
      <c r="C14" s="212">
        <f>GrossMargin!J16</f>
        <v>3212</v>
      </c>
      <c r="D14" s="41">
        <f>GrossMargin!N16</f>
        <v>6535</v>
      </c>
      <c r="E14" s="213">
        <f t="shared" si="0"/>
        <v>-3323</v>
      </c>
      <c r="F14" s="241"/>
      <c r="G14" s="212">
        <f>Expenses!D15+'CapChrg-AllocExp'!D16+'CapChrg-AllocExp'!K16</f>
        <v>2676</v>
      </c>
      <c r="H14" s="41">
        <f>Expenses!E15+'CapChrg-AllocExp'!E16+'CapChrg-AllocExp'!L16</f>
        <v>2038</v>
      </c>
      <c r="I14" s="64">
        <f>'CapChrg-AllocExp'!F16</f>
        <v>0</v>
      </c>
      <c r="J14" s="213">
        <f t="shared" si="4"/>
        <v>-638</v>
      </c>
      <c r="K14" s="214"/>
      <c r="L14" s="212">
        <f t="shared" si="1"/>
        <v>536</v>
      </c>
      <c r="M14" s="41">
        <f t="shared" si="2"/>
        <v>4497</v>
      </c>
      <c r="N14" s="213">
        <f t="shared" si="3"/>
        <v>-3961</v>
      </c>
    </row>
    <row r="15" spans="1:23" ht="12" customHeight="1" x14ac:dyDescent="0.2">
      <c r="A15" s="207" t="s">
        <v>155</v>
      </c>
      <c r="B15" s="237"/>
      <c r="C15" s="212">
        <f>GrossMargin!J17</f>
        <v>2621</v>
      </c>
      <c r="D15" s="41">
        <f>GrossMargin!N17</f>
        <v>3215</v>
      </c>
      <c r="E15" s="213">
        <f t="shared" si="0"/>
        <v>-594</v>
      </c>
      <c r="F15" s="241"/>
      <c r="G15" s="212">
        <f>Expenses!D16+'CapChrg-AllocExp'!D17+'CapChrg-AllocExp'!K17</f>
        <v>1640</v>
      </c>
      <c r="H15" s="41">
        <f>Expenses!E16+'CapChrg-AllocExp'!E17+'CapChrg-AllocExp'!L17</f>
        <v>1661</v>
      </c>
      <c r="I15" s="64">
        <f>'CapChrg-AllocExp'!F17</f>
        <v>0</v>
      </c>
      <c r="J15" s="213">
        <f t="shared" si="4"/>
        <v>21</v>
      </c>
      <c r="K15" s="214"/>
      <c r="L15" s="212">
        <f t="shared" si="1"/>
        <v>981</v>
      </c>
      <c r="M15" s="41">
        <f t="shared" si="2"/>
        <v>1554</v>
      </c>
      <c r="N15" s="213">
        <f t="shared" si="3"/>
        <v>-573</v>
      </c>
    </row>
    <row r="16" spans="1:23" ht="12" customHeight="1" x14ac:dyDescent="0.2">
      <c r="A16" s="207" t="s">
        <v>292</v>
      </c>
      <c r="B16" s="237"/>
      <c r="C16" s="212">
        <f>GrossMargin!J18</f>
        <v>-6460</v>
      </c>
      <c r="D16" s="41">
        <f>GrossMargin!N18</f>
        <v>750</v>
      </c>
      <c r="E16" s="213">
        <f t="shared" si="0"/>
        <v>-7210</v>
      </c>
      <c r="F16" s="241"/>
      <c r="G16" s="212">
        <f>Expenses!D17+'CapChrg-AllocExp'!D18+'CapChrg-AllocExp'!K18</f>
        <v>286</v>
      </c>
      <c r="H16" s="41">
        <f>Expenses!E17+'CapChrg-AllocExp'!E18+'CapChrg-AllocExp'!L18</f>
        <v>338</v>
      </c>
      <c r="I16" s="64">
        <f>'CapChrg-AllocExp'!F18</f>
        <v>0</v>
      </c>
      <c r="J16" s="213">
        <f t="shared" si="4"/>
        <v>52</v>
      </c>
      <c r="K16" s="214"/>
      <c r="L16" s="212">
        <f t="shared" si="1"/>
        <v>-6746</v>
      </c>
      <c r="M16" s="41">
        <f t="shared" si="2"/>
        <v>412</v>
      </c>
      <c r="N16" s="213">
        <f t="shared" si="3"/>
        <v>-7158</v>
      </c>
    </row>
    <row r="17" spans="1:14" s="202" customFormat="1" ht="12" customHeight="1" x14ac:dyDescent="0.25">
      <c r="A17" s="229" t="s">
        <v>276</v>
      </c>
      <c r="B17" s="238"/>
      <c r="C17" s="230">
        <f>SUM(C8:C16)</f>
        <v>530381</v>
      </c>
      <c r="D17" s="231">
        <f>SUM(D8:D16)</f>
        <v>169708</v>
      </c>
      <c r="E17" s="232">
        <f>SUM(E8:E16)</f>
        <v>360673</v>
      </c>
      <c r="F17" s="242">
        <f>SUM(D17:E17)</f>
        <v>530381</v>
      </c>
      <c r="G17" s="230">
        <f>SUM(G8:G16)</f>
        <v>60201</v>
      </c>
      <c r="H17" s="231">
        <f>SUM(H8:H16)</f>
        <v>56747</v>
      </c>
      <c r="I17" s="231">
        <f>SUM(I8:I16)</f>
        <v>988</v>
      </c>
      <c r="J17" s="232">
        <f>SUM(J8:J16)</f>
        <v>-4442</v>
      </c>
      <c r="K17" s="215"/>
      <c r="L17" s="230">
        <f>SUM(L8:L16)</f>
        <v>470180</v>
      </c>
      <c r="M17" s="231">
        <f>SUM(M8:M16)</f>
        <v>112961</v>
      </c>
      <c r="N17" s="232">
        <f>SUM(N8:N16)</f>
        <v>357219</v>
      </c>
    </row>
    <row r="18" spans="1:14" ht="12" customHeight="1" x14ac:dyDescent="0.2">
      <c r="A18" s="207"/>
      <c r="B18" s="237"/>
      <c r="C18" s="212"/>
      <c r="D18" s="41"/>
      <c r="E18" s="213"/>
      <c r="F18" s="241"/>
      <c r="G18" s="216"/>
      <c r="H18" s="41"/>
      <c r="I18" s="41"/>
      <c r="J18" s="213"/>
      <c r="K18" s="214"/>
      <c r="L18" s="212"/>
      <c r="M18" s="41"/>
      <c r="N18" s="213"/>
    </row>
    <row r="19" spans="1:14" ht="12" customHeight="1" x14ac:dyDescent="0.2">
      <c r="A19" s="207" t="s">
        <v>88</v>
      </c>
      <c r="B19" s="237"/>
      <c r="C19" s="212">
        <f>GrossMargin!J22</f>
        <v>0</v>
      </c>
      <c r="D19" s="41">
        <f>GrossMargin!N22</f>
        <v>20493</v>
      </c>
      <c r="E19" s="213">
        <f t="shared" ref="E19:E29" si="5">-D19+C19</f>
        <v>-20493</v>
      </c>
      <c r="F19" s="241"/>
      <c r="G19" s="212">
        <f>Expenses!D20+'CapChrg-AllocExp'!D21+'CapChrg-AllocExp'!K21</f>
        <v>12111</v>
      </c>
      <c r="H19" s="41">
        <f>Expenses!E20+'CapChrg-AllocExp'!E21+'CapChrg-AllocExp'!L21</f>
        <v>8570</v>
      </c>
      <c r="I19" s="64">
        <f>'CapChrg-AllocExp'!F21</f>
        <v>0</v>
      </c>
      <c r="J19" s="213">
        <f t="shared" ref="J19:J29" si="6">(H19-G19)-I19</f>
        <v>-3541</v>
      </c>
      <c r="K19" s="214"/>
      <c r="L19" s="212">
        <f t="shared" ref="L19:M21" si="7">C19-G19</f>
        <v>-12111</v>
      </c>
      <c r="M19" s="41">
        <f t="shared" si="7"/>
        <v>11923</v>
      </c>
      <c r="N19" s="213">
        <f t="shared" ref="N19:N29" si="8">L19-M19</f>
        <v>-24034</v>
      </c>
    </row>
    <row r="20" spans="1:14" ht="12" customHeight="1" x14ac:dyDescent="0.2">
      <c r="A20" s="207" t="s">
        <v>89</v>
      </c>
      <c r="B20" s="237"/>
      <c r="C20" s="212">
        <f>GrossMargin!J23</f>
        <v>506</v>
      </c>
      <c r="D20" s="41">
        <f>GrossMargin!N23</f>
        <v>13235</v>
      </c>
      <c r="E20" s="213">
        <f t="shared" si="5"/>
        <v>-12729</v>
      </c>
      <c r="F20" s="241"/>
      <c r="G20" s="212">
        <f>Expenses!D21+'CapChrg-AllocExp'!D22+'CapChrg-AllocExp'!K22</f>
        <v>8457</v>
      </c>
      <c r="H20" s="41">
        <f>Expenses!E21+'CapChrg-AllocExp'!E22+'CapChrg-AllocExp'!L22</f>
        <v>7266</v>
      </c>
      <c r="I20" s="64">
        <f>'CapChrg-AllocExp'!F22</f>
        <v>-650</v>
      </c>
      <c r="J20" s="213">
        <f t="shared" si="6"/>
        <v>-541</v>
      </c>
      <c r="K20" s="214"/>
      <c r="L20" s="212">
        <f t="shared" si="7"/>
        <v>-7951</v>
      </c>
      <c r="M20" s="41">
        <f t="shared" si="7"/>
        <v>5969</v>
      </c>
      <c r="N20" s="213">
        <f t="shared" si="8"/>
        <v>-13920</v>
      </c>
    </row>
    <row r="21" spans="1:14" ht="12" customHeight="1" x14ac:dyDescent="0.2">
      <c r="A21" s="207" t="s">
        <v>233</v>
      </c>
      <c r="B21" s="237"/>
      <c r="C21" s="212">
        <f>GrossMargin!J24</f>
        <v>4500</v>
      </c>
      <c r="D21" s="41">
        <f>GrossMargin!N24</f>
        <v>22861</v>
      </c>
      <c r="E21" s="213">
        <f t="shared" si="5"/>
        <v>-18361</v>
      </c>
      <c r="F21" s="241"/>
      <c r="G21" s="212">
        <f>Expenses!D22+'CapChrg-AllocExp'!D23+'CapChrg-AllocExp'!K23</f>
        <v>7339</v>
      </c>
      <c r="H21" s="41">
        <f>Expenses!E22+'CapChrg-AllocExp'!E23+'CapChrg-AllocExp'!L23</f>
        <v>8909</v>
      </c>
      <c r="I21" s="64">
        <f>'CapChrg-AllocExp'!F23</f>
        <v>977</v>
      </c>
      <c r="J21" s="213">
        <f t="shared" si="6"/>
        <v>593</v>
      </c>
      <c r="K21" s="214"/>
      <c r="L21" s="212">
        <f t="shared" si="7"/>
        <v>-2839</v>
      </c>
      <c r="M21" s="41">
        <f t="shared" si="7"/>
        <v>13952</v>
      </c>
      <c r="N21" s="213">
        <f t="shared" si="8"/>
        <v>-16791</v>
      </c>
    </row>
    <row r="22" spans="1:14" ht="12" customHeight="1" x14ac:dyDescent="0.2">
      <c r="A22" s="207" t="s">
        <v>67</v>
      </c>
      <c r="B22" s="237"/>
      <c r="C22" s="212">
        <f>GrossMargin!J25</f>
        <v>16150</v>
      </c>
      <c r="D22" s="41">
        <f>GrossMargin!N25</f>
        <v>18711</v>
      </c>
      <c r="E22" s="213">
        <f>-D22+C22</f>
        <v>-2561</v>
      </c>
      <c r="F22" s="241"/>
      <c r="G22" s="212">
        <f>Expenses!D23+'CapChrg-AllocExp'!D24+'CapChrg-AllocExp'!K24</f>
        <v>9078</v>
      </c>
      <c r="H22" s="41">
        <f>Expenses!E23+'CapChrg-AllocExp'!E24+'CapChrg-AllocExp'!L24</f>
        <v>8485</v>
      </c>
      <c r="I22" s="64">
        <f>'CapChrg-AllocExp'!F24</f>
        <v>237</v>
      </c>
      <c r="J22" s="213">
        <f>(H22-G22)-I22</f>
        <v>-830</v>
      </c>
      <c r="K22" s="214"/>
      <c r="L22" s="212">
        <f>C22-G22</f>
        <v>7072</v>
      </c>
      <c r="M22" s="41">
        <f>D22-H22</f>
        <v>10226</v>
      </c>
      <c r="N22" s="213">
        <f>L22-M22</f>
        <v>-3154</v>
      </c>
    </row>
    <row r="23" spans="1:14" ht="12" customHeight="1" x14ac:dyDescent="0.2">
      <c r="A23" s="207" t="s">
        <v>264</v>
      </c>
      <c r="B23" s="237"/>
      <c r="C23" s="212">
        <f>GrossMargin!J26</f>
        <v>164</v>
      </c>
      <c r="D23" s="41">
        <f>GrossMargin!N26</f>
        <v>6212</v>
      </c>
      <c r="E23" s="213">
        <f>-D23+C23</f>
        <v>-6048</v>
      </c>
      <c r="F23" s="241"/>
      <c r="G23" s="212">
        <f>Expenses!D24+'CapChrg-AllocExp'!D25+'CapChrg-AllocExp'!K25</f>
        <v>3316</v>
      </c>
      <c r="H23" s="41">
        <f>Expenses!E24+'CapChrg-AllocExp'!E25+'CapChrg-AllocExp'!L25</f>
        <v>2755</v>
      </c>
      <c r="I23" s="64">
        <f>'CapChrg-AllocExp'!F25</f>
        <v>77</v>
      </c>
      <c r="J23" s="213">
        <f>(H23-G23)-I23</f>
        <v>-638</v>
      </c>
      <c r="K23" s="214"/>
      <c r="L23" s="212">
        <f t="shared" ref="L23:M28" si="9">C23-G23</f>
        <v>-3152</v>
      </c>
      <c r="M23" s="41">
        <f t="shared" si="9"/>
        <v>3457</v>
      </c>
      <c r="N23" s="213">
        <f>L23-M23</f>
        <v>-6609</v>
      </c>
    </row>
    <row r="24" spans="1:14" ht="12" customHeight="1" x14ac:dyDescent="0.2">
      <c r="A24" s="207" t="s">
        <v>252</v>
      </c>
      <c r="B24" s="237"/>
      <c r="C24" s="212">
        <f>GrossMargin!J27</f>
        <v>9628</v>
      </c>
      <c r="D24" s="41">
        <f>GrossMargin!N27</f>
        <v>11556</v>
      </c>
      <c r="E24" s="213">
        <f t="shared" si="5"/>
        <v>-1928</v>
      </c>
      <c r="F24" s="241"/>
      <c r="G24" s="212">
        <f>Expenses!D25+'CapChrg-AllocExp'!D26+'CapChrg-AllocExp'!K26</f>
        <v>1852</v>
      </c>
      <c r="H24" s="41">
        <f>Expenses!E25+'CapChrg-AllocExp'!E26+'CapChrg-AllocExp'!L26</f>
        <v>1900</v>
      </c>
      <c r="I24" s="64">
        <f>'CapChrg-AllocExp'!F26</f>
        <v>217</v>
      </c>
      <c r="J24" s="213">
        <f t="shared" si="6"/>
        <v>-169</v>
      </c>
      <c r="K24" s="214"/>
      <c r="L24" s="212">
        <f t="shared" si="9"/>
        <v>7776</v>
      </c>
      <c r="M24" s="41">
        <f t="shared" si="9"/>
        <v>9656</v>
      </c>
      <c r="N24" s="213">
        <f t="shared" si="8"/>
        <v>-1880</v>
      </c>
    </row>
    <row r="25" spans="1:14" ht="12" customHeight="1" x14ac:dyDescent="0.2">
      <c r="A25" s="207" t="s">
        <v>299</v>
      </c>
      <c r="B25" s="278"/>
      <c r="C25" s="212">
        <f>GrossMargin!J28</f>
        <v>17773</v>
      </c>
      <c r="D25" s="41">
        <f>GrossMargin!N28</f>
        <v>18423</v>
      </c>
      <c r="E25" s="213">
        <f>-D25+C25</f>
        <v>-650</v>
      </c>
      <c r="F25" s="241"/>
      <c r="G25" s="212">
        <f>Expenses!D26+'CapChrg-AllocExp'!D27+'CapChrg-AllocExp'!K27+Expenses!D60</f>
        <v>14974.5</v>
      </c>
      <c r="H25" s="41">
        <f>Expenses!E26+'CapChrg-AllocExp'!E27+'CapChrg-AllocExp'!L27+Expenses!E60</f>
        <v>9886.5</v>
      </c>
      <c r="I25" s="64">
        <f>'CapChrg-AllocExp'!F27</f>
        <v>-539</v>
      </c>
      <c r="J25" s="213">
        <f>(H25-G25)-I25</f>
        <v>-4549</v>
      </c>
      <c r="K25" s="214"/>
      <c r="L25" s="212">
        <f t="shared" ref="L25:M27" si="10">C25-G25</f>
        <v>2798.5</v>
      </c>
      <c r="M25" s="41">
        <f t="shared" si="10"/>
        <v>8536.5</v>
      </c>
      <c r="N25" s="213">
        <f>L25-M25</f>
        <v>-5738</v>
      </c>
    </row>
    <row r="26" spans="1:14" ht="12" customHeight="1" x14ac:dyDescent="0.2">
      <c r="A26" s="207" t="s">
        <v>289</v>
      </c>
      <c r="B26" s="278"/>
      <c r="C26" s="212">
        <f>GrossMargin!J29</f>
        <v>14742</v>
      </c>
      <c r="D26" s="41">
        <f>GrossMargin!N29</f>
        <v>10746</v>
      </c>
      <c r="E26" s="213">
        <f>-D26+C26</f>
        <v>3996</v>
      </c>
      <c r="F26" s="241"/>
      <c r="G26" s="212">
        <f>Expenses!D27+'CapChrg-AllocExp'!D28+'CapChrg-AllocExp'!K28+Expenses!D59</f>
        <v>48119.5</v>
      </c>
      <c r="H26" s="41">
        <f>Expenses!E27+'CapChrg-AllocExp'!E28+'CapChrg-AllocExp'!L28+Expenses!E59</f>
        <v>47106.5</v>
      </c>
      <c r="I26" s="64">
        <f>'CapChrg-AllocExp'!F28</f>
        <v>-603</v>
      </c>
      <c r="J26" s="213">
        <f>(H26-G26)-I26</f>
        <v>-410</v>
      </c>
      <c r="K26" s="214"/>
      <c r="L26" s="212">
        <f t="shared" si="10"/>
        <v>-33377.5</v>
      </c>
      <c r="M26" s="41">
        <f t="shared" si="10"/>
        <v>-36360.5</v>
      </c>
      <c r="N26" s="213">
        <f>L26-M26</f>
        <v>2983</v>
      </c>
    </row>
    <row r="27" spans="1:14" ht="12" customHeight="1" x14ac:dyDescent="0.2">
      <c r="A27" s="207" t="s">
        <v>290</v>
      </c>
      <c r="B27" s="278"/>
      <c r="C27" s="212">
        <f>GrossMargin!J30</f>
        <v>379</v>
      </c>
      <c r="D27" s="41">
        <f>GrossMargin!N30</f>
        <v>1690</v>
      </c>
      <c r="E27" s="213">
        <f>-D27+C27</f>
        <v>-1311</v>
      </c>
      <c r="F27" s="241"/>
      <c r="G27" s="212">
        <f>Expenses!D28+'CapChrg-AllocExp'!D29+'CapChrg-AllocExp'!K29+Expenses!D62</f>
        <v>3360</v>
      </c>
      <c r="H27" s="41">
        <f>Expenses!E28+'CapChrg-AllocExp'!E29+'CapChrg-AllocExp'!L29+Expenses!E62</f>
        <v>3590</v>
      </c>
      <c r="I27" s="64">
        <f>'CapChrg-AllocExp'!F29</f>
        <v>199</v>
      </c>
      <c r="J27" s="213">
        <f>(H27-G27)-I27</f>
        <v>31</v>
      </c>
      <c r="K27" s="214"/>
      <c r="L27" s="212">
        <f t="shared" si="10"/>
        <v>-2981</v>
      </c>
      <c r="M27" s="41">
        <f t="shared" si="10"/>
        <v>-1900</v>
      </c>
      <c r="N27" s="213">
        <f>L27-M27</f>
        <v>-1081</v>
      </c>
    </row>
    <row r="28" spans="1:14" ht="12" customHeight="1" x14ac:dyDescent="0.2">
      <c r="A28" s="207" t="s">
        <v>156</v>
      </c>
      <c r="B28" s="237"/>
      <c r="C28" s="212">
        <f>GrossMargin!J31</f>
        <v>671</v>
      </c>
      <c r="D28" s="41">
        <f>GrossMargin!N31</f>
        <v>7712</v>
      </c>
      <c r="E28" s="213">
        <f>-D28+C28</f>
        <v>-7041</v>
      </c>
      <c r="F28" s="241"/>
      <c r="G28" s="212">
        <f>Expenses!D29+'CapChrg-AllocExp'!D30+'CapChrg-AllocExp'!K30</f>
        <v>778</v>
      </c>
      <c r="H28" s="41">
        <f>Expenses!E29+'CapChrg-AllocExp'!E30+'CapChrg-AllocExp'!L30</f>
        <v>1334</v>
      </c>
      <c r="I28" s="64">
        <f>'CapChrg-AllocExp'!F30</f>
        <v>704</v>
      </c>
      <c r="J28" s="213">
        <f>(H28-G28)-I28</f>
        <v>-148</v>
      </c>
      <c r="K28" s="214"/>
      <c r="L28" s="212">
        <f t="shared" si="9"/>
        <v>-107</v>
      </c>
      <c r="M28" s="41">
        <f t="shared" si="9"/>
        <v>6378</v>
      </c>
      <c r="N28" s="213">
        <f>L28-M28</f>
        <v>-6485</v>
      </c>
    </row>
    <row r="29" spans="1:14" ht="12" customHeight="1" x14ac:dyDescent="0.2">
      <c r="A29" s="207" t="s">
        <v>0</v>
      </c>
      <c r="B29" s="237"/>
      <c r="C29" s="212">
        <f>GrossMargin!J32</f>
        <v>2</v>
      </c>
      <c r="D29" s="41">
        <f>GrossMargin!N32</f>
        <v>4656</v>
      </c>
      <c r="E29" s="213">
        <f t="shared" si="5"/>
        <v>-4654</v>
      </c>
      <c r="F29" s="241"/>
      <c r="G29" s="212">
        <f>Expenses!D30+'CapChrg-AllocExp'!D31+'CapChrg-AllocExp'!K31</f>
        <v>2237</v>
      </c>
      <c r="H29" s="41">
        <f>Expenses!E30+'CapChrg-AllocExp'!E31+'CapChrg-AllocExp'!L31</f>
        <v>2626</v>
      </c>
      <c r="I29" s="64">
        <f>'CapChrg-AllocExp'!F31</f>
        <v>0</v>
      </c>
      <c r="J29" s="213">
        <f t="shared" si="6"/>
        <v>389</v>
      </c>
      <c r="K29" s="214"/>
      <c r="L29" s="212">
        <f>C29-G29</f>
        <v>-2235</v>
      </c>
      <c r="M29" s="41">
        <f>D29-H29</f>
        <v>2030</v>
      </c>
      <c r="N29" s="213">
        <f t="shared" si="8"/>
        <v>-4265</v>
      </c>
    </row>
    <row r="30" spans="1:14" s="202" customFormat="1" ht="12" customHeight="1" x14ac:dyDescent="0.25">
      <c r="A30" s="229" t="s">
        <v>1</v>
      </c>
      <c r="B30" s="238"/>
      <c r="C30" s="230">
        <f t="shared" ref="C30:J30" si="11">SUM(C19:C29)</f>
        <v>64515</v>
      </c>
      <c r="D30" s="231">
        <f t="shared" si="11"/>
        <v>136295</v>
      </c>
      <c r="E30" s="232">
        <f t="shared" si="11"/>
        <v>-71780</v>
      </c>
      <c r="F30" s="242">
        <f t="shared" si="11"/>
        <v>0</v>
      </c>
      <c r="G30" s="230">
        <f t="shared" si="11"/>
        <v>111622</v>
      </c>
      <c r="H30" s="231">
        <f t="shared" si="11"/>
        <v>102428</v>
      </c>
      <c r="I30" s="231">
        <f t="shared" si="11"/>
        <v>619</v>
      </c>
      <c r="J30" s="232">
        <f t="shared" si="11"/>
        <v>-9813</v>
      </c>
      <c r="K30" s="215"/>
      <c r="L30" s="230">
        <f>SUM(L19:L29)</f>
        <v>-47107</v>
      </c>
      <c r="M30" s="231">
        <f>SUM(M19:M29)</f>
        <v>33867</v>
      </c>
      <c r="N30" s="232">
        <f>SUM(N19:N29)</f>
        <v>-80974</v>
      </c>
    </row>
    <row r="31" spans="1:14" ht="12" customHeight="1" x14ac:dyDescent="0.2">
      <c r="A31" s="207"/>
      <c r="B31" s="237"/>
      <c r="C31" s="212"/>
      <c r="D31" s="41"/>
      <c r="E31" s="213"/>
      <c r="F31" s="241"/>
      <c r="G31" s="216"/>
      <c r="H31" s="41"/>
      <c r="I31" s="41"/>
      <c r="J31" s="213"/>
      <c r="K31" s="214"/>
      <c r="L31" s="212"/>
      <c r="M31" s="41"/>
      <c r="N31" s="213"/>
    </row>
    <row r="32" spans="1:14" ht="12" customHeight="1" x14ac:dyDescent="0.2">
      <c r="A32" s="207" t="s">
        <v>9</v>
      </c>
      <c r="B32" s="237"/>
      <c r="C32" s="212">
        <f>GrossMargin!J37</f>
        <v>-29674</v>
      </c>
      <c r="D32" s="41">
        <f>GrossMargin!N37</f>
        <v>15385</v>
      </c>
      <c r="E32" s="213">
        <f>-D32+C32</f>
        <v>-45059</v>
      </c>
      <c r="F32" s="241"/>
      <c r="G32" s="212">
        <f>Expenses!D34+'CapChrg-AllocExp'!D35+'CapChrg-AllocExp'!K35</f>
        <v>2045</v>
      </c>
      <c r="H32" s="41">
        <f>Expenses!E34+'CapChrg-AllocExp'!E35+'CapChrg-AllocExp'!L35</f>
        <v>3691</v>
      </c>
      <c r="I32" s="64">
        <f>'CapChrg-AllocExp'!F35</f>
        <v>1370</v>
      </c>
      <c r="J32" s="213">
        <f>(H32-G32)-I32</f>
        <v>276</v>
      </c>
      <c r="K32" s="214"/>
      <c r="L32" s="212">
        <f t="shared" ref="L32:M34" si="12">C32-G32</f>
        <v>-31719</v>
      </c>
      <c r="M32" s="41">
        <f t="shared" si="12"/>
        <v>11694</v>
      </c>
      <c r="N32" s="213">
        <f>L32-M32</f>
        <v>-43413</v>
      </c>
    </row>
    <row r="33" spans="1:14" ht="12" customHeight="1" x14ac:dyDescent="0.2">
      <c r="A33" s="207" t="s">
        <v>267</v>
      </c>
      <c r="B33" s="237"/>
      <c r="C33" s="212">
        <f>GrossMargin!J38</f>
        <v>3576</v>
      </c>
      <c r="D33" s="41">
        <f>GrossMargin!N38</f>
        <v>2000</v>
      </c>
      <c r="E33" s="213">
        <f>-D33+C33</f>
        <v>1576</v>
      </c>
      <c r="F33" s="241"/>
      <c r="G33" s="212">
        <f>Expenses!D35+'CapChrg-AllocExp'!D36+'CapChrg-AllocExp'!K36</f>
        <v>5564</v>
      </c>
      <c r="H33" s="41">
        <f>Expenses!E35+'CapChrg-AllocExp'!E36+'CapChrg-AllocExp'!L36</f>
        <v>7158</v>
      </c>
      <c r="I33" s="64">
        <f>'CapChrg-AllocExp'!F36</f>
        <v>1773</v>
      </c>
      <c r="J33" s="213">
        <f>(H33-G33)-I33</f>
        <v>-179</v>
      </c>
      <c r="K33" s="214"/>
      <c r="L33" s="212">
        <f t="shared" si="12"/>
        <v>-1988</v>
      </c>
      <c r="M33" s="41">
        <f t="shared" si="12"/>
        <v>-5158</v>
      </c>
      <c r="N33" s="213">
        <f>L33-M33</f>
        <v>3170</v>
      </c>
    </row>
    <row r="34" spans="1:14" x14ac:dyDescent="0.2">
      <c r="A34" s="207" t="s">
        <v>154</v>
      </c>
      <c r="B34" s="237"/>
      <c r="C34" s="212">
        <f>GrossMargin!J41</f>
        <v>-12824</v>
      </c>
      <c r="D34" s="41">
        <f>GrossMargin!N41</f>
        <v>14705</v>
      </c>
      <c r="E34" s="213">
        <f>-D34+C34</f>
        <v>-27529</v>
      </c>
      <c r="F34" s="206"/>
      <c r="G34" s="212">
        <f>Expenses!D38+'CapChrg-AllocExp'!D39+'CapChrg-AllocExp'!K39</f>
        <v>11116</v>
      </c>
      <c r="H34" s="41">
        <f>Expenses!E38+'CapChrg-AllocExp'!E39+'CapChrg-AllocExp'!L39</f>
        <v>10399</v>
      </c>
      <c r="I34" s="64">
        <f>'CapChrg-AllocExp'!F39</f>
        <v>-1044</v>
      </c>
      <c r="J34" s="213">
        <f>(H34-G34)-I34</f>
        <v>327</v>
      </c>
      <c r="K34" s="206"/>
      <c r="L34" s="212">
        <f t="shared" si="12"/>
        <v>-23940</v>
      </c>
      <c r="M34" s="41">
        <f t="shared" si="12"/>
        <v>4306</v>
      </c>
      <c r="N34" s="213">
        <f>L34-M34</f>
        <v>-28246</v>
      </c>
    </row>
    <row r="35" spans="1:14" s="202" customFormat="1" ht="12" customHeight="1" x14ac:dyDescent="0.25">
      <c r="A35" s="229" t="s">
        <v>87</v>
      </c>
      <c r="B35" s="238"/>
      <c r="C35" s="230">
        <f>C32+C33+C34</f>
        <v>-38922</v>
      </c>
      <c r="D35" s="231">
        <f>D32+D33+D34</f>
        <v>32090</v>
      </c>
      <c r="E35" s="232">
        <f>SUM(E32:E34)</f>
        <v>-71012</v>
      </c>
      <c r="F35" s="242"/>
      <c r="G35" s="230">
        <f>G32+G33+G34</f>
        <v>18725</v>
      </c>
      <c r="H35" s="231">
        <f>H32+H33+H34</f>
        <v>21248</v>
      </c>
      <c r="I35" s="231">
        <f>I32+I33+I34</f>
        <v>2099</v>
      </c>
      <c r="J35" s="232">
        <f>SUM(J32:J34)</f>
        <v>424</v>
      </c>
      <c r="K35" s="215"/>
      <c r="L35" s="230">
        <f>L32+L33+L34</f>
        <v>-57647</v>
      </c>
      <c r="M35" s="231">
        <f>M32+M33+M34</f>
        <v>10842</v>
      </c>
      <c r="N35" s="232">
        <f>SUM(N32:N34)</f>
        <v>-68489</v>
      </c>
    </row>
    <row r="36" spans="1:14" ht="12" customHeight="1" x14ac:dyDescent="0.2">
      <c r="A36" s="217"/>
      <c r="B36" s="237"/>
      <c r="C36" s="218"/>
      <c r="D36" s="104"/>
      <c r="E36" s="219"/>
      <c r="F36" s="241"/>
      <c r="G36" s="220"/>
      <c r="H36" s="104"/>
      <c r="I36" s="104"/>
      <c r="J36" s="219"/>
      <c r="K36" s="214"/>
      <c r="L36" s="218"/>
      <c r="M36" s="104"/>
      <c r="N36" s="219"/>
    </row>
    <row r="37" spans="1:14" ht="12" customHeight="1" x14ac:dyDescent="0.2">
      <c r="A37" s="217" t="s">
        <v>8</v>
      </c>
      <c r="B37" s="237"/>
      <c r="C37" s="218">
        <f>GrossMargin!J45</f>
        <v>319</v>
      </c>
      <c r="D37" s="104">
        <f>GrossMargin!N45</f>
        <v>2500</v>
      </c>
      <c r="E37" s="219">
        <f>-D37+C37</f>
        <v>-2181</v>
      </c>
      <c r="F37" s="241"/>
      <c r="G37" s="218">
        <f>Expenses!D41+'CapChrg-AllocExp'!D42+'CapChrg-AllocExp'!K42</f>
        <v>9197</v>
      </c>
      <c r="H37" s="104">
        <f>Expenses!E41+'CapChrg-AllocExp'!E42+'CapChrg-AllocExp'!L42</f>
        <v>7686</v>
      </c>
      <c r="I37" s="105">
        <f>'CapChrg-AllocExp'!F42</f>
        <v>0</v>
      </c>
      <c r="J37" s="213">
        <f>(H37-G37)-I37</f>
        <v>-1511</v>
      </c>
      <c r="K37" s="214"/>
      <c r="L37" s="218">
        <f t="shared" ref="L37:M39" si="13">C37-G37</f>
        <v>-8878</v>
      </c>
      <c r="M37" s="104">
        <f t="shared" si="13"/>
        <v>-5186</v>
      </c>
      <c r="N37" s="219">
        <f>L37-M37</f>
        <v>-3692</v>
      </c>
    </row>
    <row r="38" spans="1:14" ht="12" customHeight="1" x14ac:dyDescent="0.2">
      <c r="A38" s="217" t="s">
        <v>7</v>
      </c>
      <c r="B38" s="237"/>
      <c r="C38" s="218">
        <f>GrossMargin!J47</f>
        <v>-18812</v>
      </c>
      <c r="D38" s="104">
        <f>GrossMargin!N47</f>
        <v>0</v>
      </c>
      <c r="E38" s="219">
        <f>-D38+C38</f>
        <v>-18812</v>
      </c>
      <c r="F38" s="241"/>
      <c r="G38" s="218">
        <f>Expenses!D43+'CapChrg-AllocExp'!D44+'CapChrg-AllocExp'!K44</f>
        <v>9316</v>
      </c>
      <c r="H38" s="104">
        <f>Expenses!E43+'CapChrg-AllocExp'!E44+'CapChrg-AllocExp'!L44</f>
        <v>7099</v>
      </c>
      <c r="I38" s="105">
        <f>'CapChrg-AllocExp'!F44</f>
        <v>0</v>
      </c>
      <c r="J38" s="213">
        <f>(H38-G38)-I38</f>
        <v>-2217</v>
      </c>
      <c r="K38" s="214"/>
      <c r="L38" s="218">
        <f t="shared" si="13"/>
        <v>-28128</v>
      </c>
      <c r="M38" s="104">
        <f t="shared" si="13"/>
        <v>-7099</v>
      </c>
      <c r="N38" s="219">
        <f>L38-M38</f>
        <v>-21029</v>
      </c>
    </row>
    <row r="39" spans="1:14" ht="12" customHeight="1" x14ac:dyDescent="0.2">
      <c r="A39" s="217" t="s">
        <v>19</v>
      </c>
      <c r="B39" s="237"/>
      <c r="C39" s="218">
        <f>GrossMargin!J51</f>
        <v>0</v>
      </c>
      <c r="D39" s="104">
        <f>GrossMargin!N51</f>
        <v>52216</v>
      </c>
      <c r="E39" s="219">
        <f>-D39+C39</f>
        <v>-52216</v>
      </c>
      <c r="F39" s="241"/>
      <c r="G39" s="218">
        <f>Expenses!D55+'CapChrg-AllocExp'!D56+'CapChrg-AllocExp'!K56</f>
        <v>0</v>
      </c>
      <c r="H39" s="104">
        <f>Expenses!E55+'CapChrg-AllocExp'!E56+'CapChrg-AllocExp'!L56</f>
        <v>0</v>
      </c>
      <c r="I39" s="105">
        <v>0</v>
      </c>
      <c r="J39" s="213">
        <f>(H39-G39)-I39</f>
        <v>0</v>
      </c>
      <c r="K39" s="214"/>
      <c r="L39" s="218">
        <f t="shared" si="13"/>
        <v>0</v>
      </c>
      <c r="M39" s="104">
        <f t="shared" si="13"/>
        <v>52216</v>
      </c>
      <c r="N39" s="219">
        <f>L39-M39</f>
        <v>-52216</v>
      </c>
    </row>
    <row r="40" spans="1:14" s="202" customFormat="1" ht="12" customHeight="1" x14ac:dyDescent="0.25">
      <c r="A40" s="229" t="s">
        <v>10</v>
      </c>
      <c r="B40" s="238"/>
      <c r="C40" s="230">
        <f>SUM(C35:C39)+C17+C30</f>
        <v>537481</v>
      </c>
      <c r="D40" s="231">
        <f>SUM(D35:D39)+D17+D30</f>
        <v>392809</v>
      </c>
      <c r="E40" s="232">
        <f>SUM(E35:E39)+E17+E30</f>
        <v>144672</v>
      </c>
      <c r="F40" s="242"/>
      <c r="G40" s="230">
        <f>SUM(G35:G39)+G17+G30</f>
        <v>209061</v>
      </c>
      <c r="H40" s="231">
        <f>SUM(H35:H39)+H17+H30</f>
        <v>195208</v>
      </c>
      <c r="I40" s="231">
        <f>SUM(I35:I39)+I17+I30</f>
        <v>3706</v>
      </c>
      <c r="J40" s="232">
        <f>SUM(J35:J39)+J17+J30</f>
        <v>-17559</v>
      </c>
      <c r="K40" s="215"/>
      <c r="L40" s="230">
        <f>SUM(L35:L39)+L17+L30</f>
        <v>328420</v>
      </c>
      <c r="M40" s="231">
        <f>SUM(M35:M39)+M17+M30</f>
        <v>197601</v>
      </c>
      <c r="N40" s="232">
        <f>SUM(N35:N39)+N17+N30</f>
        <v>130819</v>
      </c>
    </row>
    <row r="41" spans="1:14" ht="12" customHeight="1" x14ac:dyDescent="0.2">
      <c r="A41" s="217"/>
      <c r="B41" s="237"/>
      <c r="C41" s="218"/>
      <c r="D41" s="104"/>
      <c r="E41" s="219"/>
      <c r="F41" s="241"/>
      <c r="G41" s="220"/>
      <c r="H41" s="104"/>
      <c r="I41" s="104"/>
      <c r="J41" s="219"/>
      <c r="K41" s="214"/>
      <c r="L41" s="218"/>
      <c r="M41" s="104"/>
      <c r="N41" s="219"/>
    </row>
    <row r="42" spans="1:14" ht="12" customHeight="1" x14ac:dyDescent="0.2">
      <c r="A42" s="217" t="s">
        <v>236</v>
      </c>
      <c r="B42" s="237"/>
      <c r="C42" s="218">
        <v>0</v>
      </c>
      <c r="D42" s="104">
        <v>0</v>
      </c>
      <c r="E42" s="219">
        <f t="shared" ref="E42:E47" si="14">-D42+C42</f>
        <v>0</v>
      </c>
      <c r="F42" s="241"/>
      <c r="G42" s="218">
        <f>Expenses!D47</f>
        <v>90230</v>
      </c>
      <c r="H42" s="104">
        <f>Expenses!E47</f>
        <v>59297</v>
      </c>
      <c r="I42" s="104">
        <v>0</v>
      </c>
      <c r="J42" s="213">
        <f t="shared" ref="J42:J47" si="15">(H42-G42)-I42</f>
        <v>-30933</v>
      </c>
      <c r="K42" s="214"/>
      <c r="L42" s="218">
        <f t="shared" ref="L42:M47" si="16">C42-G42</f>
        <v>-90230</v>
      </c>
      <c r="M42" s="104">
        <f t="shared" si="16"/>
        <v>-59297</v>
      </c>
      <c r="N42" s="219">
        <f t="shared" ref="N42:N47" si="17">L42-M42</f>
        <v>-30933</v>
      </c>
    </row>
    <row r="43" spans="1:14" ht="12" customHeight="1" x14ac:dyDescent="0.2">
      <c r="A43" s="217" t="s">
        <v>237</v>
      </c>
      <c r="B43" s="237"/>
      <c r="C43" s="218">
        <v>0</v>
      </c>
      <c r="D43" s="104">
        <v>0</v>
      </c>
      <c r="E43" s="219">
        <f t="shared" si="14"/>
        <v>0</v>
      </c>
      <c r="F43" s="241"/>
      <c r="G43" s="218">
        <f>'CapChrg-AllocExp'!K50</f>
        <v>-43116</v>
      </c>
      <c r="H43" s="104">
        <f>'CapChrg-AllocExp'!L50</f>
        <v>-42184</v>
      </c>
      <c r="I43" s="104">
        <v>0</v>
      </c>
      <c r="J43" s="213">
        <f t="shared" si="15"/>
        <v>932</v>
      </c>
      <c r="K43" s="214"/>
      <c r="L43" s="218">
        <f t="shared" si="16"/>
        <v>43116</v>
      </c>
      <c r="M43" s="104">
        <f t="shared" si="16"/>
        <v>42184</v>
      </c>
      <c r="N43" s="219">
        <f t="shared" si="17"/>
        <v>932</v>
      </c>
    </row>
    <row r="44" spans="1:14" ht="12" customHeight="1" x14ac:dyDescent="0.2">
      <c r="A44" s="217" t="s">
        <v>274</v>
      </c>
      <c r="B44" s="237"/>
      <c r="C44" s="218">
        <v>0</v>
      </c>
      <c r="D44" s="104">
        <v>0</v>
      </c>
      <c r="E44" s="219">
        <f t="shared" si="14"/>
        <v>0</v>
      </c>
      <c r="F44" s="241"/>
      <c r="G44" s="218">
        <f>Expenses!D49</f>
        <v>13698</v>
      </c>
      <c r="H44" s="104">
        <f>Expenses!E49</f>
        <v>13698</v>
      </c>
      <c r="I44" s="104">
        <v>0</v>
      </c>
      <c r="J44" s="213">
        <f t="shared" si="15"/>
        <v>0</v>
      </c>
      <c r="K44" s="214"/>
      <c r="L44" s="218">
        <f>C44-G44</f>
        <v>-13698</v>
      </c>
      <c r="M44" s="104">
        <f>D44-H44</f>
        <v>-13698</v>
      </c>
      <c r="N44" s="219">
        <f t="shared" si="17"/>
        <v>0</v>
      </c>
    </row>
    <row r="45" spans="1:14" ht="12" customHeight="1" x14ac:dyDescent="0.2">
      <c r="A45" s="217" t="s">
        <v>277</v>
      </c>
      <c r="B45" s="237"/>
      <c r="C45" s="218">
        <v>0</v>
      </c>
      <c r="D45" s="104">
        <v>0</v>
      </c>
      <c r="E45" s="219">
        <f t="shared" si="14"/>
        <v>0</v>
      </c>
      <c r="F45" s="241"/>
      <c r="G45" s="218">
        <f>'CapChrg-AllocExp'!K52</f>
        <v>-13343</v>
      </c>
      <c r="H45" s="104">
        <f>'CapChrg-AllocExp'!K52</f>
        <v>-13343</v>
      </c>
      <c r="I45" s="104">
        <v>0</v>
      </c>
      <c r="J45" s="213">
        <f t="shared" si="15"/>
        <v>0</v>
      </c>
      <c r="K45" s="214"/>
      <c r="L45" s="218">
        <f>C45-G45</f>
        <v>13343</v>
      </c>
      <c r="M45" s="104">
        <f>D45-H45</f>
        <v>13343</v>
      </c>
      <c r="N45" s="219">
        <f t="shared" si="17"/>
        <v>0</v>
      </c>
    </row>
    <row r="46" spans="1:14" ht="12" customHeight="1" x14ac:dyDescent="0.2">
      <c r="A46" s="217" t="s">
        <v>18</v>
      </c>
      <c r="B46" s="237"/>
      <c r="C46" s="218">
        <f>GrossMargin!J49</f>
        <v>-19178</v>
      </c>
      <c r="D46" s="104">
        <f>GrossMargin!N49</f>
        <v>-10795</v>
      </c>
      <c r="E46" s="219">
        <f t="shared" si="14"/>
        <v>-8383</v>
      </c>
      <c r="F46" s="243"/>
      <c r="G46" s="218">
        <f>Expenses!D51</f>
        <v>22625</v>
      </c>
      <c r="H46" s="104">
        <f>Expenses!E51</f>
        <v>26684</v>
      </c>
      <c r="I46" s="104">
        <v>0</v>
      </c>
      <c r="J46" s="213">
        <f t="shared" si="15"/>
        <v>4059</v>
      </c>
      <c r="K46" s="214"/>
      <c r="L46" s="218">
        <f t="shared" si="16"/>
        <v>-41803</v>
      </c>
      <c r="M46" s="104">
        <f t="shared" si="16"/>
        <v>-37479</v>
      </c>
      <c r="N46" s="219">
        <f t="shared" si="17"/>
        <v>-4324</v>
      </c>
    </row>
    <row r="47" spans="1:14" ht="12" customHeight="1" x14ac:dyDescent="0.2">
      <c r="A47" s="217" t="s">
        <v>60</v>
      </c>
      <c r="B47" s="237"/>
      <c r="C47" s="218">
        <v>0</v>
      </c>
      <c r="D47" s="104">
        <v>0</v>
      </c>
      <c r="E47" s="219">
        <f t="shared" si="14"/>
        <v>0</v>
      </c>
      <c r="F47" s="241"/>
      <c r="G47" s="218">
        <f>'CapChrg-AllocExp'!D46</f>
        <v>-39234</v>
      </c>
      <c r="H47" s="104">
        <f>'CapChrg-AllocExp'!E46</f>
        <v>-42940</v>
      </c>
      <c r="I47" s="104">
        <f>'CapChrg-AllocExp'!F46</f>
        <v>-3706</v>
      </c>
      <c r="J47" s="213">
        <f t="shared" si="15"/>
        <v>0</v>
      </c>
      <c r="K47" s="214"/>
      <c r="L47" s="218">
        <f t="shared" si="16"/>
        <v>39234</v>
      </c>
      <c r="M47" s="104">
        <f t="shared" si="16"/>
        <v>42940</v>
      </c>
      <c r="N47" s="219">
        <f t="shared" si="17"/>
        <v>-3706</v>
      </c>
    </row>
    <row r="48" spans="1:14" s="202" customFormat="1" ht="12" customHeight="1" x14ac:dyDescent="0.25">
      <c r="A48" s="229" t="s">
        <v>65</v>
      </c>
      <c r="B48" s="238"/>
      <c r="C48" s="230">
        <f>SUM(C40:C47)</f>
        <v>518303</v>
      </c>
      <c r="D48" s="231">
        <f>SUM(D40:D47)</f>
        <v>382014</v>
      </c>
      <c r="E48" s="233">
        <f>SUM(E40:E47)</f>
        <v>136289</v>
      </c>
      <c r="F48" s="242"/>
      <c r="G48" s="230">
        <f>SUM(G40:G47)</f>
        <v>239921</v>
      </c>
      <c r="H48" s="231">
        <f>SUM(H40:H47)</f>
        <v>196420</v>
      </c>
      <c r="I48" s="231">
        <f>SUM(I40:I47)</f>
        <v>0</v>
      </c>
      <c r="J48" s="233">
        <f>SUM(J40:J47)</f>
        <v>-43501</v>
      </c>
      <c r="K48" s="215"/>
      <c r="L48" s="230">
        <f>SUM(L40:L47)</f>
        <v>278382</v>
      </c>
      <c r="M48" s="231">
        <f>SUM(M40:M47)</f>
        <v>185594</v>
      </c>
      <c r="N48" s="233">
        <f>SUM(N40:N47)</f>
        <v>92788</v>
      </c>
    </row>
    <row r="49" spans="1:14" ht="12" customHeight="1" thickBot="1" x14ac:dyDescent="0.25">
      <c r="A49" s="217" t="s">
        <v>150</v>
      </c>
      <c r="B49" s="237"/>
      <c r="C49" s="218">
        <v>0</v>
      </c>
      <c r="D49" s="104">
        <v>0</v>
      </c>
      <c r="E49" s="219">
        <f>D49-C49</f>
        <v>0</v>
      </c>
      <c r="F49" s="241"/>
      <c r="G49" s="218">
        <f>'Old Mgmt Summary'!M61</f>
        <v>14700</v>
      </c>
      <c r="H49" s="104">
        <f>'Old Mgmt Summary'!D61</f>
        <v>8600</v>
      </c>
      <c r="I49" s="104"/>
      <c r="J49" s="219">
        <f>H49-G49</f>
        <v>-6100</v>
      </c>
      <c r="K49" s="214"/>
      <c r="L49" s="218">
        <f>C49-G49</f>
        <v>-14700</v>
      </c>
      <c r="M49" s="104">
        <f>D49-H49</f>
        <v>-8600</v>
      </c>
      <c r="N49" s="219">
        <f>L49-M49</f>
        <v>-6100</v>
      </c>
    </row>
    <row r="50" spans="1:14" s="202" customFormat="1" ht="12" customHeight="1" thickBot="1" x14ac:dyDescent="0.3">
      <c r="A50" s="249" t="s">
        <v>66</v>
      </c>
      <c r="B50" s="250"/>
      <c r="C50" s="251">
        <f>SUM(C48:C49)</f>
        <v>518303</v>
      </c>
      <c r="D50" s="252">
        <f>SUM(D48:D49)</f>
        <v>382014</v>
      </c>
      <c r="E50" s="253">
        <f>SUM(E48:E49)</f>
        <v>136289</v>
      </c>
      <c r="F50" s="254"/>
      <c r="G50" s="251">
        <f>SUM(G48:G49)</f>
        <v>254621</v>
      </c>
      <c r="H50" s="252">
        <f>SUM(H48:H49)</f>
        <v>205020</v>
      </c>
      <c r="I50" s="252">
        <f>SUM(I48:I49)</f>
        <v>0</v>
      </c>
      <c r="J50" s="253">
        <f>SUM(J48:J49)</f>
        <v>-49601</v>
      </c>
      <c r="K50" s="254"/>
      <c r="L50" s="251">
        <f>SUM(L48:L49)</f>
        <v>263682</v>
      </c>
      <c r="M50" s="252">
        <f>SUM(M48:M49)</f>
        <v>176994</v>
      </c>
      <c r="N50" s="253">
        <f>SUM(N48:N49)</f>
        <v>86688</v>
      </c>
    </row>
    <row r="51" spans="1:14" ht="3" customHeight="1" x14ac:dyDescent="0.3">
      <c r="A51" s="184"/>
      <c r="C51" s="185"/>
      <c r="D51" s="42"/>
      <c r="E51" s="184"/>
      <c r="F51" s="44"/>
      <c r="J51" s="176"/>
    </row>
    <row r="52" spans="1:14" x14ac:dyDescent="0.2">
      <c r="A52" s="176" t="s">
        <v>149</v>
      </c>
      <c r="C52" s="44"/>
      <c r="D52" s="42"/>
      <c r="E52" s="44"/>
      <c r="F52" s="44"/>
    </row>
    <row r="53" spans="1:14" ht="13.5" customHeight="1" x14ac:dyDescent="0.2">
      <c r="A53" s="176" t="s">
        <v>298</v>
      </c>
      <c r="D53" s="38"/>
      <c r="E53" s="38"/>
      <c r="F53" s="38"/>
      <c r="G53" s="38"/>
      <c r="H53" s="38"/>
      <c r="I53" s="38"/>
    </row>
    <row r="54" spans="1:14" ht="13.8" x14ac:dyDescent="0.3">
      <c r="C54" s="307" t="s">
        <v>300</v>
      </c>
      <c r="D54" s="308"/>
      <c r="E54" s="309"/>
      <c r="G54" s="307" t="s">
        <v>301</v>
      </c>
      <c r="H54" s="308"/>
      <c r="I54" s="308"/>
      <c r="J54" s="309"/>
    </row>
    <row r="55" spans="1:14" x14ac:dyDescent="0.2">
      <c r="C55" s="221" t="s">
        <v>247</v>
      </c>
      <c r="D55" s="203"/>
      <c r="E55" s="66">
        <f>'GM-WklyChnge'!C52</f>
        <v>-12622</v>
      </c>
      <c r="G55" s="221" t="s">
        <v>245</v>
      </c>
      <c r="H55" s="203"/>
      <c r="I55" s="314">
        <f>'Expense Weekly Change'!D58+'Expense Weekly Change'!D60+'Expense Weekly Change'!D59</f>
        <v>1664</v>
      </c>
      <c r="J55" s="314"/>
    </row>
    <row r="56" spans="1:14" x14ac:dyDescent="0.2">
      <c r="C56" s="221" t="s">
        <v>287</v>
      </c>
      <c r="D56" s="203"/>
      <c r="E56" s="66">
        <f>'GM-WklyChnge'!D52</f>
        <v>-7035</v>
      </c>
      <c r="G56" s="221" t="s">
        <v>270</v>
      </c>
      <c r="H56" s="203"/>
      <c r="I56" s="314">
        <f>'Expense Weekly Change'!D45</f>
        <v>-1197</v>
      </c>
      <c r="J56" s="314"/>
    </row>
    <row r="57" spans="1:14" x14ac:dyDescent="0.2">
      <c r="C57" s="221" t="s">
        <v>288</v>
      </c>
      <c r="D57" s="203"/>
      <c r="E57" s="66">
        <f>'GM-WklyChnge'!E52+'GM-WklyChnge'!F52+'GM-WklyChnge'!G52</f>
        <v>7026</v>
      </c>
      <c r="G57" s="221" t="s">
        <v>53</v>
      </c>
      <c r="H57" s="203"/>
      <c r="I57" s="265"/>
      <c r="J57" s="266">
        <f>'Expense Weekly Change'!D47+'Expense Weekly Change'!D49</f>
        <v>0</v>
      </c>
    </row>
    <row r="58" spans="1:14" x14ac:dyDescent="0.2">
      <c r="C58" s="222"/>
      <c r="D58" s="223"/>
      <c r="E58" s="224"/>
      <c r="G58" s="222"/>
      <c r="H58" s="223"/>
      <c r="I58" s="282"/>
      <c r="J58" s="281"/>
    </row>
    <row r="59" spans="1:14" ht="13.8" x14ac:dyDescent="0.3">
      <c r="C59" s="234" t="s">
        <v>182</v>
      </c>
      <c r="D59" s="235"/>
      <c r="E59" s="277">
        <f>SUM(E55:E58)</f>
        <v>-12631</v>
      </c>
      <c r="G59" s="234" t="s">
        <v>182</v>
      </c>
      <c r="H59" s="235"/>
      <c r="I59" s="315">
        <f>+J57+I56+I55+J58</f>
        <v>467</v>
      </c>
      <c r="J59" s="316"/>
    </row>
    <row r="60" spans="1:14" x14ac:dyDescent="0.2">
      <c r="M60" s="27" t="s">
        <v>286</v>
      </c>
    </row>
    <row r="62" spans="1:14" ht="13.8" x14ac:dyDescent="0.3">
      <c r="C62" s="272" t="s">
        <v>235</v>
      </c>
      <c r="D62" s="273"/>
      <c r="E62" s="274">
        <f>'[2]QTD Mgmt Summary'!$C$50</f>
        <v>530934</v>
      </c>
      <c r="G62" s="272" t="s">
        <v>235</v>
      </c>
      <c r="H62" s="273"/>
      <c r="I62" s="312">
        <f>'[2]QTD Mgmt Summary'!$G$50</f>
        <v>254154</v>
      </c>
      <c r="J62" s="312"/>
    </row>
    <row r="63" spans="1:14" s="152" customFormat="1" ht="13.8" x14ac:dyDescent="0.3">
      <c r="A63" s="27"/>
      <c r="B63" s="27"/>
      <c r="C63" s="272" t="s">
        <v>244</v>
      </c>
      <c r="D63" s="272"/>
      <c r="E63" s="276">
        <f>C50</f>
        <v>518303</v>
      </c>
      <c r="G63" s="272" t="s">
        <v>244</v>
      </c>
      <c r="H63" s="272"/>
      <c r="I63" s="313">
        <f>G50</f>
        <v>254621</v>
      </c>
      <c r="J63" s="313"/>
    </row>
    <row r="64" spans="1:14" s="152" customFormat="1" ht="6" customHeight="1" x14ac:dyDescent="0.3">
      <c r="A64" s="27"/>
      <c r="B64" s="27"/>
      <c r="C64" s="272"/>
      <c r="D64" s="272"/>
      <c r="E64" s="275"/>
      <c r="G64" s="272"/>
      <c r="H64" s="272"/>
      <c r="I64" s="275"/>
    </row>
    <row r="65" spans="1:10" s="152" customFormat="1" ht="12.75" customHeight="1" thickBot="1" x14ac:dyDescent="0.25">
      <c r="A65" s="27"/>
      <c r="B65" s="27"/>
      <c r="C65" s="286" t="s">
        <v>256</v>
      </c>
      <c r="D65" s="284"/>
      <c r="E65" s="285">
        <f>+E63-E62</f>
        <v>-12631</v>
      </c>
      <c r="G65" s="286" t="s">
        <v>256</v>
      </c>
      <c r="H65" s="284"/>
      <c r="I65" s="311">
        <f>+I63-I62</f>
        <v>467</v>
      </c>
      <c r="J65" s="311"/>
    </row>
    <row r="66" spans="1:10" ht="10.8" thickTop="1" x14ac:dyDescent="0.2"/>
  </sheetData>
  <mergeCells count="12">
    <mergeCell ref="I65:J65"/>
    <mergeCell ref="I62:J62"/>
    <mergeCell ref="I63:J63"/>
    <mergeCell ref="I55:J55"/>
    <mergeCell ref="I56:J56"/>
    <mergeCell ref="I59:J59"/>
    <mergeCell ref="C54:E54"/>
    <mergeCell ref="C5:E5"/>
    <mergeCell ref="L5:N5"/>
    <mergeCell ref="I6:J6"/>
    <mergeCell ref="G5:J5"/>
    <mergeCell ref="G54:J54"/>
  </mergeCells>
  <printOptions horizontalCentered="1" verticalCentered="1"/>
  <pageMargins left="0.17" right="0.25" top="0.17" bottom="0.28000000000000003" header="0.17" footer="0.26"/>
  <pageSetup scale="93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ColWidth="9.109375" defaultRowHeight="13.8" x14ac:dyDescent="0.3"/>
  <cols>
    <col min="1" max="1" width="1.6640625" style="85" customWidth="1"/>
    <col min="2" max="2" width="19.6640625" style="85" customWidth="1"/>
    <col min="3" max="3" width="10.6640625" style="85" customWidth="1"/>
    <col min="4" max="4" width="1.6640625" style="85" customWidth="1"/>
    <col min="5" max="5" width="8.6640625" style="85" customWidth="1"/>
    <col min="6" max="6" width="1.6640625" style="85" customWidth="1"/>
    <col min="7" max="7" width="8.6640625" style="85" customWidth="1"/>
    <col min="8" max="8" width="1.6640625" style="85" customWidth="1"/>
    <col min="9" max="9" width="8.6640625" style="85" customWidth="1"/>
    <col min="10" max="10" width="1.6640625" style="85" customWidth="1"/>
    <col min="11" max="11" width="8.6640625" style="85" customWidth="1"/>
    <col min="12" max="12" width="1.6640625" style="85" customWidth="1"/>
    <col min="13" max="13" width="8.6640625" style="85" customWidth="1"/>
    <col min="14" max="14" width="9.109375" style="149"/>
    <col min="15" max="15" width="9.109375" style="169"/>
    <col min="16" max="24" width="9.109375" style="149"/>
    <col min="25" max="16384" width="9.109375" style="85"/>
  </cols>
  <sheetData>
    <row r="1" spans="1:24" ht="15.6" x14ac:dyDescent="0.3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146"/>
      <c r="O1" s="166"/>
      <c r="P1" s="146"/>
      <c r="Q1" s="146"/>
      <c r="R1" s="146"/>
      <c r="S1" s="146"/>
      <c r="T1" s="146"/>
      <c r="U1" s="146"/>
      <c r="V1" s="146"/>
      <c r="W1" s="146"/>
      <c r="X1" s="146"/>
    </row>
    <row r="2" spans="1:24" ht="14.4" x14ac:dyDescent="0.3">
      <c r="A2" s="318" t="s">
        <v>158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147"/>
      <c r="O2" s="167"/>
      <c r="P2" s="147"/>
      <c r="Q2" s="147"/>
      <c r="R2" s="147"/>
      <c r="S2" s="147"/>
      <c r="T2" s="147"/>
      <c r="U2" s="147"/>
      <c r="V2" s="147"/>
      <c r="W2" s="147"/>
      <c r="X2" s="147"/>
    </row>
    <row r="3" spans="1:24" x14ac:dyDescent="0.3">
      <c r="A3" s="319" t="str">
        <f>'Old Mgmt Summary'!A3</f>
        <v>Results based on Activity through June 22, 2000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148"/>
      <c r="O3" s="168"/>
      <c r="P3" s="148"/>
      <c r="Q3" s="148"/>
      <c r="R3" s="148"/>
      <c r="S3" s="148"/>
      <c r="T3" s="148"/>
      <c r="U3" s="148"/>
      <c r="V3" s="148"/>
      <c r="W3" s="148"/>
      <c r="X3" s="148"/>
    </row>
    <row r="4" spans="1:24" ht="3" customHeight="1" x14ac:dyDescent="0.3"/>
    <row r="5" spans="1:24" s="27" customFormat="1" ht="10.199999999999999" x14ac:dyDescent="0.2">
      <c r="A5" s="150" t="s">
        <v>94</v>
      </c>
      <c r="B5" s="151"/>
      <c r="C5" s="151"/>
      <c r="D5" s="151"/>
      <c r="E5" s="144" t="s">
        <v>95</v>
      </c>
      <c r="F5" s="151"/>
      <c r="G5" s="144" t="s">
        <v>96</v>
      </c>
      <c r="H5" s="151"/>
      <c r="I5" s="144" t="s">
        <v>97</v>
      </c>
      <c r="J5" s="151"/>
      <c r="K5" s="144" t="s">
        <v>98</v>
      </c>
      <c r="L5" s="151"/>
      <c r="M5" s="145" t="s">
        <v>14</v>
      </c>
      <c r="N5" s="152"/>
      <c r="O5" s="170"/>
      <c r="P5" s="152"/>
      <c r="Q5" s="152"/>
      <c r="R5" s="152"/>
      <c r="S5" s="172" t="s">
        <v>115</v>
      </c>
      <c r="T5" s="152"/>
      <c r="U5" s="152"/>
      <c r="V5" s="152"/>
      <c r="W5" s="152"/>
      <c r="X5" s="152"/>
    </row>
    <row r="6" spans="1:24" s="27" customFormat="1" ht="3" customHeight="1" x14ac:dyDescent="0.2">
      <c r="N6" s="152"/>
      <c r="O6" s="171"/>
      <c r="P6" s="152"/>
      <c r="Q6" s="152"/>
      <c r="R6" s="152"/>
      <c r="S6" s="152"/>
      <c r="T6" s="152"/>
      <c r="U6" s="152"/>
      <c r="V6" s="152"/>
      <c r="W6" s="152"/>
      <c r="X6" s="152"/>
    </row>
    <row r="7" spans="1:24" s="27" customFormat="1" ht="10.199999999999999" x14ac:dyDescent="0.2">
      <c r="A7" s="153" t="s">
        <v>114</v>
      </c>
      <c r="N7" s="152"/>
      <c r="O7" s="171"/>
      <c r="P7" s="152"/>
      <c r="Q7" s="152"/>
      <c r="R7" s="152"/>
      <c r="S7" s="152"/>
      <c r="T7" s="152"/>
      <c r="U7" s="152"/>
      <c r="V7" s="152"/>
      <c r="W7" s="152"/>
      <c r="X7" s="152"/>
    </row>
    <row r="8" spans="1:24" s="27" customFormat="1" ht="10.199999999999999" x14ac:dyDescent="0.2">
      <c r="A8" s="153"/>
      <c r="N8" s="152"/>
      <c r="O8" s="171"/>
      <c r="P8" s="152"/>
      <c r="Q8" s="152"/>
      <c r="R8" s="152"/>
      <c r="S8" s="152"/>
      <c r="T8" s="152"/>
      <c r="U8" s="152"/>
      <c r="V8" s="152"/>
      <c r="W8" s="152"/>
      <c r="X8" s="152"/>
    </row>
    <row r="9" spans="1:24" s="27" customFormat="1" ht="10.199999999999999" x14ac:dyDescent="0.2">
      <c r="E9" s="44"/>
      <c r="F9" s="44"/>
      <c r="G9" s="44"/>
      <c r="H9" s="44"/>
      <c r="I9" s="44"/>
      <c r="J9" s="44"/>
      <c r="K9" s="44"/>
      <c r="L9" s="44"/>
      <c r="M9" s="154"/>
      <c r="N9" s="152"/>
      <c r="O9" s="171"/>
      <c r="P9" s="152"/>
      <c r="Q9" s="152"/>
      <c r="R9" s="152"/>
      <c r="S9" s="152"/>
      <c r="T9" s="152"/>
      <c r="U9" s="152"/>
      <c r="V9" s="152"/>
      <c r="W9" s="152"/>
      <c r="X9" s="152"/>
    </row>
    <row r="10" spans="1:24" s="27" customFormat="1" ht="10.199999999999999" x14ac:dyDescent="0.2">
      <c r="A10" s="155"/>
      <c r="B10" s="155"/>
      <c r="C10" s="155"/>
      <c r="D10" s="155"/>
      <c r="E10" s="156">
        <f>SUM(E8:E9)</f>
        <v>0</v>
      </c>
      <c r="F10" s="157"/>
      <c r="G10" s="156">
        <f>SUM(G8:G9)</f>
        <v>0</v>
      </c>
      <c r="H10" s="157"/>
      <c r="I10" s="156">
        <f>SUM(I8:I9)</f>
        <v>0</v>
      </c>
      <c r="J10" s="157"/>
      <c r="K10" s="156">
        <f>SUM(K8:K9)</f>
        <v>0</v>
      </c>
      <c r="L10" s="157"/>
      <c r="M10" s="156">
        <f>SUM(E10:K10)</f>
        <v>0</v>
      </c>
      <c r="N10" s="152"/>
      <c r="O10" s="171"/>
      <c r="P10" s="152"/>
      <c r="Q10" s="152"/>
      <c r="R10" s="152"/>
      <c r="S10" s="152"/>
      <c r="T10" s="152"/>
      <c r="U10" s="152"/>
      <c r="V10" s="152"/>
      <c r="W10" s="152"/>
      <c r="X10" s="152"/>
    </row>
    <row r="11" spans="1:24" s="27" customFormat="1" ht="10.199999999999999" x14ac:dyDescent="0.2">
      <c r="A11" s="153" t="s">
        <v>5</v>
      </c>
      <c r="N11" s="152"/>
      <c r="O11" s="171"/>
      <c r="P11" s="152"/>
      <c r="Q11" s="152"/>
      <c r="R11" s="152"/>
      <c r="S11" s="152"/>
      <c r="T11" s="152"/>
      <c r="U11" s="152"/>
      <c r="V11" s="152"/>
      <c r="W11" s="152"/>
      <c r="X11" s="152"/>
    </row>
    <row r="12" spans="1:24" s="27" customFormat="1" ht="10.199999999999999" x14ac:dyDescent="0.2">
      <c r="A12" s="153"/>
      <c r="B12" s="27" t="s">
        <v>183</v>
      </c>
      <c r="C12" s="27" t="s">
        <v>184</v>
      </c>
      <c r="I12" s="44">
        <v>2000</v>
      </c>
      <c r="N12" s="152"/>
      <c r="O12" s="171"/>
      <c r="P12" s="152"/>
      <c r="Q12" s="152"/>
      <c r="R12" s="152"/>
      <c r="S12" s="152"/>
      <c r="T12" s="152"/>
      <c r="U12" s="152"/>
      <c r="V12" s="152"/>
      <c r="W12" s="152"/>
      <c r="X12" s="152"/>
    </row>
    <row r="13" spans="1:24" s="27" customFormat="1" ht="10.199999999999999" x14ac:dyDescent="0.2">
      <c r="A13" s="153"/>
      <c r="B13" s="27" t="s">
        <v>185</v>
      </c>
      <c r="C13" s="27" t="s">
        <v>184</v>
      </c>
      <c r="I13" s="44">
        <v>2000</v>
      </c>
      <c r="N13" s="152"/>
      <c r="O13" s="171"/>
      <c r="P13" s="152"/>
      <c r="Q13" s="152"/>
      <c r="R13" s="152"/>
      <c r="S13" s="152"/>
      <c r="T13" s="152"/>
      <c r="U13" s="152"/>
      <c r="V13" s="152"/>
      <c r="W13" s="152"/>
      <c r="X13" s="152"/>
    </row>
    <row r="14" spans="1:24" s="27" customFormat="1" ht="10.199999999999999" x14ac:dyDescent="0.2">
      <c r="A14" s="153"/>
      <c r="B14" s="27" t="s">
        <v>186</v>
      </c>
      <c r="C14" s="27" t="s">
        <v>187</v>
      </c>
      <c r="I14" s="44">
        <v>1000</v>
      </c>
      <c r="N14" s="152"/>
      <c r="O14" s="171"/>
      <c r="P14" s="152"/>
      <c r="Q14" s="152"/>
      <c r="R14" s="152"/>
      <c r="S14" s="152"/>
      <c r="T14" s="152"/>
      <c r="U14" s="152"/>
      <c r="V14" s="152"/>
      <c r="W14" s="152"/>
      <c r="X14" s="152"/>
    </row>
    <row r="15" spans="1:24" s="27" customFormat="1" ht="10.199999999999999" x14ac:dyDescent="0.2">
      <c r="A15" s="153"/>
      <c r="B15" s="27" t="s">
        <v>188</v>
      </c>
      <c r="C15" s="27" t="s">
        <v>189</v>
      </c>
      <c r="I15" s="44">
        <v>2000</v>
      </c>
      <c r="N15" s="152"/>
      <c r="O15" s="171"/>
      <c r="P15" s="152"/>
      <c r="Q15" s="152"/>
      <c r="R15" s="152"/>
      <c r="S15" s="152"/>
      <c r="T15" s="152"/>
      <c r="U15" s="152"/>
      <c r="V15" s="152"/>
      <c r="W15" s="152"/>
      <c r="X15" s="152"/>
    </row>
    <row r="16" spans="1:24" s="27" customFormat="1" ht="10.199999999999999" x14ac:dyDescent="0.2">
      <c r="A16" s="155"/>
      <c r="B16" s="155"/>
      <c r="C16" s="155"/>
      <c r="D16" s="155"/>
      <c r="E16" s="156">
        <f>SUM(E12:E15)</f>
        <v>0</v>
      </c>
      <c r="F16" s="157"/>
      <c r="G16" s="156">
        <f>SUM(G12:G15)</f>
        <v>0</v>
      </c>
      <c r="H16" s="157"/>
      <c r="I16" s="156">
        <f>SUM(I12:I15)</f>
        <v>7000</v>
      </c>
      <c r="J16" s="157"/>
      <c r="K16" s="156">
        <f>SUM(K12:K15)</f>
        <v>0</v>
      </c>
      <c r="L16" s="157"/>
      <c r="M16" s="156">
        <f>SUM(E16:K16)</f>
        <v>7000</v>
      </c>
      <c r="N16" s="152"/>
      <c r="O16" s="171"/>
      <c r="P16" s="152"/>
      <c r="Q16" s="152"/>
      <c r="R16" s="152"/>
      <c r="S16" s="152"/>
      <c r="T16" s="152"/>
      <c r="U16" s="152"/>
      <c r="V16" s="152"/>
      <c r="W16" s="152"/>
      <c r="X16" s="152"/>
    </row>
    <row r="17" spans="1:24" s="27" customFormat="1" ht="10.199999999999999" x14ac:dyDescent="0.2">
      <c r="A17" s="153" t="s">
        <v>156</v>
      </c>
      <c r="N17" s="152"/>
      <c r="O17" s="171"/>
      <c r="P17" s="152"/>
      <c r="Q17" s="152"/>
      <c r="R17" s="152"/>
      <c r="S17" s="152"/>
      <c r="T17" s="152"/>
      <c r="U17" s="152"/>
      <c r="V17" s="152"/>
      <c r="W17" s="152"/>
      <c r="X17" s="152"/>
    </row>
    <row r="18" spans="1:24" s="27" customFormat="1" ht="10.199999999999999" x14ac:dyDescent="0.2">
      <c r="A18" s="153"/>
      <c r="B18" s="27" t="s">
        <v>226</v>
      </c>
      <c r="C18" s="27" t="s">
        <v>227</v>
      </c>
      <c r="G18" s="44">
        <v>1000</v>
      </c>
      <c r="N18" s="152"/>
      <c r="O18" s="171"/>
      <c r="P18" s="152"/>
      <c r="Q18" s="152"/>
      <c r="R18" s="152"/>
      <c r="S18" s="152"/>
      <c r="T18" s="152"/>
      <c r="U18" s="152"/>
      <c r="V18" s="152"/>
      <c r="W18" s="152"/>
      <c r="X18" s="152"/>
    </row>
    <row r="19" spans="1:24" s="27" customFormat="1" ht="10.199999999999999" x14ac:dyDescent="0.2">
      <c r="A19" s="153"/>
      <c r="G19" s="44"/>
      <c r="I19" s="44"/>
      <c r="N19" s="152"/>
      <c r="O19" s="171"/>
      <c r="P19" s="152"/>
      <c r="Q19" s="152"/>
      <c r="R19" s="152"/>
      <c r="S19" s="152"/>
      <c r="T19" s="152"/>
      <c r="U19" s="152"/>
      <c r="V19" s="152"/>
      <c r="W19" s="152"/>
      <c r="X19" s="152"/>
    </row>
    <row r="20" spans="1:24" s="27" customFormat="1" ht="10.199999999999999" x14ac:dyDescent="0.2">
      <c r="A20" s="155"/>
      <c r="B20" s="155"/>
      <c r="C20" s="155"/>
      <c r="D20" s="155"/>
      <c r="E20" s="156">
        <f>SUM(E18:E19)</f>
        <v>0</v>
      </c>
      <c r="F20" s="157"/>
      <c r="G20" s="156">
        <f>SUM(G18:G19)</f>
        <v>1000</v>
      </c>
      <c r="H20" s="157"/>
      <c r="I20" s="156">
        <f>SUM(I18:I19)</f>
        <v>0</v>
      </c>
      <c r="J20" s="157"/>
      <c r="K20" s="156">
        <f>SUM(K18:K19)</f>
        <v>0</v>
      </c>
      <c r="L20" s="157"/>
      <c r="M20" s="156">
        <f>SUM(E20:K20)</f>
        <v>1000</v>
      </c>
      <c r="N20" s="152"/>
      <c r="O20" s="171"/>
      <c r="P20" s="152"/>
      <c r="Q20" s="152"/>
      <c r="R20" s="152"/>
      <c r="S20" s="152"/>
      <c r="T20" s="152"/>
      <c r="U20" s="152"/>
      <c r="V20" s="152"/>
      <c r="W20" s="152"/>
      <c r="X20" s="152"/>
    </row>
    <row r="21" spans="1:24" s="27" customFormat="1" ht="12.75" customHeight="1" x14ac:dyDescent="0.2">
      <c r="A21" s="153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2"/>
      <c r="O21" s="171"/>
      <c r="P21" s="152"/>
      <c r="Q21" s="152"/>
      <c r="R21" s="152"/>
      <c r="S21" s="152"/>
      <c r="T21" s="152"/>
      <c r="U21" s="152"/>
      <c r="V21" s="152"/>
      <c r="W21" s="152"/>
      <c r="X21" s="152"/>
    </row>
    <row r="22" spans="1:24" s="27" customFormat="1" ht="12.75" customHeight="1" x14ac:dyDescent="0.2">
      <c r="A22" s="153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2"/>
      <c r="O22" s="171"/>
      <c r="P22" s="152"/>
      <c r="Q22" s="152"/>
      <c r="R22" s="152"/>
      <c r="S22" s="152" t="s">
        <v>122</v>
      </c>
      <c r="T22" s="152"/>
      <c r="U22" s="152"/>
      <c r="V22" s="152"/>
      <c r="W22" s="152"/>
      <c r="X22" s="152"/>
    </row>
    <row r="23" spans="1:24" s="27" customFormat="1" ht="12.75" customHeight="1" x14ac:dyDescent="0.2">
      <c r="E23" s="44"/>
      <c r="F23" s="44"/>
      <c r="G23" s="44"/>
      <c r="H23" s="44"/>
      <c r="I23" s="44"/>
      <c r="J23" s="44"/>
      <c r="K23" s="44"/>
      <c r="L23" s="44"/>
      <c r="M23" s="44"/>
      <c r="N23" s="152"/>
      <c r="O23" s="171"/>
      <c r="P23" s="152"/>
      <c r="Q23" s="152"/>
      <c r="R23" s="152"/>
      <c r="S23" s="152"/>
      <c r="T23" s="152"/>
      <c r="U23" s="152"/>
      <c r="V23" s="152"/>
      <c r="W23" s="152"/>
      <c r="X23" s="152"/>
    </row>
    <row r="24" spans="1:24" s="27" customFormat="1" ht="12.75" customHeight="1" x14ac:dyDescent="0.2">
      <c r="A24" s="155"/>
      <c r="B24" s="155"/>
      <c r="C24" s="155"/>
      <c r="D24" s="155"/>
      <c r="E24" s="156">
        <f>SUM(E22:E23)</f>
        <v>0</v>
      </c>
      <c r="F24" s="157"/>
      <c r="G24" s="156">
        <f>SUM(G22:G23)</f>
        <v>0</v>
      </c>
      <c r="H24" s="157"/>
      <c r="I24" s="156">
        <f>SUM(I22:I23)</f>
        <v>2000</v>
      </c>
      <c r="J24" s="157"/>
      <c r="K24" s="156">
        <f>SUM(K22:K23)</f>
        <v>0</v>
      </c>
      <c r="L24" s="157"/>
      <c r="M24" s="156">
        <f>SUM(E24:K24)</f>
        <v>2000</v>
      </c>
      <c r="N24" s="152"/>
      <c r="O24" s="171"/>
      <c r="P24" s="152"/>
      <c r="Q24" s="152"/>
      <c r="R24" s="152"/>
      <c r="S24" s="152"/>
      <c r="T24" s="152"/>
      <c r="U24" s="152"/>
      <c r="V24" s="152"/>
      <c r="W24" s="152"/>
      <c r="X24" s="152"/>
    </row>
    <row r="25" spans="1:24" s="27" customFormat="1" ht="10.199999999999999" x14ac:dyDescent="0.2">
      <c r="A25" s="153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2"/>
      <c r="O25" s="171"/>
      <c r="P25" s="152"/>
      <c r="Q25" s="152"/>
      <c r="R25" s="152"/>
      <c r="S25" s="152"/>
      <c r="T25" s="152"/>
      <c r="U25" s="152"/>
      <c r="V25" s="152"/>
      <c r="W25" s="152"/>
      <c r="X25" s="152"/>
    </row>
    <row r="26" spans="1:24" s="27" customFormat="1" ht="10.199999999999999" x14ac:dyDescent="0.2">
      <c r="E26" s="44"/>
      <c r="F26" s="44"/>
      <c r="G26" s="44"/>
      <c r="H26" s="44"/>
      <c r="I26" s="44"/>
      <c r="J26" s="44"/>
      <c r="K26" s="44"/>
      <c r="L26" s="44"/>
      <c r="M26" s="44"/>
      <c r="N26" s="152"/>
      <c r="O26" s="171"/>
      <c r="P26" s="152"/>
      <c r="Q26" s="152"/>
      <c r="R26" s="152"/>
      <c r="S26" s="152"/>
      <c r="T26" s="152"/>
      <c r="U26" s="152"/>
      <c r="V26" s="152"/>
      <c r="W26" s="152"/>
      <c r="X26" s="152"/>
    </row>
    <row r="27" spans="1:24" s="27" customFormat="1" ht="10.199999999999999" x14ac:dyDescent="0.2">
      <c r="E27" s="44"/>
      <c r="F27" s="44"/>
      <c r="G27" s="44"/>
      <c r="H27" s="44"/>
      <c r="I27" s="44"/>
      <c r="J27" s="44"/>
      <c r="K27" s="44"/>
      <c r="L27" s="44"/>
      <c r="M27" s="44"/>
      <c r="N27" s="152"/>
      <c r="O27" s="171"/>
      <c r="P27" s="152"/>
      <c r="Q27" s="152"/>
      <c r="R27" s="152"/>
      <c r="S27" s="152"/>
      <c r="T27" s="152"/>
      <c r="U27" s="152"/>
      <c r="V27" s="152"/>
      <c r="W27" s="152"/>
      <c r="X27" s="152"/>
    </row>
    <row r="28" spans="1:24" s="27" customFormat="1" ht="10.199999999999999" x14ac:dyDescent="0.2">
      <c r="A28" s="155"/>
      <c r="B28" s="155"/>
      <c r="C28" s="155"/>
      <c r="D28" s="155"/>
      <c r="E28" s="156">
        <f>SUM(E26:E27)</f>
        <v>0</v>
      </c>
      <c r="F28" s="157"/>
      <c r="G28" s="156">
        <f>SUM(G26:G27)</f>
        <v>0</v>
      </c>
      <c r="H28" s="157"/>
      <c r="I28" s="156">
        <f>SUM(I26:I27)</f>
        <v>0</v>
      </c>
      <c r="J28" s="157"/>
      <c r="K28" s="156">
        <f>SUM(K26:K27)</f>
        <v>0</v>
      </c>
      <c r="L28" s="157"/>
      <c r="M28" s="156">
        <f>SUM(E28:K28)</f>
        <v>0</v>
      </c>
      <c r="N28" s="152"/>
      <c r="O28" s="171"/>
      <c r="P28" s="152"/>
      <c r="Q28" s="152"/>
      <c r="R28" s="152"/>
      <c r="S28" s="152"/>
      <c r="T28" s="152"/>
      <c r="U28" s="152"/>
      <c r="V28" s="152"/>
      <c r="W28" s="152"/>
      <c r="X28" s="152"/>
    </row>
    <row r="29" spans="1:24" s="27" customFormat="1" ht="10.199999999999999" x14ac:dyDescent="0.2">
      <c r="A29" s="153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2"/>
      <c r="O29" s="171"/>
      <c r="P29" s="152"/>
      <c r="Q29" s="152"/>
      <c r="R29" s="152"/>
      <c r="S29" s="152"/>
      <c r="T29" s="152"/>
      <c r="U29" s="152"/>
      <c r="V29" s="152"/>
      <c r="W29" s="152"/>
      <c r="X29" s="152"/>
    </row>
    <row r="30" spans="1:24" s="27" customFormat="1" ht="10.199999999999999" x14ac:dyDescent="0.2">
      <c r="A30" s="153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2"/>
      <c r="O30" s="171"/>
      <c r="P30" s="152"/>
      <c r="Q30" s="152"/>
      <c r="R30" s="152"/>
      <c r="S30" s="152" t="s">
        <v>124</v>
      </c>
      <c r="T30" s="152"/>
      <c r="U30" s="152"/>
      <c r="V30" s="152"/>
      <c r="W30" s="152"/>
      <c r="X30" s="152"/>
    </row>
    <row r="31" spans="1:24" s="27" customFormat="1" ht="10.199999999999999" x14ac:dyDescent="0.2">
      <c r="A31" s="153"/>
      <c r="B31" s="27" t="s">
        <v>197</v>
      </c>
      <c r="C31" s="27" t="s">
        <v>198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2"/>
      <c r="O31" s="171"/>
      <c r="P31" s="152"/>
      <c r="Q31" s="152"/>
      <c r="R31" s="152"/>
      <c r="S31" s="152"/>
      <c r="T31" s="152"/>
      <c r="U31" s="152"/>
      <c r="V31" s="152"/>
      <c r="W31" s="152"/>
      <c r="X31" s="152"/>
    </row>
    <row r="32" spans="1:24" s="27" customFormat="1" ht="10.199999999999999" x14ac:dyDescent="0.2">
      <c r="A32" s="153"/>
      <c r="B32" s="27" t="s">
        <v>199</v>
      </c>
      <c r="C32" s="27" t="s">
        <v>200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2"/>
      <c r="O32" s="171"/>
      <c r="P32" s="152"/>
      <c r="Q32" s="152"/>
      <c r="R32" s="152"/>
      <c r="S32" s="152"/>
      <c r="T32" s="152"/>
      <c r="U32" s="152"/>
      <c r="V32" s="152"/>
      <c r="W32" s="152"/>
      <c r="X32" s="152"/>
    </row>
    <row r="33" spans="1:24" s="27" customFormat="1" ht="10.199999999999999" x14ac:dyDescent="0.2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2"/>
      <c r="O33" s="171"/>
      <c r="P33" s="152"/>
      <c r="Q33" s="152"/>
      <c r="R33" s="152"/>
      <c r="S33" s="152"/>
      <c r="T33" s="152"/>
      <c r="U33" s="152"/>
      <c r="V33" s="152"/>
      <c r="W33" s="152"/>
      <c r="X33" s="152"/>
    </row>
    <row r="34" spans="1:24" s="27" customFormat="1" ht="10.199999999999999" x14ac:dyDescent="0.2">
      <c r="A34" s="155"/>
      <c r="B34" s="155"/>
      <c r="C34" s="155"/>
      <c r="D34" s="155"/>
      <c r="E34" s="156">
        <f>SUM(E30:E33)</f>
        <v>0</v>
      </c>
      <c r="F34" s="157"/>
      <c r="G34" s="156">
        <f>SUM(G30:G33)</f>
        <v>50</v>
      </c>
      <c r="H34" s="157"/>
      <c r="I34" s="156">
        <f>SUM(I30:I33)</f>
        <v>16000</v>
      </c>
      <c r="J34" s="157"/>
      <c r="K34" s="156">
        <f>SUM(K30:K33)</f>
        <v>0</v>
      </c>
      <c r="L34" s="157"/>
      <c r="M34" s="156">
        <f>SUM(E34:K34)</f>
        <v>16050</v>
      </c>
      <c r="N34" s="152"/>
      <c r="O34" s="171"/>
      <c r="P34" s="152"/>
      <c r="Q34" s="152"/>
      <c r="R34" s="152"/>
      <c r="S34" s="152"/>
      <c r="T34" s="152"/>
      <c r="U34" s="152"/>
      <c r="V34" s="152"/>
      <c r="W34" s="152"/>
      <c r="X34" s="152"/>
    </row>
    <row r="35" spans="1:24" s="27" customFormat="1" ht="10.199999999999999" x14ac:dyDescent="0.2">
      <c r="A35" s="153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2"/>
      <c r="O35" s="171"/>
      <c r="P35" s="152"/>
      <c r="Q35" s="152"/>
      <c r="R35" s="152"/>
      <c r="S35" s="152"/>
      <c r="T35" s="152"/>
      <c r="U35" s="152"/>
      <c r="V35" s="152"/>
      <c r="W35" s="152"/>
      <c r="X35" s="152"/>
    </row>
    <row r="36" spans="1:24" s="27" customFormat="1" ht="10.199999999999999" x14ac:dyDescent="0.2">
      <c r="A36" s="153"/>
      <c r="E36" s="44"/>
      <c r="F36" s="44"/>
      <c r="G36" s="44"/>
      <c r="H36" s="44"/>
      <c r="I36" s="44"/>
      <c r="J36" s="44"/>
      <c r="K36" s="44"/>
      <c r="L36" s="44"/>
      <c r="M36" s="44"/>
      <c r="N36" s="152"/>
      <c r="O36" s="171"/>
      <c r="P36" s="152"/>
      <c r="Q36" s="152"/>
      <c r="R36" s="152"/>
      <c r="S36" s="152"/>
      <c r="T36" s="152"/>
      <c r="U36" s="152"/>
      <c r="V36" s="152"/>
      <c r="W36" s="152"/>
      <c r="X36" s="152"/>
    </row>
    <row r="37" spans="1:24" s="27" customFormat="1" ht="10.199999999999999" x14ac:dyDescent="0.2">
      <c r="E37" s="44"/>
      <c r="F37" s="44"/>
      <c r="G37" s="44"/>
      <c r="H37" s="44"/>
      <c r="I37" s="44"/>
      <c r="J37" s="44"/>
      <c r="K37" s="44"/>
      <c r="L37" s="44"/>
      <c r="M37" s="44"/>
      <c r="N37" s="152"/>
      <c r="O37" s="171"/>
      <c r="P37" s="152"/>
      <c r="Q37" s="152"/>
      <c r="R37" s="152"/>
      <c r="S37" s="152"/>
      <c r="T37" s="152"/>
      <c r="U37" s="152"/>
      <c r="V37" s="152"/>
      <c r="W37" s="152"/>
      <c r="X37" s="152"/>
    </row>
    <row r="38" spans="1:24" s="27" customFormat="1" ht="10.199999999999999" x14ac:dyDescent="0.2">
      <c r="A38" s="155"/>
      <c r="B38" s="155"/>
      <c r="C38" s="155"/>
      <c r="D38" s="155"/>
      <c r="E38" s="156">
        <f>SUM(E36:E37)</f>
        <v>0</v>
      </c>
      <c r="F38" s="157"/>
      <c r="G38" s="156">
        <f>SUM(G36:G37)</f>
        <v>0</v>
      </c>
      <c r="H38" s="157"/>
      <c r="I38" s="156">
        <f>SUM(I36:I37)</f>
        <v>0</v>
      </c>
      <c r="J38" s="157"/>
      <c r="K38" s="156">
        <f>SUM(K36:K37)</f>
        <v>0</v>
      </c>
      <c r="L38" s="157"/>
      <c r="M38" s="156">
        <f>SUM(E38:K38)</f>
        <v>0</v>
      </c>
      <c r="N38" s="152"/>
      <c r="O38" s="171"/>
      <c r="P38" s="152"/>
      <c r="Q38" s="152"/>
      <c r="R38" s="152"/>
      <c r="S38" s="152"/>
      <c r="T38" s="152"/>
      <c r="U38" s="152"/>
      <c r="V38" s="152"/>
      <c r="W38" s="152"/>
      <c r="X38" s="152"/>
    </row>
    <row r="39" spans="1:24" s="27" customFormat="1" ht="10.199999999999999" x14ac:dyDescent="0.2">
      <c r="A39" s="153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2"/>
      <c r="O39" s="171"/>
      <c r="P39" s="152"/>
      <c r="Q39" s="152"/>
      <c r="R39" s="152"/>
      <c r="S39" s="152"/>
      <c r="T39" s="152"/>
      <c r="U39" s="152"/>
      <c r="V39" s="152"/>
      <c r="W39" s="152"/>
      <c r="X39" s="152"/>
    </row>
    <row r="40" spans="1:24" s="27" customFormat="1" ht="10.199999999999999" x14ac:dyDescent="0.2">
      <c r="A40" s="153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2"/>
      <c r="O40" s="171"/>
      <c r="P40" s="152"/>
      <c r="Q40" s="152"/>
      <c r="R40" s="152"/>
      <c r="S40" s="152"/>
      <c r="T40" s="152"/>
      <c r="U40" s="152"/>
      <c r="V40" s="152"/>
      <c r="W40" s="152"/>
      <c r="X40" s="152"/>
    </row>
    <row r="41" spans="1:24" s="27" customFormat="1" ht="10.199999999999999" x14ac:dyDescent="0.2">
      <c r="A41" s="153"/>
      <c r="E41" s="44"/>
      <c r="F41" s="44"/>
      <c r="G41" s="44"/>
      <c r="H41" s="44"/>
      <c r="I41" s="44"/>
      <c r="J41" s="44"/>
      <c r="K41" s="44"/>
      <c r="L41" s="44"/>
      <c r="M41" s="44"/>
      <c r="N41" s="152"/>
      <c r="O41" s="171"/>
      <c r="P41" s="152"/>
      <c r="Q41" s="152"/>
      <c r="R41" s="152"/>
      <c r="S41" s="152"/>
      <c r="T41" s="152"/>
      <c r="U41" s="152"/>
      <c r="V41" s="152"/>
      <c r="W41" s="152"/>
      <c r="X41" s="152"/>
    </row>
    <row r="42" spans="1:24" s="27" customFormat="1" ht="10.199999999999999" x14ac:dyDescent="0.2">
      <c r="A42" s="155"/>
      <c r="B42" s="155"/>
      <c r="C42" s="155"/>
      <c r="D42" s="155"/>
      <c r="E42" s="156">
        <f>SUM(E40:E41)</f>
        <v>0</v>
      </c>
      <c r="F42" s="157"/>
      <c r="G42" s="156">
        <f>SUM(G40:G41)</f>
        <v>0</v>
      </c>
      <c r="H42" s="157"/>
      <c r="I42" s="156">
        <f>SUM(I40:I41)</f>
        <v>850</v>
      </c>
      <c r="J42" s="157"/>
      <c r="K42" s="156">
        <f>SUM(K40:K41)</f>
        <v>0</v>
      </c>
      <c r="L42" s="157"/>
      <c r="M42" s="156">
        <f>SUM(E42:K42)</f>
        <v>850</v>
      </c>
      <c r="N42" s="152"/>
      <c r="O42" s="171"/>
      <c r="P42" s="152"/>
      <c r="Q42" s="152"/>
      <c r="R42" s="152"/>
      <c r="S42" s="152"/>
      <c r="T42" s="152"/>
      <c r="U42" s="152"/>
      <c r="V42" s="152"/>
      <c r="W42" s="152"/>
      <c r="X42" s="152"/>
    </row>
    <row r="43" spans="1:24" s="27" customFormat="1" ht="10.199999999999999" x14ac:dyDescent="0.2">
      <c r="A43" s="153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2"/>
      <c r="O43" s="171"/>
      <c r="P43" s="152"/>
      <c r="Q43" s="152"/>
      <c r="R43" s="152"/>
      <c r="S43" s="152"/>
      <c r="T43" s="152"/>
      <c r="U43" s="152"/>
      <c r="V43" s="152"/>
      <c r="W43" s="152"/>
      <c r="X43" s="152"/>
    </row>
    <row r="44" spans="1:24" s="27" customFormat="1" ht="10.199999999999999" x14ac:dyDescent="0.2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2"/>
      <c r="O44" s="171"/>
      <c r="P44" s="152"/>
      <c r="Q44" s="152"/>
      <c r="R44" s="152"/>
      <c r="S44" s="152" t="s">
        <v>116</v>
      </c>
      <c r="T44" s="152"/>
      <c r="U44" s="152"/>
      <c r="V44" s="152"/>
      <c r="W44" s="152"/>
      <c r="X44" s="152"/>
    </row>
    <row r="45" spans="1:24" s="27" customFormat="1" ht="10.199999999999999" x14ac:dyDescent="0.2">
      <c r="A45" s="38"/>
      <c r="B45" s="204" t="s">
        <v>219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2"/>
      <c r="O45" s="171"/>
      <c r="P45" s="152"/>
      <c r="Q45" s="152"/>
      <c r="R45" s="152"/>
      <c r="S45" s="152"/>
      <c r="T45" s="152"/>
      <c r="U45" s="152"/>
      <c r="V45" s="152"/>
      <c r="W45" s="152"/>
      <c r="X45" s="152"/>
    </row>
    <row r="46" spans="1:24" s="27" customFormat="1" ht="10.199999999999999" x14ac:dyDescent="0.2">
      <c r="A46" s="38"/>
      <c r="B46" s="204" t="s">
        <v>220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2"/>
      <c r="O46" s="171"/>
      <c r="P46" s="152"/>
      <c r="Q46" s="152"/>
      <c r="R46" s="152"/>
      <c r="S46" s="152"/>
      <c r="T46" s="152"/>
      <c r="U46" s="152"/>
      <c r="V46" s="152"/>
      <c r="W46" s="152"/>
      <c r="X46" s="152"/>
    </row>
    <row r="47" spans="1:24" s="27" customFormat="1" ht="10.199999999999999" x14ac:dyDescent="0.2">
      <c r="A47" s="38"/>
      <c r="B47" s="204" t="s">
        <v>221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2"/>
      <c r="O47" s="171"/>
      <c r="P47" s="152"/>
      <c r="Q47" s="152"/>
      <c r="R47" s="152"/>
      <c r="S47" s="152"/>
      <c r="T47" s="152"/>
      <c r="U47" s="152"/>
      <c r="V47" s="152"/>
      <c r="W47" s="152"/>
      <c r="X47" s="152"/>
    </row>
    <row r="48" spans="1:24" s="27" customFormat="1" ht="10.199999999999999" x14ac:dyDescent="0.2">
      <c r="A48" s="53"/>
      <c r="B48" s="204" t="s">
        <v>221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2"/>
      <c r="O48" s="171"/>
      <c r="P48" s="152"/>
      <c r="Q48" s="152"/>
      <c r="R48" s="152"/>
      <c r="S48" s="152"/>
      <c r="T48" s="152"/>
      <c r="U48" s="152"/>
      <c r="V48" s="152"/>
      <c r="W48" s="152"/>
      <c r="X48" s="152"/>
    </row>
    <row r="49" spans="1:24" s="27" customFormat="1" ht="10.199999999999999" x14ac:dyDescent="0.2">
      <c r="A49" s="155"/>
      <c r="B49" s="155"/>
      <c r="C49" s="155"/>
      <c r="D49" s="155"/>
      <c r="E49" s="156">
        <f>SUM(E44:E48)</f>
        <v>9000</v>
      </c>
      <c r="F49" s="157"/>
      <c r="G49" s="156">
        <f>SUM(G44:G48)</f>
        <v>0</v>
      </c>
      <c r="H49" s="157"/>
      <c r="I49" s="156">
        <f>SUM(I44:I48)</f>
        <v>19000</v>
      </c>
      <c r="J49" s="157"/>
      <c r="K49" s="156">
        <f>SUM(K44:K48)</f>
        <v>0</v>
      </c>
      <c r="L49" s="157"/>
      <c r="M49" s="156">
        <f>SUM(E49:K49)</f>
        <v>28000</v>
      </c>
      <c r="N49" s="152"/>
      <c r="O49" s="171"/>
      <c r="P49" s="152"/>
      <c r="Q49" s="152"/>
      <c r="R49" s="152"/>
      <c r="S49" s="152"/>
      <c r="T49" s="152"/>
      <c r="U49" s="152"/>
      <c r="V49" s="152"/>
      <c r="W49" s="152"/>
      <c r="X49" s="152"/>
    </row>
    <row r="50" spans="1:24" s="27" customFormat="1" ht="10.199999999999999" x14ac:dyDescent="0.2">
      <c r="A50" s="153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2"/>
      <c r="O50" s="171"/>
      <c r="P50" s="152"/>
      <c r="Q50" s="152"/>
      <c r="R50" s="152"/>
      <c r="S50" s="152"/>
      <c r="T50" s="152"/>
      <c r="U50" s="152"/>
      <c r="V50" s="152"/>
      <c r="W50" s="152"/>
      <c r="X50" s="152"/>
    </row>
    <row r="51" spans="1:24" s="27" customFormat="1" ht="10.199999999999999" x14ac:dyDescent="0.2">
      <c r="A51" s="153"/>
      <c r="B51" s="27" t="s">
        <v>201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2"/>
      <c r="O51" s="171"/>
      <c r="P51" s="152"/>
      <c r="Q51" s="152"/>
      <c r="R51" s="152"/>
      <c r="S51" s="152" t="s">
        <v>117</v>
      </c>
      <c r="T51" s="152"/>
      <c r="U51" s="152"/>
      <c r="V51" s="152"/>
      <c r="W51" s="152"/>
      <c r="X51" s="152"/>
    </row>
    <row r="52" spans="1:24" s="27" customFormat="1" ht="10.199999999999999" x14ac:dyDescent="0.2">
      <c r="A52" s="153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2"/>
      <c r="O52" s="171"/>
      <c r="P52" s="152"/>
      <c r="Q52" s="152"/>
      <c r="R52" s="152"/>
      <c r="S52" s="152" t="s">
        <v>117</v>
      </c>
      <c r="T52" s="152"/>
      <c r="U52" s="152"/>
      <c r="V52" s="152"/>
      <c r="W52" s="152"/>
      <c r="X52" s="152"/>
    </row>
    <row r="53" spans="1:24" s="27" customFormat="1" ht="10.199999999999999" x14ac:dyDescent="0.2">
      <c r="A53" s="153"/>
      <c r="B53" s="27" t="s">
        <v>202</v>
      </c>
      <c r="C53" s="27" t="s">
        <v>203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2"/>
      <c r="O53" s="171"/>
      <c r="P53" s="152"/>
      <c r="Q53" s="152"/>
      <c r="R53" s="152"/>
      <c r="S53" s="152" t="s">
        <v>117</v>
      </c>
      <c r="T53" s="152"/>
      <c r="U53" s="152"/>
      <c r="V53" s="152"/>
      <c r="W53" s="152"/>
      <c r="X53" s="152"/>
    </row>
    <row r="54" spans="1:24" s="27" customFormat="1" ht="10.199999999999999" x14ac:dyDescent="0.2">
      <c r="A54" s="153"/>
      <c r="B54" s="27" t="s">
        <v>205</v>
      </c>
      <c r="C54" s="27" t="s">
        <v>206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2"/>
      <c r="O54" s="171"/>
      <c r="P54" s="152"/>
      <c r="Q54" s="152"/>
      <c r="R54" s="152"/>
      <c r="S54" s="152" t="s">
        <v>117</v>
      </c>
      <c r="T54" s="152"/>
      <c r="U54" s="152"/>
      <c r="V54" s="152"/>
      <c r="W54" s="152"/>
      <c r="X54" s="152"/>
    </row>
    <row r="55" spans="1:24" s="27" customFormat="1" ht="10.199999999999999" x14ac:dyDescent="0.2">
      <c r="A55" s="153"/>
      <c r="B55" s="27" t="s">
        <v>207</v>
      </c>
      <c r="C55" s="27" t="s">
        <v>206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2"/>
      <c r="O55" s="171"/>
      <c r="P55" s="152"/>
      <c r="Q55" s="152"/>
      <c r="R55" s="152"/>
      <c r="S55" s="152" t="s">
        <v>117</v>
      </c>
      <c r="T55" s="152"/>
      <c r="U55" s="152"/>
      <c r="V55" s="152"/>
      <c r="W55" s="152"/>
      <c r="X55" s="152"/>
    </row>
    <row r="56" spans="1:24" s="27" customFormat="1" ht="10.199999999999999" x14ac:dyDescent="0.2">
      <c r="A56" s="153"/>
      <c r="B56" s="27" t="s">
        <v>208</v>
      </c>
      <c r="C56" s="27" t="s">
        <v>209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2"/>
      <c r="O56" s="171"/>
      <c r="P56" s="152"/>
      <c r="Q56" s="152"/>
      <c r="R56" s="152"/>
      <c r="S56" s="152" t="s">
        <v>117</v>
      </c>
      <c r="T56" s="152"/>
      <c r="U56" s="152"/>
      <c r="V56" s="152"/>
      <c r="W56" s="152"/>
      <c r="X56" s="152"/>
    </row>
    <row r="57" spans="1:24" s="27" customFormat="1" ht="10.199999999999999" x14ac:dyDescent="0.2">
      <c r="A57" s="153"/>
      <c r="B57" s="27" t="s">
        <v>210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2"/>
      <c r="O57" s="171"/>
      <c r="P57" s="152"/>
      <c r="Q57" s="152"/>
      <c r="R57" s="152"/>
      <c r="S57" s="152" t="s">
        <v>117</v>
      </c>
      <c r="T57" s="152"/>
      <c r="U57" s="152"/>
      <c r="V57" s="152"/>
      <c r="W57" s="152"/>
      <c r="X57" s="152"/>
    </row>
    <row r="58" spans="1:24" s="27" customFormat="1" ht="10.199999999999999" x14ac:dyDescent="0.2">
      <c r="A58" s="153"/>
      <c r="B58" s="27" t="s">
        <v>211</v>
      </c>
      <c r="C58" s="27" t="s">
        <v>212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2"/>
      <c r="O58" s="171"/>
      <c r="P58" s="152"/>
      <c r="Q58" s="152"/>
      <c r="R58" s="152"/>
      <c r="S58" s="152" t="s">
        <v>117</v>
      </c>
      <c r="T58" s="152"/>
      <c r="U58" s="152"/>
      <c r="V58" s="152"/>
      <c r="W58" s="152"/>
      <c r="X58" s="152"/>
    </row>
    <row r="59" spans="1:24" s="27" customFormat="1" ht="10.199999999999999" x14ac:dyDescent="0.2">
      <c r="A59" s="153"/>
      <c r="B59" s="27" t="s">
        <v>204</v>
      </c>
      <c r="C59" s="27" t="s">
        <v>213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2"/>
      <c r="O59" s="171"/>
      <c r="P59" s="152"/>
      <c r="Q59" s="152"/>
      <c r="R59" s="152"/>
      <c r="S59" s="152" t="s">
        <v>117</v>
      </c>
      <c r="T59" s="152"/>
      <c r="U59" s="152"/>
      <c r="V59" s="152"/>
      <c r="W59" s="152"/>
      <c r="X59" s="152"/>
    </row>
    <row r="60" spans="1:24" s="27" customFormat="1" ht="10.199999999999999" x14ac:dyDescent="0.2">
      <c r="A60" s="153"/>
      <c r="B60" s="27" t="s">
        <v>222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2"/>
      <c r="O60" s="171"/>
      <c r="P60" s="152"/>
      <c r="Q60" s="152"/>
      <c r="R60" s="152"/>
      <c r="S60" s="152"/>
      <c r="T60" s="152"/>
      <c r="U60" s="152"/>
      <c r="V60" s="152"/>
      <c r="W60" s="152"/>
      <c r="X60" s="152"/>
    </row>
    <row r="61" spans="1:24" s="27" customFormat="1" ht="10.199999999999999" x14ac:dyDescent="0.2">
      <c r="A61" s="153"/>
      <c r="B61" s="27" t="s">
        <v>223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2"/>
      <c r="O61" s="171"/>
      <c r="P61" s="152"/>
      <c r="Q61" s="152"/>
      <c r="R61" s="152"/>
      <c r="S61" s="152"/>
      <c r="T61" s="152"/>
      <c r="U61" s="152"/>
      <c r="V61" s="152"/>
      <c r="W61" s="152"/>
      <c r="X61" s="152"/>
    </row>
    <row r="62" spans="1:24" s="27" customFormat="1" ht="10.199999999999999" x14ac:dyDescent="0.2">
      <c r="A62" s="153"/>
      <c r="B62" s="27" t="s">
        <v>224</v>
      </c>
      <c r="C62" s="27" t="s">
        <v>214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2"/>
      <c r="O62" s="171"/>
      <c r="P62" s="152"/>
      <c r="Q62" s="152"/>
      <c r="R62" s="152"/>
      <c r="S62" s="152" t="s">
        <v>117</v>
      </c>
      <c r="T62" s="152"/>
      <c r="U62" s="152"/>
      <c r="V62" s="152"/>
      <c r="W62" s="152"/>
      <c r="X62" s="152"/>
    </row>
    <row r="63" spans="1:24" s="27" customFormat="1" ht="10.199999999999999" hidden="1" x14ac:dyDescent="0.2">
      <c r="A63" s="153"/>
      <c r="E63" s="44"/>
      <c r="F63" s="44"/>
      <c r="G63" s="44"/>
      <c r="H63" s="44"/>
      <c r="I63" s="44"/>
      <c r="J63" s="44"/>
      <c r="K63" s="44"/>
      <c r="L63" s="44"/>
      <c r="M63" s="44"/>
      <c r="N63" s="152"/>
      <c r="O63" s="171"/>
      <c r="P63" s="152"/>
      <c r="Q63" s="152"/>
      <c r="R63" s="152"/>
      <c r="S63" s="152" t="s">
        <v>117</v>
      </c>
      <c r="T63" s="152"/>
      <c r="U63" s="152"/>
      <c r="V63" s="152"/>
      <c r="W63" s="152"/>
      <c r="X63" s="152"/>
    </row>
    <row r="64" spans="1:24" s="27" customFormat="1" ht="10.199999999999999" hidden="1" x14ac:dyDescent="0.2">
      <c r="A64" s="153"/>
      <c r="E64" s="44"/>
      <c r="F64" s="44"/>
      <c r="G64" s="44"/>
      <c r="H64" s="44"/>
      <c r="I64" s="44"/>
      <c r="J64" s="44"/>
      <c r="K64" s="44"/>
      <c r="L64" s="44"/>
      <c r="M64" s="44"/>
      <c r="N64" s="152"/>
      <c r="O64" s="171"/>
      <c r="P64" s="152"/>
      <c r="Q64" s="152"/>
      <c r="R64" s="152"/>
      <c r="S64" s="152" t="s">
        <v>117</v>
      </c>
      <c r="T64" s="152"/>
      <c r="U64" s="152"/>
      <c r="V64" s="152"/>
      <c r="W64" s="152"/>
      <c r="X64" s="152"/>
    </row>
    <row r="65" spans="1:24" s="27" customFormat="1" ht="10.199999999999999" hidden="1" x14ac:dyDescent="0.2">
      <c r="A65" s="153"/>
      <c r="E65" s="44"/>
      <c r="F65" s="44"/>
      <c r="G65" s="44"/>
      <c r="H65" s="44"/>
      <c r="I65" s="44"/>
      <c r="J65" s="44"/>
      <c r="K65" s="44"/>
      <c r="L65" s="44"/>
      <c r="M65" s="44"/>
      <c r="N65" s="152"/>
      <c r="O65" s="171"/>
      <c r="P65" s="152"/>
      <c r="Q65" s="152"/>
      <c r="R65" s="152"/>
      <c r="S65" s="152" t="s">
        <v>117</v>
      </c>
      <c r="T65" s="152"/>
      <c r="U65" s="152"/>
      <c r="V65" s="152"/>
      <c r="W65" s="152"/>
      <c r="X65" s="152"/>
    </row>
    <row r="66" spans="1:24" s="27" customFormat="1" ht="10.199999999999999" hidden="1" x14ac:dyDescent="0.2">
      <c r="A66" s="153"/>
      <c r="E66" s="44"/>
      <c r="F66" s="44"/>
      <c r="G66" s="44"/>
      <c r="H66" s="44"/>
      <c r="I66" s="44"/>
      <c r="J66" s="44"/>
      <c r="K66" s="44"/>
      <c r="L66" s="44"/>
      <c r="M66" s="44"/>
      <c r="N66" s="152"/>
      <c r="O66" s="171"/>
      <c r="P66" s="152"/>
      <c r="Q66" s="152"/>
      <c r="R66" s="152"/>
      <c r="S66" s="152" t="s">
        <v>117</v>
      </c>
      <c r="T66" s="152"/>
      <c r="U66" s="152"/>
      <c r="V66" s="152"/>
      <c r="W66" s="152"/>
      <c r="X66" s="152"/>
    </row>
    <row r="67" spans="1:24" s="27" customFormat="1" ht="10.199999999999999" hidden="1" x14ac:dyDescent="0.2">
      <c r="A67" s="153"/>
      <c r="E67" s="44"/>
      <c r="F67" s="44"/>
      <c r="G67" s="44"/>
      <c r="H67" s="44"/>
      <c r="I67" s="44"/>
      <c r="J67" s="44"/>
      <c r="K67" s="44"/>
      <c r="L67" s="44"/>
      <c r="M67" s="44"/>
      <c r="N67" s="152"/>
      <c r="O67" s="171"/>
      <c r="P67" s="152"/>
      <c r="Q67" s="152"/>
      <c r="R67" s="152"/>
      <c r="S67" s="152" t="s">
        <v>117</v>
      </c>
      <c r="T67" s="152"/>
      <c r="U67" s="152"/>
      <c r="V67" s="152"/>
      <c r="W67" s="152"/>
      <c r="X67" s="152"/>
    </row>
    <row r="68" spans="1:24" s="27" customFormat="1" ht="10.199999999999999" hidden="1" x14ac:dyDescent="0.2">
      <c r="A68" s="153"/>
      <c r="E68" s="44"/>
      <c r="F68" s="44"/>
      <c r="G68" s="44"/>
      <c r="H68" s="44"/>
      <c r="I68" s="44"/>
      <c r="J68" s="44"/>
      <c r="K68" s="44"/>
      <c r="L68" s="44"/>
      <c r="M68" s="44"/>
      <c r="N68" s="152"/>
      <c r="O68" s="171"/>
      <c r="P68" s="152"/>
      <c r="Q68" s="152"/>
      <c r="R68" s="152"/>
      <c r="S68" s="152" t="s">
        <v>117</v>
      </c>
      <c r="T68" s="152"/>
      <c r="U68" s="152"/>
      <c r="V68" s="152"/>
      <c r="W68" s="152"/>
      <c r="X68" s="152"/>
    </row>
    <row r="69" spans="1:24" s="27" customFormat="1" ht="10.199999999999999" hidden="1" x14ac:dyDescent="0.2">
      <c r="A69" s="153"/>
      <c r="E69" s="44"/>
      <c r="F69" s="44"/>
      <c r="G69" s="44"/>
      <c r="H69" s="44"/>
      <c r="I69" s="44"/>
      <c r="J69" s="44"/>
      <c r="K69" s="44"/>
      <c r="L69" s="44"/>
      <c r="M69" s="44"/>
      <c r="N69" s="152"/>
      <c r="O69" s="171"/>
      <c r="P69" s="152"/>
      <c r="Q69" s="152"/>
      <c r="R69" s="152"/>
      <c r="S69" s="152" t="s">
        <v>117</v>
      </c>
      <c r="T69" s="152"/>
      <c r="U69" s="152"/>
      <c r="V69" s="152"/>
      <c r="W69" s="152"/>
      <c r="X69" s="152"/>
    </row>
    <row r="70" spans="1:24" s="27" customFormat="1" ht="10.199999999999999" hidden="1" x14ac:dyDescent="0.2">
      <c r="A70" s="153"/>
      <c r="L70" s="44"/>
      <c r="M70" s="44"/>
      <c r="N70" s="152"/>
      <c r="O70" s="171"/>
      <c r="P70" s="152"/>
      <c r="Q70" s="152"/>
      <c r="R70" s="152"/>
      <c r="S70" s="152" t="s">
        <v>117</v>
      </c>
      <c r="T70" s="152"/>
      <c r="U70" s="152"/>
      <c r="V70" s="152"/>
      <c r="W70" s="152"/>
      <c r="X70" s="152"/>
    </row>
    <row r="71" spans="1:24" s="27" customFormat="1" ht="10.199999999999999" hidden="1" x14ac:dyDescent="0.2">
      <c r="A71" s="153"/>
      <c r="L71" s="44"/>
      <c r="M71" s="44"/>
      <c r="N71" s="152"/>
      <c r="O71" s="171"/>
      <c r="P71" s="152"/>
      <c r="Q71" s="152"/>
      <c r="R71" s="152"/>
      <c r="S71" s="152" t="s">
        <v>117</v>
      </c>
      <c r="T71" s="152"/>
      <c r="U71" s="152"/>
      <c r="V71" s="152"/>
      <c r="W71" s="152"/>
      <c r="X71" s="152"/>
    </row>
    <row r="72" spans="1:24" s="27" customFormat="1" ht="10.199999999999999" hidden="1" x14ac:dyDescent="0.2">
      <c r="A72" s="153"/>
      <c r="E72" s="44"/>
      <c r="F72" s="44"/>
      <c r="G72" s="44"/>
      <c r="H72" s="44"/>
      <c r="I72" s="44"/>
      <c r="J72" s="44"/>
      <c r="K72" s="44"/>
      <c r="L72" s="44"/>
      <c r="M72" s="44"/>
      <c r="N72" s="152"/>
      <c r="O72" s="171"/>
      <c r="P72" s="152"/>
      <c r="Q72" s="152"/>
      <c r="R72" s="152"/>
      <c r="S72" s="152"/>
      <c r="T72" s="152"/>
      <c r="U72" s="152"/>
      <c r="V72" s="152"/>
      <c r="W72" s="152"/>
      <c r="X72" s="152"/>
    </row>
    <row r="73" spans="1:24" s="27" customFormat="1" ht="10.199999999999999" hidden="1" x14ac:dyDescent="0.2">
      <c r="A73" s="153"/>
      <c r="E73" s="44"/>
      <c r="F73" s="44"/>
      <c r="G73" s="44"/>
      <c r="H73" s="44"/>
      <c r="I73" s="44"/>
      <c r="J73" s="44"/>
      <c r="K73" s="44"/>
      <c r="L73" s="44"/>
      <c r="M73" s="44"/>
      <c r="N73" s="152"/>
      <c r="O73" s="171"/>
      <c r="P73" s="152"/>
      <c r="Q73" s="152"/>
      <c r="R73" s="152"/>
      <c r="S73" s="152"/>
      <c r="T73" s="152"/>
      <c r="U73" s="152"/>
      <c r="V73" s="152"/>
      <c r="W73" s="152"/>
      <c r="X73" s="152"/>
    </row>
    <row r="74" spans="1:24" s="27" customFormat="1" ht="10.199999999999999" hidden="1" x14ac:dyDescent="0.2">
      <c r="A74" s="153"/>
      <c r="E74" s="44"/>
      <c r="F74" s="44"/>
      <c r="G74" s="44"/>
      <c r="H74" s="44"/>
      <c r="I74" s="44"/>
      <c r="J74" s="44"/>
      <c r="K74" s="44"/>
      <c r="L74" s="44"/>
      <c r="M74" s="44"/>
      <c r="N74" s="152"/>
      <c r="O74" s="171"/>
      <c r="P74" s="152"/>
      <c r="Q74" s="152"/>
      <c r="R74" s="152"/>
      <c r="S74" s="152"/>
      <c r="T74" s="152"/>
      <c r="U74" s="152"/>
      <c r="V74" s="152"/>
      <c r="W74" s="152"/>
      <c r="X74" s="152"/>
    </row>
    <row r="75" spans="1:24" s="27" customFormat="1" ht="10.199999999999999" hidden="1" x14ac:dyDescent="0.2">
      <c r="A75" s="153"/>
      <c r="J75" s="44"/>
      <c r="K75" s="44"/>
      <c r="L75" s="44"/>
      <c r="M75" s="44"/>
      <c r="N75" s="152"/>
      <c r="O75" s="171"/>
      <c r="P75" s="152"/>
      <c r="Q75" s="152"/>
      <c r="R75" s="152"/>
      <c r="T75" s="152"/>
      <c r="U75" s="152"/>
      <c r="V75" s="152"/>
      <c r="W75" s="152"/>
      <c r="X75" s="152"/>
    </row>
    <row r="76" spans="1:24" s="27" customFormat="1" ht="10.199999999999999" x14ac:dyDescent="0.2">
      <c r="A76" s="155"/>
      <c r="B76" s="155"/>
      <c r="C76" s="155"/>
      <c r="D76" s="155"/>
      <c r="E76" s="156">
        <f>SUM(E51:E72)</f>
        <v>5875</v>
      </c>
      <c r="F76" s="157"/>
      <c r="G76" s="156">
        <f>SUM(G51:G72)</f>
        <v>3000</v>
      </c>
      <c r="H76" s="157"/>
      <c r="I76" s="156">
        <f>SUM(I51:I72)</f>
        <v>3500</v>
      </c>
      <c r="J76" s="157"/>
      <c r="K76" s="156">
        <f>SUM(K51:K72)</f>
        <v>2105</v>
      </c>
      <c r="L76" s="157"/>
      <c r="M76" s="156">
        <f>SUM(E76:K76)</f>
        <v>14480</v>
      </c>
      <c r="N76" s="152"/>
      <c r="O76" s="171"/>
      <c r="P76" s="152"/>
      <c r="Q76" s="152"/>
      <c r="R76" s="152"/>
      <c r="S76" s="152"/>
      <c r="T76" s="152"/>
      <c r="U76" s="152"/>
      <c r="V76" s="152"/>
      <c r="W76" s="152"/>
      <c r="X76" s="152"/>
    </row>
    <row r="77" spans="1:24" s="27" customFormat="1" ht="10.199999999999999" x14ac:dyDescent="0.2">
      <c r="A77" s="153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2"/>
      <c r="O77" s="171"/>
      <c r="P77" s="152"/>
      <c r="Q77" s="152"/>
      <c r="R77" s="152"/>
      <c r="S77" s="152"/>
      <c r="T77" s="152"/>
      <c r="U77" s="152"/>
      <c r="V77" s="152"/>
      <c r="W77" s="152"/>
      <c r="X77" s="152"/>
    </row>
    <row r="78" spans="1:24" s="27" customFormat="1" ht="10.199999999999999" x14ac:dyDescent="0.2">
      <c r="A78" s="153"/>
      <c r="E78" s="44"/>
      <c r="F78" s="44"/>
      <c r="G78" s="44"/>
      <c r="H78" s="44"/>
      <c r="I78" s="44"/>
      <c r="J78" s="44"/>
      <c r="K78" s="44"/>
      <c r="L78" s="44"/>
      <c r="M78" s="44"/>
      <c r="N78" s="152"/>
      <c r="O78" s="171"/>
      <c r="P78" s="152"/>
      <c r="Q78" s="152"/>
      <c r="R78" s="152"/>
      <c r="S78" s="152"/>
      <c r="T78" s="152"/>
      <c r="U78" s="152"/>
      <c r="V78" s="152"/>
      <c r="W78" s="152"/>
      <c r="X78" s="152"/>
    </row>
    <row r="79" spans="1:24" s="27" customFormat="1" ht="10.199999999999999" x14ac:dyDescent="0.2">
      <c r="E79" s="44"/>
      <c r="F79" s="44"/>
      <c r="G79" s="44"/>
      <c r="H79" s="44"/>
      <c r="I79" s="44"/>
      <c r="J79" s="44"/>
      <c r="K79" s="44"/>
      <c r="L79" s="44"/>
      <c r="M79" s="44"/>
      <c r="N79" s="152"/>
      <c r="O79" s="171"/>
      <c r="P79" s="152"/>
      <c r="Q79" s="152"/>
      <c r="R79" s="152"/>
      <c r="S79" s="152"/>
      <c r="T79" s="152"/>
      <c r="U79" s="152"/>
      <c r="V79" s="152"/>
      <c r="W79" s="152"/>
      <c r="X79" s="152"/>
    </row>
    <row r="80" spans="1:24" s="27" customFormat="1" ht="10.199999999999999" x14ac:dyDescent="0.2">
      <c r="A80" s="155"/>
      <c r="B80" s="155"/>
      <c r="C80" s="155"/>
      <c r="D80" s="155"/>
      <c r="E80" s="156">
        <f>SUM(E78:E79)</f>
        <v>0</v>
      </c>
      <c r="F80" s="157"/>
      <c r="G80" s="156">
        <f>SUM(G78:G79)</f>
        <v>0</v>
      </c>
      <c r="H80" s="157"/>
      <c r="I80" s="156">
        <f>SUM(I78:I79)</f>
        <v>0</v>
      </c>
      <c r="J80" s="157"/>
      <c r="K80" s="156">
        <f>SUM(K78:K79)</f>
        <v>0</v>
      </c>
      <c r="L80" s="157"/>
      <c r="M80" s="156">
        <f>SUM(E80:K80)</f>
        <v>0</v>
      </c>
      <c r="N80" s="152"/>
      <c r="O80" s="171"/>
      <c r="P80" s="152"/>
      <c r="Q80" s="152"/>
      <c r="R80" s="152"/>
      <c r="S80" s="152"/>
      <c r="T80" s="152"/>
      <c r="U80" s="152"/>
      <c r="V80" s="152"/>
      <c r="W80" s="152"/>
      <c r="X80" s="152"/>
    </row>
    <row r="81" spans="1:26" s="27" customFormat="1" ht="10.199999999999999" x14ac:dyDescent="0.2">
      <c r="A81" s="153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2"/>
      <c r="O81" s="171"/>
      <c r="P81" s="152"/>
      <c r="Q81" s="152"/>
      <c r="R81" s="152"/>
      <c r="S81" s="152"/>
      <c r="T81" s="152"/>
      <c r="U81" s="152"/>
      <c r="V81" s="152"/>
      <c r="W81" s="152"/>
      <c r="X81" s="152"/>
    </row>
    <row r="82" spans="1:26" s="27" customFormat="1" ht="10.199999999999999" x14ac:dyDescent="0.2">
      <c r="A82" s="153"/>
      <c r="E82" s="44"/>
      <c r="F82" s="44"/>
      <c r="G82" s="44"/>
      <c r="H82" s="44"/>
      <c r="I82" s="44"/>
      <c r="J82" s="44"/>
      <c r="K82" s="44"/>
      <c r="L82" s="44"/>
      <c r="M82" s="44"/>
      <c r="N82" s="152"/>
      <c r="O82" s="171"/>
      <c r="P82" s="152"/>
      <c r="Q82" s="152"/>
      <c r="R82" s="152"/>
      <c r="S82" s="152"/>
      <c r="T82" s="152"/>
      <c r="U82" s="152"/>
      <c r="V82" s="152"/>
      <c r="W82" s="152"/>
      <c r="X82" s="152"/>
    </row>
    <row r="83" spans="1:26" s="27" customFormat="1" ht="10.199999999999999" x14ac:dyDescent="0.2">
      <c r="E83" s="44"/>
      <c r="F83" s="44"/>
      <c r="G83" s="44"/>
      <c r="H83" s="44"/>
      <c r="I83" s="44"/>
      <c r="J83" s="44"/>
      <c r="K83" s="44"/>
      <c r="L83" s="44"/>
      <c r="M83" s="44"/>
      <c r="N83" s="152"/>
      <c r="O83" s="171"/>
      <c r="P83" s="152"/>
      <c r="Q83" s="152"/>
      <c r="R83" s="152"/>
      <c r="S83" s="152"/>
      <c r="T83" s="152"/>
      <c r="U83" s="152"/>
      <c r="V83" s="152"/>
      <c r="W83" s="152"/>
      <c r="X83" s="152"/>
    </row>
    <row r="84" spans="1:26" s="27" customFormat="1" ht="10.199999999999999" x14ac:dyDescent="0.2">
      <c r="A84" s="155"/>
      <c r="B84" s="155"/>
      <c r="C84" s="155"/>
      <c r="D84" s="155"/>
      <c r="E84" s="156">
        <f>SUM(E82:E83)</f>
        <v>0</v>
      </c>
      <c r="F84" s="157"/>
      <c r="G84" s="156">
        <f>SUM(G82:G83)</f>
        <v>0</v>
      </c>
      <c r="H84" s="157"/>
      <c r="I84" s="156">
        <f>SUM(I82:I83)</f>
        <v>0</v>
      </c>
      <c r="J84" s="157"/>
      <c r="K84" s="156">
        <f>SUM(K82:K83)</f>
        <v>0</v>
      </c>
      <c r="L84" s="157"/>
      <c r="M84" s="156">
        <f>SUM(E84:K84)</f>
        <v>0</v>
      </c>
      <c r="N84" s="152"/>
      <c r="O84" s="171"/>
      <c r="P84" s="152"/>
      <c r="Q84" s="152"/>
      <c r="R84" s="152"/>
      <c r="S84" s="152"/>
      <c r="T84" s="152"/>
      <c r="U84" s="152"/>
      <c r="V84" s="152"/>
      <c r="W84" s="152"/>
      <c r="X84" s="152"/>
    </row>
    <row r="85" spans="1:26" s="27" customFormat="1" ht="10.199999999999999" x14ac:dyDescent="0.2">
      <c r="A85" s="153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2"/>
      <c r="O85" s="171"/>
      <c r="P85" s="152"/>
      <c r="Q85" s="152"/>
      <c r="R85" s="152"/>
      <c r="S85" s="152"/>
      <c r="T85" s="152"/>
      <c r="U85" s="152"/>
      <c r="V85" s="152"/>
      <c r="W85" s="152"/>
      <c r="X85" s="152"/>
    </row>
    <row r="86" spans="1:26" s="27" customFormat="1" ht="10.199999999999999" x14ac:dyDescent="0.2">
      <c r="A86" s="153"/>
      <c r="E86" s="44"/>
      <c r="F86" s="44"/>
      <c r="G86" s="44"/>
      <c r="H86" s="44"/>
      <c r="I86" s="44"/>
      <c r="J86" s="44"/>
      <c r="K86" s="44"/>
      <c r="L86" s="44"/>
      <c r="M86" s="44"/>
      <c r="N86" s="152"/>
      <c r="O86" s="171"/>
      <c r="P86" s="152"/>
      <c r="Q86" s="152"/>
      <c r="R86" s="152"/>
      <c r="S86" s="152"/>
      <c r="T86" s="152"/>
      <c r="U86" s="152"/>
      <c r="V86" s="152"/>
      <c r="W86" s="152"/>
      <c r="X86" s="152"/>
    </row>
    <row r="87" spans="1:26" s="27" customFormat="1" ht="10.199999999999999" x14ac:dyDescent="0.2">
      <c r="E87" s="44"/>
      <c r="F87" s="44"/>
      <c r="G87" s="44"/>
      <c r="H87" s="44"/>
      <c r="I87" s="44"/>
      <c r="J87" s="44"/>
      <c r="K87" s="44"/>
      <c r="L87" s="44"/>
      <c r="M87" s="44"/>
      <c r="N87" s="152"/>
      <c r="O87" s="171"/>
      <c r="P87" s="152"/>
      <c r="Q87" s="152"/>
      <c r="R87" s="152"/>
      <c r="S87" s="152"/>
      <c r="T87" s="152"/>
      <c r="U87" s="152"/>
      <c r="V87" s="152"/>
      <c r="W87" s="152"/>
      <c r="X87" s="152"/>
    </row>
    <row r="88" spans="1:26" s="27" customFormat="1" ht="10.199999999999999" x14ac:dyDescent="0.2">
      <c r="A88" s="155"/>
      <c r="B88" s="155"/>
      <c r="C88" s="155"/>
      <c r="D88" s="155"/>
      <c r="E88" s="156">
        <f>SUM(E86:E87)</f>
        <v>0</v>
      </c>
      <c r="F88" s="157"/>
      <c r="G88" s="156">
        <f>SUM(G86:G87)</f>
        <v>0</v>
      </c>
      <c r="H88" s="157"/>
      <c r="I88" s="156">
        <f>SUM(I86:I87)</f>
        <v>0</v>
      </c>
      <c r="J88" s="157"/>
      <c r="K88" s="156">
        <f>SUM(K86:K87)</f>
        <v>0</v>
      </c>
      <c r="L88" s="157"/>
      <c r="M88" s="156">
        <f>SUM(E88:K88)</f>
        <v>0</v>
      </c>
      <c r="N88" s="152"/>
      <c r="O88" s="171"/>
      <c r="P88" s="152"/>
      <c r="Q88" s="152"/>
      <c r="R88" s="152"/>
      <c r="S88" s="152"/>
      <c r="T88" s="152"/>
      <c r="U88" s="152"/>
      <c r="V88" s="152"/>
      <c r="W88" s="152"/>
      <c r="X88" s="152"/>
    </row>
    <row r="89" spans="1:26" s="27" customFormat="1" ht="3" customHeight="1" x14ac:dyDescent="0.2">
      <c r="E89" s="44"/>
      <c r="F89" s="44"/>
      <c r="G89" s="44"/>
      <c r="H89" s="44"/>
      <c r="I89" s="44"/>
      <c r="J89" s="44"/>
      <c r="K89" s="44"/>
      <c r="L89" s="44"/>
      <c r="M89" s="44"/>
      <c r="N89" s="152"/>
      <c r="O89" s="171"/>
      <c r="P89" s="152"/>
      <c r="Q89" s="152"/>
      <c r="R89" s="152"/>
      <c r="S89" s="152"/>
      <c r="T89" s="152"/>
      <c r="U89" s="152"/>
      <c r="V89" s="152"/>
      <c r="W89" s="152"/>
      <c r="X89" s="152"/>
    </row>
    <row r="90" spans="1:26" s="27" customFormat="1" ht="10.8" thickBot="1" x14ac:dyDescent="0.25">
      <c r="A90" s="158" t="s">
        <v>100</v>
      </c>
      <c r="B90" s="159"/>
      <c r="C90" s="159"/>
      <c r="D90" s="159"/>
      <c r="E90" s="160" t="e">
        <f>E10+E16+E20+E24+E28+E34+#REF!+E38+E42+E49+E76+E80+E84+E88</f>
        <v>#REF!</v>
      </c>
      <c r="F90" s="161"/>
      <c r="G90" s="160" t="e">
        <f>G10+G16+G20+G24+G28+G34+#REF!+G38+G42+G49+G76+G80+G84+G88</f>
        <v>#REF!</v>
      </c>
      <c r="H90" s="161"/>
      <c r="I90" s="160" t="e">
        <f>I10+I16+I20+I24+I28+I34+#REF!+I38+I42+I49+I76+I80+I84+I88</f>
        <v>#REF!</v>
      </c>
      <c r="J90" s="161"/>
      <c r="K90" s="160" t="e">
        <f>K10+K16+K20+K24+K28+K34+#REF!+K38+K42+K49+K76+K80+K84+K88</f>
        <v>#REF!</v>
      </c>
      <c r="L90" s="161"/>
      <c r="M90" s="160" t="e">
        <f>SUM(E90:K90)</f>
        <v>#REF!</v>
      </c>
      <c r="N90" s="152"/>
      <c r="O90" s="171"/>
      <c r="P90" s="152"/>
      <c r="Q90" s="152"/>
      <c r="R90" s="152"/>
      <c r="S90" s="152"/>
      <c r="T90" s="152"/>
      <c r="U90" s="152"/>
      <c r="V90" s="152"/>
      <c r="W90" s="152"/>
      <c r="X90" s="152"/>
    </row>
    <row r="91" spans="1:26" ht="3" customHeight="1" thickTop="1" x14ac:dyDescent="0.3"/>
    <row r="92" spans="1:26" ht="12" customHeight="1" x14ac:dyDescent="0.3"/>
    <row r="93" spans="1:26" s="27" customFormat="1" ht="10.199999999999999" x14ac:dyDescent="0.2">
      <c r="A93" s="150" t="s">
        <v>126</v>
      </c>
      <c r="B93" s="151"/>
      <c r="C93" s="151"/>
      <c r="D93" s="151"/>
      <c r="E93" s="144"/>
      <c r="F93" s="151"/>
      <c r="G93" s="144"/>
      <c r="H93" s="151"/>
      <c r="I93" s="144"/>
      <c r="J93" s="151"/>
      <c r="K93" s="144"/>
      <c r="L93" s="151"/>
      <c r="M93" s="145" t="s">
        <v>14</v>
      </c>
      <c r="N93" s="152"/>
      <c r="O93" s="171"/>
      <c r="P93" s="152"/>
      <c r="Q93" s="152"/>
      <c r="R93" s="152"/>
      <c r="S93" s="172" t="s">
        <v>115</v>
      </c>
      <c r="T93" s="165" t="s">
        <v>118</v>
      </c>
      <c r="U93" s="165" t="s">
        <v>119</v>
      </c>
      <c r="V93" s="165" t="s">
        <v>123</v>
      </c>
      <c r="W93" s="165" t="s">
        <v>99</v>
      </c>
      <c r="X93" s="165" t="s">
        <v>120</v>
      </c>
      <c r="Y93" s="172" t="s">
        <v>121</v>
      </c>
      <c r="Z93" s="172" t="s">
        <v>14</v>
      </c>
    </row>
    <row r="94" spans="1:26" s="27" customFormat="1" ht="3" customHeight="1" x14ac:dyDescent="0.2">
      <c r="N94" s="152"/>
      <c r="O94" s="171"/>
      <c r="P94" s="152"/>
      <c r="Q94" s="152"/>
      <c r="R94" s="152"/>
      <c r="S94" s="152"/>
      <c r="T94" s="152"/>
      <c r="U94" s="152"/>
      <c r="V94" s="152"/>
      <c r="W94" s="152"/>
      <c r="X94" s="152"/>
    </row>
    <row r="95" spans="1:26" s="27" customFormat="1" ht="10.199999999999999" hidden="1" x14ac:dyDescent="0.2">
      <c r="A95" s="153" t="s">
        <v>144</v>
      </c>
      <c r="N95" s="152"/>
      <c r="O95" s="171"/>
      <c r="P95" s="152"/>
      <c r="Q95" s="152"/>
      <c r="R95" s="152"/>
      <c r="S95" s="152"/>
      <c r="T95" s="152"/>
      <c r="U95" s="152"/>
      <c r="V95" s="152"/>
      <c r="W95" s="152"/>
      <c r="X95" s="152"/>
    </row>
    <row r="96" spans="1:26" s="27" customFormat="1" ht="10.199999999999999" hidden="1" x14ac:dyDescent="0.2">
      <c r="E96" s="44"/>
      <c r="F96" s="44"/>
      <c r="G96" s="44"/>
      <c r="H96" s="44"/>
      <c r="I96" s="44"/>
      <c r="J96" s="44"/>
      <c r="K96" s="44"/>
      <c r="L96" s="44"/>
      <c r="M96" s="44"/>
      <c r="N96" s="152"/>
      <c r="O96" s="171"/>
      <c r="P96" s="152"/>
      <c r="Q96" s="152"/>
      <c r="R96" s="152"/>
      <c r="S96" s="152"/>
      <c r="T96" s="173"/>
      <c r="U96" s="173"/>
      <c r="V96" s="173"/>
      <c r="W96" s="173"/>
      <c r="X96" s="173"/>
      <c r="Y96" s="173"/>
      <c r="Z96" s="174"/>
    </row>
    <row r="97" spans="1:26" s="27" customFormat="1" ht="10.199999999999999" hidden="1" x14ac:dyDescent="0.2">
      <c r="E97" s="44"/>
      <c r="F97" s="44"/>
      <c r="G97" s="44"/>
      <c r="H97" s="44"/>
      <c r="I97" s="44"/>
      <c r="J97" s="44"/>
      <c r="K97" s="44"/>
      <c r="L97" s="44"/>
      <c r="M97" s="44"/>
      <c r="N97" s="152"/>
      <c r="O97" s="171"/>
      <c r="P97" s="152"/>
      <c r="Q97" s="152"/>
      <c r="R97" s="152"/>
      <c r="S97" s="152"/>
      <c r="T97" s="173"/>
      <c r="U97" s="173"/>
      <c r="V97" s="173"/>
      <c r="W97" s="173"/>
      <c r="X97" s="173"/>
      <c r="Y97" s="173"/>
      <c r="Z97" s="174"/>
    </row>
    <row r="98" spans="1:26" s="27" customFormat="1" ht="10.199999999999999" hidden="1" x14ac:dyDescent="0.2">
      <c r="E98" s="44"/>
      <c r="F98" s="44"/>
      <c r="G98" s="44"/>
      <c r="H98" s="44"/>
      <c r="I98" s="44"/>
      <c r="J98" s="44"/>
      <c r="K98" s="44"/>
      <c r="L98" s="44"/>
      <c r="M98" s="44"/>
      <c r="N98" s="152"/>
      <c r="O98" s="171"/>
      <c r="P98" s="152"/>
      <c r="Q98" s="152"/>
      <c r="R98" s="152"/>
      <c r="S98" s="152"/>
      <c r="T98" s="173"/>
      <c r="U98" s="173"/>
      <c r="V98" s="173"/>
      <c r="W98" s="173"/>
      <c r="X98" s="173"/>
      <c r="Y98" s="173"/>
      <c r="Z98" s="174"/>
    </row>
    <row r="99" spans="1:26" s="27" customFormat="1" ht="3" hidden="1" customHeight="1" x14ac:dyDescent="0.2">
      <c r="E99" s="44"/>
      <c r="F99" s="44"/>
      <c r="G99" s="44"/>
      <c r="H99" s="44"/>
      <c r="I99" s="44"/>
      <c r="J99" s="44"/>
      <c r="K99" s="44"/>
      <c r="L99" s="44"/>
      <c r="M99" s="44"/>
      <c r="N99" s="152"/>
      <c r="O99" s="171"/>
      <c r="P99" s="152"/>
      <c r="Q99" s="152"/>
      <c r="R99" s="152"/>
      <c r="S99" s="152"/>
      <c r="T99" s="152"/>
      <c r="U99" s="152"/>
      <c r="V99" s="152"/>
      <c r="W99" s="152"/>
      <c r="X99" s="152"/>
    </row>
    <row r="100" spans="1:26" s="27" customFormat="1" ht="10.199999999999999" hidden="1" x14ac:dyDescent="0.2">
      <c r="A100" s="155"/>
      <c r="B100" s="155"/>
      <c r="C100" s="155"/>
      <c r="D100" s="155"/>
      <c r="E100" s="156"/>
      <c r="F100" s="157"/>
      <c r="G100" s="156"/>
      <c r="H100" s="157"/>
      <c r="I100" s="156"/>
      <c r="J100" s="157"/>
      <c r="K100" s="156"/>
      <c r="L100" s="157"/>
      <c r="M100" s="156">
        <f>SUM(M96:M98)</f>
        <v>0</v>
      </c>
      <c r="N100" s="152"/>
      <c r="O100" s="171"/>
      <c r="P100" s="152"/>
      <c r="Q100" s="152"/>
      <c r="R100" s="152"/>
      <c r="S100" s="152"/>
      <c r="T100" s="152"/>
      <c r="U100" s="152"/>
      <c r="V100" s="152"/>
      <c r="W100" s="152"/>
      <c r="X100" s="152"/>
    </row>
    <row r="101" spans="1:26" s="27" customFormat="1" ht="3" hidden="1" customHeight="1" x14ac:dyDescent="0.2">
      <c r="E101" s="44"/>
      <c r="F101" s="44"/>
      <c r="G101" s="44"/>
      <c r="H101" s="44"/>
      <c r="I101" s="44"/>
      <c r="J101" s="44"/>
      <c r="K101" s="44"/>
      <c r="L101" s="44"/>
      <c r="M101" s="44"/>
      <c r="N101" s="152"/>
      <c r="O101" s="171"/>
      <c r="P101" s="152"/>
      <c r="Q101" s="152"/>
      <c r="R101" s="152"/>
      <c r="S101" s="152"/>
      <c r="T101" s="152"/>
      <c r="U101" s="152"/>
      <c r="V101" s="152"/>
      <c r="W101" s="152"/>
      <c r="X101" s="152"/>
    </row>
    <row r="102" spans="1:26" s="27" customFormat="1" ht="10.199999999999999" hidden="1" x14ac:dyDescent="0.2">
      <c r="A102" s="153" t="s">
        <v>145</v>
      </c>
      <c r="N102" s="152"/>
      <c r="O102" s="171"/>
      <c r="P102" s="152"/>
      <c r="Q102" s="152"/>
      <c r="R102" s="152"/>
      <c r="S102" s="152"/>
      <c r="T102" s="152"/>
      <c r="U102" s="152"/>
      <c r="V102" s="152"/>
      <c r="W102" s="152"/>
      <c r="X102" s="152"/>
    </row>
    <row r="103" spans="1:26" s="27" customFormat="1" ht="10.199999999999999" hidden="1" x14ac:dyDescent="0.2">
      <c r="E103" s="44"/>
      <c r="F103" s="44"/>
      <c r="G103" s="44"/>
      <c r="H103" s="44"/>
      <c r="I103" s="44"/>
      <c r="J103" s="44"/>
      <c r="K103" s="44"/>
      <c r="L103" s="44"/>
      <c r="M103" s="44"/>
      <c r="N103" s="152"/>
      <c r="O103" s="171"/>
      <c r="P103" s="152"/>
      <c r="Q103" s="152"/>
      <c r="R103" s="152"/>
      <c r="S103" s="152"/>
      <c r="T103" s="173"/>
      <c r="U103" s="173"/>
      <c r="V103" s="173"/>
      <c r="W103" s="173"/>
      <c r="X103" s="173"/>
      <c r="Y103" s="173"/>
      <c r="Z103" s="174"/>
    </row>
    <row r="104" spans="1:26" s="27" customFormat="1" ht="3" hidden="1" customHeight="1" x14ac:dyDescent="0.2">
      <c r="E104" s="44"/>
      <c r="F104" s="44"/>
      <c r="G104" s="44"/>
      <c r="H104" s="44"/>
      <c r="I104" s="44"/>
      <c r="J104" s="44"/>
      <c r="K104" s="44"/>
      <c r="L104" s="44"/>
      <c r="M104" s="44"/>
      <c r="N104" s="152"/>
      <c r="O104" s="171"/>
      <c r="P104" s="152"/>
      <c r="Q104" s="152"/>
      <c r="R104" s="152"/>
      <c r="S104" s="152"/>
      <c r="T104" s="152"/>
      <c r="U104" s="152"/>
      <c r="V104" s="152"/>
      <c r="W104" s="152"/>
      <c r="X104" s="152"/>
    </row>
    <row r="105" spans="1:26" s="27" customFormat="1" ht="10.199999999999999" hidden="1" x14ac:dyDescent="0.2">
      <c r="A105" s="155"/>
      <c r="B105" s="155"/>
      <c r="C105" s="155"/>
      <c r="D105" s="155"/>
      <c r="E105" s="156"/>
      <c r="F105" s="157"/>
      <c r="G105" s="156"/>
      <c r="H105" s="157"/>
      <c r="I105" s="156"/>
      <c r="J105" s="157"/>
      <c r="K105" s="156"/>
      <c r="L105" s="157"/>
      <c r="M105" s="156">
        <f>SUM(M103:M103)</f>
        <v>0</v>
      </c>
      <c r="N105" s="152"/>
      <c r="O105" s="171"/>
      <c r="P105" s="152"/>
      <c r="Q105" s="152"/>
      <c r="R105" s="152"/>
      <c r="S105" s="152"/>
      <c r="T105" s="152"/>
      <c r="U105" s="152"/>
      <c r="V105" s="152"/>
      <c r="W105" s="152"/>
      <c r="X105" s="152"/>
    </row>
    <row r="106" spans="1:26" s="27" customFormat="1" ht="3" customHeight="1" x14ac:dyDescent="0.2">
      <c r="E106" s="44"/>
      <c r="F106" s="44"/>
      <c r="G106" s="44"/>
      <c r="H106" s="44"/>
      <c r="I106" s="44"/>
      <c r="J106" s="44"/>
      <c r="K106" s="44"/>
      <c r="L106" s="44"/>
      <c r="M106" s="44"/>
      <c r="N106" s="152"/>
      <c r="O106" s="171"/>
      <c r="P106" s="152"/>
      <c r="Q106" s="152"/>
      <c r="R106" s="152"/>
      <c r="S106" s="152"/>
      <c r="T106" s="152"/>
      <c r="U106" s="152"/>
      <c r="V106" s="152"/>
      <c r="W106" s="152"/>
      <c r="X106" s="152"/>
    </row>
    <row r="107" spans="1:26" s="27" customFormat="1" ht="10.199999999999999" x14ac:dyDescent="0.2">
      <c r="A107" s="153" t="s">
        <v>90</v>
      </c>
      <c r="N107" s="152"/>
      <c r="O107" s="171"/>
      <c r="P107" s="152"/>
      <c r="Q107" s="152"/>
      <c r="R107" s="152"/>
      <c r="S107" s="152"/>
      <c r="T107" s="152"/>
      <c r="U107" s="152"/>
      <c r="V107" s="152"/>
      <c r="W107" s="152"/>
      <c r="X107" s="152"/>
    </row>
    <row r="108" spans="1:26" s="27" customFormat="1" ht="10.199999999999999" x14ac:dyDescent="0.2">
      <c r="A108" s="153"/>
      <c r="B108" s="27" t="s">
        <v>193</v>
      </c>
      <c r="C108" s="27" t="s">
        <v>195</v>
      </c>
      <c r="M108" s="44">
        <v>116</v>
      </c>
      <c r="N108" s="152"/>
      <c r="O108" s="171"/>
      <c r="P108" s="152"/>
      <c r="Q108" s="152"/>
      <c r="R108" s="152"/>
      <c r="S108" s="152"/>
      <c r="T108" s="173"/>
      <c r="U108" s="173"/>
      <c r="V108" s="173"/>
      <c r="W108" s="173"/>
      <c r="X108" s="173"/>
      <c r="Y108" s="173"/>
      <c r="Z108" s="174"/>
    </row>
    <row r="109" spans="1:26" s="27" customFormat="1" ht="10.199999999999999" x14ac:dyDescent="0.2">
      <c r="B109" s="27" t="s">
        <v>194</v>
      </c>
      <c r="C109" s="27" t="s">
        <v>196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2"/>
      <c r="O109" s="171"/>
      <c r="P109" s="152"/>
      <c r="Q109" s="152"/>
      <c r="R109" s="152"/>
      <c r="S109" s="152"/>
      <c r="T109" s="173"/>
      <c r="U109" s="173"/>
      <c r="V109" s="173"/>
      <c r="W109" s="173"/>
      <c r="X109" s="173"/>
      <c r="Y109" s="173"/>
      <c r="Z109" s="174"/>
    </row>
    <row r="110" spans="1:26" s="27" customFormat="1" ht="10.199999999999999" x14ac:dyDescent="0.2">
      <c r="A110" s="153"/>
      <c r="M110" s="44"/>
      <c r="N110" s="152"/>
      <c r="O110" s="171"/>
      <c r="P110" s="152"/>
      <c r="Q110" s="152"/>
      <c r="R110" s="152"/>
      <c r="S110" s="152"/>
      <c r="T110" s="173"/>
      <c r="U110" s="173"/>
      <c r="V110" s="173"/>
      <c r="W110" s="173"/>
      <c r="X110" s="173"/>
      <c r="Y110" s="173"/>
      <c r="Z110" s="174"/>
    </row>
    <row r="111" spans="1:26" s="27" customFormat="1" ht="10.199999999999999" x14ac:dyDescent="0.2">
      <c r="A111" s="153"/>
      <c r="M111" s="44"/>
      <c r="N111" s="152"/>
      <c r="O111" s="171"/>
      <c r="P111" s="152"/>
      <c r="Q111" s="152"/>
      <c r="R111" s="152"/>
      <c r="S111" s="152"/>
      <c r="T111" s="173"/>
      <c r="U111" s="173"/>
      <c r="V111" s="173"/>
      <c r="W111" s="173"/>
      <c r="X111" s="173"/>
      <c r="Y111" s="173"/>
      <c r="Z111" s="174"/>
    </row>
    <row r="112" spans="1:26" s="27" customFormat="1" ht="3" customHeight="1" x14ac:dyDescent="0.2">
      <c r="E112" s="44"/>
      <c r="F112" s="44"/>
      <c r="G112" s="44"/>
      <c r="H112" s="44"/>
      <c r="I112" s="44"/>
      <c r="J112" s="44"/>
      <c r="K112" s="44"/>
      <c r="L112" s="44"/>
      <c r="M112" s="44"/>
      <c r="N112" s="152"/>
      <c r="O112" s="171"/>
      <c r="P112" s="152"/>
      <c r="Q112" s="152"/>
      <c r="R112" s="152"/>
      <c r="S112" s="152"/>
      <c r="T112" s="152"/>
      <c r="U112" s="152"/>
      <c r="V112" s="152"/>
      <c r="W112" s="152"/>
      <c r="X112" s="152"/>
    </row>
    <row r="113" spans="1:26" s="27" customFormat="1" ht="10.199999999999999" x14ac:dyDescent="0.2">
      <c r="A113" s="155"/>
      <c r="B113" s="155"/>
      <c r="C113" s="155"/>
      <c r="D113" s="155"/>
      <c r="E113" s="156"/>
      <c r="F113" s="157"/>
      <c r="G113" s="156"/>
      <c r="H113" s="157"/>
      <c r="I113" s="156"/>
      <c r="J113" s="157"/>
      <c r="K113" s="156"/>
      <c r="L113" s="157"/>
      <c r="M113" s="156">
        <f>SUM(M108:M112)</f>
        <v>336</v>
      </c>
      <c r="N113" s="152"/>
      <c r="O113" s="171"/>
      <c r="P113" s="152"/>
      <c r="Q113" s="152"/>
      <c r="R113" s="152"/>
      <c r="S113" s="152"/>
      <c r="T113" s="152"/>
      <c r="U113" s="152"/>
      <c r="V113" s="152"/>
      <c r="W113" s="152"/>
      <c r="X113" s="152"/>
    </row>
    <row r="114" spans="1:26" s="27" customFormat="1" ht="3" customHeight="1" x14ac:dyDescent="0.2">
      <c r="E114" s="44"/>
      <c r="F114" s="44"/>
      <c r="G114" s="44"/>
      <c r="H114" s="44"/>
      <c r="I114" s="44"/>
      <c r="J114" s="44"/>
      <c r="K114" s="44"/>
      <c r="L114" s="44"/>
      <c r="M114" s="44"/>
      <c r="N114" s="152"/>
      <c r="O114" s="171"/>
      <c r="P114" s="152"/>
      <c r="Q114" s="152"/>
      <c r="R114" s="152"/>
      <c r="S114" s="152"/>
      <c r="T114" s="152"/>
      <c r="U114" s="152"/>
      <c r="V114" s="152"/>
      <c r="W114" s="152"/>
      <c r="X114" s="152"/>
    </row>
    <row r="115" spans="1:26" s="27" customFormat="1" ht="10.199999999999999" hidden="1" x14ac:dyDescent="0.2">
      <c r="A115" s="153" t="s">
        <v>114</v>
      </c>
      <c r="N115" s="152"/>
      <c r="O115" s="171"/>
      <c r="P115" s="152"/>
      <c r="Q115" s="152"/>
      <c r="R115" s="152"/>
      <c r="S115" s="152"/>
      <c r="T115" s="152"/>
      <c r="U115" s="152"/>
      <c r="V115" s="152"/>
      <c r="W115" s="152"/>
      <c r="X115" s="152"/>
    </row>
    <row r="116" spans="1:26" s="27" customFormat="1" ht="10.199999999999999" hidden="1" x14ac:dyDescent="0.2">
      <c r="A116" s="153"/>
      <c r="M116" s="44"/>
      <c r="N116" s="152"/>
      <c r="O116" s="171"/>
      <c r="P116" s="152"/>
      <c r="Q116" s="152"/>
      <c r="R116" s="152"/>
      <c r="S116" s="152"/>
      <c r="T116" s="173"/>
      <c r="U116" s="173"/>
      <c r="V116" s="173"/>
      <c r="W116" s="173"/>
      <c r="X116" s="173"/>
      <c r="Y116" s="173"/>
      <c r="Z116" s="174"/>
    </row>
    <row r="117" spans="1:26" s="27" customFormat="1" ht="3" hidden="1" customHeight="1" x14ac:dyDescent="0.2">
      <c r="E117" s="44"/>
      <c r="F117" s="44"/>
      <c r="G117" s="44"/>
      <c r="H117" s="44"/>
      <c r="I117" s="44"/>
      <c r="J117" s="44"/>
      <c r="K117" s="44"/>
      <c r="L117" s="44"/>
      <c r="M117" s="44"/>
      <c r="N117" s="152"/>
      <c r="O117" s="171"/>
      <c r="P117" s="152"/>
      <c r="Q117" s="152"/>
      <c r="R117" s="152"/>
      <c r="S117" s="152"/>
      <c r="T117" s="152"/>
      <c r="U117" s="152"/>
      <c r="V117" s="152"/>
      <c r="W117" s="152"/>
      <c r="X117" s="152"/>
    </row>
    <row r="118" spans="1:26" s="27" customFormat="1" ht="10.199999999999999" hidden="1" x14ac:dyDescent="0.2">
      <c r="A118" s="155"/>
      <c r="B118" s="155"/>
      <c r="C118" s="155"/>
      <c r="D118" s="155"/>
      <c r="E118" s="156"/>
      <c r="F118" s="157"/>
      <c r="G118" s="156"/>
      <c r="H118" s="157"/>
      <c r="I118" s="156"/>
      <c r="J118" s="157"/>
      <c r="K118" s="156"/>
      <c r="L118" s="157"/>
      <c r="M118" s="156">
        <f>SUM(M116:M116)</f>
        <v>0</v>
      </c>
      <c r="N118" s="152"/>
      <c r="O118" s="171"/>
      <c r="P118" s="152"/>
      <c r="Q118" s="152"/>
      <c r="R118" s="152"/>
      <c r="S118" s="152"/>
      <c r="T118" s="152"/>
      <c r="U118" s="152"/>
      <c r="V118" s="152"/>
      <c r="W118" s="152"/>
      <c r="X118" s="152"/>
    </row>
    <row r="119" spans="1:26" s="27" customFormat="1" ht="3" customHeight="1" x14ac:dyDescent="0.2">
      <c r="E119" s="44"/>
      <c r="F119" s="44"/>
      <c r="G119" s="44"/>
      <c r="H119" s="44"/>
      <c r="I119" s="44"/>
      <c r="J119" s="44"/>
      <c r="K119" s="44"/>
      <c r="L119" s="44"/>
      <c r="M119" s="44"/>
      <c r="N119" s="152"/>
      <c r="O119" s="171"/>
      <c r="P119" s="152"/>
      <c r="Q119" s="152"/>
      <c r="R119" s="152"/>
      <c r="S119" s="152"/>
      <c r="T119" s="152"/>
      <c r="U119" s="152"/>
      <c r="V119" s="152"/>
      <c r="W119" s="152"/>
      <c r="X119" s="152"/>
    </row>
    <row r="120" spans="1:26" s="27" customFormat="1" ht="10.199999999999999" x14ac:dyDescent="0.2">
      <c r="A120" s="153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2"/>
      <c r="O120" s="171"/>
      <c r="P120" s="152"/>
      <c r="Q120" s="152"/>
      <c r="R120" s="152"/>
      <c r="S120" s="152"/>
      <c r="T120" s="152"/>
      <c r="U120" s="152"/>
      <c r="V120" s="152"/>
      <c r="W120" s="152"/>
      <c r="X120" s="152"/>
    </row>
    <row r="121" spans="1:26" s="27" customFormat="1" ht="10.199999999999999" x14ac:dyDescent="0.2">
      <c r="A121" s="153"/>
      <c r="B121" s="27" t="s">
        <v>215</v>
      </c>
      <c r="C121" s="27" t="s">
        <v>216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2"/>
      <c r="O121" s="171"/>
      <c r="P121" s="152"/>
      <c r="Q121" s="152"/>
      <c r="R121" s="152"/>
      <c r="S121" s="152"/>
      <c r="T121" s="173"/>
      <c r="U121" s="173"/>
      <c r="V121" s="173"/>
      <c r="W121" s="173"/>
      <c r="X121" s="173"/>
      <c r="Y121" s="173"/>
      <c r="Z121" s="174"/>
    </row>
    <row r="122" spans="1:26" s="27" customFormat="1" ht="10.199999999999999" x14ac:dyDescent="0.2">
      <c r="A122" s="153"/>
      <c r="B122" s="27" t="s">
        <v>217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2"/>
      <c r="O122" s="171"/>
      <c r="P122" s="152"/>
      <c r="Q122" s="152"/>
      <c r="R122" s="152"/>
      <c r="S122" s="152"/>
      <c r="T122" s="173"/>
      <c r="U122" s="173"/>
      <c r="V122" s="173"/>
      <c r="W122" s="173"/>
      <c r="X122" s="173"/>
      <c r="Y122" s="173"/>
      <c r="Z122" s="174"/>
    </row>
    <row r="123" spans="1:26" s="27" customFormat="1" ht="10.199999999999999" x14ac:dyDescent="0.2">
      <c r="A123" s="153"/>
      <c r="B123" s="27" t="s">
        <v>218</v>
      </c>
      <c r="C123" s="27" t="s">
        <v>214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2"/>
      <c r="O123" s="171"/>
      <c r="P123" s="152"/>
      <c r="Q123" s="152"/>
      <c r="R123" s="152"/>
      <c r="S123" s="152"/>
      <c r="T123" s="173"/>
      <c r="U123" s="173"/>
      <c r="V123" s="173"/>
      <c r="W123" s="173"/>
      <c r="X123" s="173"/>
      <c r="Y123" s="173"/>
      <c r="Z123" s="174"/>
    </row>
    <row r="124" spans="1:26" s="27" customFormat="1" ht="10.199999999999999" x14ac:dyDescent="0.2">
      <c r="A124" s="153"/>
      <c r="E124" s="44"/>
      <c r="F124" s="44"/>
      <c r="G124" s="44"/>
      <c r="H124" s="44"/>
      <c r="I124" s="44"/>
      <c r="J124" s="44"/>
      <c r="K124" s="44"/>
      <c r="L124" s="44"/>
      <c r="M124" s="44"/>
      <c r="N124" s="152"/>
      <c r="O124" s="171"/>
      <c r="P124" s="152"/>
      <c r="Q124" s="152"/>
      <c r="R124" s="152"/>
      <c r="S124" s="152"/>
      <c r="T124" s="173"/>
      <c r="U124" s="173"/>
      <c r="V124" s="173"/>
      <c r="W124" s="173"/>
      <c r="X124" s="173"/>
      <c r="Y124" s="173"/>
      <c r="Z124" s="174"/>
    </row>
    <row r="125" spans="1:26" s="27" customFormat="1" ht="3" customHeight="1" x14ac:dyDescent="0.2">
      <c r="E125" s="44"/>
      <c r="F125" s="44"/>
      <c r="G125" s="44"/>
      <c r="H125" s="44"/>
      <c r="I125" s="44"/>
      <c r="J125" s="44"/>
      <c r="K125" s="44"/>
      <c r="L125" s="44"/>
      <c r="M125" s="44"/>
      <c r="N125" s="152"/>
      <c r="O125" s="171"/>
      <c r="P125" s="152"/>
      <c r="Q125" s="152"/>
      <c r="R125" s="152"/>
      <c r="S125" s="152"/>
      <c r="T125" s="152"/>
      <c r="U125" s="152"/>
      <c r="V125" s="152"/>
      <c r="W125" s="152"/>
      <c r="X125" s="152"/>
    </row>
    <row r="126" spans="1:26" s="27" customFormat="1" ht="10.199999999999999" x14ac:dyDescent="0.2">
      <c r="A126" s="155"/>
      <c r="B126" s="155"/>
      <c r="C126" s="155"/>
      <c r="D126" s="155"/>
      <c r="E126" s="156"/>
      <c r="F126" s="157"/>
      <c r="G126" s="156"/>
      <c r="H126" s="157"/>
      <c r="I126" s="156"/>
      <c r="J126" s="157"/>
      <c r="K126" s="156"/>
      <c r="L126" s="157"/>
      <c r="M126" s="156">
        <f>SUM(M121:M124)</f>
        <v>352</v>
      </c>
      <c r="N126" s="152"/>
      <c r="O126" s="171"/>
      <c r="P126" s="152"/>
      <c r="Q126" s="152"/>
      <c r="R126" s="152"/>
      <c r="S126" s="152"/>
      <c r="T126" s="152"/>
      <c r="U126" s="152"/>
      <c r="V126" s="152"/>
      <c r="W126" s="152"/>
      <c r="X126" s="152"/>
    </row>
    <row r="127" spans="1:26" s="152" customFormat="1" ht="3" customHeight="1" x14ac:dyDescent="0.2">
      <c r="A127" s="171"/>
      <c r="B127" s="171"/>
      <c r="C127" s="171"/>
      <c r="D127" s="171"/>
      <c r="E127" s="188"/>
      <c r="F127" s="81"/>
      <c r="G127" s="188"/>
      <c r="H127" s="81"/>
      <c r="I127" s="188"/>
      <c r="J127" s="81"/>
      <c r="K127" s="188"/>
      <c r="L127" s="81"/>
      <c r="M127" s="188"/>
      <c r="O127" s="171"/>
    </row>
    <row r="128" spans="1:26" s="27" customFormat="1" ht="10.199999999999999" hidden="1" x14ac:dyDescent="0.2">
      <c r="A128" s="153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2"/>
      <c r="O128" s="171"/>
      <c r="P128" s="152"/>
      <c r="Q128" s="152"/>
      <c r="R128" s="152"/>
      <c r="S128" s="152"/>
      <c r="T128" s="152"/>
      <c r="U128" s="152"/>
      <c r="V128" s="152"/>
      <c r="W128" s="152"/>
      <c r="X128" s="152"/>
    </row>
    <row r="129" spans="1:26" s="27" customFormat="1" ht="10.199999999999999" hidden="1" x14ac:dyDescent="0.2">
      <c r="E129" s="44"/>
      <c r="F129" s="44"/>
      <c r="G129" s="44"/>
      <c r="H129" s="44"/>
      <c r="I129" s="44"/>
      <c r="J129" s="44"/>
      <c r="K129" s="44"/>
      <c r="L129" s="44"/>
      <c r="M129" s="44"/>
      <c r="N129" s="152"/>
      <c r="O129" s="171"/>
      <c r="P129" s="152"/>
      <c r="Q129" s="152"/>
      <c r="R129" s="152"/>
      <c r="S129" s="152"/>
      <c r="T129" s="173"/>
      <c r="U129" s="173"/>
      <c r="V129" s="173"/>
      <c r="W129" s="173"/>
      <c r="X129" s="173"/>
      <c r="Y129" s="173"/>
      <c r="Z129" s="174"/>
    </row>
    <row r="130" spans="1:26" s="27" customFormat="1" ht="3" hidden="1" customHeight="1" x14ac:dyDescent="0.2">
      <c r="E130" s="44"/>
      <c r="F130" s="44"/>
      <c r="G130" s="44"/>
      <c r="H130" s="44"/>
      <c r="I130" s="44"/>
      <c r="J130" s="44"/>
      <c r="K130" s="44"/>
      <c r="L130" s="44"/>
      <c r="M130" s="44"/>
      <c r="N130" s="152"/>
      <c r="O130" s="171"/>
      <c r="P130" s="152"/>
      <c r="Q130" s="152"/>
      <c r="R130" s="152"/>
      <c r="S130" s="152"/>
      <c r="T130" s="152"/>
      <c r="U130" s="152"/>
      <c r="V130" s="152"/>
      <c r="W130" s="152"/>
      <c r="X130" s="152"/>
    </row>
    <row r="131" spans="1:26" s="27" customFormat="1" ht="10.199999999999999" hidden="1" x14ac:dyDescent="0.2">
      <c r="A131" s="155"/>
      <c r="B131" s="155"/>
      <c r="C131" s="155"/>
      <c r="D131" s="155"/>
      <c r="E131" s="156"/>
      <c r="F131" s="157"/>
      <c r="G131" s="156"/>
      <c r="H131" s="157"/>
      <c r="I131" s="156"/>
      <c r="J131" s="157"/>
      <c r="K131" s="156"/>
      <c r="L131" s="157"/>
      <c r="M131" s="156">
        <f>SUM(M129:M130)</f>
        <v>0</v>
      </c>
      <c r="N131" s="152"/>
      <c r="O131" s="171"/>
      <c r="P131" s="152"/>
      <c r="Q131" s="152"/>
      <c r="R131" s="152"/>
      <c r="S131" s="152"/>
      <c r="T131" s="152"/>
      <c r="U131" s="152"/>
      <c r="V131" s="152"/>
      <c r="W131" s="152"/>
      <c r="X131" s="152"/>
    </row>
    <row r="132" spans="1:26" s="27" customFormat="1" ht="3" hidden="1" customHeight="1" x14ac:dyDescent="0.2">
      <c r="E132" s="44"/>
      <c r="F132" s="44"/>
      <c r="G132" s="44"/>
      <c r="H132" s="44"/>
      <c r="I132" s="44"/>
      <c r="J132" s="44"/>
      <c r="K132" s="44"/>
      <c r="L132" s="44"/>
      <c r="M132" s="44"/>
      <c r="N132" s="152"/>
      <c r="O132" s="171"/>
      <c r="P132" s="152"/>
      <c r="Q132" s="152"/>
      <c r="R132" s="152"/>
      <c r="S132" s="152"/>
      <c r="T132" s="152"/>
      <c r="U132" s="152"/>
      <c r="V132" s="152"/>
      <c r="W132" s="152"/>
      <c r="X132" s="152"/>
    </row>
    <row r="133" spans="1:26" s="27" customFormat="1" ht="10.199999999999999" hidden="1" x14ac:dyDescent="0.2">
      <c r="A133" s="153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2"/>
      <c r="O133" s="171"/>
      <c r="P133" s="152"/>
      <c r="Q133" s="152"/>
      <c r="R133" s="152"/>
      <c r="S133" s="152"/>
      <c r="T133" s="152"/>
      <c r="U133" s="152"/>
      <c r="V133" s="152"/>
      <c r="W133" s="152"/>
      <c r="X133" s="152"/>
    </row>
    <row r="134" spans="1:26" s="27" customFormat="1" ht="10.199999999999999" hidden="1" x14ac:dyDescent="0.2">
      <c r="E134" s="44"/>
      <c r="F134" s="44"/>
      <c r="G134" s="44"/>
      <c r="H134" s="44"/>
      <c r="I134" s="44"/>
      <c r="J134" s="44"/>
      <c r="K134" s="44"/>
      <c r="L134" s="44"/>
      <c r="M134" s="44"/>
      <c r="N134" s="152"/>
      <c r="O134" s="171"/>
      <c r="P134" s="152"/>
      <c r="Q134" s="152"/>
      <c r="R134" s="152"/>
      <c r="S134" s="152"/>
      <c r="T134" s="173"/>
      <c r="U134" s="173"/>
      <c r="V134" s="173"/>
      <c r="W134" s="173"/>
      <c r="X134" s="173"/>
      <c r="Y134" s="173"/>
      <c r="Z134" s="174"/>
    </row>
    <row r="135" spans="1:26" s="27" customFormat="1" ht="3" hidden="1" customHeight="1" x14ac:dyDescent="0.2">
      <c r="E135" s="44"/>
      <c r="F135" s="44"/>
      <c r="G135" s="44"/>
      <c r="H135" s="44"/>
      <c r="I135" s="44"/>
      <c r="J135" s="44"/>
      <c r="K135" s="44"/>
      <c r="L135" s="44"/>
      <c r="M135" s="44"/>
      <c r="N135" s="152"/>
      <c r="O135" s="171"/>
      <c r="P135" s="152"/>
      <c r="Q135" s="152"/>
      <c r="R135" s="152"/>
      <c r="S135" s="152"/>
      <c r="T135" s="152"/>
      <c r="U135" s="152"/>
      <c r="V135" s="152"/>
      <c r="W135" s="152"/>
      <c r="X135" s="152"/>
    </row>
    <row r="136" spans="1:26" s="27" customFormat="1" ht="10.199999999999999" hidden="1" x14ac:dyDescent="0.2">
      <c r="A136" s="155"/>
      <c r="B136" s="155"/>
      <c r="C136" s="155"/>
      <c r="D136" s="155"/>
      <c r="E136" s="156"/>
      <c r="F136" s="157"/>
      <c r="G136" s="156"/>
      <c r="H136" s="157"/>
      <c r="I136" s="156"/>
      <c r="J136" s="157"/>
      <c r="K136" s="156"/>
      <c r="L136" s="157"/>
      <c r="M136" s="156">
        <f>SUM(M134)</f>
        <v>0</v>
      </c>
      <c r="N136" s="152"/>
      <c r="O136" s="171"/>
      <c r="P136" s="152"/>
      <c r="Q136" s="152"/>
      <c r="R136" s="152"/>
      <c r="S136" s="152"/>
      <c r="T136" s="152"/>
      <c r="U136" s="152"/>
      <c r="V136" s="152"/>
      <c r="W136" s="152"/>
      <c r="X136" s="152"/>
    </row>
    <row r="137" spans="1:26" s="27" customFormat="1" ht="3" hidden="1" customHeight="1" x14ac:dyDescent="0.2">
      <c r="E137" s="44"/>
      <c r="F137" s="44"/>
      <c r="G137" s="44"/>
      <c r="H137" s="44"/>
      <c r="I137" s="44"/>
      <c r="J137" s="44"/>
      <c r="K137" s="44"/>
      <c r="L137" s="44"/>
      <c r="M137" s="44"/>
      <c r="N137" s="152"/>
      <c r="O137" s="171"/>
      <c r="P137" s="152"/>
      <c r="Q137" s="152"/>
      <c r="R137" s="152"/>
      <c r="S137" s="152"/>
      <c r="T137" s="152"/>
      <c r="U137" s="152"/>
      <c r="V137" s="152"/>
      <c r="W137" s="152"/>
      <c r="X137" s="152"/>
    </row>
    <row r="138" spans="1:26" s="27" customFormat="1" ht="10.199999999999999" hidden="1" x14ac:dyDescent="0.2">
      <c r="A138" s="153" t="s">
        <v>180</v>
      </c>
      <c r="N138" s="152"/>
      <c r="O138" s="171"/>
      <c r="P138" s="152"/>
      <c r="Q138" s="152"/>
      <c r="R138" s="152"/>
      <c r="S138" s="152"/>
      <c r="T138" s="152"/>
      <c r="U138" s="152"/>
      <c r="V138" s="152"/>
      <c r="W138" s="152"/>
      <c r="X138" s="152"/>
    </row>
    <row r="139" spans="1:26" s="27" customFormat="1" ht="10.199999999999999" hidden="1" x14ac:dyDescent="0.2">
      <c r="E139" s="44"/>
      <c r="F139" s="44"/>
      <c r="G139" s="44"/>
      <c r="H139" s="44"/>
      <c r="I139" s="44"/>
      <c r="J139" s="44"/>
      <c r="K139" s="44"/>
      <c r="L139" s="44"/>
      <c r="M139" s="44"/>
      <c r="N139" s="152"/>
      <c r="O139" s="171"/>
      <c r="P139" s="152"/>
      <c r="Q139" s="152"/>
      <c r="R139" s="152"/>
      <c r="S139" s="152"/>
      <c r="T139" s="173"/>
      <c r="U139" s="173"/>
      <c r="V139" s="173"/>
      <c r="W139" s="173"/>
      <c r="X139" s="173"/>
      <c r="Y139" s="173"/>
      <c r="Z139" s="174"/>
    </row>
    <row r="140" spans="1:26" s="27" customFormat="1" ht="3" hidden="1" customHeight="1" x14ac:dyDescent="0.2">
      <c r="E140" s="44"/>
      <c r="F140" s="44"/>
      <c r="G140" s="44"/>
      <c r="H140" s="44"/>
      <c r="I140" s="44"/>
      <c r="J140" s="44"/>
      <c r="K140" s="44"/>
      <c r="L140" s="44"/>
      <c r="M140" s="44"/>
      <c r="N140" s="152"/>
      <c r="O140" s="171"/>
      <c r="P140" s="152"/>
      <c r="Q140" s="152"/>
      <c r="R140" s="152"/>
      <c r="S140" s="152"/>
      <c r="T140" s="152"/>
      <c r="U140" s="152"/>
      <c r="V140" s="152"/>
      <c r="W140" s="152"/>
      <c r="X140" s="152"/>
    </row>
    <row r="141" spans="1:26" s="27" customFormat="1" ht="10.199999999999999" hidden="1" x14ac:dyDescent="0.2">
      <c r="A141" s="155"/>
      <c r="B141" s="155"/>
      <c r="C141" s="155"/>
      <c r="D141" s="155"/>
      <c r="E141" s="156"/>
      <c r="F141" s="157"/>
      <c r="G141" s="156"/>
      <c r="H141" s="157"/>
      <c r="I141" s="156"/>
      <c r="J141" s="157"/>
      <c r="K141" s="156"/>
      <c r="L141" s="157"/>
      <c r="M141" s="156">
        <f>SUM(M139:M139)</f>
        <v>0</v>
      </c>
      <c r="N141" s="152"/>
      <c r="O141" s="171"/>
      <c r="P141" s="152"/>
      <c r="Q141" s="152"/>
      <c r="R141" s="152"/>
      <c r="S141" s="152"/>
      <c r="T141" s="152"/>
      <c r="U141" s="152"/>
      <c r="V141" s="152"/>
      <c r="W141" s="152"/>
      <c r="X141" s="152"/>
    </row>
    <row r="142" spans="1:26" s="27" customFormat="1" ht="3" customHeight="1" x14ac:dyDescent="0.2">
      <c r="E142" s="44"/>
      <c r="F142" s="44"/>
      <c r="G142" s="44"/>
      <c r="H142" s="44"/>
      <c r="I142" s="44"/>
      <c r="J142" s="44"/>
      <c r="K142" s="44"/>
      <c r="L142" s="44"/>
      <c r="M142" s="44"/>
      <c r="N142" s="152"/>
      <c r="O142" s="171"/>
      <c r="P142" s="152"/>
      <c r="Q142" s="152"/>
      <c r="R142" s="152"/>
      <c r="S142" s="152"/>
      <c r="T142" s="152"/>
      <c r="U142" s="152"/>
      <c r="V142" s="152"/>
      <c r="W142" s="152"/>
      <c r="X142" s="152"/>
    </row>
    <row r="143" spans="1:26" s="27" customFormat="1" ht="10.8" thickBot="1" x14ac:dyDescent="0.25">
      <c r="A143" s="158" t="s">
        <v>101</v>
      </c>
      <c r="B143" s="159"/>
      <c r="C143" s="159"/>
      <c r="D143" s="159"/>
      <c r="E143" s="160"/>
      <c r="F143" s="161"/>
      <c r="G143" s="160"/>
      <c r="H143" s="161"/>
      <c r="I143" s="160"/>
      <c r="J143" s="161"/>
      <c r="K143" s="160"/>
      <c r="L143" s="161"/>
      <c r="M143" s="160">
        <f>M105+M113+M118+M126+M141+M131+M136+M100</f>
        <v>688</v>
      </c>
      <c r="N143" s="152"/>
      <c r="O143" s="171"/>
      <c r="P143" s="152"/>
      <c r="Q143" s="152"/>
      <c r="R143" s="152"/>
      <c r="S143" s="152"/>
      <c r="T143" s="152"/>
      <c r="U143" s="152"/>
      <c r="V143" s="152"/>
      <c r="W143" s="152"/>
      <c r="X143" s="152"/>
    </row>
    <row r="144" spans="1:26" s="27" customFormat="1" ht="10.8" thickTop="1" x14ac:dyDescent="0.2">
      <c r="E144" s="44"/>
      <c r="F144" s="44"/>
      <c r="G144" s="44"/>
      <c r="H144" s="44"/>
      <c r="I144" s="44"/>
      <c r="J144" s="44"/>
      <c r="K144" s="44"/>
      <c r="L144" s="44"/>
      <c r="M144" s="44"/>
      <c r="N144" s="152"/>
      <c r="O144" s="171"/>
      <c r="P144" s="152"/>
      <c r="Q144" s="152"/>
      <c r="R144" s="152"/>
      <c r="S144" s="152"/>
      <c r="T144" s="152"/>
      <c r="U144" s="152"/>
      <c r="V144" s="152"/>
      <c r="W144" s="152"/>
      <c r="X144" s="152"/>
    </row>
    <row r="145" spans="5:24" s="27" customFormat="1" ht="10.199999999999999" x14ac:dyDescent="0.2">
      <c r="E145" s="44"/>
      <c r="F145" s="44"/>
      <c r="G145" s="44"/>
      <c r="H145" s="44"/>
      <c r="I145" s="44"/>
      <c r="J145" s="44"/>
      <c r="K145" s="44"/>
      <c r="L145" s="44"/>
      <c r="M145" s="44"/>
      <c r="N145" s="152"/>
      <c r="O145" s="171"/>
      <c r="P145" s="152"/>
      <c r="Q145" s="152"/>
      <c r="R145" s="152"/>
      <c r="S145" s="152"/>
      <c r="T145" s="152"/>
      <c r="U145" s="152"/>
      <c r="V145" s="152"/>
      <c r="W145" s="152"/>
      <c r="X145" s="152"/>
    </row>
    <row r="146" spans="5:24" s="27" customFormat="1" ht="10.199999999999999" x14ac:dyDescent="0.2">
      <c r="E146" s="44"/>
      <c r="F146" s="44"/>
      <c r="G146" s="44"/>
      <c r="H146" s="44"/>
      <c r="I146" s="44"/>
      <c r="J146" s="44"/>
      <c r="K146" s="44"/>
      <c r="L146" s="44"/>
      <c r="M146" s="44"/>
      <c r="N146" s="152"/>
      <c r="O146" s="171"/>
      <c r="P146" s="152"/>
      <c r="Q146" s="152"/>
      <c r="R146" s="152"/>
      <c r="S146" s="152"/>
      <c r="T146" s="152"/>
      <c r="U146" s="152"/>
      <c r="V146" s="152"/>
      <c r="W146" s="152"/>
      <c r="X146" s="152"/>
    </row>
    <row r="147" spans="5:24" s="27" customFormat="1" ht="10.199999999999999" x14ac:dyDescent="0.2">
      <c r="E147" s="44"/>
      <c r="F147" s="44"/>
      <c r="G147" s="44"/>
      <c r="H147" s="44"/>
      <c r="I147" s="44"/>
      <c r="J147" s="44"/>
      <c r="K147" s="44"/>
      <c r="L147" s="44"/>
      <c r="M147" s="44"/>
      <c r="N147" s="152"/>
      <c r="O147" s="171"/>
      <c r="P147" s="152"/>
      <c r="Q147" s="152"/>
      <c r="R147" s="152"/>
      <c r="S147" s="152"/>
      <c r="T147" s="152"/>
      <c r="U147" s="152"/>
      <c r="V147" s="152"/>
      <c r="W147" s="152"/>
      <c r="X147" s="152"/>
    </row>
    <row r="148" spans="5:24" s="27" customFormat="1" ht="10.199999999999999" x14ac:dyDescent="0.2">
      <c r="E148" s="44"/>
      <c r="F148" s="44"/>
      <c r="G148" s="44"/>
      <c r="H148" s="44"/>
      <c r="I148" s="44"/>
      <c r="J148" s="44"/>
      <c r="K148" s="44"/>
      <c r="L148" s="44"/>
      <c r="M148" s="44"/>
      <c r="N148" s="152"/>
      <c r="O148" s="171"/>
      <c r="P148" s="152"/>
      <c r="Q148" s="152"/>
      <c r="R148" s="152"/>
      <c r="S148" s="152"/>
      <c r="T148" s="152"/>
      <c r="U148" s="152"/>
      <c r="V148" s="152"/>
      <c r="W148" s="152"/>
      <c r="X148" s="152"/>
    </row>
    <row r="149" spans="5:24" s="27" customFormat="1" ht="10.199999999999999" x14ac:dyDescent="0.2">
      <c r="E149" s="44"/>
      <c r="F149" s="44"/>
      <c r="G149" s="44"/>
      <c r="H149" s="44"/>
      <c r="I149" s="44"/>
      <c r="J149" s="44"/>
      <c r="K149" s="44"/>
      <c r="L149" s="44"/>
      <c r="M149" s="44"/>
      <c r="N149" s="152"/>
      <c r="O149" s="171"/>
      <c r="P149" s="152"/>
      <c r="Q149" s="152"/>
      <c r="R149" s="152"/>
      <c r="S149" s="152"/>
      <c r="T149" s="152"/>
      <c r="U149" s="152"/>
      <c r="V149" s="152"/>
      <c r="W149" s="152"/>
      <c r="X149" s="152"/>
    </row>
    <row r="150" spans="5:24" s="27" customFormat="1" ht="10.199999999999999" x14ac:dyDescent="0.2">
      <c r="E150" s="44"/>
      <c r="F150" s="44"/>
      <c r="G150" s="44"/>
      <c r="H150" s="44"/>
      <c r="I150" s="44"/>
      <c r="J150" s="44"/>
      <c r="K150" s="44"/>
      <c r="L150" s="44"/>
      <c r="M150" s="44"/>
      <c r="N150" s="152"/>
      <c r="O150" s="171"/>
      <c r="P150" s="152"/>
      <c r="Q150" s="152"/>
      <c r="R150" s="152"/>
      <c r="S150" s="152"/>
      <c r="T150" s="152"/>
      <c r="U150" s="152"/>
      <c r="V150" s="152"/>
      <c r="W150" s="152"/>
      <c r="X150" s="152"/>
    </row>
    <row r="151" spans="5:24" s="27" customFormat="1" ht="10.199999999999999" x14ac:dyDescent="0.2">
      <c r="E151" s="44"/>
      <c r="F151" s="44"/>
      <c r="G151" s="44"/>
      <c r="H151" s="44"/>
      <c r="I151" s="44"/>
      <c r="J151" s="44"/>
      <c r="K151" s="44"/>
      <c r="L151" s="44"/>
      <c r="M151" s="44"/>
      <c r="N151" s="152"/>
      <c r="O151" s="171"/>
      <c r="P151" s="152"/>
      <c r="Q151" s="152"/>
      <c r="R151" s="152"/>
      <c r="S151" s="152"/>
      <c r="T151" s="152"/>
      <c r="U151" s="152"/>
      <c r="V151" s="152"/>
      <c r="W151" s="152"/>
      <c r="X151" s="152"/>
    </row>
    <row r="152" spans="5:24" s="27" customFormat="1" ht="10.199999999999999" x14ac:dyDescent="0.2">
      <c r="E152" s="44"/>
      <c r="F152" s="44"/>
      <c r="G152" s="44"/>
      <c r="H152" s="44"/>
      <c r="I152" s="44"/>
      <c r="J152" s="44"/>
      <c r="K152" s="44"/>
      <c r="L152" s="44"/>
      <c r="M152" s="44"/>
      <c r="N152" s="152"/>
      <c r="O152" s="171"/>
      <c r="P152" s="152"/>
      <c r="Q152" s="152"/>
      <c r="R152" s="152"/>
      <c r="S152" s="152"/>
      <c r="T152" s="152"/>
      <c r="U152" s="152"/>
      <c r="V152" s="152"/>
      <c r="W152" s="152"/>
      <c r="X152" s="152"/>
    </row>
    <row r="153" spans="5:24" s="27" customFormat="1" ht="10.199999999999999" x14ac:dyDescent="0.2">
      <c r="E153" s="44"/>
      <c r="F153" s="44"/>
      <c r="G153" s="44"/>
      <c r="H153" s="44"/>
      <c r="I153" s="44"/>
      <c r="J153" s="44"/>
      <c r="K153" s="44"/>
      <c r="L153" s="44"/>
      <c r="M153" s="44"/>
      <c r="N153" s="152"/>
      <c r="O153" s="171"/>
      <c r="P153" s="152"/>
      <c r="Q153" s="152"/>
      <c r="R153" s="152"/>
      <c r="S153" s="152"/>
      <c r="T153" s="152"/>
      <c r="U153" s="152"/>
      <c r="V153" s="152"/>
      <c r="W153" s="152"/>
      <c r="X153" s="152"/>
    </row>
    <row r="154" spans="5:24" s="27" customFormat="1" ht="10.199999999999999" x14ac:dyDescent="0.2">
      <c r="E154" s="44"/>
      <c r="F154" s="44"/>
      <c r="G154" s="44"/>
      <c r="H154" s="44"/>
      <c r="I154" s="44"/>
      <c r="J154" s="44"/>
      <c r="K154" s="44"/>
      <c r="L154" s="44"/>
      <c r="M154" s="44"/>
      <c r="N154" s="152"/>
      <c r="O154" s="171"/>
      <c r="P154" s="152"/>
      <c r="Q154" s="152"/>
      <c r="R154" s="152"/>
      <c r="S154" s="152"/>
      <c r="T154" s="152"/>
      <c r="U154" s="152"/>
      <c r="V154" s="152"/>
      <c r="W154" s="152"/>
      <c r="X154" s="152"/>
    </row>
    <row r="155" spans="5:24" s="27" customFormat="1" ht="10.199999999999999" x14ac:dyDescent="0.2">
      <c r="E155" s="44"/>
      <c r="F155" s="44"/>
      <c r="G155" s="44"/>
      <c r="H155" s="44"/>
      <c r="I155" s="44"/>
      <c r="J155" s="44"/>
      <c r="K155" s="44"/>
      <c r="L155" s="44"/>
      <c r="M155" s="44"/>
      <c r="N155" s="152"/>
      <c r="O155" s="171"/>
      <c r="P155" s="152"/>
      <c r="Q155" s="152"/>
      <c r="R155" s="152"/>
      <c r="S155" s="152"/>
      <c r="T155" s="152"/>
      <c r="U155" s="152"/>
      <c r="V155" s="152"/>
      <c r="W155" s="152"/>
      <c r="X155" s="152"/>
    </row>
    <row r="156" spans="5:24" s="27" customFormat="1" ht="10.199999999999999" x14ac:dyDescent="0.2">
      <c r="E156" s="44"/>
      <c r="F156" s="44"/>
      <c r="G156" s="44"/>
      <c r="H156" s="44"/>
      <c r="I156" s="44"/>
      <c r="J156" s="44"/>
      <c r="K156" s="44"/>
      <c r="L156" s="44"/>
      <c r="M156" s="44"/>
      <c r="N156" s="152"/>
      <c r="O156" s="171"/>
      <c r="P156" s="152"/>
      <c r="Q156" s="152"/>
      <c r="R156" s="152"/>
      <c r="S156" s="152"/>
      <c r="T156" s="152"/>
      <c r="U156" s="152"/>
      <c r="V156" s="152"/>
      <c r="W156" s="152"/>
      <c r="X156" s="152"/>
    </row>
    <row r="157" spans="5:24" s="27" customFormat="1" ht="10.199999999999999" x14ac:dyDescent="0.2">
      <c r="E157" s="44"/>
      <c r="F157" s="44"/>
      <c r="G157" s="44"/>
      <c r="H157" s="44"/>
      <c r="I157" s="44"/>
      <c r="J157" s="44"/>
      <c r="K157" s="44"/>
      <c r="L157" s="44"/>
      <c r="M157" s="44"/>
      <c r="N157" s="152"/>
      <c r="O157" s="171"/>
      <c r="P157" s="152"/>
      <c r="Q157" s="152"/>
      <c r="R157" s="152"/>
      <c r="S157" s="152"/>
      <c r="T157" s="152"/>
      <c r="U157" s="152"/>
      <c r="V157" s="152"/>
      <c r="W157" s="152"/>
      <c r="X157" s="152"/>
    </row>
    <row r="158" spans="5:24" s="27" customFormat="1" ht="10.199999999999999" x14ac:dyDescent="0.2">
      <c r="E158" s="44"/>
      <c r="F158" s="44"/>
      <c r="G158" s="44"/>
      <c r="H158" s="44"/>
      <c r="I158" s="44"/>
      <c r="J158" s="44"/>
      <c r="K158" s="44"/>
      <c r="L158" s="44"/>
      <c r="M158" s="44"/>
      <c r="N158" s="152"/>
      <c r="O158" s="171"/>
      <c r="P158" s="152"/>
      <c r="Q158" s="152"/>
      <c r="R158" s="152"/>
      <c r="S158" s="152"/>
      <c r="T158" s="152"/>
      <c r="U158" s="152"/>
      <c r="V158" s="152"/>
      <c r="W158" s="152"/>
      <c r="X158" s="152"/>
    </row>
    <row r="159" spans="5:24" s="27" customFormat="1" ht="10.199999999999999" x14ac:dyDescent="0.2">
      <c r="E159" s="44"/>
      <c r="F159" s="44"/>
      <c r="G159" s="44"/>
      <c r="H159" s="44"/>
      <c r="I159" s="44"/>
      <c r="J159" s="44"/>
      <c r="K159" s="44"/>
      <c r="L159" s="44"/>
      <c r="M159" s="44"/>
      <c r="N159" s="152"/>
      <c r="O159" s="171"/>
      <c r="P159" s="152"/>
      <c r="Q159" s="152"/>
      <c r="R159" s="152"/>
      <c r="S159" s="152"/>
      <c r="T159" s="152"/>
      <c r="U159" s="152"/>
      <c r="V159" s="152"/>
      <c r="W159" s="152"/>
      <c r="X159" s="152"/>
    </row>
    <row r="160" spans="5:24" s="27" customFormat="1" ht="10.199999999999999" x14ac:dyDescent="0.2">
      <c r="E160" s="44"/>
      <c r="F160" s="44"/>
      <c r="G160" s="44"/>
      <c r="H160" s="44"/>
      <c r="I160" s="44"/>
      <c r="J160" s="44"/>
      <c r="K160" s="44"/>
      <c r="L160" s="44"/>
      <c r="M160" s="44"/>
      <c r="N160" s="152"/>
      <c r="O160" s="171"/>
      <c r="P160" s="152"/>
      <c r="Q160" s="152"/>
      <c r="R160" s="152"/>
      <c r="S160" s="152"/>
      <c r="T160" s="152"/>
      <c r="U160" s="152"/>
      <c r="V160" s="152"/>
      <c r="W160" s="152"/>
      <c r="X160" s="152"/>
    </row>
    <row r="161" spans="5:24" s="27" customFormat="1" ht="10.199999999999999" x14ac:dyDescent="0.2">
      <c r="E161" s="44"/>
      <c r="F161" s="44"/>
      <c r="G161" s="44"/>
      <c r="H161" s="44"/>
      <c r="I161" s="44"/>
      <c r="J161" s="44"/>
      <c r="K161" s="44"/>
      <c r="L161" s="44"/>
      <c r="M161" s="44"/>
      <c r="N161" s="152"/>
      <c r="O161" s="171"/>
      <c r="P161" s="152"/>
      <c r="Q161" s="152"/>
      <c r="R161" s="152"/>
      <c r="S161" s="152"/>
      <c r="T161" s="152"/>
      <c r="U161" s="152"/>
      <c r="V161" s="152"/>
      <c r="W161" s="152"/>
      <c r="X161" s="152"/>
    </row>
    <row r="162" spans="5:24" s="27" customFormat="1" ht="10.199999999999999" x14ac:dyDescent="0.2">
      <c r="E162" s="44"/>
      <c r="F162" s="44"/>
      <c r="G162" s="44"/>
      <c r="H162" s="44"/>
      <c r="I162" s="44"/>
      <c r="J162" s="44"/>
      <c r="K162" s="44"/>
      <c r="L162" s="44"/>
      <c r="M162" s="44"/>
      <c r="N162" s="152"/>
      <c r="O162" s="171"/>
      <c r="P162" s="152"/>
      <c r="Q162" s="152"/>
      <c r="R162" s="152"/>
      <c r="S162" s="152"/>
      <c r="T162" s="152"/>
      <c r="U162" s="152"/>
      <c r="V162" s="152"/>
      <c r="W162" s="152"/>
      <c r="X162" s="152"/>
    </row>
    <row r="163" spans="5:24" s="27" customFormat="1" ht="10.199999999999999" x14ac:dyDescent="0.2">
      <c r="E163" s="44"/>
      <c r="F163" s="44"/>
      <c r="G163" s="44"/>
      <c r="H163" s="44"/>
      <c r="I163" s="44"/>
      <c r="J163" s="44"/>
      <c r="K163" s="44"/>
      <c r="L163" s="44"/>
      <c r="M163" s="44"/>
      <c r="N163" s="152"/>
      <c r="O163" s="171"/>
      <c r="P163" s="152"/>
      <c r="Q163" s="152"/>
      <c r="R163" s="152"/>
      <c r="S163" s="152"/>
      <c r="T163" s="152"/>
      <c r="U163" s="152"/>
      <c r="V163" s="152"/>
      <c r="W163" s="152"/>
      <c r="X163" s="152"/>
    </row>
    <row r="164" spans="5:24" s="27" customFormat="1" ht="10.199999999999999" x14ac:dyDescent="0.2">
      <c r="E164" s="44"/>
      <c r="F164" s="44"/>
      <c r="G164" s="44"/>
      <c r="H164" s="44"/>
      <c r="I164" s="44"/>
      <c r="J164" s="44"/>
      <c r="K164" s="44"/>
      <c r="L164" s="44"/>
      <c r="M164" s="44"/>
      <c r="N164" s="152"/>
      <c r="O164" s="171"/>
      <c r="P164" s="152"/>
      <c r="Q164" s="152"/>
      <c r="R164" s="152"/>
      <c r="S164" s="152"/>
      <c r="T164" s="152"/>
      <c r="U164" s="152"/>
      <c r="V164" s="152"/>
      <c r="W164" s="152"/>
      <c r="X164" s="152"/>
    </row>
    <row r="165" spans="5:24" s="27" customFormat="1" ht="10.199999999999999" x14ac:dyDescent="0.2">
      <c r="E165" s="44"/>
      <c r="F165" s="44"/>
      <c r="G165" s="44"/>
      <c r="H165" s="44"/>
      <c r="I165" s="44"/>
      <c r="J165" s="44"/>
      <c r="K165" s="44"/>
      <c r="L165" s="44"/>
      <c r="M165" s="44"/>
      <c r="N165" s="152"/>
      <c r="O165" s="171"/>
      <c r="P165" s="152"/>
      <c r="Q165" s="152"/>
      <c r="R165" s="152"/>
      <c r="S165" s="152"/>
      <c r="T165" s="152"/>
      <c r="U165" s="152"/>
      <c r="V165" s="152"/>
      <c r="W165" s="152"/>
      <c r="X165" s="152"/>
    </row>
    <row r="166" spans="5:24" s="27" customFormat="1" ht="10.199999999999999" x14ac:dyDescent="0.2">
      <c r="E166" s="44"/>
      <c r="F166" s="44"/>
      <c r="G166" s="44"/>
      <c r="H166" s="44"/>
      <c r="I166" s="44"/>
      <c r="J166" s="44"/>
      <c r="K166" s="44"/>
      <c r="L166" s="44"/>
      <c r="M166" s="44"/>
      <c r="N166" s="152"/>
      <c r="O166" s="171"/>
      <c r="P166" s="152"/>
      <c r="Q166" s="152"/>
      <c r="R166" s="152"/>
      <c r="S166" s="152"/>
      <c r="T166" s="152"/>
      <c r="U166" s="152"/>
      <c r="V166" s="152"/>
      <c r="W166" s="152"/>
      <c r="X166" s="152"/>
    </row>
    <row r="167" spans="5:24" s="27" customFormat="1" ht="10.199999999999999" x14ac:dyDescent="0.2">
      <c r="E167" s="44"/>
      <c r="F167" s="44"/>
      <c r="G167" s="44"/>
      <c r="H167" s="44"/>
      <c r="I167" s="44"/>
      <c r="J167" s="44"/>
      <c r="K167" s="44"/>
      <c r="L167" s="44"/>
      <c r="M167" s="44"/>
      <c r="N167" s="152"/>
      <c r="O167" s="171"/>
      <c r="P167" s="152"/>
      <c r="Q167" s="152"/>
      <c r="R167" s="152"/>
      <c r="S167" s="152"/>
      <c r="T167" s="152"/>
      <c r="U167" s="152"/>
      <c r="V167" s="152"/>
      <c r="W167" s="152"/>
      <c r="X167" s="152"/>
    </row>
    <row r="168" spans="5:24" s="27" customFormat="1" ht="10.199999999999999" x14ac:dyDescent="0.2">
      <c r="E168" s="44"/>
      <c r="F168" s="44"/>
      <c r="G168" s="44"/>
      <c r="H168" s="44"/>
      <c r="I168" s="44"/>
      <c r="J168" s="44"/>
      <c r="K168" s="44"/>
      <c r="L168" s="44"/>
      <c r="M168" s="44"/>
      <c r="N168" s="152"/>
      <c r="O168" s="171"/>
      <c r="P168" s="152"/>
      <c r="Q168" s="152"/>
      <c r="R168" s="152"/>
      <c r="S168" s="152"/>
      <c r="T168" s="152"/>
      <c r="U168" s="152"/>
      <c r="V168" s="152"/>
      <c r="W168" s="152"/>
      <c r="X168" s="152"/>
    </row>
    <row r="169" spans="5:24" s="27" customFormat="1" ht="10.199999999999999" x14ac:dyDescent="0.2">
      <c r="E169" s="44"/>
      <c r="F169" s="44"/>
      <c r="G169" s="44"/>
      <c r="H169" s="44"/>
      <c r="I169" s="44"/>
      <c r="J169" s="44"/>
      <c r="K169" s="44"/>
      <c r="L169" s="44"/>
      <c r="M169" s="44"/>
      <c r="N169" s="152"/>
      <c r="O169" s="171"/>
      <c r="P169" s="152"/>
      <c r="Q169" s="152"/>
      <c r="R169" s="152"/>
      <c r="S169" s="152"/>
      <c r="T169" s="152"/>
      <c r="U169" s="152"/>
      <c r="V169" s="152"/>
      <c r="W169" s="152"/>
      <c r="X169" s="152"/>
    </row>
    <row r="170" spans="5:24" s="27" customFormat="1" ht="10.199999999999999" x14ac:dyDescent="0.2">
      <c r="E170" s="44"/>
      <c r="F170" s="44"/>
      <c r="G170" s="44"/>
      <c r="H170" s="44"/>
      <c r="I170" s="44"/>
      <c r="J170" s="44"/>
      <c r="K170" s="44"/>
      <c r="L170" s="44"/>
      <c r="M170" s="44"/>
      <c r="N170" s="152"/>
      <c r="O170" s="171"/>
      <c r="P170" s="152"/>
      <c r="Q170" s="152"/>
      <c r="R170" s="152"/>
      <c r="S170" s="152"/>
      <c r="T170" s="152"/>
      <c r="U170" s="152"/>
      <c r="V170" s="152"/>
      <c r="W170" s="152"/>
      <c r="X170" s="152"/>
    </row>
    <row r="171" spans="5:24" s="27" customFormat="1" ht="10.199999999999999" x14ac:dyDescent="0.2">
      <c r="E171" s="44"/>
      <c r="F171" s="44"/>
      <c r="G171" s="44"/>
      <c r="H171" s="44"/>
      <c r="I171" s="44"/>
      <c r="J171" s="44"/>
      <c r="K171" s="44"/>
      <c r="L171" s="44"/>
      <c r="M171" s="44"/>
      <c r="N171" s="152"/>
      <c r="O171" s="171"/>
      <c r="P171" s="152"/>
      <c r="Q171" s="152"/>
      <c r="R171" s="152"/>
      <c r="S171" s="152"/>
      <c r="T171" s="152"/>
      <c r="U171" s="152"/>
      <c r="V171" s="152"/>
      <c r="W171" s="152"/>
      <c r="X171" s="152"/>
    </row>
    <row r="172" spans="5:24" s="27" customFormat="1" ht="10.199999999999999" x14ac:dyDescent="0.2">
      <c r="E172" s="44"/>
      <c r="F172" s="44"/>
      <c r="G172" s="44"/>
      <c r="H172" s="44"/>
      <c r="I172" s="44"/>
      <c r="J172" s="44"/>
      <c r="K172" s="44"/>
      <c r="L172" s="44"/>
      <c r="M172" s="44"/>
      <c r="N172" s="152"/>
      <c r="O172" s="171"/>
      <c r="P172" s="152"/>
      <c r="Q172" s="152"/>
      <c r="R172" s="152"/>
      <c r="S172" s="152"/>
      <c r="T172" s="152"/>
      <c r="U172" s="152"/>
      <c r="V172" s="152"/>
      <c r="W172" s="152"/>
      <c r="X172" s="152"/>
    </row>
    <row r="173" spans="5:24" s="27" customFormat="1" ht="10.199999999999999" x14ac:dyDescent="0.2">
      <c r="E173" s="44"/>
      <c r="F173" s="44"/>
      <c r="G173" s="44"/>
      <c r="H173" s="44"/>
      <c r="I173" s="44"/>
      <c r="J173" s="44"/>
      <c r="K173" s="44"/>
      <c r="L173" s="44"/>
      <c r="M173" s="44"/>
      <c r="N173" s="152"/>
      <c r="O173" s="171"/>
      <c r="P173" s="152"/>
      <c r="Q173" s="152"/>
      <c r="R173" s="152"/>
      <c r="S173" s="152"/>
      <c r="T173" s="152"/>
      <c r="U173" s="152"/>
      <c r="V173" s="152"/>
      <c r="W173" s="152"/>
      <c r="X173" s="152"/>
    </row>
    <row r="174" spans="5:24" s="27" customFormat="1" ht="10.199999999999999" x14ac:dyDescent="0.2">
      <c r="E174" s="44"/>
      <c r="F174" s="44"/>
      <c r="G174" s="44"/>
      <c r="H174" s="44"/>
      <c r="I174" s="44"/>
      <c r="J174" s="44"/>
      <c r="K174" s="44"/>
      <c r="L174" s="44"/>
      <c r="M174" s="44"/>
      <c r="N174" s="152"/>
      <c r="O174" s="171"/>
      <c r="P174" s="152"/>
      <c r="Q174" s="152"/>
      <c r="R174" s="152"/>
      <c r="S174" s="152"/>
      <c r="T174" s="152"/>
      <c r="U174" s="152"/>
      <c r="V174" s="152"/>
      <c r="W174" s="152"/>
      <c r="X174" s="152"/>
    </row>
    <row r="175" spans="5:24" s="27" customFormat="1" ht="10.199999999999999" x14ac:dyDescent="0.2">
      <c r="E175" s="44"/>
      <c r="F175" s="44"/>
      <c r="G175" s="44"/>
      <c r="H175" s="44"/>
      <c r="I175" s="44"/>
      <c r="J175" s="44"/>
      <c r="K175" s="44"/>
      <c r="L175" s="44"/>
      <c r="M175" s="44"/>
      <c r="N175" s="152"/>
      <c r="O175" s="171"/>
      <c r="P175" s="152"/>
      <c r="Q175" s="152"/>
      <c r="R175" s="152"/>
      <c r="S175" s="152"/>
      <c r="T175" s="152"/>
      <c r="U175" s="152"/>
      <c r="V175" s="152"/>
      <c r="W175" s="152"/>
      <c r="X175" s="152"/>
    </row>
    <row r="176" spans="5:24" s="27" customFormat="1" ht="10.199999999999999" x14ac:dyDescent="0.2">
      <c r="E176" s="44"/>
      <c r="F176" s="44"/>
      <c r="G176" s="44"/>
      <c r="H176" s="44"/>
      <c r="I176" s="44"/>
      <c r="J176" s="44"/>
      <c r="K176" s="44"/>
      <c r="L176" s="44"/>
      <c r="M176" s="44"/>
      <c r="N176" s="152"/>
      <c r="O176" s="171"/>
      <c r="P176" s="152"/>
      <c r="Q176" s="152"/>
      <c r="R176" s="152"/>
      <c r="S176" s="152"/>
      <c r="T176" s="152"/>
      <c r="U176" s="152"/>
      <c r="V176" s="152"/>
      <c r="W176" s="152"/>
      <c r="X176" s="152"/>
    </row>
    <row r="177" spans="5:24" s="27" customFormat="1" ht="10.199999999999999" x14ac:dyDescent="0.2">
      <c r="E177" s="44"/>
      <c r="F177" s="44"/>
      <c r="G177" s="44"/>
      <c r="H177" s="44"/>
      <c r="I177" s="44"/>
      <c r="J177" s="44"/>
      <c r="K177" s="44"/>
      <c r="L177" s="44"/>
      <c r="M177" s="44"/>
      <c r="N177" s="152"/>
      <c r="O177" s="171"/>
      <c r="P177" s="152"/>
      <c r="Q177" s="152"/>
      <c r="R177" s="152"/>
      <c r="S177" s="152"/>
      <c r="T177" s="152"/>
      <c r="U177" s="152"/>
      <c r="V177" s="152"/>
      <c r="W177" s="152"/>
      <c r="X177" s="152"/>
    </row>
    <row r="178" spans="5:24" s="27" customFormat="1" ht="10.199999999999999" x14ac:dyDescent="0.2">
      <c r="E178" s="44"/>
      <c r="F178" s="44"/>
      <c r="G178" s="44"/>
      <c r="H178" s="44"/>
      <c r="I178" s="44"/>
      <c r="J178" s="44"/>
      <c r="K178" s="44"/>
      <c r="L178" s="44"/>
      <c r="M178" s="44"/>
      <c r="N178" s="152"/>
      <c r="O178" s="171"/>
      <c r="P178" s="152"/>
      <c r="Q178" s="152"/>
      <c r="R178" s="152"/>
      <c r="S178" s="152"/>
      <c r="T178" s="152"/>
      <c r="U178" s="152"/>
      <c r="V178" s="152"/>
      <c r="W178" s="152"/>
      <c r="X178" s="152"/>
    </row>
    <row r="179" spans="5:24" s="27" customFormat="1" ht="10.199999999999999" x14ac:dyDescent="0.2">
      <c r="E179" s="44"/>
      <c r="F179" s="44"/>
      <c r="G179" s="44"/>
      <c r="H179" s="44"/>
      <c r="I179" s="44"/>
      <c r="J179" s="44"/>
      <c r="K179" s="44"/>
      <c r="L179" s="44"/>
      <c r="M179" s="44"/>
      <c r="N179" s="152"/>
      <c r="O179" s="171"/>
      <c r="P179" s="152"/>
      <c r="Q179" s="152"/>
      <c r="R179" s="152"/>
      <c r="S179" s="152"/>
      <c r="T179" s="152"/>
      <c r="U179" s="152"/>
      <c r="V179" s="152"/>
      <c r="W179" s="152"/>
      <c r="X179" s="152"/>
    </row>
    <row r="180" spans="5:24" s="27" customFormat="1" ht="10.199999999999999" x14ac:dyDescent="0.2">
      <c r="E180" s="44"/>
      <c r="F180" s="44"/>
      <c r="G180" s="44"/>
      <c r="H180" s="44"/>
      <c r="I180" s="44"/>
      <c r="J180" s="44"/>
      <c r="K180" s="44"/>
      <c r="L180" s="44"/>
      <c r="M180" s="44"/>
      <c r="N180" s="152"/>
      <c r="O180" s="171"/>
      <c r="P180" s="152"/>
      <c r="Q180" s="152"/>
      <c r="R180" s="152"/>
      <c r="S180" s="152"/>
      <c r="T180" s="152"/>
      <c r="U180" s="152"/>
      <c r="V180" s="152"/>
      <c r="W180" s="152"/>
      <c r="X180" s="152"/>
    </row>
    <row r="181" spans="5:24" s="27" customFormat="1" ht="10.199999999999999" x14ac:dyDescent="0.2">
      <c r="E181" s="44"/>
      <c r="F181" s="44"/>
      <c r="G181" s="44"/>
      <c r="H181" s="44"/>
      <c r="I181" s="44"/>
      <c r="J181" s="44"/>
      <c r="K181" s="44"/>
      <c r="L181" s="44"/>
      <c r="M181" s="44"/>
      <c r="N181" s="152"/>
      <c r="O181" s="171"/>
      <c r="P181" s="152"/>
      <c r="Q181" s="152"/>
      <c r="R181" s="152"/>
      <c r="S181" s="152"/>
      <c r="T181" s="152"/>
      <c r="U181" s="152"/>
      <c r="V181" s="152"/>
      <c r="W181" s="152"/>
      <c r="X181" s="152"/>
    </row>
    <row r="182" spans="5:24" s="27" customFormat="1" ht="10.199999999999999" x14ac:dyDescent="0.2">
      <c r="E182" s="44"/>
      <c r="F182" s="44"/>
      <c r="G182" s="44"/>
      <c r="H182" s="44"/>
      <c r="I182" s="44"/>
      <c r="J182" s="44"/>
      <c r="K182" s="44"/>
      <c r="L182" s="44"/>
      <c r="M182" s="44"/>
      <c r="N182" s="152"/>
      <c r="O182" s="171"/>
      <c r="P182" s="152"/>
      <c r="Q182" s="152"/>
      <c r="R182" s="152"/>
      <c r="S182" s="152"/>
      <c r="T182" s="152"/>
      <c r="U182" s="152"/>
      <c r="V182" s="152"/>
      <c r="W182" s="152"/>
      <c r="X182" s="152"/>
    </row>
    <row r="183" spans="5:24" s="27" customFormat="1" ht="10.199999999999999" x14ac:dyDescent="0.2">
      <c r="E183" s="44"/>
      <c r="F183" s="44"/>
      <c r="G183" s="44"/>
      <c r="H183" s="44"/>
      <c r="I183" s="44"/>
      <c r="J183" s="44"/>
      <c r="K183" s="44"/>
      <c r="L183" s="44"/>
      <c r="M183" s="44"/>
      <c r="N183" s="152"/>
      <c r="O183" s="171"/>
      <c r="P183" s="152"/>
      <c r="Q183" s="152"/>
      <c r="R183" s="152"/>
      <c r="S183" s="152"/>
      <c r="T183" s="152"/>
      <c r="U183" s="152"/>
      <c r="V183" s="152"/>
      <c r="W183" s="152"/>
      <c r="X183" s="152"/>
    </row>
    <row r="184" spans="5:24" s="27" customFormat="1" ht="10.199999999999999" x14ac:dyDescent="0.2">
      <c r="E184" s="44"/>
      <c r="F184" s="44"/>
      <c r="G184" s="44"/>
      <c r="H184" s="44"/>
      <c r="I184" s="44"/>
      <c r="J184" s="44"/>
      <c r="K184" s="44"/>
      <c r="L184" s="44"/>
      <c r="M184" s="44"/>
      <c r="N184" s="152"/>
      <c r="O184" s="171"/>
      <c r="P184" s="152"/>
      <c r="Q184" s="152"/>
      <c r="R184" s="152"/>
      <c r="S184" s="152"/>
      <c r="T184" s="152"/>
      <c r="U184" s="152"/>
      <c r="V184" s="152"/>
      <c r="W184" s="152"/>
      <c r="X184" s="152"/>
    </row>
    <row r="185" spans="5:24" s="27" customFormat="1" ht="10.199999999999999" x14ac:dyDescent="0.2">
      <c r="E185" s="44"/>
      <c r="F185" s="44"/>
      <c r="G185" s="44"/>
      <c r="H185" s="44"/>
      <c r="I185" s="44"/>
      <c r="J185" s="44"/>
      <c r="K185" s="44"/>
      <c r="L185" s="44"/>
      <c r="M185" s="44"/>
      <c r="N185" s="152"/>
      <c r="O185" s="171"/>
      <c r="P185" s="152"/>
      <c r="Q185" s="152"/>
      <c r="R185" s="152"/>
      <c r="S185" s="152"/>
      <c r="T185" s="152"/>
      <c r="U185" s="152"/>
      <c r="V185" s="152"/>
      <c r="W185" s="152"/>
      <c r="X185" s="152"/>
    </row>
    <row r="186" spans="5:24" s="27" customFormat="1" ht="10.199999999999999" x14ac:dyDescent="0.2">
      <c r="E186" s="44"/>
      <c r="F186" s="44"/>
      <c r="G186" s="44"/>
      <c r="H186" s="44"/>
      <c r="I186" s="44"/>
      <c r="J186" s="44"/>
      <c r="K186" s="44"/>
      <c r="L186" s="44"/>
      <c r="M186" s="44"/>
      <c r="N186" s="152"/>
      <c r="O186" s="171"/>
      <c r="P186" s="152"/>
      <c r="Q186" s="152"/>
      <c r="R186" s="152"/>
      <c r="S186" s="152"/>
      <c r="T186" s="152"/>
      <c r="U186" s="152"/>
      <c r="V186" s="152"/>
      <c r="W186" s="152"/>
      <c r="X186" s="152"/>
    </row>
    <row r="187" spans="5:24" s="27" customFormat="1" ht="10.199999999999999" x14ac:dyDescent="0.2">
      <c r="E187" s="44"/>
      <c r="F187" s="44"/>
      <c r="G187" s="44"/>
      <c r="H187" s="44"/>
      <c r="I187" s="44"/>
      <c r="J187" s="44"/>
      <c r="K187" s="44"/>
      <c r="L187" s="44"/>
      <c r="M187" s="44"/>
      <c r="N187" s="152"/>
      <c r="O187" s="171"/>
      <c r="P187" s="152"/>
      <c r="Q187" s="152"/>
      <c r="R187" s="152"/>
      <c r="S187" s="152"/>
      <c r="T187" s="152"/>
      <c r="U187" s="152"/>
      <c r="V187" s="152"/>
      <c r="W187" s="152"/>
      <c r="X187" s="152"/>
    </row>
    <row r="188" spans="5:24" s="27" customFormat="1" ht="10.199999999999999" x14ac:dyDescent="0.2">
      <c r="E188" s="44"/>
      <c r="F188" s="44"/>
      <c r="G188" s="44"/>
      <c r="H188" s="44"/>
      <c r="I188" s="44"/>
      <c r="J188" s="44"/>
      <c r="K188" s="44"/>
      <c r="L188" s="44"/>
      <c r="M188" s="44"/>
      <c r="N188" s="152"/>
      <c r="O188" s="171"/>
      <c r="P188" s="152"/>
      <c r="Q188" s="152"/>
      <c r="R188" s="152"/>
      <c r="S188" s="152"/>
      <c r="T188" s="152"/>
      <c r="U188" s="152"/>
      <c r="V188" s="152"/>
      <c r="W188" s="152"/>
      <c r="X188" s="152"/>
    </row>
    <row r="189" spans="5:24" s="27" customFormat="1" ht="10.199999999999999" x14ac:dyDescent="0.2">
      <c r="E189" s="44"/>
      <c r="F189" s="44"/>
      <c r="G189" s="44"/>
      <c r="H189" s="44"/>
      <c r="I189" s="44"/>
      <c r="J189" s="44"/>
      <c r="K189" s="44"/>
      <c r="L189" s="44"/>
      <c r="M189" s="44"/>
      <c r="N189" s="152"/>
      <c r="O189" s="171"/>
      <c r="P189" s="152"/>
      <c r="Q189" s="152"/>
      <c r="R189" s="152"/>
      <c r="S189" s="152"/>
      <c r="T189" s="152"/>
      <c r="U189" s="152"/>
      <c r="V189" s="152"/>
      <c r="W189" s="152"/>
      <c r="X189" s="152"/>
    </row>
    <row r="190" spans="5:24" s="27" customFormat="1" ht="10.199999999999999" x14ac:dyDescent="0.2">
      <c r="E190" s="44"/>
      <c r="F190" s="44"/>
      <c r="G190" s="44"/>
      <c r="H190" s="44"/>
      <c r="I190" s="44"/>
      <c r="J190" s="44"/>
      <c r="K190" s="44"/>
      <c r="L190" s="44"/>
      <c r="M190" s="44"/>
      <c r="N190" s="152"/>
      <c r="O190" s="171"/>
      <c r="P190" s="152"/>
      <c r="Q190" s="152"/>
      <c r="R190" s="152"/>
      <c r="S190" s="152"/>
      <c r="T190" s="152"/>
      <c r="U190" s="152"/>
      <c r="V190" s="152"/>
      <c r="W190" s="152"/>
      <c r="X190" s="152"/>
    </row>
    <row r="191" spans="5:24" s="27" customFormat="1" ht="10.199999999999999" x14ac:dyDescent="0.2">
      <c r="E191" s="44"/>
      <c r="F191" s="44"/>
      <c r="G191" s="44"/>
      <c r="H191" s="44"/>
      <c r="I191" s="44"/>
      <c r="J191" s="44"/>
      <c r="K191" s="44"/>
      <c r="L191" s="44"/>
      <c r="M191" s="44"/>
      <c r="N191" s="152"/>
      <c r="O191" s="171"/>
      <c r="P191" s="152"/>
      <c r="Q191" s="152"/>
      <c r="R191" s="152"/>
      <c r="S191" s="152"/>
      <c r="T191" s="152"/>
      <c r="U191" s="152"/>
      <c r="V191" s="152"/>
      <c r="W191" s="152"/>
      <c r="X191" s="152"/>
    </row>
    <row r="192" spans="5:24" s="27" customFormat="1" ht="10.199999999999999" x14ac:dyDescent="0.2">
      <c r="E192" s="44"/>
      <c r="F192" s="44"/>
      <c r="G192" s="44"/>
      <c r="H192" s="44"/>
      <c r="I192" s="44"/>
      <c r="J192" s="44"/>
      <c r="K192" s="44"/>
      <c r="L192" s="44"/>
      <c r="M192" s="44"/>
      <c r="N192" s="152"/>
      <c r="O192" s="171"/>
      <c r="P192" s="152"/>
      <c r="Q192" s="152"/>
      <c r="R192" s="152"/>
      <c r="S192" s="152"/>
      <c r="T192" s="152"/>
      <c r="U192" s="152"/>
      <c r="V192" s="152"/>
      <c r="W192" s="152"/>
      <c r="X192" s="152"/>
    </row>
    <row r="193" spans="5:24" s="27" customFormat="1" ht="10.199999999999999" x14ac:dyDescent="0.2">
      <c r="E193" s="44"/>
      <c r="F193" s="44"/>
      <c r="G193" s="44"/>
      <c r="H193" s="44"/>
      <c r="I193" s="44"/>
      <c r="J193" s="44"/>
      <c r="K193" s="44"/>
      <c r="L193" s="44"/>
      <c r="M193" s="44"/>
      <c r="N193" s="152"/>
      <c r="O193" s="171"/>
      <c r="P193" s="152"/>
      <c r="Q193" s="152"/>
      <c r="R193" s="152"/>
      <c r="S193" s="152"/>
      <c r="T193" s="152"/>
      <c r="U193" s="152"/>
      <c r="V193" s="152"/>
      <c r="W193" s="152"/>
      <c r="X193" s="152"/>
    </row>
    <row r="194" spans="5:24" s="27" customFormat="1" ht="10.199999999999999" x14ac:dyDescent="0.2">
      <c r="E194" s="44"/>
      <c r="F194" s="44"/>
      <c r="G194" s="44"/>
      <c r="H194" s="44"/>
      <c r="I194" s="44"/>
      <c r="J194" s="44"/>
      <c r="K194" s="44"/>
      <c r="L194" s="44"/>
      <c r="M194" s="44"/>
      <c r="N194" s="152"/>
      <c r="O194" s="171"/>
      <c r="P194" s="152"/>
      <c r="Q194" s="152"/>
      <c r="R194" s="152"/>
      <c r="S194" s="152"/>
      <c r="T194" s="152"/>
      <c r="U194" s="152"/>
      <c r="V194" s="152"/>
      <c r="W194" s="152"/>
      <c r="X194" s="152"/>
    </row>
    <row r="195" spans="5:24" s="27" customFormat="1" ht="10.199999999999999" x14ac:dyDescent="0.2">
      <c r="E195" s="44"/>
      <c r="F195" s="44"/>
      <c r="G195" s="44"/>
      <c r="H195" s="44"/>
      <c r="I195" s="44"/>
      <c r="J195" s="44"/>
      <c r="K195" s="44"/>
      <c r="L195" s="44"/>
      <c r="M195" s="44"/>
      <c r="N195" s="152"/>
      <c r="O195" s="171"/>
      <c r="P195" s="152"/>
      <c r="Q195" s="152"/>
      <c r="R195" s="152"/>
      <c r="S195" s="152"/>
      <c r="T195" s="152"/>
      <c r="U195" s="152"/>
      <c r="V195" s="152"/>
      <c r="W195" s="152"/>
      <c r="X195" s="152"/>
    </row>
    <row r="196" spans="5:24" s="27" customFormat="1" ht="10.199999999999999" x14ac:dyDescent="0.2">
      <c r="E196" s="44"/>
      <c r="F196" s="44"/>
      <c r="G196" s="44"/>
      <c r="H196" s="44"/>
      <c r="I196" s="44"/>
      <c r="J196" s="44"/>
      <c r="K196" s="44"/>
      <c r="L196" s="44"/>
      <c r="M196" s="44"/>
      <c r="N196" s="152"/>
      <c r="O196" s="171"/>
      <c r="P196" s="152"/>
      <c r="Q196" s="152"/>
      <c r="R196" s="152"/>
      <c r="S196" s="152"/>
      <c r="T196" s="152"/>
      <c r="U196" s="152"/>
      <c r="V196" s="152"/>
      <c r="W196" s="152"/>
      <c r="X196" s="152"/>
    </row>
    <row r="197" spans="5:24" s="27" customFormat="1" ht="10.199999999999999" x14ac:dyDescent="0.2">
      <c r="E197" s="44"/>
      <c r="F197" s="44"/>
      <c r="G197" s="44"/>
      <c r="H197" s="44"/>
      <c r="I197" s="44"/>
      <c r="J197" s="44"/>
      <c r="K197" s="44"/>
      <c r="L197" s="44"/>
      <c r="M197" s="44"/>
      <c r="N197" s="152"/>
      <c r="O197" s="171"/>
      <c r="P197" s="152"/>
      <c r="Q197" s="152"/>
      <c r="R197" s="152"/>
      <c r="S197" s="152"/>
      <c r="T197" s="152"/>
      <c r="U197" s="152"/>
      <c r="V197" s="152"/>
      <c r="W197" s="152"/>
      <c r="X197" s="152"/>
    </row>
    <row r="198" spans="5:24" s="27" customFormat="1" ht="10.199999999999999" x14ac:dyDescent="0.2">
      <c r="E198" s="44"/>
      <c r="F198" s="44"/>
      <c r="G198" s="44"/>
      <c r="H198" s="44"/>
      <c r="I198" s="44"/>
      <c r="J198" s="44"/>
      <c r="K198" s="44"/>
      <c r="L198" s="44"/>
      <c r="M198" s="44"/>
      <c r="N198" s="152"/>
      <c r="O198" s="171"/>
      <c r="P198" s="152"/>
      <c r="Q198" s="152"/>
      <c r="R198" s="152"/>
      <c r="S198" s="152"/>
      <c r="T198" s="152"/>
      <c r="U198" s="152"/>
      <c r="V198" s="152"/>
      <c r="W198" s="152"/>
      <c r="X198" s="152"/>
    </row>
    <row r="199" spans="5:24" s="27" customFormat="1" ht="10.199999999999999" x14ac:dyDescent="0.2">
      <c r="N199" s="152"/>
      <c r="O199" s="171"/>
      <c r="P199" s="152"/>
      <c r="Q199" s="152"/>
      <c r="R199" s="152"/>
      <c r="S199" s="152"/>
      <c r="T199" s="152"/>
      <c r="U199" s="152"/>
      <c r="V199" s="152"/>
      <c r="W199" s="152"/>
      <c r="X199" s="152"/>
    </row>
    <row r="200" spans="5:24" s="27" customFormat="1" ht="10.199999999999999" x14ac:dyDescent="0.2">
      <c r="N200" s="152"/>
      <c r="O200" s="171"/>
      <c r="P200" s="152"/>
      <c r="Q200" s="152"/>
      <c r="R200" s="152"/>
      <c r="S200" s="152"/>
      <c r="T200" s="152"/>
      <c r="U200" s="152"/>
      <c r="V200" s="152"/>
      <c r="W200" s="152"/>
      <c r="X200" s="152"/>
    </row>
    <row r="201" spans="5:24" s="27" customFormat="1" ht="10.199999999999999" x14ac:dyDescent="0.2">
      <c r="N201" s="152"/>
      <c r="O201" s="171"/>
      <c r="P201" s="152"/>
      <c r="Q201" s="152"/>
      <c r="R201" s="152"/>
      <c r="S201" s="152"/>
      <c r="T201" s="152"/>
      <c r="U201" s="152"/>
      <c r="V201" s="152"/>
      <c r="W201" s="152"/>
      <c r="X201" s="152"/>
    </row>
    <row r="202" spans="5:24" s="27" customFormat="1" ht="10.199999999999999" x14ac:dyDescent="0.2">
      <c r="N202" s="152"/>
      <c r="O202" s="171"/>
      <c r="P202" s="152"/>
      <c r="Q202" s="152"/>
      <c r="R202" s="152"/>
      <c r="S202" s="152"/>
      <c r="T202" s="152"/>
      <c r="U202" s="152"/>
      <c r="V202" s="152"/>
      <c r="W202" s="152"/>
      <c r="X202" s="152"/>
    </row>
    <row r="203" spans="5:24" s="27" customFormat="1" ht="10.199999999999999" x14ac:dyDescent="0.2">
      <c r="N203" s="152"/>
      <c r="O203" s="171"/>
      <c r="P203" s="152"/>
      <c r="Q203" s="152"/>
      <c r="R203" s="152"/>
      <c r="S203" s="152"/>
      <c r="T203" s="152"/>
      <c r="U203" s="152"/>
      <c r="V203" s="152"/>
      <c r="W203" s="152"/>
      <c r="X203" s="152"/>
    </row>
    <row r="204" spans="5:24" s="27" customFormat="1" ht="10.199999999999999" x14ac:dyDescent="0.2">
      <c r="N204" s="152"/>
      <c r="O204" s="171"/>
      <c r="P204" s="152"/>
      <c r="Q204" s="152"/>
      <c r="R204" s="152"/>
      <c r="S204" s="152"/>
      <c r="T204" s="152"/>
      <c r="U204" s="152"/>
      <c r="V204" s="152"/>
      <c r="W204" s="152"/>
      <c r="X204" s="152"/>
    </row>
    <row r="205" spans="5:24" s="27" customFormat="1" ht="10.199999999999999" x14ac:dyDescent="0.2">
      <c r="N205" s="152"/>
      <c r="O205" s="171"/>
      <c r="P205" s="152"/>
      <c r="Q205" s="152"/>
      <c r="R205" s="152"/>
      <c r="S205" s="152"/>
      <c r="T205" s="152"/>
      <c r="U205" s="152"/>
      <c r="V205" s="152"/>
      <c r="W205" s="152"/>
      <c r="X205" s="152"/>
    </row>
    <row r="206" spans="5:24" s="27" customFormat="1" ht="10.199999999999999" x14ac:dyDescent="0.2">
      <c r="N206" s="152"/>
      <c r="O206" s="171"/>
      <c r="P206" s="152"/>
      <c r="Q206" s="152"/>
      <c r="R206" s="152"/>
      <c r="S206" s="152"/>
      <c r="T206" s="152"/>
      <c r="U206" s="152"/>
      <c r="V206" s="152"/>
      <c r="W206" s="152"/>
      <c r="X206" s="152"/>
    </row>
    <row r="207" spans="5:24" s="27" customFormat="1" ht="10.199999999999999" x14ac:dyDescent="0.2">
      <c r="N207" s="152"/>
      <c r="O207" s="171"/>
      <c r="P207" s="152"/>
      <c r="Q207" s="152"/>
      <c r="R207" s="152"/>
      <c r="S207" s="152"/>
      <c r="T207" s="152"/>
      <c r="U207" s="152"/>
      <c r="V207" s="152"/>
      <c r="W207" s="152"/>
      <c r="X207" s="152"/>
    </row>
    <row r="208" spans="5:24" s="27" customFormat="1" ht="10.199999999999999" x14ac:dyDescent="0.2">
      <c r="N208" s="152"/>
      <c r="O208" s="171"/>
      <c r="P208" s="152"/>
      <c r="Q208" s="152"/>
      <c r="R208" s="152"/>
      <c r="S208" s="152"/>
      <c r="T208" s="152"/>
      <c r="U208" s="152"/>
      <c r="V208" s="152"/>
      <c r="W208" s="152"/>
      <c r="X208" s="152"/>
    </row>
    <row r="209" spans="14:24" s="27" customFormat="1" ht="10.199999999999999" x14ac:dyDescent="0.2">
      <c r="N209" s="152"/>
      <c r="O209" s="171"/>
      <c r="P209" s="152"/>
      <c r="Q209" s="152"/>
      <c r="R209" s="152"/>
      <c r="S209" s="152"/>
      <c r="T209" s="152"/>
      <c r="U209" s="152"/>
      <c r="V209" s="152"/>
      <c r="W209" s="152"/>
      <c r="X209" s="152"/>
    </row>
    <row r="210" spans="14:24" s="27" customFormat="1" ht="10.199999999999999" x14ac:dyDescent="0.2">
      <c r="N210" s="152"/>
      <c r="O210" s="171"/>
      <c r="P210" s="152"/>
      <c r="Q210" s="152"/>
      <c r="R210" s="152"/>
      <c r="S210" s="152"/>
      <c r="T210" s="152"/>
      <c r="U210" s="152"/>
      <c r="V210" s="152"/>
      <c r="W210" s="152"/>
      <c r="X210" s="152"/>
    </row>
    <row r="211" spans="14:24" s="27" customFormat="1" ht="10.199999999999999" x14ac:dyDescent="0.2">
      <c r="N211" s="152"/>
      <c r="O211" s="171"/>
      <c r="P211" s="152"/>
      <c r="Q211" s="152"/>
      <c r="R211" s="152"/>
      <c r="S211" s="152"/>
      <c r="T211" s="152"/>
      <c r="U211" s="152"/>
      <c r="V211" s="152"/>
      <c r="W211" s="152"/>
      <c r="X211" s="152"/>
    </row>
    <row r="212" spans="14:24" s="27" customFormat="1" ht="10.199999999999999" x14ac:dyDescent="0.2">
      <c r="N212" s="152"/>
      <c r="O212" s="171"/>
      <c r="P212" s="152"/>
      <c r="Q212" s="152"/>
      <c r="R212" s="152"/>
      <c r="S212" s="152"/>
      <c r="T212" s="152"/>
      <c r="U212" s="152"/>
      <c r="V212" s="152"/>
      <c r="W212" s="152"/>
      <c r="X212" s="152"/>
    </row>
    <row r="213" spans="14:24" s="27" customFormat="1" ht="10.199999999999999" x14ac:dyDescent="0.2">
      <c r="N213" s="152"/>
      <c r="O213" s="171"/>
      <c r="P213" s="152"/>
      <c r="Q213" s="152"/>
      <c r="R213" s="152"/>
      <c r="S213" s="152"/>
      <c r="T213" s="152"/>
      <c r="U213" s="152"/>
      <c r="V213" s="152"/>
      <c r="W213" s="152"/>
      <c r="X213" s="152"/>
    </row>
    <row r="214" spans="14:24" s="27" customFormat="1" ht="10.199999999999999" x14ac:dyDescent="0.2">
      <c r="N214" s="152"/>
      <c r="O214" s="171"/>
      <c r="P214" s="152"/>
      <c r="Q214" s="152"/>
      <c r="R214" s="152"/>
      <c r="S214" s="152"/>
      <c r="T214" s="152"/>
      <c r="U214" s="152"/>
      <c r="V214" s="152"/>
      <c r="W214" s="152"/>
      <c r="X214" s="152"/>
    </row>
    <row r="215" spans="14:24" s="27" customFormat="1" ht="10.199999999999999" x14ac:dyDescent="0.2">
      <c r="N215" s="152"/>
      <c r="O215" s="171"/>
      <c r="P215" s="152"/>
      <c r="Q215" s="152"/>
      <c r="R215" s="152"/>
      <c r="S215" s="152"/>
      <c r="T215" s="152"/>
      <c r="U215" s="152"/>
      <c r="V215" s="152"/>
      <c r="W215" s="152"/>
      <c r="X215" s="152"/>
    </row>
    <row r="216" spans="14:24" s="27" customFormat="1" ht="10.199999999999999" x14ac:dyDescent="0.2">
      <c r="N216" s="152"/>
      <c r="O216" s="171"/>
      <c r="P216" s="152"/>
      <c r="Q216" s="152"/>
      <c r="R216" s="152"/>
      <c r="S216" s="152"/>
      <c r="T216" s="152"/>
      <c r="U216" s="152"/>
      <c r="V216" s="152"/>
      <c r="W216" s="152"/>
      <c r="X216" s="152"/>
    </row>
    <row r="217" spans="14:24" s="27" customFormat="1" ht="10.199999999999999" x14ac:dyDescent="0.2">
      <c r="N217" s="152"/>
      <c r="O217" s="171"/>
      <c r="P217" s="152"/>
      <c r="Q217" s="152"/>
      <c r="R217" s="152"/>
      <c r="S217" s="152"/>
      <c r="T217" s="152"/>
      <c r="U217" s="152"/>
      <c r="V217" s="152"/>
      <c r="W217" s="152"/>
      <c r="X217" s="152"/>
    </row>
    <row r="218" spans="14:24" s="27" customFormat="1" ht="10.199999999999999" x14ac:dyDescent="0.2">
      <c r="N218" s="152"/>
      <c r="O218" s="171"/>
      <c r="P218" s="152"/>
      <c r="Q218" s="152"/>
      <c r="R218" s="152"/>
      <c r="S218" s="152"/>
      <c r="T218" s="152"/>
      <c r="U218" s="152"/>
      <c r="V218" s="152"/>
      <c r="W218" s="152"/>
      <c r="X218" s="152"/>
    </row>
    <row r="219" spans="14:24" s="27" customFormat="1" ht="10.199999999999999" x14ac:dyDescent="0.2">
      <c r="N219" s="152"/>
      <c r="O219" s="171"/>
      <c r="P219" s="152"/>
      <c r="Q219" s="152"/>
      <c r="R219" s="152"/>
      <c r="S219" s="152"/>
      <c r="T219" s="152"/>
      <c r="U219" s="152"/>
      <c r="V219" s="152"/>
      <c r="W219" s="152"/>
      <c r="X219" s="152"/>
    </row>
    <row r="220" spans="14:24" s="27" customFormat="1" ht="10.199999999999999" x14ac:dyDescent="0.2">
      <c r="N220" s="152"/>
      <c r="O220" s="171"/>
      <c r="P220" s="152"/>
      <c r="Q220" s="152"/>
      <c r="R220" s="152"/>
      <c r="S220" s="152"/>
      <c r="T220" s="152"/>
      <c r="U220" s="152"/>
      <c r="V220" s="152"/>
      <c r="W220" s="152"/>
      <c r="X220" s="152"/>
    </row>
    <row r="221" spans="14:24" s="27" customFormat="1" ht="10.199999999999999" x14ac:dyDescent="0.2">
      <c r="N221" s="152"/>
      <c r="O221" s="171"/>
      <c r="P221" s="152"/>
      <c r="Q221" s="152"/>
      <c r="R221" s="152"/>
      <c r="S221" s="152"/>
      <c r="T221" s="152"/>
      <c r="U221" s="152"/>
      <c r="V221" s="152"/>
      <c r="W221" s="152"/>
      <c r="X221" s="152"/>
    </row>
    <row r="222" spans="14:24" s="27" customFormat="1" ht="10.199999999999999" x14ac:dyDescent="0.2">
      <c r="N222" s="152"/>
      <c r="O222" s="171"/>
      <c r="P222" s="152"/>
      <c r="Q222" s="152"/>
      <c r="R222" s="152"/>
      <c r="S222" s="152"/>
      <c r="T222" s="152"/>
      <c r="U222" s="152"/>
      <c r="V222" s="152"/>
      <c r="W222" s="152"/>
      <c r="X222" s="152"/>
    </row>
    <row r="223" spans="14:24" s="27" customFormat="1" ht="10.199999999999999" x14ac:dyDescent="0.2">
      <c r="N223" s="152"/>
      <c r="O223" s="171"/>
      <c r="P223" s="152"/>
      <c r="Q223" s="152"/>
      <c r="R223" s="152"/>
      <c r="S223" s="152"/>
      <c r="T223" s="152"/>
      <c r="U223" s="152"/>
      <c r="V223" s="152"/>
      <c r="W223" s="152"/>
      <c r="X223" s="152"/>
    </row>
    <row r="224" spans="14:24" s="27" customFormat="1" ht="10.199999999999999" x14ac:dyDescent="0.2">
      <c r="N224" s="152"/>
      <c r="O224" s="171"/>
      <c r="P224" s="152"/>
      <c r="Q224" s="152"/>
      <c r="R224" s="152"/>
      <c r="S224" s="152"/>
      <c r="T224" s="152"/>
      <c r="U224" s="152"/>
      <c r="V224" s="152"/>
      <c r="W224" s="152"/>
      <c r="X224" s="152"/>
    </row>
    <row r="225" spans="14:24" s="27" customFormat="1" ht="10.199999999999999" x14ac:dyDescent="0.2">
      <c r="N225" s="152"/>
      <c r="O225" s="171"/>
      <c r="P225" s="152"/>
      <c r="Q225" s="152"/>
      <c r="R225" s="152"/>
      <c r="S225" s="152"/>
      <c r="T225" s="152"/>
      <c r="U225" s="152"/>
      <c r="V225" s="152"/>
      <c r="W225" s="152"/>
      <c r="X225" s="152"/>
    </row>
    <row r="226" spans="14:24" s="27" customFormat="1" ht="10.199999999999999" x14ac:dyDescent="0.2">
      <c r="N226" s="152"/>
      <c r="O226" s="171"/>
      <c r="P226" s="152"/>
      <c r="Q226" s="152"/>
      <c r="R226" s="152"/>
      <c r="S226" s="152"/>
      <c r="T226" s="152"/>
      <c r="U226" s="152"/>
      <c r="V226" s="152"/>
      <c r="W226" s="152"/>
      <c r="X226" s="152"/>
    </row>
    <row r="227" spans="14:24" s="27" customFormat="1" ht="10.199999999999999" x14ac:dyDescent="0.2">
      <c r="N227" s="152"/>
      <c r="O227" s="171"/>
      <c r="P227" s="152"/>
      <c r="Q227" s="152"/>
      <c r="R227" s="152"/>
      <c r="S227" s="152"/>
      <c r="T227" s="152"/>
      <c r="U227" s="152"/>
      <c r="V227" s="152"/>
      <c r="W227" s="152"/>
      <c r="X227" s="152"/>
    </row>
    <row r="228" spans="14:24" s="27" customFormat="1" ht="10.199999999999999" x14ac:dyDescent="0.2">
      <c r="N228" s="152"/>
      <c r="O228" s="171"/>
      <c r="P228" s="152"/>
      <c r="Q228" s="152"/>
      <c r="R228" s="152"/>
      <c r="S228" s="152"/>
      <c r="T228" s="152"/>
      <c r="U228" s="152"/>
      <c r="V228" s="152"/>
      <c r="W228" s="152"/>
      <c r="X228" s="152"/>
    </row>
    <row r="229" spans="14:24" s="27" customFormat="1" ht="10.199999999999999" x14ac:dyDescent="0.2">
      <c r="N229" s="152"/>
      <c r="O229" s="171"/>
      <c r="P229" s="152"/>
      <c r="Q229" s="152"/>
      <c r="R229" s="152"/>
      <c r="S229" s="152"/>
      <c r="T229" s="152"/>
      <c r="U229" s="152"/>
      <c r="V229" s="152"/>
      <c r="W229" s="152"/>
      <c r="X229" s="152"/>
    </row>
    <row r="230" spans="14:24" s="27" customFormat="1" ht="10.199999999999999" x14ac:dyDescent="0.2">
      <c r="N230" s="152"/>
      <c r="O230" s="171"/>
      <c r="P230" s="152"/>
      <c r="Q230" s="152"/>
      <c r="R230" s="152"/>
      <c r="S230" s="152"/>
      <c r="T230" s="152"/>
      <c r="U230" s="152"/>
      <c r="V230" s="152"/>
      <c r="W230" s="152"/>
      <c r="X230" s="152"/>
    </row>
    <row r="231" spans="14:24" s="27" customFormat="1" ht="10.199999999999999" x14ac:dyDescent="0.2">
      <c r="N231" s="152"/>
      <c r="O231" s="171"/>
      <c r="P231" s="152"/>
      <c r="Q231" s="152"/>
      <c r="R231" s="152"/>
      <c r="S231" s="152"/>
      <c r="T231" s="152"/>
      <c r="U231" s="152"/>
      <c r="V231" s="152"/>
      <c r="W231" s="152"/>
      <c r="X231" s="152"/>
    </row>
    <row r="232" spans="14:24" s="27" customFormat="1" ht="10.199999999999999" x14ac:dyDescent="0.2">
      <c r="N232" s="152"/>
      <c r="O232" s="171"/>
      <c r="P232" s="152"/>
      <c r="Q232" s="152"/>
      <c r="R232" s="152"/>
      <c r="S232" s="152"/>
      <c r="T232" s="152"/>
      <c r="U232" s="152"/>
      <c r="V232" s="152"/>
      <c r="W232" s="152"/>
      <c r="X232" s="152"/>
    </row>
    <row r="233" spans="14:24" s="27" customFormat="1" ht="10.199999999999999" x14ac:dyDescent="0.2">
      <c r="N233" s="152"/>
      <c r="O233" s="171"/>
      <c r="P233" s="152"/>
      <c r="Q233" s="152"/>
      <c r="R233" s="152"/>
      <c r="S233" s="152"/>
      <c r="T233" s="152"/>
      <c r="U233" s="152"/>
      <c r="V233" s="152"/>
      <c r="W233" s="152"/>
      <c r="X233" s="152"/>
    </row>
    <row r="234" spans="14:24" s="27" customFormat="1" ht="10.199999999999999" x14ac:dyDescent="0.2">
      <c r="N234" s="152"/>
      <c r="O234" s="171"/>
      <c r="P234" s="152"/>
      <c r="Q234" s="152"/>
      <c r="R234" s="152"/>
      <c r="S234" s="152"/>
      <c r="T234" s="152"/>
      <c r="U234" s="152"/>
      <c r="V234" s="152"/>
      <c r="W234" s="152"/>
      <c r="X234" s="152"/>
    </row>
    <row r="235" spans="14:24" s="27" customFormat="1" ht="10.199999999999999" x14ac:dyDescent="0.2">
      <c r="N235" s="152"/>
      <c r="O235" s="171"/>
      <c r="P235" s="152"/>
      <c r="Q235" s="152"/>
      <c r="R235" s="152"/>
      <c r="S235" s="152"/>
      <c r="T235" s="152"/>
      <c r="U235" s="152"/>
      <c r="V235" s="152"/>
      <c r="W235" s="152"/>
      <c r="X235" s="152"/>
    </row>
    <row r="236" spans="14:24" s="27" customFormat="1" ht="10.199999999999999" x14ac:dyDescent="0.2">
      <c r="N236" s="152"/>
      <c r="O236" s="171"/>
      <c r="P236" s="152"/>
      <c r="Q236" s="152"/>
      <c r="R236" s="152"/>
      <c r="S236" s="152"/>
      <c r="T236" s="152"/>
      <c r="U236" s="152"/>
      <c r="V236" s="152"/>
      <c r="W236" s="152"/>
      <c r="X236" s="152"/>
    </row>
    <row r="237" spans="14:24" s="27" customFormat="1" ht="10.199999999999999" x14ac:dyDescent="0.2">
      <c r="N237" s="152"/>
      <c r="O237" s="171"/>
      <c r="P237" s="152"/>
      <c r="Q237" s="152"/>
      <c r="R237" s="152"/>
      <c r="S237" s="152"/>
      <c r="T237" s="152"/>
      <c r="U237" s="152"/>
      <c r="V237" s="152"/>
      <c r="W237" s="152"/>
      <c r="X237" s="152"/>
    </row>
    <row r="238" spans="14:24" s="27" customFormat="1" ht="10.199999999999999" x14ac:dyDescent="0.2">
      <c r="N238" s="152"/>
      <c r="O238" s="171"/>
      <c r="P238" s="152"/>
      <c r="Q238" s="152"/>
      <c r="R238" s="152"/>
      <c r="S238" s="152"/>
      <c r="T238" s="152"/>
      <c r="U238" s="152"/>
      <c r="V238" s="152"/>
      <c r="W238" s="152"/>
      <c r="X238" s="152"/>
    </row>
    <row r="239" spans="14:24" s="27" customFormat="1" ht="10.199999999999999" x14ac:dyDescent="0.2">
      <c r="N239" s="152"/>
      <c r="O239" s="171"/>
      <c r="P239" s="152"/>
      <c r="Q239" s="152"/>
      <c r="R239" s="152"/>
      <c r="S239" s="152"/>
      <c r="T239" s="152"/>
      <c r="U239" s="152"/>
      <c r="V239" s="152"/>
      <c r="W239" s="152"/>
      <c r="X239" s="152"/>
    </row>
    <row r="240" spans="14:24" s="27" customFormat="1" ht="10.199999999999999" x14ac:dyDescent="0.2">
      <c r="N240" s="152"/>
      <c r="O240" s="171"/>
      <c r="P240" s="152"/>
      <c r="Q240" s="152"/>
      <c r="R240" s="152"/>
      <c r="S240" s="152"/>
      <c r="T240" s="152"/>
      <c r="U240" s="152"/>
      <c r="V240" s="152"/>
      <c r="W240" s="152"/>
      <c r="X240" s="152"/>
    </row>
    <row r="241" spans="14:24" s="27" customFormat="1" ht="10.199999999999999" x14ac:dyDescent="0.2">
      <c r="N241" s="152"/>
      <c r="O241" s="171"/>
      <c r="P241" s="152"/>
      <c r="Q241" s="152"/>
      <c r="R241" s="152"/>
      <c r="S241" s="152"/>
      <c r="T241" s="152"/>
      <c r="U241" s="152"/>
      <c r="V241" s="152"/>
      <c r="W241" s="152"/>
      <c r="X241" s="152"/>
    </row>
    <row r="242" spans="14:24" s="27" customFormat="1" ht="10.199999999999999" x14ac:dyDescent="0.2">
      <c r="N242" s="152"/>
      <c r="O242" s="171"/>
      <c r="P242" s="152"/>
      <c r="Q242" s="152"/>
      <c r="R242" s="152"/>
      <c r="S242" s="152"/>
      <c r="T242" s="152"/>
      <c r="U242" s="152"/>
      <c r="V242" s="152"/>
      <c r="W242" s="152"/>
      <c r="X242" s="152"/>
    </row>
    <row r="243" spans="14:24" s="27" customFormat="1" ht="10.199999999999999" x14ac:dyDescent="0.2">
      <c r="N243" s="152"/>
      <c r="O243" s="171"/>
      <c r="P243" s="152"/>
      <c r="Q243" s="152"/>
      <c r="R243" s="152"/>
      <c r="S243" s="152"/>
      <c r="T243" s="152"/>
      <c r="U243" s="152"/>
      <c r="V243" s="152"/>
      <c r="W243" s="152"/>
      <c r="X243" s="152"/>
    </row>
    <row r="244" spans="14:24" s="27" customFormat="1" ht="10.199999999999999" x14ac:dyDescent="0.2">
      <c r="N244" s="152"/>
      <c r="O244" s="171"/>
      <c r="P244" s="152"/>
      <c r="Q244" s="152"/>
      <c r="R244" s="152"/>
      <c r="S244" s="152"/>
      <c r="T244" s="152"/>
      <c r="U244" s="152"/>
      <c r="V244" s="152"/>
      <c r="W244" s="152"/>
      <c r="X244" s="152"/>
    </row>
    <row r="245" spans="14:24" s="27" customFormat="1" ht="10.199999999999999" x14ac:dyDescent="0.2">
      <c r="N245" s="152"/>
      <c r="O245" s="171"/>
      <c r="P245" s="152"/>
      <c r="Q245" s="152"/>
      <c r="R245" s="152"/>
      <c r="S245" s="152"/>
      <c r="T245" s="152"/>
      <c r="U245" s="152"/>
      <c r="V245" s="152"/>
      <c r="W245" s="152"/>
      <c r="X245" s="152"/>
    </row>
    <row r="246" spans="14:24" s="27" customFormat="1" ht="10.199999999999999" x14ac:dyDescent="0.2">
      <c r="N246" s="152"/>
      <c r="O246" s="171"/>
      <c r="P246" s="152"/>
      <c r="Q246" s="152"/>
      <c r="R246" s="152"/>
      <c r="S246" s="152"/>
      <c r="T246" s="152"/>
      <c r="U246" s="152"/>
      <c r="V246" s="152"/>
      <c r="W246" s="152"/>
      <c r="X246" s="152"/>
    </row>
    <row r="247" spans="14:24" s="27" customFormat="1" ht="10.199999999999999" x14ac:dyDescent="0.2">
      <c r="N247" s="152"/>
      <c r="O247" s="171"/>
      <c r="P247" s="152"/>
      <c r="Q247" s="152"/>
      <c r="R247" s="152"/>
      <c r="S247" s="152"/>
      <c r="T247" s="152"/>
      <c r="U247" s="152"/>
      <c r="V247" s="152"/>
      <c r="W247" s="152"/>
      <c r="X247" s="152"/>
    </row>
    <row r="248" spans="14:24" s="27" customFormat="1" ht="10.199999999999999" x14ac:dyDescent="0.2">
      <c r="N248" s="152"/>
      <c r="O248" s="171"/>
      <c r="P248" s="152"/>
      <c r="Q248" s="152"/>
      <c r="R248" s="152"/>
      <c r="S248" s="152"/>
      <c r="T248" s="152"/>
      <c r="U248" s="152"/>
      <c r="V248" s="152"/>
      <c r="W248" s="152"/>
      <c r="X248" s="152"/>
    </row>
    <row r="249" spans="14:24" s="27" customFormat="1" ht="10.199999999999999" x14ac:dyDescent="0.2">
      <c r="N249" s="152"/>
      <c r="O249" s="171"/>
      <c r="P249" s="152"/>
      <c r="Q249" s="152"/>
      <c r="R249" s="152"/>
      <c r="S249" s="152"/>
      <c r="T249" s="152"/>
      <c r="U249" s="152"/>
      <c r="V249" s="152"/>
      <c r="W249" s="152"/>
      <c r="X249" s="152"/>
    </row>
    <row r="250" spans="14:24" s="27" customFormat="1" ht="10.199999999999999" x14ac:dyDescent="0.2">
      <c r="N250" s="152"/>
      <c r="O250" s="171"/>
      <c r="P250" s="152"/>
      <c r="Q250" s="152"/>
      <c r="R250" s="152"/>
      <c r="S250" s="152"/>
      <c r="T250" s="152"/>
      <c r="U250" s="152"/>
      <c r="V250" s="152"/>
      <c r="W250" s="152"/>
      <c r="X250" s="152"/>
    </row>
    <row r="251" spans="14:24" s="27" customFormat="1" ht="10.199999999999999" x14ac:dyDescent="0.2">
      <c r="N251" s="152"/>
      <c r="O251" s="171"/>
      <c r="P251" s="152"/>
      <c r="Q251" s="152"/>
      <c r="R251" s="152"/>
      <c r="S251" s="152"/>
      <c r="T251" s="152"/>
      <c r="U251" s="152"/>
      <c r="V251" s="152"/>
      <c r="W251" s="152"/>
      <c r="X251" s="152"/>
    </row>
    <row r="252" spans="14:24" s="27" customFormat="1" ht="10.199999999999999" x14ac:dyDescent="0.2">
      <c r="N252" s="152"/>
      <c r="O252" s="171"/>
      <c r="P252" s="152"/>
      <c r="Q252" s="152"/>
      <c r="R252" s="152"/>
      <c r="S252" s="152"/>
      <c r="T252" s="152"/>
      <c r="U252" s="152"/>
      <c r="V252" s="152"/>
      <c r="W252" s="152"/>
      <c r="X252" s="152"/>
    </row>
    <row r="253" spans="14:24" s="27" customFormat="1" ht="10.199999999999999" x14ac:dyDescent="0.2">
      <c r="N253" s="152"/>
      <c r="O253" s="171"/>
      <c r="P253" s="152"/>
      <c r="Q253" s="152"/>
      <c r="R253" s="152"/>
      <c r="S253" s="152"/>
      <c r="T253" s="152"/>
      <c r="U253" s="152"/>
      <c r="V253" s="152"/>
      <c r="W253" s="152"/>
      <c r="X253" s="152"/>
    </row>
    <row r="254" spans="14:24" s="27" customFormat="1" ht="10.199999999999999" x14ac:dyDescent="0.2">
      <c r="N254" s="152"/>
      <c r="O254" s="171"/>
      <c r="P254" s="152"/>
      <c r="Q254" s="152"/>
      <c r="R254" s="152"/>
      <c r="S254" s="152"/>
      <c r="T254" s="152"/>
      <c r="U254" s="152"/>
      <c r="V254" s="152"/>
      <c r="W254" s="152"/>
      <c r="X254" s="152"/>
    </row>
    <row r="255" spans="14:24" s="27" customFormat="1" ht="10.199999999999999" x14ac:dyDescent="0.2">
      <c r="N255" s="152"/>
      <c r="O255" s="171"/>
      <c r="P255" s="152"/>
      <c r="Q255" s="152"/>
      <c r="R255" s="152"/>
      <c r="S255" s="152"/>
      <c r="T255" s="152"/>
      <c r="U255" s="152"/>
      <c r="V255" s="152"/>
      <c r="W255" s="152"/>
      <c r="X255" s="152"/>
    </row>
    <row r="256" spans="14:24" s="27" customFormat="1" ht="10.199999999999999" x14ac:dyDescent="0.2">
      <c r="N256" s="152"/>
      <c r="O256" s="171"/>
      <c r="P256" s="152"/>
      <c r="Q256" s="152"/>
      <c r="R256" s="152"/>
      <c r="S256" s="152"/>
      <c r="T256" s="152"/>
      <c r="U256" s="152"/>
      <c r="V256" s="152"/>
      <c r="W256" s="152"/>
      <c r="X256" s="152"/>
    </row>
    <row r="257" spans="14:24" s="27" customFormat="1" ht="10.199999999999999" x14ac:dyDescent="0.2">
      <c r="N257" s="152"/>
      <c r="O257" s="171"/>
      <c r="P257" s="152"/>
      <c r="Q257" s="152"/>
      <c r="R257" s="152"/>
      <c r="S257" s="152"/>
      <c r="T257" s="152"/>
      <c r="U257" s="152"/>
      <c r="V257" s="152"/>
      <c r="W257" s="152"/>
      <c r="X257" s="152"/>
    </row>
    <row r="258" spans="14:24" s="27" customFormat="1" ht="10.199999999999999" x14ac:dyDescent="0.2">
      <c r="N258" s="152"/>
      <c r="O258" s="171"/>
      <c r="P258" s="152"/>
      <c r="Q258" s="152"/>
      <c r="R258" s="152"/>
      <c r="S258" s="152"/>
      <c r="T258" s="152"/>
      <c r="U258" s="152"/>
      <c r="V258" s="152"/>
      <c r="W258" s="152"/>
      <c r="X258" s="152"/>
    </row>
    <row r="259" spans="14:24" s="27" customFormat="1" ht="10.199999999999999" x14ac:dyDescent="0.2">
      <c r="N259" s="152"/>
      <c r="O259" s="171"/>
      <c r="P259" s="152"/>
      <c r="Q259" s="152"/>
      <c r="R259" s="152"/>
      <c r="S259" s="152"/>
      <c r="T259" s="152"/>
      <c r="U259" s="152"/>
      <c r="V259" s="152"/>
      <c r="W259" s="152"/>
      <c r="X259" s="152"/>
    </row>
    <row r="260" spans="14:24" s="27" customFormat="1" ht="10.199999999999999" x14ac:dyDescent="0.2">
      <c r="N260" s="152"/>
      <c r="O260" s="171"/>
      <c r="P260" s="152"/>
      <c r="Q260" s="152"/>
      <c r="R260" s="152"/>
      <c r="S260" s="152"/>
      <c r="T260" s="152"/>
      <c r="U260" s="152"/>
      <c r="V260" s="152"/>
      <c r="W260" s="152"/>
      <c r="X260" s="152"/>
    </row>
    <row r="261" spans="14:24" s="27" customFormat="1" ht="10.199999999999999" x14ac:dyDescent="0.2">
      <c r="N261" s="152"/>
      <c r="O261" s="171"/>
      <c r="P261" s="152"/>
      <c r="Q261" s="152"/>
      <c r="R261" s="152"/>
      <c r="S261" s="152"/>
      <c r="T261" s="152"/>
      <c r="U261" s="152"/>
      <c r="V261" s="152"/>
      <c r="W261" s="152"/>
      <c r="X261" s="152"/>
    </row>
    <row r="262" spans="14:24" s="27" customFormat="1" ht="10.199999999999999" x14ac:dyDescent="0.2">
      <c r="N262" s="152"/>
      <c r="O262" s="171"/>
      <c r="P262" s="152"/>
      <c r="Q262" s="152"/>
      <c r="R262" s="152"/>
      <c r="S262" s="152"/>
      <c r="T262" s="152"/>
      <c r="U262" s="152"/>
      <c r="V262" s="152"/>
      <c r="W262" s="152"/>
      <c r="X262" s="152"/>
    </row>
    <row r="263" spans="14:24" s="27" customFormat="1" ht="10.199999999999999" x14ac:dyDescent="0.2">
      <c r="N263" s="152"/>
      <c r="O263" s="171"/>
      <c r="P263" s="152"/>
      <c r="Q263" s="152"/>
      <c r="R263" s="152"/>
      <c r="S263" s="152"/>
      <c r="T263" s="152"/>
      <c r="U263" s="152"/>
      <c r="V263" s="152"/>
      <c r="W263" s="152"/>
      <c r="X263" s="152"/>
    </row>
    <row r="264" spans="14:24" s="27" customFormat="1" ht="10.199999999999999" x14ac:dyDescent="0.2">
      <c r="N264" s="152"/>
      <c r="O264" s="171"/>
      <c r="P264" s="152"/>
      <c r="Q264" s="152"/>
      <c r="R264" s="152"/>
      <c r="S264" s="152"/>
      <c r="T264" s="152"/>
      <c r="U264" s="152"/>
      <c r="V264" s="152"/>
      <c r="W264" s="152"/>
      <c r="X264" s="152"/>
    </row>
    <row r="265" spans="14:24" s="27" customFormat="1" ht="10.199999999999999" x14ac:dyDescent="0.2">
      <c r="N265" s="152"/>
      <c r="O265" s="171"/>
      <c r="P265" s="152"/>
      <c r="Q265" s="152"/>
      <c r="R265" s="152"/>
      <c r="S265" s="152"/>
      <c r="T265" s="152"/>
      <c r="U265" s="152"/>
      <c r="V265" s="152"/>
      <c r="W265" s="152"/>
      <c r="X265" s="152"/>
    </row>
    <row r="266" spans="14:24" s="27" customFormat="1" ht="10.199999999999999" x14ac:dyDescent="0.2">
      <c r="N266" s="152"/>
      <c r="O266" s="171"/>
      <c r="P266" s="152"/>
      <c r="Q266" s="152"/>
      <c r="R266" s="152"/>
      <c r="S266" s="152"/>
      <c r="T266" s="152"/>
      <c r="U266" s="152"/>
      <c r="V266" s="152"/>
      <c r="W266" s="152"/>
      <c r="X266" s="152"/>
    </row>
    <row r="267" spans="14:24" s="27" customFormat="1" ht="10.199999999999999" x14ac:dyDescent="0.2">
      <c r="N267" s="152"/>
      <c r="O267" s="171"/>
      <c r="P267" s="152"/>
      <c r="Q267" s="152"/>
      <c r="R267" s="152"/>
      <c r="S267" s="152"/>
      <c r="T267" s="152"/>
      <c r="U267" s="152"/>
      <c r="V267" s="152"/>
      <c r="W267" s="152"/>
      <c r="X267" s="152"/>
    </row>
    <row r="268" spans="14:24" s="27" customFormat="1" ht="10.199999999999999" x14ac:dyDescent="0.2">
      <c r="N268" s="152"/>
      <c r="O268" s="171"/>
      <c r="P268" s="152"/>
      <c r="Q268" s="152"/>
      <c r="R268" s="152"/>
      <c r="S268" s="152"/>
      <c r="T268" s="152"/>
      <c r="U268" s="152"/>
      <c r="V268" s="152"/>
      <c r="W268" s="152"/>
      <c r="X268" s="152"/>
    </row>
    <row r="269" spans="14:24" s="27" customFormat="1" ht="10.199999999999999" x14ac:dyDescent="0.2">
      <c r="N269" s="152"/>
      <c r="O269" s="171"/>
      <c r="P269" s="152"/>
      <c r="Q269" s="152"/>
      <c r="R269" s="152"/>
      <c r="S269" s="152"/>
      <c r="T269" s="152"/>
      <c r="U269" s="152"/>
      <c r="V269" s="152"/>
      <c r="W269" s="152"/>
      <c r="X269" s="152"/>
    </row>
    <row r="270" spans="14:24" s="27" customFormat="1" ht="10.199999999999999" x14ac:dyDescent="0.2">
      <c r="N270" s="152"/>
      <c r="O270" s="171"/>
      <c r="P270" s="152"/>
      <c r="Q270" s="152"/>
      <c r="R270" s="152"/>
      <c r="S270" s="152"/>
      <c r="T270" s="152"/>
      <c r="U270" s="152"/>
      <c r="V270" s="152"/>
      <c r="W270" s="152"/>
      <c r="X270" s="152"/>
    </row>
    <row r="271" spans="14:24" s="27" customFormat="1" ht="10.199999999999999" x14ac:dyDescent="0.2">
      <c r="N271" s="152"/>
      <c r="O271" s="171"/>
      <c r="P271" s="152"/>
      <c r="Q271" s="152"/>
      <c r="R271" s="152"/>
      <c r="S271" s="152"/>
      <c r="T271" s="152"/>
      <c r="U271" s="152"/>
      <c r="V271" s="152"/>
      <c r="W271" s="152"/>
      <c r="X271" s="152"/>
    </row>
    <row r="272" spans="14:24" s="27" customFormat="1" ht="10.199999999999999" x14ac:dyDescent="0.2">
      <c r="N272" s="152"/>
      <c r="O272" s="171"/>
      <c r="P272" s="152"/>
      <c r="Q272" s="152"/>
      <c r="R272" s="152"/>
      <c r="S272" s="152"/>
      <c r="T272" s="152"/>
      <c r="U272" s="152"/>
      <c r="V272" s="152"/>
      <c r="W272" s="152"/>
      <c r="X272" s="152"/>
    </row>
    <row r="273" spans="14:24" s="27" customFormat="1" ht="10.199999999999999" x14ac:dyDescent="0.2">
      <c r="N273" s="152"/>
      <c r="O273" s="171"/>
      <c r="P273" s="152"/>
      <c r="Q273" s="152"/>
      <c r="R273" s="152"/>
      <c r="S273" s="152"/>
      <c r="T273" s="152"/>
      <c r="U273" s="152"/>
      <c r="V273" s="152"/>
      <c r="W273" s="152"/>
      <c r="X273" s="152"/>
    </row>
    <row r="274" spans="14:24" s="27" customFormat="1" ht="10.199999999999999" x14ac:dyDescent="0.2">
      <c r="N274" s="152"/>
      <c r="O274" s="171"/>
      <c r="P274" s="152"/>
      <c r="Q274" s="152"/>
      <c r="R274" s="152"/>
      <c r="S274" s="152"/>
      <c r="T274" s="152"/>
      <c r="U274" s="152"/>
      <c r="V274" s="152"/>
      <c r="W274" s="152"/>
      <c r="X274" s="152"/>
    </row>
    <row r="275" spans="14:24" s="27" customFormat="1" ht="10.199999999999999" x14ac:dyDescent="0.2">
      <c r="N275" s="152"/>
      <c r="O275" s="171"/>
      <c r="P275" s="152"/>
      <c r="Q275" s="152"/>
      <c r="R275" s="152"/>
      <c r="S275" s="152"/>
      <c r="T275" s="152"/>
      <c r="U275" s="152"/>
      <c r="V275" s="152"/>
      <c r="W275" s="152"/>
      <c r="X275" s="152"/>
    </row>
    <row r="276" spans="14:24" s="27" customFormat="1" ht="10.199999999999999" x14ac:dyDescent="0.2">
      <c r="N276" s="152"/>
      <c r="O276" s="171"/>
      <c r="P276" s="152"/>
      <c r="Q276" s="152"/>
      <c r="R276" s="152"/>
      <c r="S276" s="152"/>
      <c r="T276" s="152"/>
      <c r="U276" s="152"/>
      <c r="V276" s="152"/>
      <c r="W276" s="152"/>
      <c r="X276" s="152"/>
    </row>
    <row r="335" spans="20:26" ht="14.4" thickBot="1" x14ac:dyDescent="0.35">
      <c r="T335" s="175">
        <f t="shared" ref="T335:Y335" si="0">SUM(T96:T334)</f>
        <v>0</v>
      </c>
      <c r="U335" s="175">
        <f t="shared" si="0"/>
        <v>0</v>
      </c>
      <c r="V335" s="175">
        <f t="shared" si="0"/>
        <v>0</v>
      </c>
      <c r="W335" s="175">
        <f t="shared" si="0"/>
        <v>0</v>
      </c>
      <c r="X335" s="175">
        <f t="shared" si="0"/>
        <v>0</v>
      </c>
      <c r="Y335" s="175">
        <f t="shared" si="0"/>
        <v>0</v>
      </c>
      <c r="Z335" s="175">
        <f>SUM(T335:Y335)</f>
        <v>0</v>
      </c>
    </row>
    <row r="336" spans="20:26" ht="14.4" thickTop="1" x14ac:dyDescent="0.3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93"/>
  <sheetViews>
    <sheetView topLeftCell="A36" workbookViewId="0">
      <selection activeCell="E53" sqref="E53"/>
    </sheetView>
  </sheetViews>
  <sheetFormatPr defaultColWidth="9.109375" defaultRowHeight="10.199999999999999" x14ac:dyDescent="0.2"/>
  <cols>
    <col min="1" max="1" width="22.441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146"/>
    </row>
    <row r="2" spans="1:23" ht="13.8" x14ac:dyDescent="0.25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147"/>
    </row>
    <row r="3" spans="1:23" ht="13.8" x14ac:dyDescent="0.3">
      <c r="A3" s="323" t="s">
        <v>307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148"/>
    </row>
    <row r="4" spans="1:23" ht="3" customHeight="1" x14ac:dyDescent="0.2"/>
    <row r="5" spans="1:23" ht="12" customHeight="1" x14ac:dyDescent="0.2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</row>
    <row r="6" spans="1:23" ht="12" customHeight="1" x14ac:dyDescent="0.2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3</v>
      </c>
      <c r="B9" s="38"/>
      <c r="C9" s="59">
        <f>GrossMargin!N10</f>
        <v>41497</v>
      </c>
      <c r="D9" s="60">
        <f>Expenses!E9+'CapChrg-AllocExp'!E10+'CapChrg-AllocExp'!L10</f>
        <v>14857</v>
      </c>
      <c r="E9" s="84">
        <f>C9-D9</f>
        <v>26640</v>
      </c>
      <c r="F9" s="42"/>
      <c r="G9" s="59">
        <f>GrossMargin!J10</f>
        <v>238190</v>
      </c>
      <c r="H9" s="60">
        <f>GrossMargin!K10</f>
        <v>0</v>
      </c>
      <c r="I9" s="60">
        <f>GrossMargin!L10</f>
        <v>0</v>
      </c>
      <c r="J9" s="82">
        <f>SUM(G9:I9)</f>
        <v>238190</v>
      </c>
      <c r="K9" s="177"/>
      <c r="L9" s="60">
        <f>'CapChrg-AllocExp'!D10</f>
        <v>0</v>
      </c>
      <c r="M9" s="60">
        <f>Expenses!D9</f>
        <v>5187</v>
      </c>
      <c r="N9" s="61">
        <f>'CapChrg-AllocExp'!K10</f>
        <v>11645</v>
      </c>
      <c r="O9" s="82">
        <f>J9-K9-M9-N9-L9</f>
        <v>221358</v>
      </c>
      <c r="P9" s="44"/>
      <c r="Q9" s="59">
        <f>GrossMargin!O10</f>
        <v>196693</v>
      </c>
      <c r="R9" s="60"/>
      <c r="S9" s="60">
        <f>'CapChrg-AllocExp'!F10</f>
        <v>0</v>
      </c>
      <c r="T9" s="60">
        <f>Expenses!F9</f>
        <v>-1975</v>
      </c>
      <c r="U9" s="60">
        <f>'CapChrg-AllocExp'!M10</f>
        <v>0</v>
      </c>
      <c r="V9" s="84">
        <f>ROUND(SUM(Q9:U9),0)</f>
        <v>194718</v>
      </c>
    </row>
    <row r="10" spans="1:23" ht="12" customHeight="1" x14ac:dyDescent="0.2">
      <c r="A10" s="29" t="s">
        <v>272</v>
      </c>
      <c r="B10" s="38"/>
      <c r="C10" s="41">
        <f>GrossMargin!N11</f>
        <v>7570</v>
      </c>
      <c r="D10" s="42">
        <f>Expenses!E10+'CapChrg-AllocExp'!E11+'CapChrg-AllocExp'!L11</f>
        <v>3158</v>
      </c>
      <c r="E10" s="66">
        <f>C10-D10</f>
        <v>4412</v>
      </c>
      <c r="F10" s="42"/>
      <c r="G10" s="41">
        <f>GrossMargin!J11</f>
        <v>47379</v>
      </c>
      <c r="H10" s="42">
        <f>GrossMargin!K11</f>
        <v>0</v>
      </c>
      <c r="I10" s="42">
        <f>GrossMargin!L11</f>
        <v>0</v>
      </c>
      <c r="J10" s="83">
        <f>SUM(G10:I10)</f>
        <v>47379</v>
      </c>
      <c r="K10" s="42"/>
      <c r="L10" s="42">
        <f>'CapChrg-AllocExp'!D11</f>
        <v>0</v>
      </c>
      <c r="M10" s="42">
        <f>Expenses!D10</f>
        <v>656</v>
      </c>
      <c r="N10" s="43">
        <f>'CapChrg-AllocExp'!K11</f>
        <v>2441</v>
      </c>
      <c r="O10" s="83">
        <f>J10-K10-M10-N10-L10</f>
        <v>44282</v>
      </c>
      <c r="P10" s="44"/>
      <c r="Q10" s="41">
        <f>GrossMargin!O11</f>
        <v>39809</v>
      </c>
      <c r="R10" s="42"/>
      <c r="S10" s="42">
        <f>'CapChrg-AllocExp'!F11</f>
        <v>0</v>
      </c>
      <c r="T10" s="42">
        <f>Expenses!F10</f>
        <v>61</v>
      </c>
      <c r="U10" s="42">
        <f>'CapChrg-AllocExp'!M11</f>
        <v>0</v>
      </c>
      <c r="V10" s="66">
        <f>ROUND(SUM(Q10:U10),0)</f>
        <v>39870</v>
      </c>
    </row>
    <row r="11" spans="1:23" ht="12" customHeight="1" x14ac:dyDescent="0.2">
      <c r="A11" s="29" t="s">
        <v>106</v>
      </c>
      <c r="B11" s="38"/>
      <c r="C11" s="41">
        <f>GrossMargin!N12</f>
        <v>67236</v>
      </c>
      <c r="D11" s="42">
        <f>Expenses!E11+'CapChrg-AllocExp'!E12+'CapChrg-AllocExp'!L12+Expenses!E58</f>
        <v>28234</v>
      </c>
      <c r="E11" s="66">
        <f t="shared" ref="E11:E17" si="0">C11-D11</f>
        <v>39002</v>
      </c>
      <c r="F11" s="42"/>
      <c r="G11" s="41">
        <f>GrossMargin!J12</f>
        <v>177806</v>
      </c>
      <c r="H11" s="42">
        <f>GrossMargin!K12</f>
        <v>0</v>
      </c>
      <c r="I11" s="42">
        <f>GrossMargin!L12</f>
        <v>0</v>
      </c>
      <c r="J11" s="83">
        <f t="shared" ref="J11:J17" si="1">SUM(G11:I11)</f>
        <v>177806</v>
      </c>
      <c r="K11" s="42">
        <f>Expenses!D58</f>
        <v>9900</v>
      </c>
      <c r="L11" s="42">
        <f>'CapChrg-AllocExp'!D12</f>
        <v>7803</v>
      </c>
      <c r="M11" s="42">
        <f>Expenses!D11</f>
        <v>6123</v>
      </c>
      <c r="N11" s="43">
        <f>'CapChrg-AllocExp'!K12</f>
        <v>5942</v>
      </c>
      <c r="O11" s="83">
        <f t="shared" ref="O11:O18" si="2">J11-K11-M11-N11-L11</f>
        <v>148038</v>
      </c>
      <c r="P11" s="44"/>
      <c r="Q11" s="41">
        <f>GrossMargin!O12</f>
        <v>110570</v>
      </c>
      <c r="R11" s="42">
        <f>Expenses!F58</f>
        <v>-1111</v>
      </c>
      <c r="S11" s="42">
        <f>'CapChrg-AllocExp'!F12</f>
        <v>988</v>
      </c>
      <c r="T11" s="42">
        <f>Expenses!F11</f>
        <v>-1411</v>
      </c>
      <c r="U11" s="42">
        <f>'CapChrg-AllocExp'!M12</f>
        <v>0</v>
      </c>
      <c r="V11" s="66">
        <f t="shared" ref="V11:V17" si="3">ROUND(SUM(Q11:U11),0)</f>
        <v>109036</v>
      </c>
    </row>
    <row r="12" spans="1:23" ht="12" customHeight="1" x14ac:dyDescent="0.2">
      <c r="A12" s="29" t="s">
        <v>132</v>
      </c>
      <c r="B12" s="38"/>
      <c r="C12" s="41">
        <f>GrossMargin!N13</f>
        <v>22402</v>
      </c>
      <c r="D12" s="42">
        <f>Expenses!E12+'CapChrg-AllocExp'!E13+'CapChrg-AllocExp'!L13</f>
        <v>1607</v>
      </c>
      <c r="E12" s="66">
        <f t="shared" si="0"/>
        <v>20795</v>
      </c>
      <c r="F12" s="42"/>
      <c r="G12" s="41">
        <f>GrossMargin!J13</f>
        <v>34672</v>
      </c>
      <c r="H12" s="42">
        <f>GrossMargin!K13</f>
        <v>0</v>
      </c>
      <c r="I12" s="42">
        <f>GrossMargin!L13</f>
        <v>0</v>
      </c>
      <c r="J12" s="83">
        <f t="shared" si="1"/>
        <v>34672</v>
      </c>
      <c r="K12" s="65"/>
      <c r="L12" s="42">
        <f>'CapChrg-AllocExp'!D13</f>
        <v>0</v>
      </c>
      <c r="M12" s="42">
        <f>Expenses!D12</f>
        <v>774</v>
      </c>
      <c r="N12" s="43">
        <f>'CapChrg-AllocExp'!K13</f>
        <v>952</v>
      </c>
      <c r="O12" s="83">
        <f t="shared" si="2"/>
        <v>32946</v>
      </c>
      <c r="P12" s="44"/>
      <c r="Q12" s="41">
        <f>GrossMargin!O13</f>
        <v>12270</v>
      </c>
      <c r="R12" s="42"/>
      <c r="S12" s="42">
        <f>'CapChrg-AllocExp'!F13</f>
        <v>0</v>
      </c>
      <c r="T12" s="42">
        <f>Expenses!F12</f>
        <v>-119</v>
      </c>
      <c r="U12" s="42">
        <f>'CapChrg-AllocExp'!M13</f>
        <v>0</v>
      </c>
      <c r="V12" s="66">
        <f t="shared" si="3"/>
        <v>12151</v>
      </c>
    </row>
    <row r="13" spans="1:23" ht="12" customHeight="1" x14ac:dyDescent="0.2">
      <c r="A13" s="29" t="s">
        <v>133</v>
      </c>
      <c r="B13" s="38"/>
      <c r="C13" s="41">
        <f>GrossMargin!N14</f>
        <v>8947</v>
      </c>
      <c r="D13" s="42">
        <f>Expenses!E13+'CapChrg-AllocExp'!E14+'CapChrg-AllocExp'!L14</f>
        <v>1807</v>
      </c>
      <c r="E13" s="66">
        <f>C13-D13</f>
        <v>7140</v>
      </c>
      <c r="F13" s="42"/>
      <c r="G13" s="41">
        <f>GrossMargin!J14</f>
        <v>12699</v>
      </c>
      <c r="H13" s="42">
        <f>GrossMargin!K14</f>
        <v>0</v>
      </c>
      <c r="I13" s="42">
        <f>GrossMargin!L14</f>
        <v>0</v>
      </c>
      <c r="J13" s="83">
        <f>SUM(G13:I13)</f>
        <v>12699</v>
      </c>
      <c r="K13" s="65"/>
      <c r="L13" s="42">
        <f>'CapChrg-AllocExp'!D14</f>
        <v>0</v>
      </c>
      <c r="M13" s="42">
        <f>Expenses!D13</f>
        <v>975</v>
      </c>
      <c r="N13" s="43">
        <f>'CapChrg-AllocExp'!K14</f>
        <v>859</v>
      </c>
      <c r="O13" s="83">
        <f>J13-K13-M13-N13-L13</f>
        <v>10865</v>
      </c>
      <c r="P13" s="44"/>
      <c r="Q13" s="41">
        <f>GrossMargin!O14</f>
        <v>3752</v>
      </c>
      <c r="R13" s="42"/>
      <c r="S13" s="42">
        <f>'CapChrg-AllocExp'!F14</f>
        <v>0</v>
      </c>
      <c r="T13" s="42">
        <f>Expenses!F13</f>
        <v>-27</v>
      </c>
      <c r="U13" s="42">
        <f>'CapChrg-AllocExp'!M14</f>
        <v>0</v>
      </c>
      <c r="V13" s="66">
        <f>ROUND(SUM(Q13:U13),0)</f>
        <v>3725</v>
      </c>
    </row>
    <row r="14" spans="1:23" ht="12" customHeight="1" x14ac:dyDescent="0.2">
      <c r="A14" s="29" t="s">
        <v>250</v>
      </c>
      <c r="B14" s="38"/>
      <c r="C14" s="41">
        <f>GrossMargin!N15</f>
        <v>11556</v>
      </c>
      <c r="D14" s="42">
        <f>Expenses!E14+'CapChrg-AllocExp'!E15+'CapChrg-AllocExp'!L15</f>
        <v>3047</v>
      </c>
      <c r="E14" s="66">
        <f t="shared" si="0"/>
        <v>8509</v>
      </c>
      <c r="F14" s="42"/>
      <c r="G14" s="41">
        <f>GrossMargin!J15</f>
        <v>20262</v>
      </c>
      <c r="H14" s="42">
        <f>GrossMargin!K15</f>
        <v>0</v>
      </c>
      <c r="I14" s="42">
        <f>GrossMargin!L15</f>
        <v>0</v>
      </c>
      <c r="J14" s="83">
        <f>SUM(G14:I14)</f>
        <v>20262</v>
      </c>
      <c r="K14" s="65"/>
      <c r="L14" s="42">
        <f>'CapChrg-AllocExp'!D15</f>
        <v>0</v>
      </c>
      <c r="M14" s="42">
        <f>Expenses!D14</f>
        <v>1147</v>
      </c>
      <c r="N14" s="43">
        <f>'CapChrg-AllocExp'!K15</f>
        <v>1195</v>
      </c>
      <c r="O14" s="83">
        <f t="shared" si="2"/>
        <v>17920</v>
      </c>
      <c r="P14" s="44"/>
      <c r="Q14" s="41">
        <f>GrossMargin!O15</f>
        <v>8706</v>
      </c>
      <c r="R14" s="42"/>
      <c r="S14" s="42">
        <f>'CapChrg-AllocExp'!F15</f>
        <v>0</v>
      </c>
      <c r="T14" s="42">
        <f>Expenses!F14</f>
        <v>705</v>
      </c>
      <c r="U14" s="42">
        <f>'CapChrg-AllocExp'!M15</f>
        <v>0</v>
      </c>
      <c r="V14" s="66">
        <f>ROUND(SUM(Q14:U14),0)</f>
        <v>9411</v>
      </c>
    </row>
    <row r="15" spans="1:23" ht="12" customHeight="1" x14ac:dyDescent="0.2">
      <c r="A15" s="29" t="s">
        <v>275</v>
      </c>
      <c r="B15" s="38"/>
      <c r="C15" s="41">
        <f>GrossMargin!N16</f>
        <v>6535</v>
      </c>
      <c r="D15" s="42">
        <f>Expenses!E15+'CapChrg-AllocExp'!E16+'CapChrg-AllocExp'!L16</f>
        <v>2038</v>
      </c>
      <c r="E15" s="66">
        <f t="shared" si="0"/>
        <v>4497</v>
      </c>
      <c r="F15" s="42"/>
      <c r="G15" s="41">
        <f>GrossMargin!J16</f>
        <v>3212</v>
      </c>
      <c r="H15" s="42">
        <f>GrossMargin!K16</f>
        <v>0</v>
      </c>
      <c r="I15" s="42">
        <f>GrossMargin!L16</f>
        <v>0</v>
      </c>
      <c r="J15" s="83">
        <f t="shared" si="1"/>
        <v>3212</v>
      </c>
      <c r="K15" s="65"/>
      <c r="L15" s="42">
        <f>'CapChrg-AllocExp'!D16</f>
        <v>0</v>
      </c>
      <c r="M15" s="42">
        <f>Expenses!D15</f>
        <v>1549</v>
      </c>
      <c r="N15" s="43">
        <f>'CapChrg-AllocExp'!K16</f>
        <v>1127</v>
      </c>
      <c r="O15" s="83">
        <f t="shared" si="2"/>
        <v>536</v>
      </c>
      <c r="P15" s="44"/>
      <c r="Q15" s="41">
        <f>GrossMargin!O16</f>
        <v>-3323</v>
      </c>
      <c r="R15" s="42"/>
      <c r="S15" s="42">
        <f>'CapChrg-AllocExp'!F16</f>
        <v>0</v>
      </c>
      <c r="T15" s="42">
        <f>Expenses!F15</f>
        <v>-325</v>
      </c>
      <c r="U15" s="42">
        <f>'CapChrg-AllocExp'!M16</f>
        <v>-313</v>
      </c>
      <c r="V15" s="66">
        <f t="shared" si="3"/>
        <v>-3961</v>
      </c>
    </row>
    <row r="16" spans="1:23" ht="12" customHeight="1" x14ac:dyDescent="0.2">
      <c r="A16" s="29" t="s">
        <v>155</v>
      </c>
      <c r="B16" s="38"/>
      <c r="C16" s="41">
        <f>GrossMargin!N17</f>
        <v>3215</v>
      </c>
      <c r="D16" s="42">
        <f>Expenses!E16+'CapChrg-AllocExp'!E17+'CapChrg-AllocExp'!L17</f>
        <v>1661</v>
      </c>
      <c r="E16" s="66">
        <f t="shared" si="0"/>
        <v>1554</v>
      </c>
      <c r="F16" s="42"/>
      <c r="G16" s="41">
        <f>GrossMargin!J17</f>
        <v>2621</v>
      </c>
      <c r="H16" s="42">
        <f>GrossMargin!K17</f>
        <v>0</v>
      </c>
      <c r="I16" s="42">
        <f>GrossMargin!L17</f>
        <v>0</v>
      </c>
      <c r="J16" s="83">
        <f t="shared" si="1"/>
        <v>2621</v>
      </c>
      <c r="K16" s="65"/>
      <c r="L16" s="42">
        <f>'CapChrg-AllocExp'!D17</f>
        <v>0</v>
      </c>
      <c r="M16" s="42">
        <f>Expenses!D16</f>
        <v>721</v>
      </c>
      <c r="N16" s="43">
        <f>'CapChrg-AllocExp'!K17</f>
        <v>919</v>
      </c>
      <c r="O16" s="83">
        <f t="shared" si="2"/>
        <v>981</v>
      </c>
      <c r="P16" s="44"/>
      <c r="Q16" s="41">
        <f>GrossMargin!O17</f>
        <v>-594</v>
      </c>
      <c r="R16" s="42"/>
      <c r="S16" s="42">
        <f>'CapChrg-AllocExp'!F17</f>
        <v>0</v>
      </c>
      <c r="T16" s="42">
        <f>Expenses!F16</f>
        <v>171</v>
      </c>
      <c r="U16" s="42">
        <f>'CapChrg-AllocExp'!M17</f>
        <v>-150</v>
      </c>
      <c r="V16" s="66">
        <f t="shared" si="3"/>
        <v>-573</v>
      </c>
    </row>
    <row r="17" spans="1:22" ht="12" customHeight="1" x14ac:dyDescent="0.2">
      <c r="A17" s="29" t="s">
        <v>292</v>
      </c>
      <c r="B17" s="38"/>
      <c r="C17" s="41">
        <f>GrossMargin!N18</f>
        <v>750</v>
      </c>
      <c r="D17" s="42">
        <f>Expenses!E17+'CapChrg-AllocExp'!E18+'CapChrg-AllocExp'!L18</f>
        <v>338</v>
      </c>
      <c r="E17" s="66">
        <f t="shared" si="0"/>
        <v>412</v>
      </c>
      <c r="F17" s="42"/>
      <c r="G17" s="41">
        <f>GrossMargin!J18</f>
        <v>-6460</v>
      </c>
      <c r="H17" s="42">
        <f>GrossMargin!K18</f>
        <v>0</v>
      </c>
      <c r="I17" s="42">
        <f>GrossMargin!L18</f>
        <v>0</v>
      </c>
      <c r="J17" s="83">
        <f t="shared" si="1"/>
        <v>-6460</v>
      </c>
      <c r="K17" s="65"/>
      <c r="L17" s="42">
        <f>'CapChrg-AllocExp'!D18</f>
        <v>0</v>
      </c>
      <c r="M17" s="42">
        <f>Expenses!D17</f>
        <v>52</v>
      </c>
      <c r="N17" s="43">
        <f>'CapChrg-AllocExp'!K18</f>
        <v>234</v>
      </c>
      <c r="O17" s="83">
        <f t="shared" si="2"/>
        <v>-6746</v>
      </c>
      <c r="P17" s="44"/>
      <c r="Q17" s="41">
        <f>GrossMargin!O18</f>
        <v>-7210</v>
      </c>
      <c r="R17" s="42"/>
      <c r="S17" s="42">
        <f>'CapChrg-AllocExp'!F18</f>
        <v>0</v>
      </c>
      <c r="T17" s="42">
        <f>Expenses!F17</f>
        <v>52</v>
      </c>
      <c r="U17" s="42">
        <f>'CapChrg-AllocExp'!M18</f>
        <v>0</v>
      </c>
      <c r="V17" s="66">
        <f t="shared" si="3"/>
        <v>-7158</v>
      </c>
    </row>
    <row r="18" spans="1:22" s="90" customFormat="1" ht="12" customHeight="1" x14ac:dyDescent="0.3">
      <c r="A18" s="94" t="s">
        <v>276</v>
      </c>
      <c r="B18" s="91"/>
      <c r="C18" s="99">
        <f>SUM(C9:C17)</f>
        <v>169708</v>
      </c>
      <c r="D18" s="100">
        <f>SUM(D9:D17)</f>
        <v>56747</v>
      </c>
      <c r="E18" s="101">
        <f>SUM(E9:E17)</f>
        <v>112961</v>
      </c>
      <c r="F18" s="92"/>
      <c r="G18" s="99">
        <f t="shared" ref="G18:N18" si="4">SUM(G9:G17)</f>
        <v>530381</v>
      </c>
      <c r="H18" s="100">
        <f t="shared" si="4"/>
        <v>0</v>
      </c>
      <c r="I18" s="100">
        <f t="shared" si="4"/>
        <v>0</v>
      </c>
      <c r="J18" s="102">
        <f t="shared" si="4"/>
        <v>530381</v>
      </c>
      <c r="K18" s="100">
        <f t="shared" si="4"/>
        <v>9900</v>
      </c>
      <c r="L18" s="100">
        <f t="shared" si="4"/>
        <v>7803</v>
      </c>
      <c r="M18" s="100">
        <f t="shared" si="4"/>
        <v>17184</v>
      </c>
      <c r="N18" s="101">
        <f t="shared" si="4"/>
        <v>25314</v>
      </c>
      <c r="O18" s="102">
        <f t="shared" si="2"/>
        <v>470180</v>
      </c>
      <c r="P18" s="93"/>
      <c r="Q18" s="99">
        <f t="shared" ref="Q18:V18" si="5">SUM(Q9:Q17)</f>
        <v>360673</v>
      </c>
      <c r="R18" s="100">
        <f t="shared" si="5"/>
        <v>-1111</v>
      </c>
      <c r="S18" s="100">
        <f t="shared" si="5"/>
        <v>988</v>
      </c>
      <c r="T18" s="100">
        <f t="shared" si="5"/>
        <v>-2868</v>
      </c>
      <c r="U18" s="100">
        <f t="shared" si="5"/>
        <v>-463</v>
      </c>
      <c r="V18" s="101">
        <f t="shared" si="5"/>
        <v>357219</v>
      </c>
    </row>
    <row r="19" spans="1:22" ht="3" customHeight="1" x14ac:dyDescent="0.2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">
      <c r="A20" s="29" t="s">
        <v>88</v>
      </c>
      <c r="B20" s="38"/>
      <c r="C20" s="41">
        <f>GrossMargin!N22</f>
        <v>20493</v>
      </c>
      <c r="D20" s="42">
        <f>Expenses!E20+'CapChrg-AllocExp'!E21+'CapChrg-AllocExp'!L21</f>
        <v>8570</v>
      </c>
      <c r="E20" s="66">
        <f t="shared" ref="E20:E30" si="6">C20-D20</f>
        <v>11923</v>
      </c>
      <c r="F20" s="42"/>
      <c r="G20" s="41">
        <f>GrossMargin!J22</f>
        <v>0</v>
      </c>
      <c r="H20" s="42">
        <f>GrossMargin!K22</f>
        <v>0</v>
      </c>
      <c r="I20" s="42">
        <f>GrossMargin!L22</f>
        <v>0</v>
      </c>
      <c r="J20" s="83">
        <f t="shared" ref="J20:J30" si="7">SUM(G20:I20)</f>
        <v>0</v>
      </c>
      <c r="K20" s="65"/>
      <c r="L20" s="42">
        <f>'CapChrg-AllocExp'!D21</f>
        <v>0</v>
      </c>
      <c r="M20" s="42">
        <f>Expenses!D20</f>
        <v>8510</v>
      </c>
      <c r="N20" s="43">
        <f>'CapChrg-AllocExp'!K21</f>
        <v>3601</v>
      </c>
      <c r="O20" s="83">
        <f t="shared" ref="O20:O31" si="8">J20-K20-M20-N20-L20</f>
        <v>-12111</v>
      </c>
      <c r="P20" s="44"/>
      <c r="Q20" s="41">
        <f>GrossMargin!O22</f>
        <v>-20493</v>
      </c>
      <c r="R20" s="42"/>
      <c r="S20" s="42">
        <f>'CapChrg-AllocExp'!F21</f>
        <v>0</v>
      </c>
      <c r="T20" s="42">
        <f>Expenses!F20</f>
        <v>-3541</v>
      </c>
      <c r="U20" s="42">
        <f>'CapChrg-AllocExp'!M21</f>
        <v>0</v>
      </c>
      <c r="V20" s="66">
        <f t="shared" ref="V20:V30" si="9">ROUND(SUM(Q20:U20),0)</f>
        <v>-24034</v>
      </c>
    </row>
    <row r="21" spans="1:22" ht="12" customHeight="1" x14ac:dyDescent="0.2">
      <c r="A21" s="29" t="s">
        <v>89</v>
      </c>
      <c r="B21" s="38"/>
      <c r="C21" s="41">
        <f>GrossMargin!N23</f>
        <v>13235</v>
      </c>
      <c r="D21" s="42">
        <f>Expenses!E21+'CapChrg-AllocExp'!E22+'CapChrg-AllocExp'!L22</f>
        <v>7266</v>
      </c>
      <c r="E21" s="66">
        <f t="shared" si="6"/>
        <v>5969</v>
      </c>
      <c r="F21" s="42"/>
      <c r="G21" s="41">
        <f>GrossMargin!J23</f>
        <v>506</v>
      </c>
      <c r="H21" s="42">
        <f>GrossMargin!K23</f>
        <v>0</v>
      </c>
      <c r="I21" s="42">
        <f>GrossMargin!L23</f>
        <v>0</v>
      </c>
      <c r="J21" s="83">
        <f t="shared" si="7"/>
        <v>506</v>
      </c>
      <c r="K21" s="65"/>
      <c r="L21" s="42">
        <f>'CapChrg-AllocExp'!D22</f>
        <v>938</v>
      </c>
      <c r="M21" s="42">
        <f>Expenses!D21</f>
        <v>5215</v>
      </c>
      <c r="N21" s="43">
        <f>'CapChrg-AllocExp'!K22</f>
        <v>2304</v>
      </c>
      <c r="O21" s="83">
        <f t="shared" si="8"/>
        <v>-7951</v>
      </c>
      <c r="P21" s="44"/>
      <c r="Q21" s="41">
        <f>GrossMargin!O23</f>
        <v>-12729</v>
      </c>
      <c r="R21" s="42"/>
      <c r="S21" s="42">
        <f>'CapChrg-AllocExp'!F22</f>
        <v>-650</v>
      </c>
      <c r="T21" s="42">
        <f>Expenses!F21</f>
        <v>-541</v>
      </c>
      <c r="U21" s="42">
        <f>'CapChrg-AllocExp'!M22</f>
        <v>0</v>
      </c>
      <c r="V21" s="66">
        <f t="shared" si="9"/>
        <v>-13920</v>
      </c>
    </row>
    <row r="22" spans="1:22" ht="12" customHeight="1" x14ac:dyDescent="0.2">
      <c r="A22" s="29" t="s">
        <v>233</v>
      </c>
      <c r="B22" s="38"/>
      <c r="C22" s="41">
        <f>GrossMargin!N24</f>
        <v>22861</v>
      </c>
      <c r="D22" s="42">
        <f>Expenses!E22+'CapChrg-AllocExp'!E23+'CapChrg-AllocExp'!L23</f>
        <v>8909</v>
      </c>
      <c r="E22" s="66">
        <f t="shared" si="6"/>
        <v>13952</v>
      </c>
      <c r="F22" s="42"/>
      <c r="G22" s="41">
        <f>GrossMargin!J24</f>
        <v>4500</v>
      </c>
      <c r="H22" s="42">
        <f>GrossMargin!K24</f>
        <v>0</v>
      </c>
      <c r="I22" s="42">
        <f>GrossMargin!L24</f>
        <v>0</v>
      </c>
      <c r="J22" s="83">
        <f t="shared" si="7"/>
        <v>4500</v>
      </c>
      <c r="K22" s="65"/>
      <c r="L22" s="42">
        <f>'CapChrg-AllocExp'!D23</f>
        <v>109</v>
      </c>
      <c r="M22" s="42">
        <f>Expenses!D22</f>
        <v>4610</v>
      </c>
      <c r="N22" s="43">
        <f>'CapChrg-AllocExp'!K23</f>
        <v>2620</v>
      </c>
      <c r="O22" s="83">
        <f t="shared" si="8"/>
        <v>-2839</v>
      </c>
      <c r="P22" s="44"/>
      <c r="Q22" s="41">
        <f>GrossMargin!O24</f>
        <v>-18361</v>
      </c>
      <c r="R22" s="42"/>
      <c r="S22" s="42">
        <f>'CapChrg-AllocExp'!F23</f>
        <v>977</v>
      </c>
      <c r="T22" s="42">
        <f>Expenses!F22</f>
        <v>750</v>
      </c>
      <c r="U22" s="42">
        <f>'CapChrg-AllocExp'!M23</f>
        <v>-157</v>
      </c>
      <c r="V22" s="66">
        <f t="shared" si="9"/>
        <v>-16791</v>
      </c>
    </row>
    <row r="23" spans="1:22" ht="12" customHeight="1" x14ac:dyDescent="0.2">
      <c r="A23" s="29" t="s">
        <v>67</v>
      </c>
      <c r="B23" s="38"/>
      <c r="C23" s="41">
        <f>GrossMargin!N25</f>
        <v>18711</v>
      </c>
      <c r="D23" s="42">
        <f>Expenses!E23+'CapChrg-AllocExp'!E24+'CapChrg-AllocExp'!L24</f>
        <v>8485</v>
      </c>
      <c r="E23" s="66">
        <f>C23-D23</f>
        <v>10226</v>
      </c>
      <c r="F23" s="42"/>
      <c r="G23" s="41">
        <f>GrossMargin!J25</f>
        <v>16150</v>
      </c>
      <c r="H23" s="42">
        <f>GrossMargin!K25</f>
        <v>0</v>
      </c>
      <c r="I23" s="42">
        <f>GrossMargin!L25</f>
        <v>0</v>
      </c>
      <c r="J23" s="83">
        <f>SUM(G23:I23)</f>
        <v>16150</v>
      </c>
      <c r="K23" s="65"/>
      <c r="L23" s="42">
        <f>'CapChrg-AllocExp'!D24</f>
        <v>6057</v>
      </c>
      <c r="M23" s="42">
        <f>Expenses!D23</f>
        <v>2124</v>
      </c>
      <c r="N23" s="43">
        <f>'CapChrg-AllocExp'!K24</f>
        <v>897</v>
      </c>
      <c r="O23" s="83">
        <f t="shared" si="8"/>
        <v>7072</v>
      </c>
      <c r="P23" s="44"/>
      <c r="Q23" s="41">
        <f>GrossMargin!O25</f>
        <v>-2561</v>
      </c>
      <c r="R23" s="42"/>
      <c r="S23" s="42">
        <f>'CapChrg-AllocExp'!F24</f>
        <v>237</v>
      </c>
      <c r="T23" s="42">
        <f>Expenses!F23</f>
        <v>-830</v>
      </c>
      <c r="U23" s="42">
        <f>'CapChrg-AllocExp'!M24</f>
        <v>0</v>
      </c>
      <c r="V23" s="66">
        <f>ROUND(SUM(Q23:U23),0)</f>
        <v>-3154</v>
      </c>
    </row>
    <row r="24" spans="1:22" ht="12" customHeight="1" x14ac:dyDescent="0.2">
      <c r="A24" s="29" t="s">
        <v>264</v>
      </c>
      <c r="B24" s="38"/>
      <c r="C24" s="41">
        <f>GrossMargin!N26</f>
        <v>6212</v>
      </c>
      <c r="D24" s="42">
        <f>Expenses!E24+'CapChrg-AllocExp'!E25+'CapChrg-AllocExp'!L25</f>
        <v>2755</v>
      </c>
      <c r="E24" s="66">
        <f>C24-D24</f>
        <v>3457</v>
      </c>
      <c r="F24" s="42"/>
      <c r="G24" s="41">
        <f>GrossMargin!J26</f>
        <v>164</v>
      </c>
      <c r="H24" s="42">
        <f>GrossMargin!K26</f>
        <v>0</v>
      </c>
      <c r="I24" s="42">
        <f>GrossMargin!L26</f>
        <v>0</v>
      </c>
      <c r="J24" s="83">
        <f>SUM(G24:I24)</f>
        <v>164</v>
      </c>
      <c r="K24" s="65"/>
      <c r="L24" s="42">
        <f>'CapChrg-AllocExp'!D25</f>
        <v>640</v>
      </c>
      <c r="M24" s="42">
        <f>Expenses!D24</f>
        <v>1549</v>
      </c>
      <c r="N24" s="43">
        <f>'CapChrg-AllocExp'!K25</f>
        <v>1127</v>
      </c>
      <c r="O24" s="83">
        <f t="shared" si="8"/>
        <v>-3152</v>
      </c>
      <c r="P24" s="44"/>
      <c r="Q24" s="41">
        <f>GrossMargin!O26</f>
        <v>-6048</v>
      </c>
      <c r="R24" s="42"/>
      <c r="S24" s="42">
        <f>'CapChrg-AllocExp'!F25</f>
        <v>77</v>
      </c>
      <c r="T24" s="42">
        <f>Expenses!F24</f>
        <v>-325</v>
      </c>
      <c r="U24" s="42">
        <f>'CapChrg-AllocExp'!M25</f>
        <v>-313</v>
      </c>
      <c r="V24" s="66">
        <f>ROUND(SUM(Q24:U24),0)</f>
        <v>-6609</v>
      </c>
    </row>
    <row r="25" spans="1:22" ht="12" customHeight="1" x14ac:dyDescent="0.2">
      <c r="A25" s="29" t="s">
        <v>252</v>
      </c>
      <c r="B25" s="38"/>
      <c r="C25" s="41">
        <f>GrossMargin!N27</f>
        <v>11556</v>
      </c>
      <c r="D25" s="42">
        <f>Expenses!E25+'CapChrg-AllocExp'!E26+'CapChrg-AllocExp'!L26</f>
        <v>1900</v>
      </c>
      <c r="E25" s="66">
        <f t="shared" si="6"/>
        <v>9656</v>
      </c>
      <c r="F25" s="42"/>
      <c r="G25" s="41">
        <f>GrossMargin!J27</f>
        <v>9628</v>
      </c>
      <c r="H25" s="42">
        <f>GrossMargin!K27</f>
        <v>0</v>
      </c>
      <c r="I25" s="42">
        <f>GrossMargin!L27</f>
        <v>0</v>
      </c>
      <c r="J25" s="83">
        <f t="shared" si="7"/>
        <v>9628</v>
      </c>
      <c r="K25" s="65"/>
      <c r="L25" s="42">
        <f>'CapChrg-AllocExp'!D26</f>
        <v>159</v>
      </c>
      <c r="M25" s="42">
        <f>Expenses!D25</f>
        <v>498</v>
      </c>
      <c r="N25" s="43">
        <f>'CapChrg-AllocExp'!K26</f>
        <v>1195</v>
      </c>
      <c r="O25" s="83">
        <f t="shared" si="8"/>
        <v>7776</v>
      </c>
      <c r="P25" s="44"/>
      <c r="Q25" s="41">
        <f>GrossMargin!O27</f>
        <v>-1928</v>
      </c>
      <c r="R25" s="42"/>
      <c r="S25" s="42">
        <f>'CapChrg-AllocExp'!F26</f>
        <v>217</v>
      </c>
      <c r="T25" s="42">
        <f>Expenses!F25</f>
        <v>-169</v>
      </c>
      <c r="U25" s="42">
        <f>'CapChrg-AllocExp'!M26</f>
        <v>0</v>
      </c>
      <c r="V25" s="66">
        <f t="shared" si="9"/>
        <v>-1880</v>
      </c>
    </row>
    <row r="26" spans="1:22" ht="12" customHeight="1" x14ac:dyDescent="0.2">
      <c r="A26" s="29" t="s">
        <v>299</v>
      </c>
      <c r="B26" s="38"/>
      <c r="C26" s="41">
        <f>GrossMargin!N28</f>
        <v>18423</v>
      </c>
      <c r="D26" s="42">
        <f>Expenses!E26+'CapChrg-AllocExp'!E27+'CapChrg-AllocExp'!L27+Expenses!E60</f>
        <v>9886.5</v>
      </c>
      <c r="E26" s="66">
        <f>C26-D26</f>
        <v>8536.5</v>
      </c>
      <c r="F26" s="42"/>
      <c r="G26" s="41">
        <f>GrossMargin!J28</f>
        <v>17773</v>
      </c>
      <c r="H26" s="42">
        <f>GrossMargin!K28</f>
        <v>0</v>
      </c>
      <c r="I26" s="42">
        <f>GrossMargin!L28</f>
        <v>0</v>
      </c>
      <c r="J26" s="83">
        <f>SUM(G26:I26)</f>
        <v>17773</v>
      </c>
      <c r="K26" s="65">
        <f>Expenses!D60</f>
        <v>6741</v>
      </c>
      <c r="L26" s="42">
        <f>'CapChrg-AllocExp'!D27</f>
        <v>1006</v>
      </c>
      <c r="M26" s="42">
        <f>Expenses!D26</f>
        <v>3746</v>
      </c>
      <c r="N26" s="43">
        <f>'CapChrg-AllocExp'!K27</f>
        <v>3481.5</v>
      </c>
      <c r="O26" s="83">
        <f t="shared" si="8"/>
        <v>2798.5</v>
      </c>
      <c r="P26" s="44"/>
      <c r="Q26" s="41">
        <f>GrossMargin!O28</f>
        <v>-650</v>
      </c>
      <c r="R26" s="42">
        <f>Expenses!F60</f>
        <v>-3669</v>
      </c>
      <c r="S26" s="42">
        <f>'CapChrg-AllocExp'!F27</f>
        <v>-539</v>
      </c>
      <c r="T26" s="42">
        <f>Expenses!F26</f>
        <v>-880</v>
      </c>
      <c r="U26" s="42">
        <f>'CapChrg-AllocExp'!M27</f>
        <v>0</v>
      </c>
      <c r="V26" s="66">
        <f>ROUND(SUM(Q26:U26),0)</f>
        <v>-5738</v>
      </c>
    </row>
    <row r="27" spans="1:22" ht="12" customHeight="1" x14ac:dyDescent="0.2">
      <c r="A27" s="29" t="s">
        <v>289</v>
      </c>
      <c r="B27" s="38"/>
      <c r="C27" s="41">
        <f>GrossMargin!N29</f>
        <v>10746</v>
      </c>
      <c r="D27" s="42">
        <f>Expenses!E27+'CapChrg-AllocExp'!E28+'CapChrg-AllocExp'!L28+Expenses!E59</f>
        <v>47106.5</v>
      </c>
      <c r="E27" s="66">
        <f>C27-D27</f>
        <v>-36360.5</v>
      </c>
      <c r="F27" s="42"/>
      <c r="G27" s="41">
        <f>GrossMargin!J29</f>
        <v>14742</v>
      </c>
      <c r="H27" s="42">
        <f>GrossMargin!K29</f>
        <v>0</v>
      </c>
      <c r="I27" s="42">
        <f>GrossMargin!L29</f>
        <v>0</v>
      </c>
      <c r="J27" s="83">
        <f>SUM(G27:I27)</f>
        <v>14742</v>
      </c>
      <c r="K27" s="65">
        <f>Expenses!D59</f>
        <v>34656</v>
      </c>
      <c r="L27" s="42">
        <f>'CapChrg-AllocExp'!D28</f>
        <v>7707</v>
      </c>
      <c r="M27" s="42">
        <f>Expenses!D27</f>
        <v>2275</v>
      </c>
      <c r="N27" s="43">
        <f>'CapChrg-AllocExp'!K28</f>
        <v>3481.5</v>
      </c>
      <c r="O27" s="83">
        <f t="shared" si="8"/>
        <v>-33377.5</v>
      </c>
      <c r="P27" s="44"/>
      <c r="Q27" s="41">
        <f>GrossMargin!O29</f>
        <v>3996</v>
      </c>
      <c r="R27" s="42">
        <f>Expenses!F59</f>
        <v>-730</v>
      </c>
      <c r="S27" s="42">
        <f>'CapChrg-AllocExp'!F28</f>
        <v>-603</v>
      </c>
      <c r="T27" s="42">
        <f>Expenses!F27</f>
        <v>320</v>
      </c>
      <c r="U27" s="42">
        <f>'CapChrg-AllocExp'!M28</f>
        <v>0</v>
      </c>
      <c r="V27" s="66">
        <f>ROUND(SUM(Q27:U27),0)</f>
        <v>2983</v>
      </c>
    </row>
    <row r="28" spans="1:22" ht="12" customHeight="1" x14ac:dyDescent="0.2">
      <c r="A28" s="29" t="s">
        <v>290</v>
      </c>
      <c r="B28" s="38"/>
      <c r="C28" s="41">
        <f>GrossMargin!N30</f>
        <v>1690</v>
      </c>
      <c r="D28" s="42">
        <f>Expenses!E28+'CapChrg-AllocExp'!E29+'CapChrg-AllocExp'!L29</f>
        <v>3590</v>
      </c>
      <c r="E28" s="66">
        <f>C28-D28</f>
        <v>-1900</v>
      </c>
      <c r="F28" s="42"/>
      <c r="G28" s="41">
        <f>GrossMargin!J30</f>
        <v>379</v>
      </c>
      <c r="H28" s="42">
        <f>GrossMargin!K30</f>
        <v>0</v>
      </c>
      <c r="I28" s="42">
        <f>GrossMargin!L30</f>
        <v>0</v>
      </c>
      <c r="J28" s="83">
        <f>SUM(G28:I28)</f>
        <v>379</v>
      </c>
      <c r="K28" s="65"/>
      <c r="L28" s="42">
        <f>'CapChrg-AllocExp'!D29</f>
        <v>3295</v>
      </c>
      <c r="M28" s="42">
        <f>Expenses!D28</f>
        <v>65</v>
      </c>
      <c r="N28" s="43">
        <f>'CapChrg-AllocExp'!K29</f>
        <v>0</v>
      </c>
      <c r="O28" s="83">
        <f t="shared" si="8"/>
        <v>-2981</v>
      </c>
      <c r="P28" s="44"/>
      <c r="Q28" s="41">
        <f>GrossMargin!O30</f>
        <v>-1311</v>
      </c>
      <c r="R28" s="42"/>
      <c r="S28" s="42">
        <f>'CapChrg-AllocExp'!F29</f>
        <v>199</v>
      </c>
      <c r="T28" s="42">
        <f>Expenses!F28</f>
        <v>31</v>
      </c>
      <c r="U28" s="42">
        <f>'CapChrg-AllocExp'!M29</f>
        <v>0</v>
      </c>
      <c r="V28" s="66">
        <f>ROUND(SUM(Q28:U28),0)</f>
        <v>-1081</v>
      </c>
    </row>
    <row r="29" spans="1:22" ht="12" customHeight="1" x14ac:dyDescent="0.2">
      <c r="A29" s="29" t="s">
        <v>156</v>
      </c>
      <c r="B29" s="38"/>
      <c r="C29" s="41">
        <f>GrossMargin!N31</f>
        <v>7712</v>
      </c>
      <c r="D29" s="42">
        <f>Expenses!E29+'CapChrg-AllocExp'!E30+'CapChrg-AllocExp'!L30</f>
        <v>1334</v>
      </c>
      <c r="E29" s="66">
        <f>C29-D29</f>
        <v>6378</v>
      </c>
      <c r="F29" s="42"/>
      <c r="G29" s="41">
        <f>GrossMargin!J31</f>
        <v>671</v>
      </c>
      <c r="H29" s="42">
        <f>GrossMargin!K31</f>
        <v>0</v>
      </c>
      <c r="I29" s="42">
        <f>GrossMargin!L31</f>
        <v>0</v>
      </c>
      <c r="J29" s="83">
        <f>SUM(G29:I29)</f>
        <v>671</v>
      </c>
      <c r="K29" s="65"/>
      <c r="L29" s="42">
        <f>'CapChrg-AllocExp'!D30</f>
        <v>-704</v>
      </c>
      <c r="M29" s="42">
        <f>Expenses!D29</f>
        <v>1064</v>
      </c>
      <c r="N29" s="43">
        <f>'CapChrg-AllocExp'!K30</f>
        <v>418</v>
      </c>
      <c r="O29" s="83">
        <f t="shared" si="8"/>
        <v>-107</v>
      </c>
      <c r="P29" s="44"/>
      <c r="Q29" s="41">
        <f>GrossMargin!O31</f>
        <v>-7041</v>
      </c>
      <c r="R29" s="42"/>
      <c r="S29" s="42">
        <f>'CapChrg-AllocExp'!F30</f>
        <v>704</v>
      </c>
      <c r="T29" s="42">
        <f>Expenses!F29</f>
        <v>234</v>
      </c>
      <c r="U29" s="42">
        <f>'CapChrg-AllocExp'!M30</f>
        <v>-382</v>
      </c>
      <c r="V29" s="66">
        <f>ROUND(SUM(Q29:U29),0)</f>
        <v>-6485</v>
      </c>
    </row>
    <row r="30" spans="1:22" ht="12" customHeight="1" x14ac:dyDescent="0.2">
      <c r="A30" s="29" t="s">
        <v>0</v>
      </c>
      <c r="B30" s="38"/>
      <c r="C30" s="41">
        <f>GrossMargin!N32</f>
        <v>4656</v>
      </c>
      <c r="D30" s="42">
        <f>Expenses!E30+'CapChrg-AllocExp'!E31+'CapChrg-AllocExp'!L31</f>
        <v>2626</v>
      </c>
      <c r="E30" s="66">
        <f t="shared" si="6"/>
        <v>2030</v>
      </c>
      <c r="F30" s="42"/>
      <c r="G30" s="41">
        <f>GrossMargin!J32</f>
        <v>2</v>
      </c>
      <c r="H30" s="42">
        <f>GrossMargin!K32</f>
        <v>0</v>
      </c>
      <c r="I30" s="42">
        <f>GrossMargin!L32</f>
        <v>0</v>
      </c>
      <c r="J30" s="83">
        <f t="shared" si="7"/>
        <v>2</v>
      </c>
      <c r="K30" s="65"/>
      <c r="L30" s="42">
        <f>'CapChrg-AllocExp'!D31</f>
        <v>0</v>
      </c>
      <c r="M30" s="42">
        <f>Expenses!D30</f>
        <v>1616</v>
      </c>
      <c r="N30" s="43">
        <f>'CapChrg-AllocExp'!K31</f>
        <v>621</v>
      </c>
      <c r="O30" s="83">
        <f t="shared" si="8"/>
        <v>-2235</v>
      </c>
      <c r="P30" s="44"/>
      <c r="Q30" s="41">
        <f>GrossMargin!O32</f>
        <v>-4654</v>
      </c>
      <c r="R30" s="42"/>
      <c r="S30" s="42">
        <f>'CapChrg-AllocExp'!F31</f>
        <v>0</v>
      </c>
      <c r="T30" s="42">
        <f>Expenses!F30</f>
        <v>389</v>
      </c>
      <c r="U30" s="42">
        <f>'CapChrg-AllocExp'!M31</f>
        <v>0</v>
      </c>
      <c r="V30" s="66">
        <f t="shared" si="9"/>
        <v>-4265</v>
      </c>
    </row>
    <row r="31" spans="1:22" s="90" customFormat="1" ht="12" customHeight="1" x14ac:dyDescent="0.3">
      <c r="A31" s="94" t="s">
        <v>1</v>
      </c>
      <c r="B31" s="91"/>
      <c r="C31" s="99">
        <f t="shared" ref="C31:N31" si="10">SUM(C20:C30)</f>
        <v>136295</v>
      </c>
      <c r="D31" s="100">
        <f t="shared" si="10"/>
        <v>102428</v>
      </c>
      <c r="E31" s="101">
        <f t="shared" si="10"/>
        <v>33867</v>
      </c>
      <c r="F31" s="92">
        <f t="shared" si="10"/>
        <v>0</v>
      </c>
      <c r="G31" s="99">
        <f t="shared" si="10"/>
        <v>64515</v>
      </c>
      <c r="H31" s="100">
        <f t="shared" si="10"/>
        <v>0</v>
      </c>
      <c r="I31" s="100">
        <f t="shared" si="10"/>
        <v>0</v>
      </c>
      <c r="J31" s="102">
        <f t="shared" si="10"/>
        <v>64515</v>
      </c>
      <c r="K31" s="100">
        <f t="shared" si="10"/>
        <v>41397</v>
      </c>
      <c r="L31" s="100">
        <f t="shared" si="10"/>
        <v>19207</v>
      </c>
      <c r="M31" s="100">
        <f t="shared" si="10"/>
        <v>31272</v>
      </c>
      <c r="N31" s="101">
        <f t="shared" si="10"/>
        <v>19746</v>
      </c>
      <c r="O31" s="102">
        <f t="shared" si="8"/>
        <v>-47107</v>
      </c>
      <c r="P31" s="93"/>
      <c r="Q31" s="99">
        <f t="shared" ref="Q31:V31" si="11">SUM(Q20:Q30)</f>
        <v>-71780</v>
      </c>
      <c r="R31" s="100">
        <f t="shared" si="11"/>
        <v>-4399</v>
      </c>
      <c r="S31" s="100">
        <f t="shared" si="11"/>
        <v>619</v>
      </c>
      <c r="T31" s="100">
        <f t="shared" si="11"/>
        <v>-4562</v>
      </c>
      <c r="U31" s="100">
        <f t="shared" si="11"/>
        <v>-852</v>
      </c>
      <c r="V31" s="101">
        <f t="shared" si="11"/>
        <v>-80974</v>
      </c>
    </row>
    <row r="32" spans="1:22" ht="3" customHeight="1" x14ac:dyDescent="0.2">
      <c r="A32" s="29"/>
      <c r="B32" s="38"/>
      <c r="C32" s="41"/>
      <c r="D32" s="42"/>
      <c r="E32" s="66"/>
      <c r="F32" s="42"/>
      <c r="G32" s="41"/>
      <c r="H32" s="42"/>
      <c r="I32" s="42"/>
      <c r="J32" s="83"/>
      <c r="K32" s="65"/>
      <c r="L32" s="65"/>
      <c r="M32" s="42"/>
      <c r="N32" s="43"/>
      <c r="O32" s="83"/>
      <c r="P32" s="44"/>
      <c r="Q32" s="41"/>
      <c r="R32" s="42"/>
      <c r="S32" s="42"/>
      <c r="T32" s="42"/>
      <c r="U32" s="42"/>
      <c r="V32" s="66"/>
    </row>
    <row r="33" spans="1:22" ht="3" customHeight="1" x14ac:dyDescent="0.2">
      <c r="A33" s="29"/>
      <c r="B33" s="38"/>
      <c r="C33" s="41"/>
      <c r="D33" s="42"/>
      <c r="E33" s="66"/>
      <c r="F33" s="42"/>
      <c r="G33" s="41"/>
      <c r="H33" s="42"/>
      <c r="I33" s="42"/>
      <c r="J33" s="83"/>
      <c r="K33" s="65"/>
      <c r="L33" s="65"/>
      <c r="M33" s="42" t="s">
        <v>268</v>
      </c>
      <c r="N33" s="43">
        <v>5000</v>
      </c>
      <c r="O33" s="83"/>
      <c r="P33" s="44"/>
      <c r="Q33" s="41"/>
      <c r="R33" s="42"/>
      <c r="S33" s="42"/>
      <c r="T33" s="42"/>
      <c r="U33" s="42"/>
      <c r="V33" s="66"/>
    </row>
    <row r="34" spans="1:22" ht="12" customHeight="1" x14ac:dyDescent="0.2">
      <c r="A34" s="29" t="s">
        <v>9</v>
      </c>
      <c r="B34" s="38"/>
      <c r="C34" s="41">
        <f>GrossMargin!N37</f>
        <v>15385</v>
      </c>
      <c r="D34" s="42">
        <f>Expenses!E34+'CapChrg-AllocExp'!E35+'CapChrg-AllocExp'!L35</f>
        <v>3691</v>
      </c>
      <c r="E34" s="66">
        <f>C34-D34</f>
        <v>11694</v>
      </c>
      <c r="F34" s="42"/>
      <c r="G34" s="41">
        <f>GrossMargin!J37</f>
        <v>-29674</v>
      </c>
      <c r="H34" s="42">
        <f>GrossMargin!K37</f>
        <v>0</v>
      </c>
      <c r="I34" s="42">
        <f>GrossMargin!L37</f>
        <v>0</v>
      </c>
      <c r="J34" s="83">
        <f>SUM(G34:I34)</f>
        <v>-29674</v>
      </c>
      <c r="K34" s="65"/>
      <c r="L34" s="42">
        <f>'CapChrg-AllocExp'!D35</f>
        <v>672</v>
      </c>
      <c r="M34" s="42">
        <f>Expenses!D34</f>
        <v>459</v>
      </c>
      <c r="N34" s="43">
        <f>'CapChrg-AllocExp'!K35</f>
        <v>914</v>
      </c>
      <c r="O34" s="83">
        <f>J34-K34-M34-N34-L34</f>
        <v>-31719</v>
      </c>
      <c r="P34" s="44"/>
      <c r="Q34" s="41">
        <f>GrossMargin!O37</f>
        <v>-45059</v>
      </c>
      <c r="R34" s="42"/>
      <c r="S34" s="42">
        <f>'CapChrg-AllocExp'!F35</f>
        <v>1370</v>
      </c>
      <c r="T34" s="42">
        <f>Expenses!F34</f>
        <v>276</v>
      </c>
      <c r="U34" s="42">
        <f>'CapChrg-AllocExp'!M35</f>
        <v>0</v>
      </c>
      <c r="V34" s="66">
        <f>ROUND(SUM(Q34:U34),0)</f>
        <v>-43413</v>
      </c>
    </row>
    <row r="35" spans="1:22" ht="12" customHeight="1" x14ac:dyDescent="0.2">
      <c r="A35" s="29" t="s">
        <v>267</v>
      </c>
      <c r="B35" s="38"/>
      <c r="C35" s="41">
        <f>GrossMargin!N38</f>
        <v>2000</v>
      </c>
      <c r="D35" s="42">
        <f>Expenses!E35+'CapChrg-AllocExp'!E36+'CapChrg-AllocExp'!L36</f>
        <v>7158</v>
      </c>
      <c r="E35" s="66">
        <f>C35-D35</f>
        <v>-5158</v>
      </c>
      <c r="F35" s="42"/>
      <c r="G35" s="41">
        <f>GrossMargin!J38</f>
        <v>3576</v>
      </c>
      <c r="H35" s="42">
        <f>GrossMargin!K38</f>
        <v>0</v>
      </c>
      <c r="I35" s="42">
        <f>GrossMargin!L38</f>
        <v>0</v>
      </c>
      <c r="J35" s="83">
        <f>SUM(G35:I35)</f>
        <v>3576</v>
      </c>
      <c r="K35" s="65"/>
      <c r="L35" s="42">
        <f>'CapChrg-AllocExp'!D36</f>
        <v>2464</v>
      </c>
      <c r="M35" s="42">
        <f>Expenses!D35</f>
        <v>1486</v>
      </c>
      <c r="N35" s="43">
        <f>'CapChrg-AllocExp'!K36</f>
        <v>1614</v>
      </c>
      <c r="O35" s="83">
        <f>J35-K35-M35-N35-L35</f>
        <v>-1988</v>
      </c>
      <c r="P35" s="44"/>
      <c r="Q35" s="41">
        <f>GrossMargin!O38</f>
        <v>1576</v>
      </c>
      <c r="R35" s="42"/>
      <c r="S35" s="42">
        <f>'CapChrg-AllocExp'!F36</f>
        <v>1773</v>
      </c>
      <c r="T35" s="42">
        <f>Expenses!F35</f>
        <v>-179</v>
      </c>
      <c r="U35" s="42">
        <f>'CapChrg-AllocExp'!M36</f>
        <v>0</v>
      </c>
      <c r="V35" s="66">
        <f>ROUND(SUM(Q35:U35),0)</f>
        <v>3170</v>
      </c>
    </row>
    <row r="36" spans="1:22" ht="12" customHeight="1" x14ac:dyDescent="0.2">
      <c r="A36" s="29" t="s">
        <v>154</v>
      </c>
      <c r="B36" s="38"/>
      <c r="C36" s="41">
        <f>GrossMargin!N41</f>
        <v>14705</v>
      </c>
      <c r="D36" s="42">
        <f>Expenses!E38+'CapChrg-AllocExp'!E39+'CapChrg-AllocExp'!L39</f>
        <v>10399</v>
      </c>
      <c r="E36" s="66">
        <f>C36-D36</f>
        <v>4306</v>
      </c>
      <c r="F36" s="42"/>
      <c r="G36" s="41">
        <f>GrossMargin!J41</f>
        <v>-12824</v>
      </c>
      <c r="H36" s="42">
        <f>GrossMargin!K41</f>
        <v>0</v>
      </c>
      <c r="I36" s="42">
        <f>GrossMargin!L41</f>
        <v>0</v>
      </c>
      <c r="J36" s="83">
        <f>SUM(G36:I36)</f>
        <v>-12824</v>
      </c>
      <c r="K36" s="65"/>
      <c r="L36" s="42">
        <f>'CapChrg-AllocExp'!D39</f>
        <v>9088</v>
      </c>
      <c r="M36" s="42">
        <f>Expenses!D38</f>
        <v>512</v>
      </c>
      <c r="N36" s="43">
        <f>'CapChrg-AllocExp'!K39</f>
        <v>1516</v>
      </c>
      <c r="O36" s="83">
        <f>J36-K36-M36-N36-L36</f>
        <v>-23940</v>
      </c>
      <c r="P36" s="44"/>
      <c r="Q36" s="41">
        <f>GrossMargin!O41</f>
        <v>-27529</v>
      </c>
      <c r="R36" s="42"/>
      <c r="S36" s="42">
        <f>'CapChrg-AllocExp'!F39</f>
        <v>-1044</v>
      </c>
      <c r="T36" s="42">
        <f>Expenses!F38</f>
        <v>327</v>
      </c>
      <c r="U36" s="42">
        <f>'CapChrg-AllocExp'!M39</f>
        <v>0</v>
      </c>
      <c r="V36" s="66">
        <f>ROUND(SUM(Q36:U36),0)</f>
        <v>-28246</v>
      </c>
    </row>
    <row r="37" spans="1:22" s="90" customFormat="1" ht="12" customHeight="1" x14ac:dyDescent="0.3">
      <c r="A37" s="94" t="s">
        <v>87</v>
      </c>
      <c r="B37" s="91"/>
      <c r="C37" s="99">
        <f>SUM(C34:C36)</f>
        <v>32090</v>
      </c>
      <c r="D37" s="100">
        <f>SUM(D34:D36)</f>
        <v>21248</v>
      </c>
      <c r="E37" s="101">
        <f>SUM(E34:E36)</f>
        <v>10842</v>
      </c>
      <c r="F37" s="92"/>
      <c r="G37" s="99">
        <f t="shared" ref="G37:N37" si="12">SUM(G34:G36)</f>
        <v>-38922</v>
      </c>
      <c r="H37" s="100">
        <f t="shared" si="12"/>
        <v>0</v>
      </c>
      <c r="I37" s="100">
        <f t="shared" si="12"/>
        <v>0</v>
      </c>
      <c r="J37" s="102">
        <f t="shared" si="12"/>
        <v>-38922</v>
      </c>
      <c r="K37" s="100">
        <f t="shared" si="12"/>
        <v>0</v>
      </c>
      <c r="L37" s="100">
        <f t="shared" si="12"/>
        <v>12224</v>
      </c>
      <c r="M37" s="100">
        <f t="shared" si="12"/>
        <v>2457</v>
      </c>
      <c r="N37" s="101">
        <f t="shared" si="12"/>
        <v>4044</v>
      </c>
      <c r="O37" s="102">
        <f>J37-K37-M37-N37-L37</f>
        <v>-57647</v>
      </c>
      <c r="P37" s="93"/>
      <c r="Q37" s="99">
        <f t="shared" ref="Q37:V37" si="13">SUM(Q34:Q36)</f>
        <v>-71012</v>
      </c>
      <c r="R37" s="100">
        <f t="shared" si="13"/>
        <v>0</v>
      </c>
      <c r="S37" s="100">
        <f t="shared" si="13"/>
        <v>2099</v>
      </c>
      <c r="T37" s="100">
        <f t="shared" si="13"/>
        <v>424</v>
      </c>
      <c r="U37" s="100">
        <f t="shared" si="13"/>
        <v>0</v>
      </c>
      <c r="V37" s="101">
        <f t="shared" si="13"/>
        <v>-68489</v>
      </c>
    </row>
    <row r="38" spans="1:22" ht="3" customHeight="1" x14ac:dyDescent="0.2">
      <c r="A38" s="29"/>
      <c r="B38" s="38"/>
      <c r="C38" s="41"/>
      <c r="D38" s="42"/>
      <c r="E38" s="66"/>
      <c r="F38" s="42"/>
      <c r="G38" s="41"/>
      <c r="H38" s="42"/>
      <c r="I38" s="42"/>
      <c r="J38" s="83"/>
      <c r="K38" s="65"/>
      <c r="L38" s="65"/>
      <c r="M38" s="42"/>
      <c r="N38" s="43"/>
      <c r="O38" s="83"/>
      <c r="P38" s="44"/>
      <c r="Q38" s="41"/>
      <c r="R38" s="42"/>
      <c r="S38" s="42"/>
      <c r="T38" s="42"/>
      <c r="U38" s="42"/>
      <c r="V38" s="66"/>
    </row>
    <row r="39" spans="1:22" ht="12" customHeight="1" x14ac:dyDescent="0.2">
      <c r="A39" s="29" t="s">
        <v>8</v>
      </c>
      <c r="B39" s="38"/>
      <c r="C39" s="41">
        <f>GrossMargin!N45</f>
        <v>2500</v>
      </c>
      <c r="D39" s="42">
        <f>Expenses!E41+'CapChrg-AllocExp'!E42+'CapChrg-AllocExp'!L42</f>
        <v>7686</v>
      </c>
      <c r="E39" s="66">
        <f>C39-D39</f>
        <v>-5186</v>
      </c>
      <c r="F39" s="42"/>
      <c r="G39" s="41">
        <f>GrossMargin!J45</f>
        <v>319</v>
      </c>
      <c r="H39" s="42">
        <f>GrossMargin!K45</f>
        <v>0</v>
      </c>
      <c r="I39" s="42">
        <f>GrossMargin!L45</f>
        <v>0</v>
      </c>
      <c r="J39" s="83">
        <f>SUM(G39:I39)</f>
        <v>319</v>
      </c>
      <c r="K39" s="65"/>
      <c r="L39" s="42">
        <f>'CapChrg-AllocExp'!D42</f>
        <v>0</v>
      </c>
      <c r="M39" s="42">
        <f>Expenses!D41</f>
        <v>6128</v>
      </c>
      <c r="N39" s="43">
        <f>'CapChrg-AllocExp'!K42</f>
        <v>3069</v>
      </c>
      <c r="O39" s="83">
        <f>J39-K39-M39-N39-L39</f>
        <v>-8878</v>
      </c>
      <c r="P39" s="44"/>
      <c r="Q39" s="41">
        <f>GrossMargin!O45</f>
        <v>-2181</v>
      </c>
      <c r="R39" s="42"/>
      <c r="S39" s="42">
        <f>'CapChrg-AllocExp'!F42</f>
        <v>0</v>
      </c>
      <c r="T39" s="42">
        <f>Expenses!F41</f>
        <v>-1511</v>
      </c>
      <c r="U39" s="42">
        <f>'CapChrg-AllocExp'!M42</f>
        <v>0</v>
      </c>
      <c r="V39" s="66">
        <f>ROUND(SUM(Q39:U39),0)</f>
        <v>-3692</v>
      </c>
    </row>
    <row r="40" spans="1:22" ht="3" customHeight="1" x14ac:dyDescent="0.2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">
      <c r="A41" s="29" t="s">
        <v>19</v>
      </c>
      <c r="B41" s="38"/>
      <c r="C41" s="41">
        <f>GrossMargin!N51</f>
        <v>52216</v>
      </c>
      <c r="D41" s="42"/>
      <c r="E41" s="66">
        <f>C41-D41</f>
        <v>52216</v>
      </c>
      <c r="F41" s="42"/>
      <c r="G41" s="41">
        <f>GrossMargin!J51</f>
        <v>0</v>
      </c>
      <c r="H41" s="42"/>
      <c r="I41" s="42">
        <f>GrossMargin!L51</f>
        <v>0</v>
      </c>
      <c r="J41" s="83">
        <f>SUM(G41:I41)</f>
        <v>0</v>
      </c>
      <c r="K41" s="65"/>
      <c r="L41" s="42"/>
      <c r="M41" s="42"/>
      <c r="N41" s="43"/>
      <c r="O41" s="83">
        <f>J41-K41-M41-N41-L41</f>
        <v>0</v>
      </c>
      <c r="P41" s="44"/>
      <c r="Q41" s="41">
        <f>GrossMargin!O51</f>
        <v>-52216</v>
      </c>
      <c r="R41" s="42"/>
      <c r="S41" s="42"/>
      <c r="T41" s="42">
        <v>0</v>
      </c>
      <c r="U41" s="42"/>
      <c r="V41" s="66">
        <f>ROUND(SUM(Q41:U41),0)</f>
        <v>-52216</v>
      </c>
    </row>
    <row r="42" spans="1:22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ht="12" customHeight="1" x14ac:dyDescent="0.2">
      <c r="A43" s="29" t="s">
        <v>7</v>
      </c>
      <c r="B43" s="38"/>
      <c r="C43" s="41">
        <f>GrossMargin!N47</f>
        <v>0</v>
      </c>
      <c r="D43" s="42">
        <f>Expenses!E43+'CapChrg-AllocExp'!E44+'CapChrg-AllocExp'!L44</f>
        <v>7099</v>
      </c>
      <c r="E43" s="66">
        <f>C43-D43</f>
        <v>-7099</v>
      </c>
      <c r="F43" s="42"/>
      <c r="G43" s="41">
        <f>GrossMargin!J47</f>
        <v>-18812</v>
      </c>
      <c r="H43" s="42">
        <f>GrossMargin!K47</f>
        <v>0</v>
      </c>
      <c r="I43" s="42">
        <f>GrossMargin!L47</f>
        <v>0</v>
      </c>
      <c r="J43" s="83">
        <f>SUM(G43:I43)</f>
        <v>-18812</v>
      </c>
      <c r="K43" s="65"/>
      <c r="L43" s="42">
        <f>'CapChrg-AllocExp'!D44</f>
        <v>0</v>
      </c>
      <c r="M43" s="42">
        <f>Expenses!D43</f>
        <v>5030</v>
      </c>
      <c r="N43" s="43">
        <f>'CapChrg-AllocExp'!K44</f>
        <v>4286</v>
      </c>
      <c r="O43" s="83">
        <f>J43-K43-M43-N43-L43</f>
        <v>-28128</v>
      </c>
      <c r="P43" s="44"/>
      <c r="Q43" s="41">
        <f>GrossMargin!O47</f>
        <v>-18812</v>
      </c>
      <c r="R43" s="42"/>
      <c r="S43" s="42">
        <f>'CapChrg-AllocExp'!F44</f>
        <v>0</v>
      </c>
      <c r="T43" s="42">
        <f>Expenses!F43</f>
        <v>-2600</v>
      </c>
      <c r="U43" s="42">
        <f>'CapChrg-AllocExp'!M44</f>
        <v>383</v>
      </c>
      <c r="V43" s="66">
        <f>ROUND(SUM(Q43:U43),0)</f>
        <v>-21029</v>
      </c>
    </row>
    <row r="44" spans="1:22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s="90" customFormat="1" ht="12" customHeight="1" x14ac:dyDescent="0.3">
      <c r="A45" s="94" t="s">
        <v>10</v>
      </c>
      <c r="B45" s="91"/>
      <c r="C45" s="99">
        <f>SUM(C37:C43)+C18+C31</f>
        <v>392809</v>
      </c>
      <c r="D45" s="100">
        <f>SUM(D37:D43)+D18+D31</f>
        <v>195208</v>
      </c>
      <c r="E45" s="101">
        <f>SUM(E37:E43)+E18+E31</f>
        <v>197601</v>
      </c>
      <c r="F45" s="92"/>
      <c r="G45" s="99">
        <f t="shared" ref="G45:N45" si="14">SUM(G37:G43)+G18+G31</f>
        <v>537481</v>
      </c>
      <c r="H45" s="100">
        <f t="shared" si="14"/>
        <v>0</v>
      </c>
      <c r="I45" s="100">
        <f t="shared" si="14"/>
        <v>0</v>
      </c>
      <c r="J45" s="102">
        <f t="shared" si="14"/>
        <v>537481</v>
      </c>
      <c r="K45" s="100">
        <f t="shared" si="14"/>
        <v>51297</v>
      </c>
      <c r="L45" s="100">
        <f t="shared" si="14"/>
        <v>39234</v>
      </c>
      <c r="M45" s="100">
        <f t="shared" si="14"/>
        <v>62071</v>
      </c>
      <c r="N45" s="101">
        <f t="shared" si="14"/>
        <v>56459</v>
      </c>
      <c r="O45" s="102">
        <f>J45-K45-M45-N45-L45</f>
        <v>328420</v>
      </c>
      <c r="P45" s="93"/>
      <c r="Q45" s="99">
        <f t="shared" ref="Q45:V45" si="15">SUM(Q37:Q43)+Q18+Q31</f>
        <v>144672</v>
      </c>
      <c r="R45" s="100">
        <f t="shared" si="15"/>
        <v>-5510</v>
      </c>
      <c r="S45" s="100">
        <f t="shared" si="15"/>
        <v>3706</v>
      </c>
      <c r="T45" s="100">
        <f t="shared" si="15"/>
        <v>-11117</v>
      </c>
      <c r="U45" s="100">
        <f t="shared" si="15"/>
        <v>-932</v>
      </c>
      <c r="V45" s="101">
        <f t="shared" si="15"/>
        <v>130819</v>
      </c>
    </row>
    <row r="46" spans="1:22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">
      <c r="A47" s="29" t="s">
        <v>48</v>
      </c>
      <c r="B47" s="38"/>
      <c r="C47" s="41"/>
      <c r="D47" s="42">
        <f>Expenses!E47</f>
        <v>59297</v>
      </c>
      <c r="E47" s="66">
        <f>C47-D47</f>
        <v>-59297</v>
      </c>
      <c r="F47" s="42"/>
      <c r="G47" s="41"/>
      <c r="H47" s="42"/>
      <c r="I47" s="42"/>
      <c r="J47" s="83"/>
      <c r="K47" s="65"/>
      <c r="L47" s="42"/>
      <c r="M47" s="42">
        <f>Expenses!D47</f>
        <v>90230</v>
      </c>
      <c r="O47" s="83">
        <f>J47-K47-M47-N47-L47</f>
        <v>-90230</v>
      </c>
      <c r="P47" s="44"/>
      <c r="Q47" s="41">
        <v>0</v>
      </c>
      <c r="R47" s="42"/>
      <c r="S47" s="42"/>
      <c r="T47" s="42">
        <f>Expenses!F47</f>
        <v>-30933</v>
      </c>
      <c r="U47" s="42"/>
      <c r="V47" s="66">
        <f>ROUND(SUM(Q47:U47),0)</f>
        <v>-30933</v>
      </c>
    </row>
    <row r="48" spans="1:22" ht="2.25" customHeight="1" x14ac:dyDescent="0.2">
      <c r="A48" s="29"/>
      <c r="B48" s="38"/>
      <c r="C48" s="41"/>
      <c r="D48" s="42"/>
      <c r="E48" s="66">
        <f>C48-D48</f>
        <v>0</v>
      </c>
      <c r="F48" s="42"/>
      <c r="G48" s="41"/>
      <c r="H48" s="42"/>
      <c r="I48" s="42"/>
      <c r="J48" s="83"/>
      <c r="K48" s="65"/>
      <c r="L48" s="42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">
      <c r="A49" s="29" t="s">
        <v>237</v>
      </c>
      <c r="B49" s="38"/>
      <c r="C49" s="41"/>
      <c r="D49" s="42">
        <f>'CapChrg-AllocExp'!L50</f>
        <v>-42184</v>
      </c>
      <c r="E49" s="66">
        <f>C49-D49</f>
        <v>42184</v>
      </c>
      <c r="F49" s="42"/>
      <c r="G49" s="41"/>
      <c r="H49" s="42"/>
      <c r="I49" s="42"/>
      <c r="J49" s="83"/>
      <c r="K49" s="65"/>
      <c r="L49" s="42"/>
      <c r="M49" s="42"/>
      <c r="N49" s="43">
        <f>'CapChrg-AllocExp'!K50</f>
        <v>-43116</v>
      </c>
      <c r="O49" s="83">
        <f>J49-K49-M49-N49-L49</f>
        <v>43116</v>
      </c>
      <c r="P49" s="44"/>
      <c r="Q49" s="41"/>
      <c r="R49" s="42"/>
      <c r="S49" s="42"/>
      <c r="T49" s="42"/>
      <c r="U49" s="42">
        <f>'CapChrg-AllocExp'!M50</f>
        <v>932</v>
      </c>
      <c r="V49" s="66">
        <f>ROUND(SUM(Q49:U49),0)</f>
        <v>932</v>
      </c>
    </row>
    <row r="50" spans="1:22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22" ht="12" customHeight="1" x14ac:dyDescent="0.2">
      <c r="A51" s="29" t="s">
        <v>274</v>
      </c>
      <c r="B51" s="38"/>
      <c r="C51" s="41"/>
      <c r="D51" s="42">
        <f>Expenses!E49</f>
        <v>13698</v>
      </c>
      <c r="E51" s="66">
        <f>C51-D51</f>
        <v>-13698</v>
      </c>
      <c r="F51" s="42"/>
      <c r="G51" s="41"/>
      <c r="H51" s="42"/>
      <c r="I51" s="42"/>
      <c r="J51" s="83"/>
      <c r="K51" s="65"/>
      <c r="L51" s="65"/>
      <c r="M51" s="42">
        <f>Expenses!D49</f>
        <v>13698</v>
      </c>
      <c r="N51" s="43"/>
      <c r="O51" s="83">
        <f>J51-K51-M51-N51-L51</f>
        <v>-13698</v>
      </c>
      <c r="P51" s="44"/>
      <c r="Q51" s="41"/>
      <c r="R51" s="42"/>
      <c r="S51" s="42"/>
      <c r="T51" s="42">
        <f>Expenses!F49</f>
        <v>0</v>
      </c>
      <c r="U51" s="42"/>
      <c r="V51" s="66">
        <f>ROUND(SUM(Q51:U51),0)</f>
        <v>0</v>
      </c>
    </row>
    <row r="52" spans="1:22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/>
    </row>
    <row r="53" spans="1:22" ht="12" customHeight="1" x14ac:dyDescent="0.2">
      <c r="A53" s="29" t="s">
        <v>277</v>
      </c>
      <c r="B53" s="38"/>
      <c r="C53" s="41"/>
      <c r="D53" s="42">
        <f>'CapChrg-AllocExp'!L52</f>
        <v>-13343</v>
      </c>
      <c r="E53" s="66">
        <f>C53-D53</f>
        <v>13343</v>
      </c>
      <c r="F53" s="42"/>
      <c r="G53" s="41"/>
      <c r="H53" s="42"/>
      <c r="I53" s="42"/>
      <c r="J53" s="83"/>
      <c r="K53" s="65"/>
      <c r="L53" s="65"/>
      <c r="M53" s="42"/>
      <c r="N53" s="43">
        <f>'CapChrg-AllocExp'!K52</f>
        <v>-13343</v>
      </c>
      <c r="O53" s="83">
        <f>J53-K53-M53-N53-L53</f>
        <v>13343</v>
      </c>
      <c r="P53" s="44"/>
      <c r="Q53" s="41"/>
      <c r="R53" s="42"/>
      <c r="S53" s="42"/>
      <c r="T53" s="42"/>
      <c r="U53" s="42">
        <f>'CapChrg-AllocExp'!M52</f>
        <v>0</v>
      </c>
      <c r="V53" s="66">
        <f>ROUND(SUM(Q53:U53),0)</f>
        <v>0</v>
      </c>
    </row>
    <row r="54" spans="1:22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ht="12" customHeight="1" x14ac:dyDescent="0.2">
      <c r="A55" s="29" t="s">
        <v>18</v>
      </c>
      <c r="B55" s="38"/>
      <c r="C55" s="41">
        <f>GrossMargin!N49</f>
        <v>-10795</v>
      </c>
      <c r="D55" s="42">
        <f>Expenses!E51</f>
        <v>26684</v>
      </c>
      <c r="E55" s="66">
        <f>C55-D55</f>
        <v>-37479</v>
      </c>
      <c r="F55" s="65"/>
      <c r="G55" s="41">
        <f>GrossMargin!J49</f>
        <v>-19178</v>
      </c>
      <c r="H55" s="42">
        <f>GrossMargin!K49</f>
        <v>0</v>
      </c>
      <c r="I55" s="42">
        <f>GrossMargin!L49</f>
        <v>0</v>
      </c>
      <c r="J55" s="83">
        <f>SUM(G55:I55)</f>
        <v>-19178</v>
      </c>
      <c r="K55" s="65"/>
      <c r="L55" s="42"/>
      <c r="M55" s="42">
        <f>Expenses!D51</f>
        <v>22625</v>
      </c>
      <c r="N55" s="43"/>
      <c r="O55" s="83">
        <f>J55-K55-M55-N55-L55</f>
        <v>-41803</v>
      </c>
      <c r="P55" s="44"/>
      <c r="Q55" s="41">
        <f>GrossMargin!O49</f>
        <v>-8383</v>
      </c>
      <c r="R55" s="42"/>
      <c r="S55" s="42"/>
      <c r="T55" s="42">
        <f>Expenses!F51</f>
        <v>4059</v>
      </c>
      <c r="U55" s="42"/>
      <c r="V55" s="66">
        <f>ROUND(SUM(Q55:U55),0)</f>
        <v>-4324</v>
      </c>
    </row>
    <row r="56" spans="1:22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22" ht="12" customHeight="1" x14ac:dyDescent="0.2">
      <c r="A57" s="29" t="s">
        <v>60</v>
      </c>
      <c r="B57" s="38"/>
      <c r="C57" s="41"/>
      <c r="D57" s="42">
        <f>'CapChrg-AllocExp'!E46</f>
        <v>-42940</v>
      </c>
      <c r="E57" s="66">
        <f>C57-D57</f>
        <v>42940</v>
      </c>
      <c r="F57" s="42"/>
      <c r="G57" s="41"/>
      <c r="H57" s="42"/>
      <c r="I57" s="42"/>
      <c r="J57" s="83">
        <f>SUM(G57:I57)</f>
        <v>0</v>
      </c>
      <c r="K57" s="65"/>
      <c r="L57" s="42">
        <f>'CapChrg-AllocExp'!D46</f>
        <v>-39234</v>
      </c>
      <c r="M57" s="42"/>
      <c r="N57" s="43"/>
      <c r="O57" s="83">
        <f>J57-K57-M57-N57-L57</f>
        <v>39234</v>
      </c>
      <c r="P57" s="44"/>
      <c r="Q57" s="41"/>
      <c r="R57" s="42"/>
      <c r="S57" s="42">
        <f>'CapChrg-AllocExp'!F46</f>
        <v>-3706</v>
      </c>
      <c r="T57" s="42"/>
      <c r="U57" s="42"/>
      <c r="V57" s="66">
        <f>ROUND(SUM(Q57:U57),0)</f>
        <v>-3706</v>
      </c>
    </row>
    <row r="58" spans="1:22" ht="3" customHeight="1" x14ac:dyDescent="0.2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>
        <f>ROUND(SUM(Q58:U58),0)</f>
        <v>0</v>
      </c>
    </row>
    <row r="59" spans="1:22" s="90" customFormat="1" ht="12" customHeight="1" x14ac:dyDescent="0.3">
      <c r="A59" s="94" t="s">
        <v>65</v>
      </c>
      <c r="B59" s="91"/>
      <c r="C59" s="99">
        <f>SUM(C45:C58)</f>
        <v>382014</v>
      </c>
      <c r="D59" s="100">
        <f>SUM(D45:D58)</f>
        <v>196420</v>
      </c>
      <c r="E59" s="101">
        <f>SUM(E45:E58)</f>
        <v>185594</v>
      </c>
      <c r="F59" s="92"/>
      <c r="G59" s="99">
        <f t="shared" ref="G59:N59" si="16">SUM(G45:G58)</f>
        <v>518303</v>
      </c>
      <c r="H59" s="100">
        <f t="shared" si="16"/>
        <v>0</v>
      </c>
      <c r="I59" s="100">
        <f t="shared" si="16"/>
        <v>0</v>
      </c>
      <c r="J59" s="102">
        <f t="shared" si="16"/>
        <v>518303</v>
      </c>
      <c r="K59" s="100">
        <f t="shared" si="16"/>
        <v>51297</v>
      </c>
      <c r="L59" s="100">
        <f t="shared" si="16"/>
        <v>0</v>
      </c>
      <c r="M59" s="100">
        <f t="shared" si="16"/>
        <v>188624</v>
      </c>
      <c r="N59" s="101">
        <f t="shared" si="16"/>
        <v>0</v>
      </c>
      <c r="O59" s="102">
        <f>J59-K59-M59-N59-L59</f>
        <v>278382</v>
      </c>
      <c r="P59" s="93"/>
      <c r="Q59" s="99">
        <f t="shared" ref="Q59:V59" si="17">SUM(Q45:Q58)</f>
        <v>136289</v>
      </c>
      <c r="R59" s="100">
        <f t="shared" si="17"/>
        <v>-5510</v>
      </c>
      <c r="S59" s="100">
        <f t="shared" si="17"/>
        <v>0</v>
      </c>
      <c r="T59" s="100">
        <f t="shared" si="17"/>
        <v>-37991</v>
      </c>
      <c r="U59" s="100">
        <f t="shared" si="17"/>
        <v>0</v>
      </c>
      <c r="V59" s="101">
        <f t="shared" si="17"/>
        <v>92788</v>
      </c>
    </row>
    <row r="60" spans="1:22" ht="3" customHeight="1" x14ac:dyDescent="0.2">
      <c r="A60" s="29"/>
      <c r="B60" s="38"/>
      <c r="C60" s="41"/>
      <c r="D60" s="42"/>
      <c r="E60" s="66"/>
      <c r="F60" s="42"/>
      <c r="G60" s="41" t="s">
        <v>269</v>
      </c>
      <c r="H60" s="42"/>
      <c r="I60" s="42"/>
      <c r="J60" s="83"/>
      <c r="K60" s="65"/>
      <c r="L60" s="65"/>
      <c r="M60" s="42" t="s">
        <v>286</v>
      </c>
      <c r="N60" s="43"/>
      <c r="O60" s="83"/>
      <c r="P60" s="44"/>
      <c r="Q60" s="41"/>
      <c r="R60" s="42"/>
      <c r="S60" s="42"/>
      <c r="T60" s="42"/>
      <c r="U60" s="42"/>
      <c r="V60" s="66"/>
    </row>
    <row r="61" spans="1:22" ht="12" customHeight="1" x14ac:dyDescent="0.2">
      <c r="A61" s="29" t="s">
        <v>150</v>
      </c>
      <c r="B61" s="38"/>
      <c r="C61" s="41"/>
      <c r="D61" s="42">
        <v>8600</v>
      </c>
      <c r="E61" s="66">
        <f>C61-D61</f>
        <v>-8600</v>
      </c>
      <c r="F61" s="42"/>
      <c r="G61" s="41"/>
      <c r="H61" s="42"/>
      <c r="I61" s="42"/>
      <c r="J61" s="83"/>
      <c r="K61" s="65"/>
      <c r="L61" s="65"/>
      <c r="M61" s="42">
        <v>14700</v>
      </c>
      <c r="N61" s="43"/>
      <c r="O61" s="83">
        <f>J61-K61-M61-N61-L61</f>
        <v>-14700</v>
      </c>
      <c r="P61" s="44"/>
      <c r="Q61" s="41"/>
      <c r="R61" s="42"/>
      <c r="S61" s="42"/>
      <c r="T61" s="42">
        <f>D61-M61</f>
        <v>-6100</v>
      </c>
      <c r="U61" s="42"/>
      <c r="V61" s="66">
        <f>ROUND(SUM(Q61:U61),0)</f>
        <v>-6100</v>
      </c>
    </row>
    <row r="62" spans="1:22" ht="3" customHeight="1" x14ac:dyDescent="0.2">
      <c r="A62" s="29"/>
      <c r="B62" s="38"/>
      <c r="C62" s="41"/>
      <c r="D62" s="42"/>
      <c r="E62" s="66"/>
      <c r="F62" s="42"/>
      <c r="G62" s="41"/>
      <c r="H62" s="42"/>
      <c r="I62" s="42"/>
      <c r="J62" s="83"/>
      <c r="K62" s="65"/>
      <c r="L62" s="65"/>
      <c r="M62" s="42"/>
      <c r="N62" s="43"/>
      <c r="O62" s="83"/>
      <c r="P62" s="44"/>
      <c r="Q62" s="41"/>
      <c r="R62" s="42"/>
      <c r="S62" s="42"/>
      <c r="T62" s="42"/>
      <c r="U62" s="42"/>
      <c r="V62" s="66"/>
    </row>
    <row r="63" spans="1:22" s="90" customFormat="1" ht="12" customHeight="1" x14ac:dyDescent="0.3">
      <c r="A63" s="94" t="s">
        <v>66</v>
      </c>
      <c r="B63" s="91"/>
      <c r="C63" s="95">
        <f>SUM(C59:C61)</f>
        <v>382014</v>
      </c>
      <c r="D63" s="96">
        <f>SUM(D59:D61)</f>
        <v>205020</v>
      </c>
      <c r="E63" s="97">
        <f>SUM(E59:E61)</f>
        <v>176994</v>
      </c>
      <c r="F63" s="92"/>
      <c r="G63" s="95">
        <f t="shared" ref="G63:V63" si="18">SUM(G59:G61)</f>
        <v>518303</v>
      </c>
      <c r="H63" s="96">
        <f t="shared" si="18"/>
        <v>0</v>
      </c>
      <c r="I63" s="96">
        <f t="shared" si="18"/>
        <v>0</v>
      </c>
      <c r="J63" s="98">
        <f t="shared" si="18"/>
        <v>518303</v>
      </c>
      <c r="K63" s="96">
        <f t="shared" si="18"/>
        <v>51297</v>
      </c>
      <c r="L63" s="96">
        <f t="shared" si="18"/>
        <v>0</v>
      </c>
      <c r="M63" s="96">
        <f t="shared" si="18"/>
        <v>203324</v>
      </c>
      <c r="N63" s="97">
        <f t="shared" si="18"/>
        <v>0</v>
      </c>
      <c r="O63" s="98">
        <f>J63-K63-M63-N63-L63</f>
        <v>263682</v>
      </c>
      <c r="P63" s="93"/>
      <c r="Q63" s="95">
        <f t="shared" si="18"/>
        <v>136289</v>
      </c>
      <c r="R63" s="96">
        <f t="shared" si="18"/>
        <v>-5510</v>
      </c>
      <c r="S63" s="96">
        <f t="shared" si="18"/>
        <v>0</v>
      </c>
      <c r="T63" s="96">
        <f t="shared" si="18"/>
        <v>-44091</v>
      </c>
      <c r="U63" s="96">
        <f t="shared" si="18"/>
        <v>0</v>
      </c>
      <c r="V63" s="97">
        <f t="shared" si="18"/>
        <v>86688</v>
      </c>
    </row>
    <row r="64" spans="1:22" s="38" customFormat="1" ht="3" customHeight="1" x14ac:dyDescent="0.2">
      <c r="A64" s="48"/>
      <c r="B64" s="36"/>
      <c r="C64" s="49"/>
      <c r="D64" s="50"/>
      <c r="E64" s="51"/>
      <c r="F64" s="42"/>
      <c r="G64" s="52"/>
      <c r="H64" s="53"/>
      <c r="I64" s="53"/>
      <c r="J64" s="48"/>
      <c r="K64" s="53"/>
      <c r="L64" s="53"/>
      <c r="M64" s="53"/>
      <c r="N64" s="54"/>
      <c r="O64" s="48"/>
      <c r="Q64" s="52"/>
      <c r="R64" s="53"/>
      <c r="S64" s="53"/>
      <c r="T64" s="53"/>
      <c r="U64" s="53"/>
      <c r="V64" s="54"/>
    </row>
    <row r="65" spans="1:7" ht="13.8" x14ac:dyDescent="0.3">
      <c r="A65" s="184"/>
      <c r="C65" s="185"/>
      <c r="D65" s="44"/>
      <c r="E65" s="184" t="s">
        <v>136</v>
      </c>
      <c r="F65" s="44"/>
      <c r="G65" s="190">
        <f>'GM-WklyChnge'!D52</f>
        <v>-7035</v>
      </c>
    </row>
    <row r="66" spans="1:7" ht="6" customHeight="1" x14ac:dyDescent="0.2">
      <c r="C66" s="44"/>
      <c r="D66" s="44"/>
      <c r="E66" s="44"/>
      <c r="F66" s="44"/>
    </row>
    <row r="67" spans="1:7" x14ac:dyDescent="0.2">
      <c r="A67" s="176" t="s">
        <v>149</v>
      </c>
      <c r="C67" s="44"/>
      <c r="D67" s="44"/>
      <c r="E67" s="44"/>
      <c r="F67" s="44"/>
    </row>
    <row r="68" spans="1:7" x14ac:dyDescent="0.2">
      <c r="C68" s="44"/>
      <c r="D68" s="44"/>
      <c r="E68" s="44"/>
      <c r="F68" s="44"/>
    </row>
    <row r="69" spans="1:7" x14ac:dyDescent="0.2">
      <c r="C69" s="44"/>
      <c r="D69" s="44"/>
      <c r="E69" s="44"/>
      <c r="F69" s="44"/>
    </row>
    <row r="70" spans="1:7" x14ac:dyDescent="0.2">
      <c r="C70" s="44"/>
      <c r="D70" s="44"/>
      <c r="E70" s="44"/>
      <c r="F70" s="44"/>
    </row>
    <row r="71" spans="1:7" x14ac:dyDescent="0.2">
      <c r="C71" s="44"/>
      <c r="D71" s="44"/>
      <c r="E71" s="44"/>
      <c r="F71" s="44"/>
    </row>
    <row r="72" spans="1:7" x14ac:dyDescent="0.2">
      <c r="C72" s="44"/>
      <c r="D72" s="44"/>
      <c r="E72" s="44"/>
      <c r="F72" s="44"/>
    </row>
    <row r="73" spans="1:7" x14ac:dyDescent="0.2">
      <c r="C73" s="44"/>
      <c r="D73" s="44"/>
      <c r="E73" s="44"/>
      <c r="F73" s="44"/>
    </row>
    <row r="74" spans="1:7" x14ac:dyDescent="0.2">
      <c r="C74" s="44"/>
      <c r="D74" s="44"/>
      <c r="E74" s="44"/>
      <c r="F74" s="44"/>
    </row>
    <row r="75" spans="1:7" x14ac:dyDescent="0.2">
      <c r="C75" s="44"/>
      <c r="D75" s="44"/>
      <c r="E75" s="44"/>
    </row>
    <row r="76" spans="1:7" x14ac:dyDescent="0.2">
      <c r="C76" s="44"/>
      <c r="D76" s="44"/>
      <c r="E76" s="44"/>
    </row>
    <row r="77" spans="1:7" x14ac:dyDescent="0.2">
      <c r="C77" s="44"/>
      <c r="D77" s="44"/>
      <c r="E77" s="44"/>
    </row>
    <row r="78" spans="1:7" x14ac:dyDescent="0.2">
      <c r="C78" s="44"/>
      <c r="D78" s="44"/>
      <c r="E78" s="44"/>
    </row>
    <row r="79" spans="1:7" x14ac:dyDescent="0.2">
      <c r="C79" s="44"/>
      <c r="D79" s="44"/>
      <c r="E79" s="44"/>
    </row>
    <row r="80" spans="1:7" x14ac:dyDescent="0.2">
      <c r="C80" s="44"/>
      <c r="D80" s="44"/>
      <c r="E80" s="44"/>
    </row>
    <row r="81" spans="1:6" hidden="1" x14ac:dyDescent="0.2">
      <c r="C81" s="44"/>
      <c r="D81" s="44"/>
      <c r="E81" s="44"/>
      <c r="F81" s="44"/>
    </row>
    <row r="82" spans="1:6" hidden="1" x14ac:dyDescent="0.2">
      <c r="A82" s="44"/>
    </row>
    <row r="83" spans="1:6" hidden="1" x14ac:dyDescent="0.2">
      <c r="A83" s="44"/>
    </row>
    <row r="84" spans="1:6" hidden="1" x14ac:dyDescent="0.2">
      <c r="A84" s="44"/>
    </row>
    <row r="85" spans="1:6" hidden="1" x14ac:dyDescent="0.2">
      <c r="A85" s="44"/>
    </row>
    <row r="86" spans="1:6" hidden="1" x14ac:dyDescent="0.2">
      <c r="A86" s="44"/>
    </row>
    <row r="87" spans="1:6" hidden="1" x14ac:dyDescent="0.2">
      <c r="A87" s="44"/>
    </row>
    <row r="88" spans="1:6" hidden="1" x14ac:dyDescent="0.2">
      <c r="C88" s="44"/>
      <c r="D88" s="44"/>
      <c r="E88" s="44"/>
      <c r="F88" s="44"/>
    </row>
    <row r="89" spans="1:6" hidden="1" x14ac:dyDescent="0.2">
      <c r="C89" s="44"/>
      <c r="D89" s="44"/>
      <c r="E89" s="44"/>
      <c r="F89" s="44"/>
    </row>
    <row r="90" spans="1:6" hidden="1" x14ac:dyDescent="0.2"/>
    <row r="91" spans="1:6" hidden="1" x14ac:dyDescent="0.2"/>
    <row r="92" spans="1:6" hidden="1" x14ac:dyDescent="0.2"/>
    <row r="93" spans="1:6" hidden="1" x14ac:dyDescent="0.2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ColWidth="9.109375" defaultRowHeight="10.199999999999999" x14ac:dyDescent="0.2"/>
  <cols>
    <col min="1" max="1" width="23.6640625" style="27" customWidth="1"/>
    <col min="2" max="2" width="1" style="27" customWidth="1"/>
    <col min="3" max="5" width="7.6640625" style="27" customWidth="1"/>
    <col min="6" max="6" width="0.88671875" style="27" customWidth="1"/>
    <col min="7" max="9" width="7.6640625" style="27" customWidth="1"/>
    <col min="10" max="12" width="9.33203125" style="27" customWidth="1"/>
    <col min="13" max="15" width="7.6640625" style="27" customWidth="1"/>
    <col min="16" max="16" width="0.88671875" style="27" customWidth="1"/>
    <col min="17" max="21" width="7.6640625" style="27" customWidth="1"/>
    <col min="22" max="22" width="8.6640625" style="27" customWidth="1"/>
    <col min="23" max="23" width="9.109375" style="27"/>
    <col min="24" max="24" width="16.88671875" style="25" customWidth="1"/>
    <col min="25" max="16384" width="9.109375" style="27"/>
  </cols>
  <sheetData>
    <row r="1" spans="1:35" ht="15.6" x14ac:dyDescent="0.3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3.8" x14ac:dyDescent="0.25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8" x14ac:dyDescent="0.3">
      <c r="A3" s="319" t="s">
        <v>160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"/>
    <row r="5" spans="1:35" ht="12" customHeight="1" x14ac:dyDescent="0.2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  <c r="X5" s="25" t="s">
        <v>125</v>
      </c>
      <c r="Y5" s="320" t="s">
        <v>169</v>
      </c>
      <c r="Z5" s="321"/>
      <c r="AA5" s="321"/>
      <c r="AB5" s="321"/>
      <c r="AC5" s="322"/>
      <c r="AE5" s="320" t="s">
        <v>169</v>
      </c>
      <c r="AF5" s="321"/>
      <c r="AG5" s="321"/>
      <c r="AH5" s="321"/>
      <c r="AI5" s="322"/>
    </row>
    <row r="6" spans="1:35" ht="12" customHeight="1" x14ac:dyDescent="0.2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">
      <c r="A9" s="29" t="s">
        <v>3</v>
      </c>
      <c r="B9" s="38"/>
      <c r="C9" s="59">
        <f>Y9</f>
        <v>83089.095499999996</v>
      </c>
      <c r="D9" s="60">
        <f>SUM(Z9:AC9)</f>
        <v>30792.629599418036</v>
      </c>
      <c r="E9" s="66">
        <f>C9-D9</f>
        <v>52296.465900581956</v>
      </c>
      <c r="F9" s="42"/>
      <c r="G9" s="59"/>
      <c r="H9" s="60"/>
      <c r="I9" s="60"/>
      <c r="J9" s="82">
        <f t="shared" ref="J9:J18" si="0">SUM(G9:I9)</f>
        <v>0</v>
      </c>
      <c r="K9" s="177"/>
      <c r="L9" s="177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23994.863176518036</v>
      </c>
      <c r="AE9" s="44">
        <f>_xll.HPVAL($X9,$AE$2,AE$1,$AF$2,$X$3,$X$5)/1000</f>
        <v>59034.958570000003</v>
      </c>
      <c r="AG9" s="44">
        <f>_xll.HPVAL($X9,$AE$2,AG$1,$AF$2,$X$3,$X$5)/1000</f>
        <v>0</v>
      </c>
      <c r="AH9" s="44">
        <f>_xll.HPVAL($X9,$AE$2,AH$1,$AF$2,$X$3,$X$5)/1000</f>
        <v>4351.3500000000004</v>
      </c>
      <c r="AI9" s="44">
        <f>_xll.HPVAL($X9,$AE$2,AI$1,$AF$2,$X$3,$X$5)/1000</f>
        <v>11113.314210902967</v>
      </c>
    </row>
    <row r="10" spans="1:35" ht="12" customHeight="1" x14ac:dyDescent="0.2">
      <c r="A10" s="29" t="s">
        <v>106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6">
        <f t="shared" ref="E10:E18" si="5">C10-D10</f>
        <v>46449.041925878402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11005.243574121598</v>
      </c>
      <c r="AE10" s="44">
        <f>_xll.HPVAL($X10,$AE$2,AE$1,$AF$2,$X$3,$X$5)/1000-_xll.HPVAL("gencos",$AE$2,AE$1,$AF$2,$X$3,$X$5)/1000</f>
        <v>55253</v>
      </c>
      <c r="AG10" s="44">
        <f>_xll.HPVAL($X10,$AE$2,AG$1,$AF$2,$X$3,$X$5)/1000-AG29</f>
        <v>0</v>
      </c>
      <c r="AH10" s="44">
        <f>_xll.HPVAL($X10,$AE$2,AH$1,$AF$2,$X$3,$X$5)/1000-AH29</f>
        <v>6133.2709999999997</v>
      </c>
      <c r="AI10" s="44">
        <f>_xll.HPVAL($X10,$AE$2,AI$1,$AF$2,$X$3,$X$5)/1000-AI29</f>
        <v>4706.4384285914912</v>
      </c>
    </row>
    <row r="11" spans="1:35" ht="12" customHeight="1" x14ac:dyDescent="0.2">
      <c r="A11" s="29" t="s">
        <v>132</v>
      </c>
      <c r="B11" s="38"/>
      <c r="C11" s="41">
        <f t="shared" si="3"/>
        <v>44803.991000000002</v>
      </c>
      <c r="D11" s="42">
        <f t="shared" si="4"/>
        <v>3237.1654313882691</v>
      </c>
      <c r="E11" s="66">
        <f t="shared" si="5"/>
        <v>41566.825568611734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1304.8735597200002</v>
      </c>
      <c r="AC11" s="44">
        <f>_xll.HPVAL($X11,$X$1,AC$1,$X$2,$X$3,$X$5)/1000*0.8577</f>
        <v>1932.2918716682689</v>
      </c>
      <c r="AE11" s="44">
        <f>_xll.HPVAL($X11,$AE$2,"other",$AF$2,$X$3,$X$5)/1000+_xll.HPVAL($X11,$AE$2,"overview",$AF$2,$X$3,$X$5)/1000</f>
        <v>25962.153999999999</v>
      </c>
      <c r="AG11" s="44">
        <f>_xll.HPVAL($X11,$AE$2,AG$1,$AF$2,$X$3,$X$5)/1000</f>
        <v>0</v>
      </c>
      <c r="AH11" s="44">
        <f>_xll.HPVAL($X11,$AE$2,AH$1,$AF$2,$X$3,$X$5)/1000*0.8577</f>
        <v>910.44940770000005</v>
      </c>
      <c r="AI11" s="44">
        <f>_xll.HPVAL($X11,$AE$2,AI$1,$AF$2,$X$3,$X$5)/1000*0.8577</f>
        <v>789.63745207075613</v>
      </c>
    </row>
    <row r="12" spans="1:35" ht="12" customHeight="1" x14ac:dyDescent="0.2">
      <c r="A12" s="29" t="s">
        <v>133</v>
      </c>
      <c r="B12" s="38"/>
      <c r="C12" s="41">
        <f t="shared" si="3"/>
        <v>22893.758999999998</v>
      </c>
      <c r="D12" s="42">
        <f t="shared" si="4"/>
        <v>4931.3765488825175</v>
      </c>
      <c r="E12" s="66">
        <f t="shared" si="5"/>
        <v>17962.382451117483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2792.8910402800002</v>
      </c>
      <c r="AC12" s="44">
        <f>_xll.HPVAL($X12,$X$1,AC$1,$X$2,$X$3,$X$5)/1000-AC11</f>
        <v>2138.4855086025177</v>
      </c>
      <c r="AE12" s="44">
        <f>_xll.HPVAL($X12,$AE$2,AE$1,$AF$2,$X$3,$X$5)/1000-AE11</f>
        <v>35766.812000000005</v>
      </c>
      <c r="AG12" s="44">
        <f>_xll.HPVAL($X12,$AE$2,AG$1,$AF$2,$X$3,$X$5)/1000</f>
        <v>0</v>
      </c>
      <c r="AH12" s="44">
        <f>_xll.HPVAL($X12,$AE$2,AH$1,$AF$2,$X$3,$X$5)/1000-AH11</f>
        <v>1112.0615923</v>
      </c>
      <c r="AI12" s="44">
        <f>_xll.HPVAL($X12,$AE$2,AI$1,$AF$2,$X$3,$X$5)/1000-AI11</f>
        <v>928.17642796980977</v>
      </c>
    </row>
    <row r="13" spans="1:35" ht="12" customHeight="1" x14ac:dyDescent="0.2">
      <c r="A13" s="29" t="s">
        <v>114</v>
      </c>
      <c r="B13" s="38"/>
      <c r="C13" s="41">
        <f t="shared" si="3"/>
        <v>46224.694999999985</v>
      </c>
      <c r="D13" s="42">
        <f t="shared" si="4"/>
        <v>10508.558138221375</v>
      </c>
      <c r="E13" s="66">
        <f t="shared" si="5"/>
        <v>35716.136861778607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22294.25</v>
      </c>
      <c r="AG13" s="44">
        <f>_xll.HPVAL($X13,$AE$2,AG$1,$AF$2,$X$3,$X$5)/1000</f>
        <v>190.95400000000001</v>
      </c>
      <c r="AH13" s="44">
        <f>_xll.HPVAL($X13,$AE$2,AH$1,$AF$2,$X$3,$X$5)/1000</f>
        <v>2693.3420000000001</v>
      </c>
      <c r="AI13" s="44">
        <f>_xll.HPVAL($X13,$AE$2,AI$1,$AF$2,$X$3,$X$5)/1000</f>
        <v>2273.5890514699022</v>
      </c>
    </row>
    <row r="14" spans="1:35" ht="12" customHeight="1" x14ac:dyDescent="0.2">
      <c r="A14" s="29" t="s">
        <v>5</v>
      </c>
      <c r="B14" s="38"/>
      <c r="C14" s="41">
        <f t="shared" si="3"/>
        <v>25494.324999999997</v>
      </c>
      <c r="D14" s="42">
        <f t="shared" si="4"/>
        <v>9521.0347897505708</v>
      </c>
      <c r="E14" s="66">
        <f t="shared" si="5"/>
        <v>15973.290210249426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4875.3863899999997</v>
      </c>
      <c r="AC14" s="44">
        <f>_xll.HPVAL($X14,$X$1,AC$1,$X$2,$X$3,$X$5)/1000</f>
        <v>3275.6483997505702</v>
      </c>
      <c r="AE14" s="44">
        <f>_xll.HPVAL($X14,$AE$2,AE$1,$AF$2,$X$3,$X$5)/1000</f>
        <v>2358.6979999999999</v>
      </c>
      <c r="AG14" s="44">
        <f>_xll.HPVAL($X14,$AE$2,AG$1,$AF$2,$X$3,$X$5)/1000</f>
        <v>618.81100000000004</v>
      </c>
      <c r="AH14" s="44">
        <f>_xll.HPVAL($X14,$AE$2,AH$1,$AF$2,$X$3,$X$5)/1000</f>
        <v>4726.7560000000003</v>
      </c>
      <c r="AI14" s="44">
        <f>_xll.HPVAL($X14,$AE$2,AI$1,$AF$2,$X$3,$X$5)/1000</f>
        <v>991.70998536232514</v>
      </c>
    </row>
    <row r="15" spans="1:35" ht="12" customHeight="1" x14ac:dyDescent="0.2">
      <c r="A15" s="29" t="s">
        <v>155</v>
      </c>
      <c r="B15" s="38"/>
      <c r="C15" s="41">
        <f t="shared" si="3"/>
        <v>6429.6914999999999</v>
      </c>
      <c r="D15" s="42">
        <f t="shared" si="4"/>
        <v>3382.2491864643689</v>
      </c>
      <c r="E15" s="66">
        <f t="shared" si="5"/>
        <v>3047.442313535631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1830.9484016666668</v>
      </c>
      <c r="AC15" s="44">
        <f>_xll.HPVAL($X15,$X$1,AC$1,$X$2,$X$3,$X$5)/1000</f>
        <v>1551.3007847977024</v>
      </c>
      <c r="AE15" s="44">
        <f>_xll.HPVAL($X15,$AE$2,AE$1,$AF$2,$X$3,$X$5)/1000</f>
        <v>5665.7950000000001</v>
      </c>
      <c r="AG15" s="44">
        <f>_xll.HPVAL($X15,$AE$2,AG$1,$AF$2,$X$3,$X$5)/1000</f>
        <v>0</v>
      </c>
      <c r="AH15" s="44">
        <f>_xll.HPVAL($X15,$AE$2,AH$1,$AF$2,$X$3,$X$5)/1000</f>
        <v>2066.884</v>
      </c>
      <c r="AI15" s="44">
        <f>_xll.HPVAL($X15,$AE$2,AI$1,$AF$2,$X$3,$X$5)/1000</f>
        <v>542.39138203874768</v>
      </c>
    </row>
    <row r="16" spans="1:35" ht="12" customHeight="1" x14ac:dyDescent="0.2">
      <c r="A16" s="29" t="s">
        <v>107</v>
      </c>
      <c r="B16" s="38"/>
      <c r="C16" s="41">
        <f t="shared" si="3"/>
        <v>1500</v>
      </c>
      <c r="D16" s="42">
        <f t="shared" si="4"/>
        <v>679.07037548698383</v>
      </c>
      <c r="E16" s="66">
        <f t="shared" si="5"/>
        <v>820.92962451301617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3674.3319999999999</v>
      </c>
      <c r="AG16" s="44">
        <f>_xll.HPVAL($X16,$AE$2,AG$1,$AF$2,$X$3,$X$5)/1000</f>
        <v>0</v>
      </c>
      <c r="AH16" s="44">
        <f>_xll.HPVAL($X16,$AE$2,AH$1,$AF$2,$X$3,$X$5)/1000</f>
        <v>77.183000000000007</v>
      </c>
      <c r="AI16" s="44">
        <f>_xll.HPVAL($X16,$AE$2,AI$1,$AF$2,$X$3,$X$5)/1000</f>
        <v>195.46582392519187</v>
      </c>
    </row>
    <row r="17" spans="1:35" ht="12" customHeight="1" x14ac:dyDescent="0.2">
      <c r="A17" s="29" t="s">
        <v>156</v>
      </c>
      <c r="B17" s="38"/>
      <c r="C17" s="41">
        <f t="shared" si="3"/>
        <v>15424.5815</v>
      </c>
      <c r="D17" s="42">
        <f t="shared" si="4"/>
        <v>2551.4399427499998</v>
      </c>
      <c r="E17" s="66">
        <f t="shared" si="5"/>
        <v>12873.141557250001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1100.981</v>
      </c>
      <c r="AI17" s="44">
        <f>_xll.HPVAL($X17,$AE$2,AI$1,$AF$2,$X$3,$X$5)/1000</f>
        <v>447.80594510253297</v>
      </c>
    </row>
    <row r="18" spans="1:35" ht="12" customHeight="1" x14ac:dyDescent="0.2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6">
        <f t="shared" si="5"/>
        <v>-337.5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-6286.03</v>
      </c>
      <c r="AG18" s="44">
        <f>_xll.HPVAL($X18,$AE$2,AG$1,$AF$2,$X$3,$X$5)/1000</f>
        <v>0</v>
      </c>
      <c r="AH18" s="44">
        <f>_xll.HPVAL($X18,$AE$2,AH$1,$AF$2,$X$3,$X$5)/1000</f>
        <v>72.382000000000005</v>
      </c>
      <c r="AI18" s="44">
        <f>_xll.HPVAL($X18,$AE$2,AI$1,$AF$2,$X$3,$X$5)/1000</f>
        <v>0</v>
      </c>
    </row>
    <row r="19" spans="1:35" ht="12" customHeight="1" x14ac:dyDescent="0.2">
      <c r="A19" s="75" t="s">
        <v>130</v>
      </c>
      <c r="B19" s="38"/>
      <c r="C19" s="139">
        <f>SUM(C9:C18)</f>
        <v>311896.64399999997</v>
      </c>
      <c r="D19" s="140">
        <f>SUM(D9:D18)</f>
        <v>85528.487586483723</v>
      </c>
      <c r="E19" s="142">
        <f>SUM(E9:E18)</f>
        <v>226368.15641351623</v>
      </c>
      <c r="F19" s="42"/>
      <c r="G19" s="139">
        <f t="shared" ref="G19:N19" si="6">SUM(G9:G18)</f>
        <v>0</v>
      </c>
      <c r="H19" s="140">
        <f t="shared" si="6"/>
        <v>0</v>
      </c>
      <c r="I19" s="142">
        <f t="shared" si="6"/>
        <v>0</v>
      </c>
      <c r="J19" s="143">
        <f t="shared" si="6"/>
        <v>0</v>
      </c>
      <c r="K19" s="139"/>
      <c r="L19" s="140"/>
      <c r="M19" s="140">
        <f t="shared" si="6"/>
        <v>0</v>
      </c>
      <c r="N19" s="142">
        <f t="shared" si="6"/>
        <v>0</v>
      </c>
      <c r="O19" s="143">
        <f t="shared" si="1"/>
        <v>0</v>
      </c>
      <c r="P19" s="44"/>
      <c r="Q19" s="139">
        <f>SUM(Q9:Q18)</f>
        <v>0</v>
      </c>
      <c r="R19" s="140"/>
      <c r="S19" s="140"/>
      <c r="T19" s="140">
        <f>SUM(T9:T18)</f>
        <v>0</v>
      </c>
      <c r="U19" s="140">
        <f>SUM(U9:U18)</f>
        <v>0</v>
      </c>
      <c r="V19" s="142">
        <f>SUM(V9:V18)</f>
        <v>0</v>
      </c>
    </row>
    <row r="20" spans="1:35" ht="3" customHeight="1" x14ac:dyDescent="0.2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">
      <c r="A21" s="29" t="s">
        <v>88</v>
      </c>
      <c r="B21" s="38"/>
      <c r="C21" s="41">
        <f t="shared" ref="C21:C26" si="7">Y21</f>
        <v>34736.267500000002</v>
      </c>
      <c r="D21" s="42">
        <f t="shared" ref="D21:D26" si="8">SUM(Z21:AC21)</f>
        <v>17786.15958398045</v>
      </c>
      <c r="E21" s="66">
        <f t="shared" ref="E21:E26" si="9">C21-D21</f>
        <v>16950.107916019551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10015.063040624998</v>
      </c>
      <c r="AC21" s="44">
        <f>_xll.HPVAL($X21,$X$1,AC$1,$X$2,$X$3,$X$5)/1000</f>
        <v>7771.0965433554538</v>
      </c>
      <c r="AE21" s="44">
        <f>_xll.HPVAL($X21,$AE$2,AE$1,$AF$2,$X$3,$X$5)/1000</f>
        <v>2839.6579999999999</v>
      </c>
      <c r="AF21" s="44"/>
      <c r="AG21" s="44">
        <f>_xll.HPVAL($X21,$AE$2,AG$1,$AF$2,$X$3,$X$5)/1000</f>
        <v>0</v>
      </c>
      <c r="AH21" s="44">
        <f>_xll.HPVAL($X21,$AE$2,AH$1,$AF$2,$X$3,$X$5)/1000</f>
        <v>4081.895</v>
      </c>
      <c r="AI21" s="44">
        <f>_xll.HPVAL($X21,$AE$2,AI$1,$AF$2,$X$3,$X$5)/1000</f>
        <v>3301.0277986743076</v>
      </c>
    </row>
    <row r="22" spans="1:35" ht="12" customHeight="1" x14ac:dyDescent="0.2">
      <c r="A22" s="29" t="s">
        <v>89</v>
      </c>
      <c r="B22" s="38"/>
      <c r="C22" s="41">
        <f t="shared" si="7"/>
        <v>26469.510999999999</v>
      </c>
      <c r="D22" s="42">
        <f t="shared" si="8"/>
        <v>14729.383798328749</v>
      </c>
      <c r="E22" s="66">
        <f t="shared" si="9"/>
        <v>11740.12720167125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8356.4879999999994</v>
      </c>
      <c r="AF22" s="44"/>
      <c r="AG22" s="44">
        <f>_xll.HPVAL($X22,$AE$2,AG$1,$AF$2,$X$3,$X$5)/1000</f>
        <v>892.47299999999996</v>
      </c>
      <c r="AH22" s="44">
        <f>_xll.HPVAL($X22,$AE$2,AH$1,$AF$2,$X$3,$X$5)/1000</f>
        <v>2360.027</v>
      </c>
      <c r="AI22" s="44">
        <f>_xll.HPVAL($X22,$AE$2,AI$1,$AF$2,$X$3,$X$5)/1000</f>
        <v>1909.0711521268545</v>
      </c>
    </row>
    <row r="23" spans="1:35" ht="12" customHeight="1" x14ac:dyDescent="0.2">
      <c r="A23" s="29" t="s">
        <v>90</v>
      </c>
      <c r="B23" s="38"/>
      <c r="C23" s="41">
        <f t="shared" si="7"/>
        <v>28327.783500000005</v>
      </c>
      <c r="D23" s="42">
        <f t="shared" si="8"/>
        <v>11170.848970758394</v>
      </c>
      <c r="E23" s="66">
        <f t="shared" si="9"/>
        <v>17156.934529241611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5925.0484450000004</v>
      </c>
      <c r="AC23" s="44">
        <f>_xll.HPVAL($X23,$X$1,AC$1,$X$2,$X$3,$X$5)/1000</f>
        <v>3399.8005257583932</v>
      </c>
      <c r="AE23" s="44">
        <f>_xll.HPVAL($X23,$AE$2,AE$1,$AF$2,$X$3,$X$5)/1000</f>
        <v>3228.9580000000001</v>
      </c>
      <c r="AF23" s="44"/>
      <c r="AG23" s="44">
        <f>_xll.HPVAL($X23,$AE$2,AG$1,$AF$2,$X$3,$X$5)/1000</f>
        <v>285.065</v>
      </c>
      <c r="AH23" s="44">
        <f>_xll.HPVAL($X23,$AE$2,AH$1,$AF$2,$X$3,$X$5)/1000</f>
        <v>3148.6260000000002</v>
      </c>
      <c r="AI23" s="44">
        <f>_xll.HPVAL($X23,$AE$2,AI$1,$AF$2,$X$3,$X$5)/1000</f>
        <v>1272.312827935767</v>
      </c>
    </row>
    <row r="24" spans="1:35" ht="12" customHeight="1" x14ac:dyDescent="0.2">
      <c r="A24" s="29" t="s">
        <v>91</v>
      </c>
      <c r="B24" s="38"/>
      <c r="C24" s="41">
        <f t="shared" si="7"/>
        <v>11393.287</v>
      </c>
      <c r="D24" s="42">
        <f t="shared" si="8"/>
        <v>7438.3371483322671</v>
      </c>
      <c r="E24" s="66">
        <f t="shared" si="9"/>
        <v>3954.9498516677331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0.52700000000000002</v>
      </c>
      <c r="AF24" s="44"/>
      <c r="AG24" s="44">
        <f>_xll.HPVAL($X24,$AE$2,AG$1,$AF$2,$X$3,$X$5)/1000</f>
        <v>16.161000000000001</v>
      </c>
      <c r="AH24" s="44">
        <f>_xll.HPVAL($X24,$AE$2,AH$1,$AF$2,$X$3,$X$5)/1000</f>
        <v>954.17700000000002</v>
      </c>
      <c r="AI24" s="44">
        <f>_xll.HPVAL($X24,$AE$2,AI$1,$AF$2,$X$3,$X$5)/1000</f>
        <v>510.80882208933889</v>
      </c>
    </row>
    <row r="25" spans="1:35" ht="12" customHeight="1" x14ac:dyDescent="0.2">
      <c r="A25" s="29" t="s">
        <v>104</v>
      </c>
      <c r="B25" s="38"/>
      <c r="C25" s="41">
        <f t="shared" si="7"/>
        <v>0</v>
      </c>
      <c r="D25" s="42">
        <f t="shared" si="8"/>
        <v>4847.5962734224813</v>
      </c>
      <c r="E25" s="66">
        <f t="shared" si="9"/>
        <v>-4847.5962734224813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>
        <f>_xll.HPVAL($X25,$X$1,Y$1,$X$2,$X$3,$X$5)/1000</f>
        <v>0</v>
      </c>
      <c r="Z25" s="44"/>
      <c r="AA25" s="44">
        <f>_xll.HPVAL($X25,$X$1,AA$1,$X$2,$X$3,$X$5)/1000</f>
        <v>0</v>
      </c>
      <c r="AB25" s="44">
        <f>_xll.HPVAL($X25,$X$1,AB$1,$X$2,$X$3,$X$5)/1000</f>
        <v>3266.2140406249978</v>
      </c>
      <c r="AC25" s="44">
        <f>_xll.HPVAL($X25,$X$1,AC$1,$X$2,$X$3,$X$5)/1000</f>
        <v>1581.382232797484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1686.883</v>
      </c>
      <c r="AI25" s="44">
        <f>_xll.HPVAL($X25,$AE$2,AI$1,$AF$2,$X$3,$X$5)/1000</f>
        <v>528.66443079317685</v>
      </c>
    </row>
    <row r="26" spans="1:35" ht="12" customHeight="1" x14ac:dyDescent="0.2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6">
        <f t="shared" si="9"/>
        <v>4230.3892410716344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11.282</v>
      </c>
      <c r="AF26" s="44"/>
      <c r="AG26" s="44">
        <f>_xll.HPVAL($X26,$AE$2,AG$1,$AF$2,$X$3,$X$5)/1000</f>
        <v>0</v>
      </c>
      <c r="AH26" s="44">
        <f>_xll.HPVAL($X26,$AE$2,AH$1,$AF$2,$X$3,$X$5)/1000</f>
        <v>1624.086</v>
      </c>
      <c r="AI26" s="44">
        <f>_xll.HPVAL($X26,$AE$2,AI$1,$AF$2,$X$3,$X$5)/1000</f>
        <v>583.11231862999193</v>
      </c>
    </row>
    <row r="27" spans="1:35" ht="12" customHeight="1" x14ac:dyDescent="0.2">
      <c r="A27" s="75" t="s">
        <v>1</v>
      </c>
      <c r="B27" s="38"/>
      <c r="C27" s="139">
        <f>SUM(C21:C26)</f>
        <v>110239.48700000001</v>
      </c>
      <c r="D27" s="140">
        <f>SUM(D21:D26)</f>
        <v>61054.574533750718</v>
      </c>
      <c r="E27" s="142">
        <f>SUM(E21:E26)</f>
        <v>49184.912466249298</v>
      </c>
      <c r="F27" s="42"/>
      <c r="G27" s="139">
        <f>SUM(G21:G26)</f>
        <v>0</v>
      </c>
      <c r="H27" s="140">
        <f>SUM(H21:H26)</f>
        <v>0</v>
      </c>
      <c r="I27" s="140">
        <f>SUM(I21:I26)</f>
        <v>0</v>
      </c>
      <c r="J27" s="143">
        <f>SUM(J21:J26)</f>
        <v>0</v>
      </c>
      <c r="K27" s="140"/>
      <c r="L27" s="140"/>
      <c r="M27" s="140">
        <f>SUM(M21:M26)</f>
        <v>0</v>
      </c>
      <c r="N27" s="142">
        <f>SUM(N21:N26)</f>
        <v>0</v>
      </c>
      <c r="O27" s="143">
        <f t="shared" si="11"/>
        <v>0</v>
      </c>
      <c r="P27" s="44"/>
      <c r="Q27" s="139">
        <f>SUM(Q21:Q26)</f>
        <v>0</v>
      </c>
      <c r="R27" s="140"/>
      <c r="S27" s="140"/>
      <c r="T27" s="140">
        <f>SUM(T21:T26)</f>
        <v>0</v>
      </c>
      <c r="U27" s="140">
        <f>SUM(U21:U26)</f>
        <v>0</v>
      </c>
      <c r="V27" s="142">
        <f>SUM(V21:V26)</f>
        <v>0</v>
      </c>
    </row>
    <row r="28" spans="1:35" ht="3" customHeight="1" x14ac:dyDescent="0.2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6">
        <f>C29-D29</f>
        <v>-1311.8390961938603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27784.607</v>
      </c>
      <c r="AF29" s="44">
        <v>6640</v>
      </c>
      <c r="AG29" s="44">
        <f>_xll.HPVAL($X29,$AE$2,AG$1,$AF$2,$X$3,$X$5)/1000</f>
        <v>5252</v>
      </c>
      <c r="AH29" s="44">
        <f>_xll.HPVAL($X29,$AE$2,AH$1,$AF$2,$X$3,$X$5)/1000</f>
        <v>623.32299999999998</v>
      </c>
      <c r="AI29" s="44">
        <f>_xll.HPVAL($X29,$AE$2,AI$1,$AF$2,$X$3,$X$5)/1000</f>
        <v>435.03772692387003</v>
      </c>
    </row>
    <row r="30" spans="1:35" ht="12" customHeight="1" x14ac:dyDescent="0.2">
      <c r="A30" s="29" t="s">
        <v>67</v>
      </c>
      <c r="B30" s="38"/>
      <c r="C30" s="41">
        <f>Y30</f>
        <v>37421.483999999997</v>
      </c>
      <c r="D30" s="42">
        <f>SUM(Z30:AC30)</f>
        <v>16435.419035719911</v>
      </c>
      <c r="E30" s="66">
        <f>C30-D30</f>
        <v>20986.064964280085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>
        <f>_xll.HPVAL($X30,$X$1,Y$1,$X$2,$X$3,$X$5)/1000</f>
        <v>37421.483999999997</v>
      </c>
      <c r="Z30" s="44"/>
      <c r="AA30" s="44">
        <f>_xll.HPVAL($X30,$X$1,AA$1,$X$2,$X$3,$X$5)/1000</f>
        <v>12457</v>
      </c>
      <c r="AB30" s="44">
        <f>_xll.HPVAL($X30,$X$1,AB$1,$X$2,$X$3,$X$5)/1000</f>
        <v>2655.3734127156167</v>
      </c>
      <c r="AC30" s="44">
        <f>_xll.HPVAL($X30,$X$1,AC$1,$X$2,$X$3,$X$5)/1000</f>
        <v>1323.0456230042928</v>
      </c>
      <c r="AE30" s="44">
        <f>_xll.HPVAL($X30,$AE$2,AE$1,$AF$2,$X$3,$X$5)/1000</f>
        <v>7218.75</v>
      </c>
      <c r="AF30" s="44"/>
      <c r="AG30" s="44">
        <f>_xll.HPVAL($X30,$AE$2,AG$1,$AF$2,$X$3,$X$5)/1000</f>
        <v>5755.2030000000004</v>
      </c>
      <c r="AH30" s="44">
        <f>_xll.HPVAL($X30,$AE$2,AH$1,$AF$2,$X$3,$X$5)/1000</f>
        <v>1027.5119999999999</v>
      </c>
      <c r="AI30" s="44">
        <f>_xll.HPVAL($X30,$AE$2,AI$1,$AF$2,$X$3,$X$5)/1000</f>
        <v>544.83207227617459</v>
      </c>
    </row>
    <row r="31" spans="1:35" ht="12" customHeight="1" x14ac:dyDescent="0.2">
      <c r="A31" s="29" t="s">
        <v>92</v>
      </c>
      <c r="B31" s="38"/>
      <c r="C31" s="41">
        <f>Y31</f>
        <v>56112.135500000004</v>
      </c>
      <c r="D31" s="42">
        <f>SUM(Z31:AC31)</f>
        <v>116779.92625593129</v>
      </c>
      <c r="E31" s="66">
        <f>C31-D31</f>
        <v>-60667.790755931288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>
        <f>_xll.HPVAL($X31,$X$1,Y$1,$X$2,$X$3,$X$5)/1000+Z31</f>
        <v>56112.135500000004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10915.127966620004</v>
      </c>
      <c r="AC31" s="44">
        <f>_xll.HPVAL($X31,$X$1,AC$1,$X$2,$X$3,$X$5)/1000</f>
        <v>14164.7982893113</v>
      </c>
      <c r="AE31" s="44">
        <f>_xll.HPVAL($X31,$AE$2,AE$1,$AF$2,$X$3,$X$5)/1000+AF31</f>
        <v>22383.124</v>
      </c>
      <c r="AF31" s="44">
        <v>42177</v>
      </c>
      <c r="AG31" s="44">
        <f>_xll.HPVAL($X31,$AE$2,AG$1,$AF$2,$X$3,$X$5)/1000</f>
        <v>8574</v>
      </c>
      <c r="AH31" s="44">
        <f>_xll.HPVAL($X31,$AE$2,AH$1,$AF$2,$X$3,$X$5)/1000</f>
        <v>4877.817</v>
      </c>
      <c r="AI31" s="44">
        <f>_xll.HPVAL($X31,$AE$2,AI$1,$AF$2,$X$3,$X$5)/1000</f>
        <v>6466.368288106195</v>
      </c>
    </row>
    <row r="32" spans="1:35" ht="12" customHeight="1" x14ac:dyDescent="0.2">
      <c r="A32" s="29" t="s">
        <v>93</v>
      </c>
      <c r="B32" s="38"/>
      <c r="C32" s="41">
        <f>Y32</f>
        <v>15006.736000000001</v>
      </c>
      <c r="D32" s="42">
        <f>SUM(Z32:AC32)</f>
        <v>6512.5280981305086</v>
      </c>
      <c r="E32" s="66">
        <f>C32-D32</f>
        <v>8494.2079018694931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17192.128430000001</v>
      </c>
      <c r="AF32" s="44"/>
      <c r="AG32" s="44">
        <f>_xll.HPVAL($X32,$AE$2,AG$1,$AF$2,$X$3,$X$5)/1000</f>
        <v>0</v>
      </c>
      <c r="AH32" s="44">
        <f>_xll.HPVAL($X32,$AE$2,AH$1,$AF$2,$X$3,$X$5)/1000</f>
        <v>506.6</v>
      </c>
      <c r="AI32" s="44">
        <f>_xll.HPVAL($X32,$AE$2,AI$1,$AF$2,$X$3,$X$5)/1000</f>
        <v>2347.6000936584728</v>
      </c>
    </row>
    <row r="33" spans="1:35" ht="12" customHeight="1" x14ac:dyDescent="0.2">
      <c r="A33" s="75" t="s">
        <v>86</v>
      </c>
      <c r="B33" s="38"/>
      <c r="C33" s="139">
        <f>SUM(C29:C32)</f>
        <v>139690.35550000001</v>
      </c>
      <c r="D33" s="140">
        <f>SUM(D29:D32)</f>
        <v>172189.71248597556</v>
      </c>
      <c r="E33" s="142">
        <f>SUM(E29:E32)</f>
        <v>-32499.356985975566</v>
      </c>
      <c r="F33" s="42"/>
      <c r="G33" s="139">
        <f t="shared" ref="G33:N33" si="13">SUM(G29:G32)</f>
        <v>0</v>
      </c>
      <c r="H33" s="140">
        <f t="shared" si="13"/>
        <v>0</v>
      </c>
      <c r="I33" s="140">
        <f t="shared" si="13"/>
        <v>0</v>
      </c>
      <c r="J33" s="143">
        <f t="shared" si="13"/>
        <v>0</v>
      </c>
      <c r="K33" s="140"/>
      <c r="L33" s="140"/>
      <c r="M33" s="140">
        <f t="shared" si="13"/>
        <v>0</v>
      </c>
      <c r="N33" s="142">
        <f t="shared" si="13"/>
        <v>0</v>
      </c>
      <c r="O33" s="143">
        <f>J33-M33-N33</f>
        <v>0</v>
      </c>
      <c r="P33" s="44"/>
      <c r="Q33" s="139">
        <f>SUM(Q29:Q32)</f>
        <v>0</v>
      </c>
      <c r="R33" s="140"/>
      <c r="S33" s="140"/>
      <c r="T33" s="140">
        <f>SUM(T29:T32)</f>
        <v>0</v>
      </c>
      <c r="U33" s="140">
        <f>SUM(U29:U32)</f>
        <v>0</v>
      </c>
      <c r="V33" s="142">
        <f>SUM(V29:V32)</f>
        <v>0</v>
      </c>
    </row>
    <row r="34" spans="1:35" ht="3" customHeight="1" x14ac:dyDescent="0.2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6">
        <f>C35-D35</f>
        <v>23868.809676583267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93673.796000000002</v>
      </c>
      <c r="AF35" s="44"/>
      <c r="AG35" s="44">
        <f>_xll.HPVAL($X35,$AE$2,AG$1,$AF$2,$X$3,$X$5)/1000</f>
        <v>920.35500000000002</v>
      </c>
      <c r="AH35" s="44">
        <f>_xll.HPVAL($X35,$AE$2,AH$1,$AF$2,$X$3,$X$5)/1000</f>
        <v>857.23800000000006</v>
      </c>
      <c r="AI35" s="44">
        <f>_xll.HPVAL($X35,$AE$2,AI$1,$AF$2,$X$3,$X$5)/1000</f>
        <v>868.72787471567415</v>
      </c>
    </row>
    <row r="36" spans="1:35" ht="12" customHeight="1" x14ac:dyDescent="0.2">
      <c r="A36" s="29" t="s">
        <v>151</v>
      </c>
      <c r="B36" s="38"/>
      <c r="C36" s="41">
        <f>Y36</f>
        <v>2000</v>
      </c>
      <c r="D36" s="42">
        <f>SUM(Z36:AC36)</f>
        <v>14181.784321674324</v>
      </c>
      <c r="E36" s="66">
        <f>C36-D36</f>
        <v>-12181.784321674324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>
        <f>_xll.HPVAL($X36,$X$1,Y$1,$X$2,$X$3,$X$5)/1000</f>
        <v>2000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3278.4283216743238</v>
      </c>
      <c r="AE36" s="44">
        <f>_xll.HPVAL($X36,$AE$2,AE$1,$AF$2,$X$3,$X$5)/1000</f>
        <v>858.18600000000004</v>
      </c>
      <c r="AF36" s="44"/>
      <c r="AG36" s="44">
        <f>_xll.HPVAL($X36,$AE$2,AG$1,$AF$2,$X$3,$X$5)/1000</f>
        <v>3149.172</v>
      </c>
      <c r="AH36" s="44">
        <f>_xll.HPVAL($X36,$AE$2,AH$1,$AF$2,$X$3,$X$5)/1000</f>
        <v>1335.655</v>
      </c>
      <c r="AI36" s="44">
        <f>_xll.HPVAL($X36,$AE$2,AI$1,$AF$2,$X$3,$X$5)/1000</f>
        <v>1773.6705445312712</v>
      </c>
    </row>
    <row r="37" spans="1:35" ht="12" customHeight="1" x14ac:dyDescent="0.2">
      <c r="A37" s="29" t="s">
        <v>180</v>
      </c>
      <c r="B37" s="38"/>
      <c r="C37" s="41">
        <f>Y37</f>
        <v>16142.700999999999</v>
      </c>
      <c r="D37" s="42">
        <f>SUM(Z37:AC37)</f>
        <v>15647.803666133597</v>
      </c>
      <c r="E37" s="66">
        <f>C37-D37</f>
        <v>494.89733386640182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-27471.656999999999</v>
      </c>
      <c r="AF37" s="44"/>
      <c r="AG37" s="44">
        <f>_xll.HPVAL($X37,$AE$2,AG$1,$AF$2,$X$3,$X$5)/1000</f>
        <v>3698.953</v>
      </c>
      <c r="AH37" s="44">
        <f>_xll.HPVAL($X37,$AE$2,AH$1,$AF$2,$X$3,$X$5)/1000</f>
        <v>807.70100000000002</v>
      </c>
      <c r="AI37" s="44">
        <f>_xll.HPVAL($X37,$AE$2,AI$1,$AF$2,$X$3,$X$5)/1000</f>
        <v>1344.8498299418063</v>
      </c>
    </row>
    <row r="38" spans="1:35" ht="12" customHeight="1" x14ac:dyDescent="0.2">
      <c r="A38" s="29" t="s">
        <v>154</v>
      </c>
      <c r="B38" s="38"/>
      <c r="C38" s="41">
        <f>Y38</f>
        <v>12965.692999999999</v>
      </c>
      <c r="D38" s="42">
        <f>SUM(Z38:AC38)</f>
        <v>5122.47</v>
      </c>
      <c r="E38" s="66">
        <f>C38-D38</f>
        <v>7843.222999999999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26838.022000000001</v>
      </c>
      <c r="AF38" s="44"/>
      <c r="AG38" s="44">
        <f>_xll.HPVAL($X38,$AE$2,AG$1,$AF$2,$X$3,$X$5)/1000</f>
        <v>3369.2809999999999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">
      <c r="A39" s="75" t="s">
        <v>87</v>
      </c>
      <c r="B39" s="38"/>
      <c r="C39" s="139">
        <f>SUM(C35:C38)</f>
        <v>61871.841999999997</v>
      </c>
      <c r="D39" s="140">
        <f>SUM(D35:D38)</f>
        <v>41846.696311224659</v>
      </c>
      <c r="E39" s="142">
        <f>SUM(E35:E38)</f>
        <v>20025.145688775345</v>
      </c>
      <c r="F39" s="42"/>
      <c r="G39" s="139">
        <f>SUM(G35:G38)</f>
        <v>0</v>
      </c>
      <c r="H39" s="140">
        <f>SUM(H35:H38)</f>
        <v>0</v>
      </c>
      <c r="I39" s="140">
        <f>SUM(I35:I38)</f>
        <v>0</v>
      </c>
      <c r="J39" s="143">
        <f>SUM(J35:J38)</f>
        <v>0</v>
      </c>
      <c r="K39" s="140"/>
      <c r="L39" s="140"/>
      <c r="M39" s="140">
        <f>SUM(M35:M38)</f>
        <v>0</v>
      </c>
      <c r="N39" s="142">
        <f>SUM(N35:N38)</f>
        <v>0</v>
      </c>
      <c r="O39" s="143">
        <f>J39-M39-N39</f>
        <v>0</v>
      </c>
      <c r="P39" s="44"/>
      <c r="Q39" s="139">
        <f>SUM(Q35:Q38)</f>
        <v>0</v>
      </c>
      <c r="R39" s="140"/>
      <c r="S39" s="140"/>
      <c r="T39" s="140">
        <f>SUM(T35:T38)</f>
        <v>0</v>
      </c>
      <c r="U39" s="140">
        <f>SUM(U35:U38)</f>
        <v>0</v>
      </c>
      <c r="V39" s="142">
        <f>SUM(V35:V38)</f>
        <v>0</v>
      </c>
    </row>
    <row r="40" spans="1:35" ht="3" customHeight="1" x14ac:dyDescent="0.2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">
      <c r="A41" s="29" t="s">
        <v>8</v>
      </c>
      <c r="B41" s="38"/>
      <c r="C41" s="41">
        <f>Y41</f>
        <v>5000</v>
      </c>
      <c r="D41" s="42">
        <f>SUM(Z41:AC41)</f>
        <v>15631.159686319879</v>
      </c>
      <c r="E41" s="66">
        <f>C41-D41</f>
        <v>-10631.159686319879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9348.5643333333337</v>
      </c>
      <c r="AC41" s="44">
        <f>_xll.HPVAL($X41,$X$1,AC$1,$X$2,$X$3,$X$5)/1000</f>
        <v>6282.5953529865465</v>
      </c>
      <c r="AE41" s="44">
        <f>_xll.HPVAL($X41,$AE$2,AE$1,$AF$2,$X$3,$X$5)/1000</f>
        <v>1400</v>
      </c>
      <c r="AF41" s="44"/>
      <c r="AG41" s="44">
        <f>_xll.HPVAL($X41,$AE$2,AG$1,$AF$2,$X$3,$X$5)/1000</f>
        <v>0</v>
      </c>
      <c r="AH41" s="44">
        <f>_xll.HPVAL($X41,$AE$2,AH$1,$AF$2,$X$3,$X$5)/1000</f>
        <v>5118.4750000000004</v>
      </c>
      <c r="AI41" s="44">
        <f>_xll.HPVAL($X41,$AE$2,AI$1,$AF$2,$X$3,$X$5)/1000</f>
        <v>2304.7450953035391</v>
      </c>
    </row>
    <row r="42" spans="1:35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">
      <c r="A43" s="29" t="s">
        <v>7</v>
      </c>
      <c r="B43" s="38"/>
      <c r="C43" s="41"/>
      <c r="D43" s="42">
        <f>SUM(Z43:AC43)</f>
        <v>14863.522245450824</v>
      </c>
      <c r="E43" s="66">
        <f>C43-D43</f>
        <v>-14863.522245450824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9335.6773011571877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2759.038</v>
      </c>
      <c r="AI43" s="44">
        <f>_xll.HPVAL($X43,$AE$2,AI$1,$AF$2,$X$3,$X$5)/1000</f>
        <v>4525.6534341169281</v>
      </c>
    </row>
    <row r="44" spans="1:35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">
      <c r="A45" s="75" t="s">
        <v>10</v>
      </c>
      <c r="B45" s="70"/>
      <c r="C45" s="139">
        <f>SUM(C39:C43)+C19+C27+C33</f>
        <v>628698.32850000006</v>
      </c>
      <c r="D45" s="140">
        <f>SUM(D39:D43)+D19+D27+D33</f>
        <v>391114.1528492053</v>
      </c>
      <c r="E45" s="142">
        <f>SUM(E39:E43)+E19+E27+E33</f>
        <v>237584.17565079458</v>
      </c>
      <c r="F45" s="67"/>
      <c r="G45" s="139">
        <f>SUM(G39:G43)+G19+G27+G33</f>
        <v>0</v>
      </c>
      <c r="H45" s="140">
        <f>SUM(H39:H43)+H19+H27+H33</f>
        <v>0</v>
      </c>
      <c r="I45" s="140">
        <f>SUM(I39:I43)+I19+I27+I33</f>
        <v>0</v>
      </c>
      <c r="J45" s="143">
        <f>SUM(J39:J43)+J19+J27+J33</f>
        <v>0</v>
      </c>
      <c r="K45" s="140"/>
      <c r="L45" s="140"/>
      <c r="M45" s="140">
        <f>SUM(M39:M43)+M19+M27+M33</f>
        <v>0</v>
      </c>
      <c r="N45" s="142">
        <f>SUM(N39:N43)+N19+N27+N33</f>
        <v>0</v>
      </c>
      <c r="O45" s="143">
        <f>J45-M45-N45</f>
        <v>0</v>
      </c>
      <c r="P45" s="71"/>
      <c r="Q45" s="139">
        <f>SUM(Q39:Q43)+Q19+Q27+Q33</f>
        <v>0</v>
      </c>
      <c r="R45" s="140"/>
      <c r="S45" s="140"/>
      <c r="T45" s="140">
        <f>SUM(T39:T43)+T19+T27+T33</f>
        <v>0</v>
      </c>
      <c r="U45" s="140">
        <f>SUM(U39:U43)+U19+U27+U33</f>
        <v>0</v>
      </c>
      <c r="V45" s="142">
        <f>SUM(V39:V43)+V19+V27+V33</f>
        <v>0</v>
      </c>
      <c r="X45" s="68"/>
    </row>
    <row r="46" spans="1:35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">
      <c r="A47" s="29" t="s">
        <v>48</v>
      </c>
      <c r="B47" s="38"/>
      <c r="C47" s="41"/>
      <c r="D47" s="42">
        <f>SUM(Z47:AC47)</f>
        <v>24275.636993527238</v>
      </c>
      <c r="E47" s="66">
        <f>C47-D47</f>
        <v>-24275.636993527238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137542.68730988182</v>
      </c>
      <c r="AC47" s="44">
        <f>_xll.HPVAL($X47,$X$1,AC$1,$X$2,$X$3,$X$5)/1000</f>
        <v>-113267.05031635458</v>
      </c>
      <c r="AE47" s="44"/>
      <c r="AF47" s="44"/>
      <c r="AG47" s="44"/>
      <c r="AH47" s="44">
        <f>_xll.HPVAL($X47,$AE$2,AH$1,$AF$2,$X$3,$X$5)/1000</f>
        <v>71928.884000000005</v>
      </c>
      <c r="AI47" s="44">
        <f>_xll.HPVAL($X47,$AE$2,AI$1,$AF$2,$X$3,$X$5)/1000</f>
        <v>-50176.3465864639</v>
      </c>
    </row>
    <row r="48" spans="1:35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6">
        <f>C49-D49</f>
        <v>-70877.823797643257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-22139.947</v>
      </c>
      <c r="AF49" s="44"/>
      <c r="AG49" s="44"/>
      <c r="AH49" s="44">
        <f>_xll.HPVAL($X49,$AE$2,AH$1,$AF$2,$X$3,$X$5)/1000</f>
        <v>14701.886</v>
      </c>
      <c r="AI49" s="44"/>
    </row>
    <row r="50" spans="1:35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">
      <c r="A51" s="29" t="s">
        <v>60</v>
      </c>
      <c r="B51" s="38"/>
      <c r="C51" s="41"/>
      <c r="D51" s="42">
        <f>SUM(Z51:AC51)</f>
        <v>-82812.929999999993</v>
      </c>
      <c r="E51" s="66">
        <f>C51-D51</f>
        <v>82812.929999999993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-32722.428</v>
      </c>
      <c r="AH51" s="44"/>
      <c r="AI51" s="44"/>
    </row>
    <row r="52" spans="1:35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">
      <c r="A53" s="29" t="s">
        <v>19</v>
      </c>
      <c r="B53" s="38"/>
      <c r="C53" s="41">
        <f>Y53</f>
        <v>100909.71799999999</v>
      </c>
      <c r="D53" s="42"/>
      <c r="E53" s="66">
        <f>C53-D53</f>
        <v>100909.71799999999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>
        <f>_xll.HPVAL($X53,$X$1,Y$1,$X$2,$X$3,$X$5)/1000</f>
        <v>100909.71799999999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">
      <c r="A55" s="75" t="s">
        <v>65</v>
      </c>
      <c r="B55" s="38"/>
      <c r="C55" s="139">
        <f>SUM(C45:C53)</f>
        <v>708017.94050000003</v>
      </c>
      <c r="D55" s="140">
        <f>SUM(D45:D53)</f>
        <v>381864.57764037582</v>
      </c>
      <c r="E55" s="142">
        <f>SUM(E45:E53)</f>
        <v>326153.36285962409</v>
      </c>
      <c r="F55" s="42"/>
      <c r="G55" s="139">
        <f t="shared" ref="G55:N55" si="14">SUM(G45:G53)</f>
        <v>0</v>
      </c>
      <c r="H55" s="140">
        <f t="shared" si="14"/>
        <v>0</v>
      </c>
      <c r="I55" s="140">
        <f t="shared" si="14"/>
        <v>0</v>
      </c>
      <c r="J55" s="143">
        <f t="shared" si="14"/>
        <v>0</v>
      </c>
      <c r="K55" s="140"/>
      <c r="L55" s="140"/>
      <c r="M55" s="140">
        <f t="shared" si="14"/>
        <v>0</v>
      </c>
      <c r="N55" s="142">
        <f t="shared" si="14"/>
        <v>0</v>
      </c>
      <c r="O55" s="143">
        <f>J55-M55-N55</f>
        <v>0</v>
      </c>
      <c r="P55" s="44"/>
      <c r="Q55" s="139">
        <f>SUM(Q45:Q53)</f>
        <v>0</v>
      </c>
      <c r="R55" s="140"/>
      <c r="S55" s="140"/>
      <c r="T55" s="140">
        <f>SUM(T45:T53)</f>
        <v>0</v>
      </c>
      <c r="U55" s="140">
        <f>SUM(U45:U53)</f>
        <v>0</v>
      </c>
      <c r="V55" s="142">
        <f>SUM(V45:V53)</f>
        <v>0</v>
      </c>
    </row>
    <row r="56" spans="1:35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3">
      <c r="A59" s="75" t="s">
        <v>66</v>
      </c>
      <c r="B59" s="38"/>
      <c r="C59" s="95">
        <f>SUM(C55:C57)</f>
        <v>708017.94050000003</v>
      </c>
      <c r="D59" s="96">
        <f>SUM(D55:D57)</f>
        <v>402464.57764037582</v>
      </c>
      <c r="E59" s="97">
        <f>SUM(E55:E57)</f>
        <v>305553.36285962409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3">
      <c r="A61" s="55"/>
      <c r="C61" s="44"/>
      <c r="D61" s="44"/>
      <c r="E61" s="44"/>
      <c r="F61" s="44"/>
    </row>
    <row r="62" spans="1:35" x14ac:dyDescent="0.2">
      <c r="A62" s="176" t="s">
        <v>149</v>
      </c>
      <c r="C62" s="44"/>
      <c r="D62" s="44"/>
      <c r="E62" s="44"/>
      <c r="F62" s="44"/>
    </row>
    <row r="63" spans="1:35" x14ac:dyDescent="0.2">
      <c r="C63" s="44"/>
      <c r="D63" s="44"/>
      <c r="E63" s="44"/>
      <c r="F63" s="44"/>
    </row>
    <row r="64" spans="1:35" x14ac:dyDescent="0.2">
      <c r="C64" s="44"/>
      <c r="D64" s="44"/>
      <c r="E64" s="44"/>
      <c r="F64" s="44"/>
    </row>
    <row r="65" spans="3:6" x14ac:dyDescent="0.2">
      <c r="C65" s="44"/>
      <c r="D65" s="44"/>
      <c r="E65" s="44"/>
      <c r="F65" s="44"/>
    </row>
    <row r="66" spans="3:6" x14ac:dyDescent="0.2">
      <c r="C66" s="44"/>
      <c r="D66" s="44"/>
      <c r="E66" s="44"/>
      <c r="F66" s="44"/>
    </row>
    <row r="67" spans="3:6" x14ac:dyDescent="0.2">
      <c r="C67" s="44"/>
      <c r="D67" s="44"/>
      <c r="E67" s="44"/>
      <c r="F67" s="44"/>
    </row>
    <row r="68" spans="3:6" x14ac:dyDescent="0.2">
      <c r="C68" s="44"/>
      <c r="D68" s="44"/>
      <c r="E68" s="44"/>
      <c r="F68" s="44"/>
    </row>
    <row r="69" spans="3:6" x14ac:dyDescent="0.2">
      <c r="C69" s="44"/>
      <c r="D69" s="44"/>
      <c r="E69" s="44"/>
      <c r="F69" s="44"/>
    </row>
    <row r="70" spans="3:6" x14ac:dyDescent="0.2">
      <c r="C70" s="44"/>
      <c r="D70" s="44"/>
      <c r="E70" s="44"/>
      <c r="F70" s="44"/>
    </row>
    <row r="71" spans="3:6" x14ac:dyDescent="0.2">
      <c r="C71" s="44"/>
      <c r="D71" s="44"/>
      <c r="E71" s="44"/>
      <c r="F71" s="44"/>
    </row>
    <row r="72" spans="3:6" x14ac:dyDescent="0.2">
      <c r="C72" s="44"/>
      <c r="D72" s="44"/>
      <c r="E72" s="44"/>
      <c r="F72" s="44"/>
    </row>
    <row r="73" spans="3:6" x14ac:dyDescent="0.2">
      <c r="C73" s="44"/>
      <c r="D73" s="44"/>
      <c r="E73" s="44"/>
      <c r="F73" s="44"/>
    </row>
    <row r="74" spans="3:6" x14ac:dyDescent="0.2">
      <c r="C74" s="44"/>
      <c r="D74" s="44"/>
      <c r="E74" s="44"/>
      <c r="F74" s="44"/>
    </row>
    <row r="75" spans="3:6" x14ac:dyDescent="0.2">
      <c r="C75" s="44"/>
      <c r="D75" s="44"/>
      <c r="E75" s="44"/>
      <c r="F75" s="44"/>
    </row>
    <row r="76" spans="3:6" x14ac:dyDescent="0.2">
      <c r="C76" s="44"/>
      <c r="D76" s="44"/>
      <c r="E76" s="44"/>
      <c r="F76" s="44"/>
    </row>
    <row r="77" spans="3:6" x14ac:dyDescent="0.2">
      <c r="C77" s="44"/>
      <c r="D77" s="44"/>
      <c r="E77" s="44"/>
      <c r="F77" s="44"/>
    </row>
    <row r="78" spans="3:6" x14ac:dyDescent="0.2">
      <c r="C78" s="44"/>
      <c r="D78" s="44"/>
      <c r="E78" s="44"/>
      <c r="F78" s="44"/>
    </row>
    <row r="79" spans="3:6" x14ac:dyDescent="0.2">
      <c r="C79" s="44"/>
      <c r="D79" s="44"/>
      <c r="E79" s="44"/>
      <c r="F79" s="44"/>
    </row>
    <row r="80" spans="3:6" x14ac:dyDescent="0.2">
      <c r="C80" s="44"/>
      <c r="D80" s="44"/>
      <c r="E80" s="44"/>
      <c r="F80" s="44"/>
    </row>
    <row r="81" spans="3:6" x14ac:dyDescent="0.2">
      <c r="C81" s="44"/>
      <c r="D81" s="44"/>
      <c r="E81" s="44"/>
      <c r="F81" s="44"/>
    </row>
    <row r="82" spans="3:6" x14ac:dyDescent="0.2">
      <c r="C82" s="44"/>
      <c r="D82" s="44"/>
      <c r="E82" s="44"/>
      <c r="F82" s="44"/>
    </row>
    <row r="83" spans="3:6" x14ac:dyDescent="0.2">
      <c r="C83" s="44"/>
      <c r="D83" s="44"/>
      <c r="E83" s="44"/>
      <c r="F83" s="44"/>
    </row>
    <row r="84" spans="3:6" x14ac:dyDescent="0.2">
      <c r="C84" s="44"/>
      <c r="D84" s="44"/>
      <c r="E84" s="44"/>
      <c r="F84" s="44"/>
    </row>
    <row r="85" spans="3:6" x14ac:dyDescent="0.2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6.88671875" style="25" hidden="1" customWidth="1"/>
    <col min="2" max="2" width="23.6640625" style="27" customWidth="1"/>
    <col min="3" max="3" width="1" style="27" customWidth="1"/>
    <col min="4" max="4" width="7.6640625" style="27" customWidth="1"/>
    <col min="5" max="5" width="8.5546875" style="27" customWidth="1"/>
    <col min="6" max="6" width="7.6640625" style="27" customWidth="1"/>
    <col min="7" max="7" width="0.88671875" style="27" customWidth="1"/>
    <col min="8" max="10" width="7.6640625" style="27" customWidth="1"/>
    <col min="11" max="11" width="0.88671875" style="27" customWidth="1"/>
    <col min="12" max="14" width="7.6640625" style="27" customWidth="1"/>
    <col min="15" max="15" width="0.88671875" style="27" customWidth="1"/>
    <col min="16" max="18" width="7.6640625" style="27" customWidth="1"/>
    <col min="19" max="19" width="0.88671875" style="27" customWidth="1"/>
    <col min="20" max="22" width="7.6640625" style="27" customWidth="1"/>
    <col min="23" max="16384" width="9.109375" style="27"/>
  </cols>
  <sheetData>
    <row r="1" spans="1:22" s="25" customFormat="1" hidden="1" x14ac:dyDescent="0.2">
      <c r="D1" s="25" t="s">
        <v>64</v>
      </c>
      <c r="E1" s="25" t="s">
        <v>102</v>
      </c>
      <c r="F1" s="141">
        <v>36586</v>
      </c>
      <c r="H1" s="25" t="s">
        <v>102</v>
      </c>
      <c r="I1" s="25" t="s">
        <v>102</v>
      </c>
      <c r="J1" s="141">
        <v>36678</v>
      </c>
      <c r="L1" s="25" t="s">
        <v>102</v>
      </c>
      <c r="M1" s="25" t="s">
        <v>102</v>
      </c>
      <c r="N1" s="141">
        <v>36770</v>
      </c>
      <c r="P1" s="25" t="s">
        <v>102</v>
      </c>
      <c r="Q1" s="25" t="s">
        <v>102</v>
      </c>
      <c r="R1" s="141">
        <v>36861</v>
      </c>
      <c r="V1" s="141"/>
    </row>
    <row r="2" spans="1:22" ht="15.6" x14ac:dyDescent="0.3">
      <c r="A2" s="25" t="s">
        <v>80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</row>
    <row r="3" spans="1:22" ht="13.8" x14ac:dyDescent="0.25">
      <c r="A3" s="26" t="s">
        <v>81</v>
      </c>
      <c r="B3" s="318" t="s">
        <v>159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</row>
    <row r="4" spans="1:22" ht="13.8" x14ac:dyDescent="0.3">
      <c r="A4" s="25" t="s">
        <v>125</v>
      </c>
      <c r="B4" s="319" t="s">
        <v>160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</row>
    <row r="5" spans="1:22" ht="3" customHeight="1" x14ac:dyDescent="0.2"/>
    <row r="6" spans="1:22" ht="12" customHeight="1" x14ac:dyDescent="0.2">
      <c r="B6" s="28"/>
      <c r="D6" s="320" t="s">
        <v>79</v>
      </c>
      <c r="E6" s="321"/>
      <c r="F6" s="322"/>
      <c r="H6" s="320" t="s">
        <v>83</v>
      </c>
      <c r="I6" s="321"/>
      <c r="J6" s="322"/>
      <c r="L6" s="320" t="s">
        <v>84</v>
      </c>
      <c r="M6" s="321"/>
      <c r="N6" s="322"/>
      <c r="P6" s="320" t="s">
        <v>85</v>
      </c>
      <c r="Q6" s="321"/>
      <c r="R6" s="322"/>
      <c r="T6" s="320" t="s">
        <v>14</v>
      </c>
      <c r="U6" s="321"/>
      <c r="V6" s="322"/>
    </row>
    <row r="7" spans="1:22" ht="12" customHeight="1" x14ac:dyDescent="0.2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">
      <c r="A10" s="25" t="s">
        <v>26</v>
      </c>
      <c r="B10" s="29" t="s">
        <v>3</v>
      </c>
      <c r="C10" s="38"/>
      <c r="D10" s="59">
        <f>ROUND(_xll.HPVAL($A10,D$1,$A$2,F$1,$A$3,$A$4)/1000,0)</f>
        <v>43570</v>
      </c>
      <c r="E10" s="60">
        <f>ROUND(_xll.HPVAL($A10,E$1,$A$2,F$1,$A$3,$A$4)/1000,0)</f>
        <v>25487</v>
      </c>
      <c r="F10" s="66">
        <f t="shared" ref="F10:F19" si="0">ROUND(D10-E10,0)</f>
        <v>18083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123266</v>
      </c>
      <c r="U10" s="60">
        <f>E10+I10+M10+Q10</f>
        <v>105183</v>
      </c>
      <c r="V10" s="66">
        <f t="shared" ref="V10:V19" si="4">ROUND(T10-U10,0)</f>
        <v>18083</v>
      </c>
    </row>
    <row r="11" spans="1:22" ht="12" customHeight="1" x14ac:dyDescent="0.2">
      <c r="A11" s="25" t="s">
        <v>110</v>
      </c>
      <c r="B11" s="29" t="s">
        <v>106</v>
      </c>
      <c r="C11" s="38"/>
      <c r="D11" s="41">
        <f>ROUND(_xll.HPVAL($A11,D$1,$A$2,F$1,$A$3,$A$4)/1000,0)-D30</f>
        <v>44414</v>
      </c>
      <c r="E11" s="42">
        <f>ROUND(_xll.HPVAL($A11,E$1,$A$2,F$1,$A$3,$A$4)/1000,0)-E30</f>
        <v>21459</v>
      </c>
      <c r="F11" s="66">
        <f t="shared" si="0"/>
        <v>22955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6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6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6">
        <f t="shared" si="3"/>
        <v>0</v>
      </c>
      <c r="S11" s="42"/>
      <c r="T11" s="41">
        <f t="shared" ref="T11:T19" si="5">D11+H11+L11+P11</f>
        <v>120266</v>
      </c>
      <c r="U11" s="42">
        <f t="shared" ref="U11:U19" si="6">E11+I11+M11+Q11</f>
        <v>97311</v>
      </c>
      <c r="V11" s="66">
        <f t="shared" si="4"/>
        <v>22955</v>
      </c>
    </row>
    <row r="12" spans="1:22" ht="12" customHeight="1" x14ac:dyDescent="0.2">
      <c r="A12" s="25" t="s">
        <v>27</v>
      </c>
      <c r="B12" s="29" t="s">
        <v>132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24262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6">
        <f t="shared" si="0"/>
        <v>3490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6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6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6">
        <f t="shared" si="3"/>
        <v>0</v>
      </c>
      <c r="S12" s="42"/>
      <c r="T12" s="41">
        <f t="shared" si="5"/>
        <v>86591</v>
      </c>
      <c r="U12" s="42">
        <f t="shared" si="6"/>
        <v>83101</v>
      </c>
      <c r="V12" s="66">
        <f t="shared" si="4"/>
        <v>3490</v>
      </c>
    </row>
    <row r="13" spans="1:22" ht="12" customHeight="1" x14ac:dyDescent="0.2">
      <c r="A13" s="25" t="s">
        <v>134</v>
      </c>
      <c r="B13" s="29" t="s">
        <v>133</v>
      </c>
      <c r="C13" s="38"/>
      <c r="D13" s="41">
        <f>ROUND(_xll.HPVAL($A13,D$1,$A$2,F$1,$A$3,$A$4)/1000,0)-D12</f>
        <v>33727</v>
      </c>
      <c r="E13" s="42">
        <f>ROUND(_xll.HPVAL($A13,E$1,$A$2,F$1,$A$3,$A$4)/1000,0)-E12</f>
        <v>9011</v>
      </c>
      <c r="F13" s="66">
        <f>ROUND(D13-E13,0)</f>
        <v>24716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6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6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6">
        <f>ROUND(P13-Q13,0)</f>
        <v>0</v>
      </c>
      <c r="S13" s="42"/>
      <c r="T13" s="41">
        <f>D13+H13+L13+P13</f>
        <v>60673</v>
      </c>
      <c r="U13" s="42">
        <f>E13+I13+M13+Q13</f>
        <v>35957</v>
      </c>
      <c r="V13" s="66">
        <f>ROUND(T13-U13,0)</f>
        <v>24716</v>
      </c>
    </row>
    <row r="14" spans="1:22" ht="12" customHeight="1" x14ac:dyDescent="0.2">
      <c r="A14" s="25" t="s">
        <v>43</v>
      </c>
      <c r="B14" s="29" t="s">
        <v>114</v>
      </c>
      <c r="C14" s="38"/>
      <c r="D14" s="41">
        <f>ROUND(_xll.HPVAL($A14,D$1,$A$2,F$1,$A$3,$A$4)/1000,0)</f>
        <v>17136</v>
      </c>
      <c r="E14" s="42">
        <f>ROUND(_xll.HPVAL($A14,E$1,$A$2,F$1,$A$3,$A$4)/1000,0)</f>
        <v>17550</v>
      </c>
      <c r="F14" s="66">
        <f t="shared" si="0"/>
        <v>-414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71628</v>
      </c>
      <c r="U14" s="42">
        <f t="shared" si="6"/>
        <v>72042</v>
      </c>
      <c r="V14" s="66">
        <f t="shared" si="4"/>
        <v>-414</v>
      </c>
    </row>
    <row r="15" spans="1:22" ht="12" customHeight="1" x14ac:dyDescent="0.2">
      <c r="A15" s="25" t="s">
        <v>28</v>
      </c>
      <c r="B15" s="29" t="s">
        <v>5</v>
      </c>
      <c r="C15" s="38"/>
      <c r="D15" s="41">
        <f>ROUND(_xll.HPVAL($A15,D$1,$A$2,F$1,$A$3,$A$4)/1000,0)</f>
        <v>-3979</v>
      </c>
      <c r="E15" s="42">
        <f>ROUND(_xll.HPVAL($A15,E$1,$A$2,F$1,$A$3,$A$4)/1000,0)</f>
        <v>8020</v>
      </c>
      <c r="F15" s="66">
        <f t="shared" si="0"/>
        <v>-11999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19340</v>
      </c>
      <c r="U15" s="42">
        <f t="shared" si="6"/>
        <v>31339</v>
      </c>
      <c r="V15" s="66">
        <f t="shared" si="4"/>
        <v>-11999</v>
      </c>
    </row>
    <row r="16" spans="1:22" ht="12" customHeight="1" x14ac:dyDescent="0.2">
      <c r="A16" s="25" t="s">
        <v>30</v>
      </c>
      <c r="B16" s="29" t="s">
        <v>155</v>
      </c>
      <c r="C16" s="38"/>
      <c r="D16" s="41">
        <f>ROUND(_xll.HPVAL($A16,D$1,$A$2,F$1,$A$3,$A$4)/1000,0)</f>
        <v>3057</v>
      </c>
      <c r="E16" s="42">
        <f>ROUND(_xll.HPVAL($A16,E$1,$A$2,F$1,$A$3,$A$4)/1000,0)</f>
        <v>1493</v>
      </c>
      <c r="F16" s="66">
        <f t="shared" si="0"/>
        <v>1564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7670</v>
      </c>
      <c r="U16" s="42">
        <f t="shared" si="6"/>
        <v>6106</v>
      </c>
      <c r="V16" s="66">
        <f t="shared" si="4"/>
        <v>1564</v>
      </c>
    </row>
    <row r="17" spans="1:22" ht="12" customHeight="1" x14ac:dyDescent="0.2">
      <c r="A17" s="25" t="s">
        <v>4</v>
      </c>
      <c r="B17" s="29" t="s">
        <v>107</v>
      </c>
      <c r="C17" s="38"/>
      <c r="D17" s="41">
        <f>ROUND(_xll.HPVAL($A17,D$1,$A$2,F$1,$A$3,$A$4)/1000,0)</f>
        <v>3402</v>
      </c>
      <c r="E17" s="42">
        <f>ROUND(_xll.HPVAL($A17,E$1,$A$2,F$1,$A$3,$A$4)/1000,0)</f>
        <v>409</v>
      </c>
      <c r="F17" s="66">
        <f t="shared" si="0"/>
        <v>2993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4595</v>
      </c>
      <c r="U17" s="42">
        <f t="shared" si="6"/>
        <v>1602</v>
      </c>
      <c r="V17" s="66">
        <f t="shared" si="4"/>
        <v>2993</v>
      </c>
    </row>
    <row r="18" spans="1:22" ht="12" customHeight="1" x14ac:dyDescent="0.2">
      <c r="A18" s="25" t="s">
        <v>73</v>
      </c>
      <c r="B18" s="29" t="s">
        <v>156</v>
      </c>
      <c r="C18" s="38"/>
      <c r="D18" s="41">
        <f>ROUND(_xll.HPVAL($A18,D$1,$A$2,F$1,$A$3,$A$4)/1000,0)</f>
        <v>-1549</v>
      </c>
      <c r="E18" s="42">
        <f>ROUND(_xll.HPVAL($A18,E$1,$A$2,F$1,$A$3,$A$4)/1000,0)</f>
        <v>6495</v>
      </c>
      <c r="F18" s="66">
        <f t="shared" si="0"/>
        <v>-8044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16956</v>
      </c>
      <c r="U18" s="42">
        <f t="shared" si="6"/>
        <v>25000</v>
      </c>
      <c r="V18" s="66">
        <f t="shared" si="4"/>
        <v>-8044</v>
      </c>
    </row>
    <row r="19" spans="1:22" ht="12" customHeight="1" x14ac:dyDescent="0.2">
      <c r="A19" s="25" t="s">
        <v>31</v>
      </c>
      <c r="B19" s="29" t="s">
        <v>2</v>
      </c>
      <c r="C19" s="38"/>
      <c r="D19" s="41">
        <f>ROUND(_xll.HPVAL($A19,D$1,$A$2,F$1,$A$3,$A$4)/1000,0)</f>
        <v>-6358</v>
      </c>
      <c r="E19" s="42">
        <f>ROUND(_xll.HPVAL($A19,E$1,$A$2,F$1,$A$3,$A$4)/1000,0)</f>
        <v>-169</v>
      </c>
      <c r="F19" s="66">
        <f t="shared" si="0"/>
        <v>-6189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6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6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6">
        <f t="shared" si="3"/>
        <v>0</v>
      </c>
      <c r="S19" s="42"/>
      <c r="T19" s="41">
        <f t="shared" si="5"/>
        <v>-6865</v>
      </c>
      <c r="U19" s="42">
        <f t="shared" si="6"/>
        <v>-676</v>
      </c>
      <c r="V19" s="66">
        <f t="shared" si="4"/>
        <v>-6189</v>
      </c>
    </row>
    <row r="20" spans="1:22" ht="12" customHeight="1" x14ac:dyDescent="0.2">
      <c r="B20" s="75" t="s">
        <v>6</v>
      </c>
      <c r="C20" s="38"/>
      <c r="D20" s="139">
        <f>SUM(D10:D19)</f>
        <v>157682</v>
      </c>
      <c r="E20" s="140">
        <f>SUM(E10:E19)</f>
        <v>110527</v>
      </c>
      <c r="F20" s="142">
        <f>SUM(F10:F19)</f>
        <v>47155</v>
      </c>
      <c r="G20" s="42"/>
      <c r="H20" s="139">
        <f>SUM(H10:H19)</f>
        <v>115839</v>
      </c>
      <c r="I20" s="140">
        <f>SUM(I10:I19)</f>
        <v>115839</v>
      </c>
      <c r="J20" s="142">
        <f>SUM(J10:J19)</f>
        <v>0</v>
      </c>
      <c r="K20" s="42"/>
      <c r="L20" s="139">
        <f>SUM(L10:L19)</f>
        <v>120173</v>
      </c>
      <c r="M20" s="140">
        <f>SUM(M10:M19)</f>
        <v>120173</v>
      </c>
      <c r="N20" s="142">
        <f>SUM(N10:N19)</f>
        <v>0</v>
      </c>
      <c r="O20" s="42"/>
      <c r="P20" s="139">
        <f>SUM(P10:P19)</f>
        <v>110426</v>
      </c>
      <c r="Q20" s="140">
        <f>SUM(Q10:Q19)</f>
        <v>110426</v>
      </c>
      <c r="R20" s="142">
        <f>SUM(R10:R19)</f>
        <v>0</v>
      </c>
      <c r="S20" s="42"/>
      <c r="T20" s="139">
        <f>SUM(T10:T19)</f>
        <v>504120</v>
      </c>
      <c r="U20" s="140">
        <f>SUM(U10:U19)</f>
        <v>456965</v>
      </c>
      <c r="V20" s="142">
        <f>SUM(V10:V19)</f>
        <v>47155</v>
      </c>
    </row>
    <row r="21" spans="1:22" ht="3" customHeight="1" x14ac:dyDescent="0.2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">
      <c r="A22" s="25" t="s">
        <v>32</v>
      </c>
      <c r="B22" s="29" t="s">
        <v>88</v>
      </c>
      <c r="C22" s="38"/>
      <c r="D22" s="41">
        <f>ROUND(_xll.HPVAL($A22,D$1,$A$2,F$1,$A$3,$A$4)/1000,0)</f>
        <v>-4543</v>
      </c>
      <c r="E22" s="42">
        <f>ROUND(_xll.HPVAL($A22,E$1,$A$2,F$1,$A$3,$A$4)/1000,0)</f>
        <v>5263</v>
      </c>
      <c r="F22" s="66">
        <f t="shared" ref="F22:F27" si="7">ROUND(D22-E22,0)</f>
        <v>-9806</v>
      </c>
      <c r="G22" s="42"/>
      <c r="H22" s="41">
        <f>ROUND(_xll.HPVAL($A22,H$1,$A$2,J$1,$A$3,$A$4)/1000,0)</f>
        <v>11687</v>
      </c>
      <c r="I22" s="42">
        <f>ROUND(_xll.HPVAL($A22,I$1,$A$2,J$1,$A$3,$A$4)/1000,0)</f>
        <v>11687</v>
      </c>
      <c r="J22" s="66">
        <f t="shared" ref="J22:J27" si="8">ROUND(H22-I22,0)</f>
        <v>0</v>
      </c>
      <c r="K22" s="42"/>
      <c r="L22" s="41">
        <f>ROUND(_xll.HPVAL($A22,L$1,$A$2,N$1,$A$3,$A$4)/1000,0)</f>
        <v>12579</v>
      </c>
      <c r="M22" s="42">
        <f>ROUND(_xll.HPVAL($A22,M$1,$A$2,N$1,$A$3,$A$4)/1000,0)</f>
        <v>12579</v>
      </c>
      <c r="N22" s="66">
        <f t="shared" ref="N22:N27" si="9">ROUND(L22-M22,0)</f>
        <v>0</v>
      </c>
      <c r="O22" s="42"/>
      <c r="P22" s="41">
        <f>ROUND(_xll.HPVAL($A22,P$1,$A$2,R$1,$A$3,$A$4)/1000,0)</f>
        <v>12085</v>
      </c>
      <c r="Q22" s="42">
        <f>ROUND(_xll.HPVAL($A22,Q$1,$A$2,R$1,$A$3,$A$4)/1000,0)</f>
        <v>12085</v>
      </c>
      <c r="R22" s="66">
        <f t="shared" ref="R22:R27" si="10">ROUND(P22-Q22,0)</f>
        <v>0</v>
      </c>
      <c r="S22" s="42"/>
      <c r="T22" s="41">
        <f t="shared" ref="T22:T27" si="11">D22+H22+L22+P22</f>
        <v>31808</v>
      </c>
      <c r="U22" s="42">
        <f t="shared" ref="U22:U27" si="12">E22+I22+M22+Q22</f>
        <v>41614</v>
      </c>
      <c r="V22" s="66">
        <f t="shared" ref="V22:V27" si="13">ROUND(T22-U22,0)</f>
        <v>-9806</v>
      </c>
    </row>
    <row r="23" spans="1:22" ht="12" customHeight="1" x14ac:dyDescent="0.2">
      <c r="A23" s="25" t="s">
        <v>38</v>
      </c>
      <c r="B23" s="29" t="s">
        <v>89</v>
      </c>
      <c r="C23" s="38"/>
      <c r="D23" s="41">
        <f>ROUND(_xll.HPVAL($A23,D$1,$A$2,F$1,$A$3,$A$4)/1000,0)</f>
        <v>3195</v>
      </c>
      <c r="E23" s="42">
        <f>ROUND(_xll.HPVAL($A23,E$1,$A$2,F$1,$A$3,$A$4)/1000,0)</f>
        <v>5771</v>
      </c>
      <c r="F23" s="66">
        <f t="shared" si="7"/>
        <v>-2576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6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6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6">
        <f t="shared" si="10"/>
        <v>0</v>
      </c>
      <c r="S23" s="42"/>
      <c r="T23" s="41">
        <f t="shared" si="11"/>
        <v>55082</v>
      </c>
      <c r="U23" s="42">
        <f t="shared" si="12"/>
        <v>57658</v>
      </c>
      <c r="V23" s="66">
        <f t="shared" si="13"/>
        <v>-2576</v>
      </c>
    </row>
    <row r="24" spans="1:22" ht="12" customHeight="1" x14ac:dyDescent="0.2">
      <c r="A24" s="25" t="s">
        <v>35</v>
      </c>
      <c r="B24" s="29" t="s">
        <v>90</v>
      </c>
      <c r="C24" s="38"/>
      <c r="D24" s="41">
        <f>ROUND(_xll.HPVAL($A24,D$1,$A$2,F$1,$A$3,$A$4)/1000,0)</f>
        <v>-1477</v>
      </c>
      <c r="E24" s="42">
        <f>ROUND(_xll.HPVAL($A24,E$1,$A$2,F$1,$A$3,$A$4)/1000,0)</f>
        <v>8270</v>
      </c>
      <c r="F24" s="66">
        <f t="shared" si="7"/>
        <v>-9747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34053</v>
      </c>
      <c r="U24" s="42">
        <f t="shared" si="12"/>
        <v>43800</v>
      </c>
      <c r="V24" s="66">
        <f t="shared" si="13"/>
        <v>-9747</v>
      </c>
    </row>
    <row r="25" spans="1:22" ht="12" customHeight="1" x14ac:dyDescent="0.2">
      <c r="A25" s="25" t="s">
        <v>152</v>
      </c>
      <c r="B25" s="29" t="s">
        <v>91</v>
      </c>
      <c r="C25" s="38"/>
      <c r="D25" s="41">
        <f>ROUND(_xll.HPVAL($A25,D$1,$A$2,F$1,$A$3,$A$4)/1000,0)</f>
        <v>-1481</v>
      </c>
      <c r="E25" s="42">
        <f>ROUND(_xll.HPVAL($A25,E$1,$A$2,F$1,$A$3,$A$4)/1000,0)</f>
        <v>-1109</v>
      </c>
      <c r="F25" s="66">
        <f t="shared" si="7"/>
        <v>-372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16296</v>
      </c>
      <c r="U25" s="42">
        <f t="shared" si="12"/>
        <v>16668</v>
      </c>
      <c r="V25" s="66">
        <f t="shared" si="13"/>
        <v>-372</v>
      </c>
    </row>
    <row r="26" spans="1:22" ht="12" customHeight="1" x14ac:dyDescent="0.2">
      <c r="A26" s="25" t="s">
        <v>103</v>
      </c>
      <c r="B26" s="29" t="s">
        <v>104</v>
      </c>
      <c r="C26" s="38"/>
      <c r="D26" s="41">
        <v>0</v>
      </c>
      <c r="E26" s="42">
        <f>ROUND(_xll.HPVAL($A26,E$1,$A$2,F$1,$A$3,$A$4)/1000,0)</f>
        <v>-2416</v>
      </c>
      <c r="F26" s="66">
        <f t="shared" si="7"/>
        <v>2416</v>
      </c>
      <c r="G26" s="42"/>
      <c r="H26" s="41">
        <f>ROUND(_xll.HPVAL($A26,H$1,$A$2,J$1,$A$3,$A$4)/1000,0)</f>
        <v>-2431</v>
      </c>
      <c r="I26" s="42">
        <f>ROUND(_xll.HPVAL($A26,I$1,$A$2,J$1,$A$3,$A$4)/1000,0)</f>
        <v>-2431</v>
      </c>
      <c r="J26" s="66">
        <f t="shared" si="8"/>
        <v>0</v>
      </c>
      <c r="K26" s="42"/>
      <c r="L26" s="41">
        <f>ROUND(_xll.HPVAL($A26,L$1,$A$2,N$1,$A$3,$A$4)/1000,0)</f>
        <v>-3034</v>
      </c>
      <c r="M26" s="42">
        <f>ROUND(_xll.HPVAL($A26,M$1,$A$2,N$1,$A$3,$A$4)/1000,0)</f>
        <v>-3034</v>
      </c>
      <c r="N26" s="66">
        <f t="shared" si="9"/>
        <v>0</v>
      </c>
      <c r="O26" s="42"/>
      <c r="P26" s="41">
        <f>ROUND(_xll.HPVAL($A26,P$1,$A$2,R$1,$A$3,$A$4)/1000,0)</f>
        <v>-3737</v>
      </c>
      <c r="Q26" s="42">
        <f>ROUND(_xll.HPVAL($A26,Q$1,$A$2,R$1,$A$3,$A$4)/1000,0)</f>
        <v>-3737</v>
      </c>
      <c r="R26" s="66">
        <f t="shared" si="10"/>
        <v>0</v>
      </c>
      <c r="S26" s="42"/>
      <c r="T26" s="41">
        <f t="shared" si="11"/>
        <v>-9202</v>
      </c>
      <c r="U26" s="42">
        <f t="shared" si="12"/>
        <v>-11618</v>
      </c>
      <c r="V26" s="66">
        <f t="shared" si="13"/>
        <v>2416</v>
      </c>
    </row>
    <row r="27" spans="1:22" ht="12" customHeight="1" x14ac:dyDescent="0.2">
      <c r="A27" s="25" t="s">
        <v>36</v>
      </c>
      <c r="B27" s="29" t="s">
        <v>0</v>
      </c>
      <c r="C27" s="38"/>
      <c r="D27" s="41">
        <f>ROUND(_xll.HPVAL($A27,D$1,$A$2,F$1,$A$3,$A$4)/1000,0)</f>
        <v>-2196</v>
      </c>
      <c r="E27" s="42">
        <f>ROUND(_xll.HPVAL($A27,E$1,$A$2,F$1,$A$3,$A$4)/1000,0)</f>
        <v>2200</v>
      </c>
      <c r="F27" s="66">
        <f t="shared" si="7"/>
        <v>-4396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3808</v>
      </c>
      <c r="U27" s="42">
        <f t="shared" si="12"/>
        <v>8204</v>
      </c>
      <c r="V27" s="66">
        <f t="shared" si="13"/>
        <v>-4396</v>
      </c>
    </row>
    <row r="28" spans="1:22" ht="12" customHeight="1" x14ac:dyDescent="0.2">
      <c r="A28" s="27"/>
      <c r="B28" s="75" t="s">
        <v>1</v>
      </c>
      <c r="C28" s="38"/>
      <c r="D28" s="139">
        <f>SUM(D22:D27)</f>
        <v>-6502</v>
      </c>
      <c r="E28" s="140">
        <f>SUM(E22:E27)</f>
        <v>17979</v>
      </c>
      <c r="F28" s="142">
        <f>SUM(F22:F27)</f>
        <v>-24481</v>
      </c>
      <c r="G28" s="42"/>
      <c r="H28" s="139">
        <f>SUM(H22:H27)</f>
        <v>31207</v>
      </c>
      <c r="I28" s="140">
        <f>SUM(I22:I27)</f>
        <v>31207</v>
      </c>
      <c r="J28" s="142">
        <f>SUM(J22:J27)</f>
        <v>0</v>
      </c>
      <c r="K28" s="42"/>
      <c r="L28" s="139">
        <f>SUM(L22:L27)</f>
        <v>41696</v>
      </c>
      <c r="M28" s="140">
        <f>SUM(M22:M27)</f>
        <v>41696</v>
      </c>
      <c r="N28" s="142">
        <f>SUM(N22:N27)</f>
        <v>0</v>
      </c>
      <c r="O28" s="42"/>
      <c r="P28" s="139">
        <f>SUM(P22:P27)</f>
        <v>65444</v>
      </c>
      <c r="Q28" s="140">
        <f>SUM(Q22:Q27)</f>
        <v>65444</v>
      </c>
      <c r="R28" s="142">
        <f>SUM(R22:R27)</f>
        <v>0</v>
      </c>
      <c r="S28" s="42"/>
      <c r="T28" s="139">
        <f>SUM(T22:T27)</f>
        <v>131845</v>
      </c>
      <c r="U28" s="140">
        <f>SUM(U22:U27)</f>
        <v>156326</v>
      </c>
      <c r="V28" s="142">
        <f>SUM(V22:V27)</f>
        <v>-24481</v>
      </c>
    </row>
    <row r="29" spans="1:22" ht="3" customHeight="1" x14ac:dyDescent="0.2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">
      <c r="A30" s="25" t="s">
        <v>34</v>
      </c>
      <c r="B30" s="29" t="s">
        <v>33</v>
      </c>
      <c r="C30" s="38"/>
      <c r="D30" s="41">
        <f>ROUND(_xll.HPVAL($A30,D$1,$A$2,F$1,$A$3,$A$4)/1000,0)</f>
        <v>14834</v>
      </c>
      <c r="E30" s="42">
        <f>ROUND(_xll.HPVAL($A30,E$1,$A$2,F$1,$A$3,$A$4)/1000,0)</f>
        <v>-15324</v>
      </c>
      <c r="F30" s="66">
        <f>ROUND(D30-E30,0)</f>
        <v>30158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6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6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6">
        <f>ROUND(P30-Q30,0)</f>
        <v>0</v>
      </c>
      <c r="S30" s="42"/>
      <c r="T30" s="41">
        <f>D30+H30+L30+P30</f>
        <v>26057</v>
      </c>
      <c r="U30" s="42">
        <f>E30+I30+M30+Q30</f>
        <v>-4101</v>
      </c>
      <c r="V30" s="66">
        <f>ROUND(T30-U30,0)</f>
        <v>30158</v>
      </c>
    </row>
    <row r="31" spans="1:22" ht="12" customHeight="1" x14ac:dyDescent="0.2">
      <c r="A31" s="25" t="s">
        <v>37</v>
      </c>
      <c r="B31" s="29" t="s">
        <v>67</v>
      </c>
      <c r="C31" s="38"/>
      <c r="D31" s="41">
        <f>ROUND(_xll.HPVAL($A31,D$1,$A$2,F$1,$A$3,$A$4)/1000,0)</f>
        <v>-109</v>
      </c>
      <c r="E31" s="42">
        <f>ROUND(_xll.HPVAL($A31,E$1,$A$2,F$1,$A$3,$A$4)/1000,0)</f>
        <v>10524</v>
      </c>
      <c r="F31" s="66">
        <f>ROUND(D31-E31,0)</f>
        <v>-10633</v>
      </c>
      <c r="G31" s="42"/>
      <c r="H31" s="41">
        <f>ROUND(_xll.HPVAL($A31,H$1,$A$2,J$1,$A$3,$A$4)/1000,0)</f>
        <v>10462</v>
      </c>
      <c r="I31" s="42">
        <f>ROUND(_xll.HPVAL($A31,I$1,$A$2,J$1,$A$3,$A$4)/1000,0)</f>
        <v>10462</v>
      </c>
      <c r="J31" s="66">
        <f>ROUND(H31-I31,0)</f>
        <v>0</v>
      </c>
      <c r="K31" s="42"/>
      <c r="L31" s="41">
        <f>ROUND(_xll.HPVAL($A31,L$1,$A$2,N$1,$A$3,$A$4)/1000,0)</f>
        <v>10237</v>
      </c>
      <c r="M31" s="42">
        <f>ROUND(_xll.HPVAL($A31,M$1,$A$2,N$1,$A$3,$A$4)/1000,0)</f>
        <v>10237</v>
      </c>
      <c r="N31" s="66">
        <f>ROUND(L31-M31,0)</f>
        <v>0</v>
      </c>
      <c r="O31" s="42"/>
      <c r="P31" s="41">
        <f>ROUND(_xll.HPVAL($A31,P$1,$A$2,R$1,$A$3,$A$4)/1000,0)</f>
        <v>9931</v>
      </c>
      <c r="Q31" s="42">
        <f>ROUND(_xll.HPVAL($A31,Q$1,$A$2,R$1,$A$3,$A$4)/1000,0)</f>
        <v>9931</v>
      </c>
      <c r="R31" s="66">
        <f>ROUND(P31-Q31,0)</f>
        <v>0</v>
      </c>
      <c r="S31" s="42"/>
      <c r="T31" s="41">
        <f t="shared" ref="T31:U33" si="14">D31+H31+L31+P31</f>
        <v>30521</v>
      </c>
      <c r="U31" s="42">
        <f t="shared" si="14"/>
        <v>41154</v>
      </c>
      <c r="V31" s="66">
        <f>ROUND(T31-U31,0)</f>
        <v>-10633</v>
      </c>
    </row>
    <row r="32" spans="1:22" ht="12" customHeight="1" x14ac:dyDescent="0.2">
      <c r="A32" s="25" t="s">
        <v>41</v>
      </c>
      <c r="B32" s="29" t="s">
        <v>92</v>
      </c>
      <c r="C32" s="38"/>
      <c r="D32" s="41">
        <f>ROUND(_xll.HPVAL($A32,D$1,$A$2,F$1,$A$3,$A$4)/1000,0)</f>
        <v>-39712</v>
      </c>
      <c r="E32" s="42">
        <f>ROUND(_xll.HPVAL($A32,E$1,$A$2,F$1,$A$3,$A$4)/1000,0)</f>
        <v>-30943</v>
      </c>
      <c r="F32" s="66">
        <f>ROUND(D32-E32,0)</f>
        <v>-8769</v>
      </c>
      <c r="G32" s="42"/>
      <c r="H32" s="41">
        <f>ROUND(_xll.HPVAL($A32,H$1,$A$2,J$1,$A$3,$A$4)/1000,0)</f>
        <v>-29725</v>
      </c>
      <c r="I32" s="42">
        <f>ROUND(_xll.HPVAL($A32,I$1,$A$2,J$1,$A$3,$A$4)/1000,0)</f>
        <v>-29725</v>
      </c>
      <c r="J32" s="66">
        <f>ROUND(H32-I32,0)</f>
        <v>0</v>
      </c>
      <c r="K32" s="42"/>
      <c r="L32" s="41">
        <f>ROUND(_xll.HPVAL($A32,L$1,$A$2,N$1,$A$3,$A$4)/1000,0)</f>
        <v>-29388</v>
      </c>
      <c r="M32" s="42">
        <f>ROUND(_xll.HPVAL($A32,M$1,$A$2,N$1,$A$3,$A$4)/1000,0)</f>
        <v>-29388</v>
      </c>
      <c r="N32" s="66">
        <f>ROUND(L32-M32,0)</f>
        <v>0</v>
      </c>
      <c r="O32" s="42"/>
      <c r="P32" s="41">
        <f>ROUND(_xll.HPVAL($A32,P$1,$A$2,R$1,$A$3,$A$4)/1000,0)</f>
        <v>-30692</v>
      </c>
      <c r="Q32" s="42">
        <f>ROUND(_xll.HPVAL($A32,Q$1,$A$2,R$1,$A$3,$A$4)/1000,0)</f>
        <v>-30692</v>
      </c>
      <c r="R32" s="66">
        <f>ROUND(P32-Q32,0)</f>
        <v>0</v>
      </c>
      <c r="S32" s="42"/>
      <c r="T32" s="41">
        <f t="shared" si="14"/>
        <v>-129517</v>
      </c>
      <c r="U32" s="42">
        <f t="shared" si="14"/>
        <v>-120748</v>
      </c>
      <c r="V32" s="66">
        <f>ROUND(T32-U32,0)</f>
        <v>-8769</v>
      </c>
    </row>
    <row r="33" spans="1:22" ht="12" customHeight="1" x14ac:dyDescent="0.2">
      <c r="A33" s="25" t="s">
        <v>42</v>
      </c>
      <c r="B33" s="29" t="s">
        <v>93</v>
      </c>
      <c r="C33" s="38"/>
      <c r="D33" s="41">
        <f>ROUND(_xll.HPVAL($A33,D$1,$A$2,F$1,$A$3,$A$4)/1000,0)</f>
        <v>14338</v>
      </c>
      <c r="E33" s="42">
        <f>ROUND(_xll.HPVAL($A33,E$1,$A$2,F$1,$A$3,$A$4)/1000,0)</f>
        <v>4082</v>
      </c>
      <c r="F33" s="66">
        <f>ROUND(D33-E33,0)</f>
        <v>10256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6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6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6">
        <f>ROUND(P33-Q33,0)</f>
        <v>0</v>
      </c>
      <c r="S33" s="42"/>
      <c r="T33" s="41">
        <f t="shared" si="14"/>
        <v>27331</v>
      </c>
      <c r="U33" s="42">
        <f t="shared" si="14"/>
        <v>17075</v>
      </c>
      <c r="V33" s="66">
        <f>ROUND(T33-U33,0)</f>
        <v>10256</v>
      </c>
    </row>
    <row r="34" spans="1:22" ht="12" customHeight="1" x14ac:dyDescent="0.2">
      <c r="B34" s="75" t="s">
        <v>86</v>
      </c>
      <c r="C34" s="38"/>
      <c r="D34" s="139">
        <f>SUM(D30:D33)</f>
        <v>-10649</v>
      </c>
      <c r="E34" s="140">
        <f>SUM(E30:E33)</f>
        <v>-31661</v>
      </c>
      <c r="F34" s="142">
        <f>SUM(F30:F33)</f>
        <v>21012</v>
      </c>
      <c r="G34" s="42"/>
      <c r="H34" s="139">
        <f>SUM(H30:H33)</f>
        <v>-838</v>
      </c>
      <c r="I34" s="140">
        <f>SUM(I30:I33)</f>
        <v>-838</v>
      </c>
      <c r="J34" s="142">
        <f>SUM(J30:J33)</f>
        <v>0</v>
      </c>
      <c r="K34" s="42"/>
      <c r="L34" s="139">
        <f>SUM(L30:L33)</f>
        <v>9889</v>
      </c>
      <c r="M34" s="140">
        <f>SUM(M30:M33)</f>
        <v>9889</v>
      </c>
      <c r="N34" s="142">
        <f>SUM(N30:N33)</f>
        <v>0</v>
      </c>
      <c r="O34" s="42"/>
      <c r="P34" s="139">
        <f>SUM(P30:P33)</f>
        <v>-44010</v>
      </c>
      <c r="Q34" s="140">
        <f>SUM(Q30:Q33)</f>
        <v>-44010</v>
      </c>
      <c r="R34" s="142">
        <f>SUM(R30:R33)</f>
        <v>0</v>
      </c>
      <c r="S34" s="42"/>
      <c r="T34" s="139">
        <f>SUM(T30:T33)</f>
        <v>-45608</v>
      </c>
      <c r="U34" s="140">
        <f>SUM(U30:U33)</f>
        <v>-66620</v>
      </c>
      <c r="V34" s="142">
        <f>SUM(V30:V33)</f>
        <v>21012</v>
      </c>
    </row>
    <row r="35" spans="1:22" ht="3" customHeight="1" x14ac:dyDescent="0.2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">
      <c r="A36" s="25" t="s">
        <v>40</v>
      </c>
      <c r="B36" s="29" t="s">
        <v>9</v>
      </c>
      <c r="C36" s="38"/>
      <c r="D36" s="41">
        <f>ROUND(_xll.HPVAL($A36,D$1,$A$2,F$1,$A$3,$A$4)/1000,0)</f>
        <v>91027</v>
      </c>
      <c r="E36" s="42">
        <f>ROUND(_xll.HPVAL($A36,E$1,$A$2,F$1,$A$3,$A$4)/1000,0)</f>
        <v>12175</v>
      </c>
      <c r="F36" s="66">
        <f>ROUND(D36-E36,0)</f>
        <v>78852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6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6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6">
        <f>ROUND(P36-Q36,0)</f>
        <v>0</v>
      </c>
      <c r="S36" s="42"/>
      <c r="T36" s="41">
        <f t="shared" ref="T36:U39" si="15">D36+H36+L36+P36</f>
        <v>125900</v>
      </c>
      <c r="U36" s="42">
        <f t="shared" si="15"/>
        <v>47048</v>
      </c>
      <c r="V36" s="66">
        <f>ROUND(T36-U36,0)</f>
        <v>78852</v>
      </c>
    </row>
    <row r="37" spans="1:22" ht="12" customHeight="1" x14ac:dyDescent="0.2">
      <c r="A37" s="25" t="s">
        <v>39</v>
      </c>
      <c r="B37" s="29" t="s">
        <v>151</v>
      </c>
      <c r="C37" s="38"/>
      <c r="D37" s="41">
        <f>ROUND(_xll.HPVAL($A37,D$1,$A$2,F$1,$A$3,$A$4)/1000,0)</f>
        <v>-5400</v>
      </c>
      <c r="E37" s="42">
        <f>ROUND(_xll.HPVAL($A37,E$1,$A$2,F$1,$A$3,$A$4)/1000,0)</f>
        <v>-7024</v>
      </c>
      <c r="F37" s="66">
        <f>ROUND(D37-E37,0)</f>
        <v>1624</v>
      </c>
      <c r="G37" s="42"/>
      <c r="H37" s="41">
        <f>ROUND(_xll.HPVAL($A37,H$1,$A$2,J$1,$A$3,$A$4)/1000,0)</f>
        <v>-5158</v>
      </c>
      <c r="I37" s="42">
        <f>ROUND(_xll.HPVAL($A37,I$1,$A$2,J$1,$A$3,$A$4)/1000,0)</f>
        <v>-5158</v>
      </c>
      <c r="J37" s="66">
        <f>ROUND(H37-I37,0)</f>
        <v>0</v>
      </c>
      <c r="K37" s="42"/>
      <c r="L37" s="41">
        <f>ROUND(_xll.HPVAL($A37,L$1,$A$2,N$1,$A$3,$A$4)/1000,0)</f>
        <v>-1915</v>
      </c>
      <c r="M37" s="42">
        <f>ROUND(_xll.HPVAL($A37,M$1,$A$2,N$1,$A$3,$A$4)/1000,0)</f>
        <v>-1915</v>
      </c>
      <c r="N37" s="66">
        <f>ROUND(L37-M37,0)</f>
        <v>0</v>
      </c>
      <c r="O37" s="42"/>
      <c r="P37" s="41">
        <f>ROUND(_xll.HPVAL($A37,P$1,$A$2,R$1,$A$3,$A$4)/1000,0)</f>
        <v>1263</v>
      </c>
      <c r="Q37" s="42">
        <f>ROUND(_xll.HPVAL($A37,Q$1,$A$2,R$1,$A$3,$A$4)/1000,0)</f>
        <v>1263</v>
      </c>
      <c r="R37" s="66">
        <f>ROUND(P37-Q37,0)</f>
        <v>0</v>
      </c>
      <c r="S37" s="42"/>
      <c r="T37" s="41">
        <f t="shared" si="15"/>
        <v>-11210</v>
      </c>
      <c r="U37" s="42">
        <f t="shared" si="15"/>
        <v>-12834</v>
      </c>
      <c r="V37" s="66">
        <f>ROUND(T37-U37,0)</f>
        <v>1624</v>
      </c>
    </row>
    <row r="38" spans="1:22" ht="12" customHeight="1" x14ac:dyDescent="0.2">
      <c r="A38" s="25" t="s">
        <v>153</v>
      </c>
      <c r="B38" s="29" t="s">
        <v>180</v>
      </c>
      <c r="C38" s="38"/>
      <c r="D38" s="41">
        <f>ROUND(_xll.HPVAL($A38,D$1,$A$2,F$1,$A$3,$A$4)/1000,0)</f>
        <v>-33323</v>
      </c>
      <c r="E38" s="42">
        <f>ROUND(_xll.HPVAL($A38,E$1,$A$2,F$1,$A$3,$A$4)/1000,0)</f>
        <v>110</v>
      </c>
      <c r="F38" s="66">
        <f>ROUND(D38-E38,0)</f>
        <v>-33433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6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6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6">
        <f>ROUND(P38-Q38,0)</f>
        <v>0</v>
      </c>
      <c r="S38" s="42"/>
      <c r="T38" s="41">
        <f t="shared" si="15"/>
        <v>-28186</v>
      </c>
      <c r="U38" s="42">
        <f t="shared" si="15"/>
        <v>5247</v>
      </c>
      <c r="V38" s="66">
        <f>ROUND(T38-U38,0)</f>
        <v>-33433</v>
      </c>
    </row>
    <row r="39" spans="1:22" ht="12" customHeight="1" x14ac:dyDescent="0.2">
      <c r="A39" s="25" t="s">
        <v>157</v>
      </c>
      <c r="B39" s="29" t="s">
        <v>154</v>
      </c>
      <c r="C39" s="38"/>
      <c r="D39" s="41">
        <f>ROUND(_xll.HPVAL($A39,D$1,$A$2,F$1,$A$3,$A$4)/1000,0)</f>
        <v>23469</v>
      </c>
      <c r="E39" s="42">
        <f>ROUND(_xll.HPVAL($A39,E$1,$A$2,F$1,$A$3,$A$4)/1000,0)</f>
        <v>3922</v>
      </c>
      <c r="F39" s="66">
        <f>ROUND(D39-E39,0)</f>
        <v>19547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6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6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6">
        <f>ROUND(P39-Q39,0)</f>
        <v>0</v>
      </c>
      <c r="S39" s="42"/>
      <c r="T39" s="41">
        <f t="shared" si="15"/>
        <v>35235</v>
      </c>
      <c r="U39" s="42">
        <f t="shared" si="15"/>
        <v>15688</v>
      </c>
      <c r="V39" s="66">
        <f>ROUND(T39-U39,0)</f>
        <v>19547</v>
      </c>
    </row>
    <row r="40" spans="1:22" ht="12" customHeight="1" x14ac:dyDescent="0.2">
      <c r="B40" s="75" t="s">
        <v>87</v>
      </c>
      <c r="C40" s="38"/>
      <c r="D40" s="139">
        <f>SUM(D36:D39)</f>
        <v>75773</v>
      </c>
      <c r="E40" s="140">
        <f>SUM(E36:E39)</f>
        <v>9183</v>
      </c>
      <c r="F40" s="142">
        <f>SUM(F36:F39)</f>
        <v>66590</v>
      </c>
      <c r="G40" s="42"/>
      <c r="H40" s="139">
        <f>SUM(H36:H39)</f>
        <v>10843</v>
      </c>
      <c r="I40" s="140">
        <f>SUM(I36:I39)</f>
        <v>10843</v>
      </c>
      <c r="J40" s="142">
        <f>SUM(J36:J39)</f>
        <v>0</v>
      </c>
      <c r="K40" s="42"/>
      <c r="L40" s="139">
        <f>SUM(L36:L39)</f>
        <v>12896</v>
      </c>
      <c r="M40" s="140">
        <f>SUM(M36:M39)</f>
        <v>12896</v>
      </c>
      <c r="N40" s="142">
        <f>SUM(N36:N39)</f>
        <v>0</v>
      </c>
      <c r="O40" s="42"/>
      <c r="P40" s="139">
        <f>SUM(P36:P39)</f>
        <v>22227</v>
      </c>
      <c r="Q40" s="140">
        <f>SUM(Q36:Q39)</f>
        <v>22227</v>
      </c>
      <c r="R40" s="142">
        <f>SUM(R36:R39)</f>
        <v>0</v>
      </c>
      <c r="S40" s="42"/>
      <c r="T40" s="139">
        <f>SUM(T36:T39)</f>
        <v>121739</v>
      </c>
      <c r="U40" s="140">
        <f>SUM(U36:U39)</f>
        <v>55149</v>
      </c>
      <c r="V40" s="142">
        <f>SUM(V36:V39)</f>
        <v>66590</v>
      </c>
    </row>
    <row r="41" spans="1:22" ht="3" customHeight="1" x14ac:dyDescent="0.2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">
      <c r="A42" s="25" t="s">
        <v>82</v>
      </c>
      <c r="B42" s="29" t="s">
        <v>8</v>
      </c>
      <c r="C42" s="38"/>
      <c r="D42" s="41">
        <f>ROUND(_xll.HPVAL($A42,D$1,$A$2,F$1,$A$3,$A$4)/1000,0)</f>
        <v>-6023</v>
      </c>
      <c r="E42" s="42">
        <f>ROUND(_xll.HPVAL($A42,E$1,$A$2,F$1,$A$3,$A$4)/1000,0)</f>
        <v>-5445</v>
      </c>
      <c r="F42" s="66">
        <f>ROUND(D42-E42,0)</f>
        <v>-578</v>
      </c>
      <c r="G42" s="42"/>
      <c r="H42" s="41">
        <f>ROUND(_xll.HPVAL($A42,H$1,$A$2,J$1,$A$3,$A$4)/1000,0)</f>
        <v>-5187</v>
      </c>
      <c r="I42" s="42">
        <f>ROUND(_xll.HPVAL($A42,I$1,$A$2,J$1,$A$3,$A$4)/1000,0)</f>
        <v>-5187</v>
      </c>
      <c r="J42" s="66">
        <f>ROUND(H42-I42,0)</f>
        <v>0</v>
      </c>
      <c r="K42" s="42"/>
      <c r="L42" s="41">
        <f>ROUND(_xll.HPVAL($A42,L$1,$A$2,N$1,$A$3,$A$4)/1000,0)</f>
        <v>-5358</v>
      </c>
      <c r="M42" s="42">
        <f>ROUND(_xll.HPVAL($A42,M$1,$A$2,N$1,$A$3,$A$4)/1000,0)</f>
        <v>-5358</v>
      </c>
      <c r="N42" s="66">
        <f>ROUND(L42-M42,0)</f>
        <v>0</v>
      </c>
      <c r="O42" s="42"/>
      <c r="P42" s="41">
        <f>ROUND(_xll.HPVAL($A42,P$1,$A$2,R$1,$A$3,$A$4)/1000,0)</f>
        <v>-5051</v>
      </c>
      <c r="Q42" s="42">
        <f>ROUND(_xll.HPVAL($A42,Q$1,$A$2,R$1,$A$3,$A$4)/1000,0)</f>
        <v>-5051</v>
      </c>
      <c r="R42" s="66">
        <f>ROUND(P42-Q42,0)</f>
        <v>0</v>
      </c>
      <c r="S42" s="42"/>
      <c r="T42" s="41">
        <f>D42+H42+L42+P42</f>
        <v>-21619</v>
      </c>
      <c r="U42" s="42">
        <f>E42+I42+M42+Q42</f>
        <v>-21041</v>
      </c>
      <c r="V42" s="66">
        <f>ROUND(T42-U42,0)</f>
        <v>-578</v>
      </c>
    </row>
    <row r="43" spans="1:22" ht="3" customHeight="1" x14ac:dyDescent="0.2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">
      <c r="A44" s="25" t="s">
        <v>44</v>
      </c>
      <c r="B44" s="29" t="s">
        <v>7</v>
      </c>
      <c r="C44" s="38"/>
      <c r="D44" s="41">
        <f>ROUND(_xll.HPVAL($A44,D$1,$A$2,F$1,$A$3,$A$4)/1000,0)</f>
        <v>-7285</v>
      </c>
      <c r="E44" s="42">
        <f>ROUND(_xll.HPVAL($A44,E$1,$A$2,F$1,$A$3,$A$4)/1000,0)-E54</f>
        <v>-7765</v>
      </c>
      <c r="F44" s="66">
        <f>ROUND(D44-E44,0)</f>
        <v>480</v>
      </c>
      <c r="G44" s="42"/>
      <c r="H44" s="41">
        <f>ROUND(_xll.HPVAL($A44,H$1,$A$2,J$1,$A$3,$A$4)/1000,0)-H54</f>
        <v>-7098</v>
      </c>
      <c r="I44" s="42">
        <f>ROUND(_xll.HPVAL($A44,I$1,$A$2,J$1,$A$3,$A$4)/1000,0)-I54</f>
        <v>-7098</v>
      </c>
      <c r="J44" s="66">
        <f>ROUND(H44-I44,0)</f>
        <v>0</v>
      </c>
      <c r="K44" s="42"/>
      <c r="L44" s="41">
        <f>ROUND(_xll.HPVAL($A44,L$1,$A$2,N$1,$A$3,$A$4)/1000,0)-L54</f>
        <v>-7044</v>
      </c>
      <c r="M44" s="42">
        <f>ROUND(_xll.HPVAL($A44,M$1,$A$2,N$1,$A$3,$A$4)/1000,0)-M54</f>
        <v>-7044</v>
      </c>
      <c r="N44" s="66">
        <f>ROUND(L44-M44,0)</f>
        <v>0</v>
      </c>
      <c r="O44" s="42"/>
      <c r="P44" s="41">
        <f>ROUND(_xll.HPVAL($A44,P$1,$A$2,R$1,$A$3,$A$4)/1000,0)-P54</f>
        <v>-7054</v>
      </c>
      <c r="Q44" s="42">
        <f>ROUND(_xll.HPVAL($A44,Q$1,$A$2,R$1,$A$3,$A$4)/1000,0)-Q54</f>
        <v>-7054</v>
      </c>
      <c r="R44" s="66">
        <f>ROUND(P44-Q44,0)</f>
        <v>0</v>
      </c>
      <c r="S44" s="42"/>
      <c r="T44" s="41">
        <f>D44+H44+L44+P44</f>
        <v>-28481</v>
      </c>
      <c r="U44" s="42">
        <f>E44+I44+M44+Q44</f>
        <v>-28961</v>
      </c>
      <c r="V44" s="66">
        <f>ROUND(T44-U44,0)</f>
        <v>480</v>
      </c>
    </row>
    <row r="45" spans="1:22" ht="3" customHeight="1" x14ac:dyDescent="0.2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">
      <c r="A46" s="25"/>
      <c r="B46" s="75" t="s">
        <v>10</v>
      </c>
      <c r="C46" s="70"/>
      <c r="D46" s="139">
        <f>SUM(D40:D44)+D20+D28+D34</f>
        <v>202996</v>
      </c>
      <c r="E46" s="140">
        <f>SUM(E40:E44)+E20+E28+E34</f>
        <v>92818</v>
      </c>
      <c r="F46" s="142">
        <f>SUM(F40:F44)+F20+F28+F34</f>
        <v>110178</v>
      </c>
      <c r="G46" s="67"/>
      <c r="H46" s="139">
        <f>SUM(H40:H44)+H20+H28+H34</f>
        <v>144766</v>
      </c>
      <c r="I46" s="140">
        <f>SUM(I40:I44)+I20+I28+I34</f>
        <v>144766</v>
      </c>
      <c r="J46" s="142">
        <f>SUM(J40:J44)+J20+J28+J34</f>
        <v>0</v>
      </c>
      <c r="K46" s="67"/>
      <c r="L46" s="139">
        <f>SUM(L40:L44)+L20+L28+L34</f>
        <v>172252</v>
      </c>
      <c r="M46" s="140">
        <f>SUM(M40:M44)+M20+M28+M34</f>
        <v>172252</v>
      </c>
      <c r="N46" s="142">
        <f>SUM(N40:N44)+N20+N28+N34</f>
        <v>0</v>
      </c>
      <c r="O46" s="67"/>
      <c r="P46" s="139">
        <f>SUM(P40:P44)+P20+P28+P34</f>
        <v>141982</v>
      </c>
      <c r="Q46" s="140">
        <f>SUM(Q40:Q44)+Q20+Q28+Q34</f>
        <v>141982</v>
      </c>
      <c r="R46" s="142">
        <f>SUM(R40:R44)+R20+R28+R34</f>
        <v>0</v>
      </c>
      <c r="S46" s="67"/>
      <c r="T46" s="139">
        <f>SUM(T40:T44)+T20+T28+T34</f>
        <v>661996</v>
      </c>
      <c r="U46" s="140">
        <f>SUM(U40:U44)+U20+U28+U34</f>
        <v>551818</v>
      </c>
      <c r="V46" s="142">
        <f>SUM(V40:V44)+V20+V28+V34</f>
        <v>110178</v>
      </c>
    </row>
    <row r="47" spans="1:22" ht="3" customHeight="1" x14ac:dyDescent="0.2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">
      <c r="A48" s="25" t="s">
        <v>45</v>
      </c>
      <c r="B48" s="29" t="s">
        <v>48</v>
      </c>
      <c r="C48" s="38"/>
      <c r="D48" s="41">
        <f>ROUND(_xll.HPVAL($A48,D$1,$A$2,F$1,$A$3,$A$4)/1000,0)</f>
        <v>-30975</v>
      </c>
      <c r="E48" s="42">
        <f>ROUND(_xll.HPVAL($A48,E$1,$A$2,F$1,$A$3,$A$4)/1000,0)</f>
        <v>-7000</v>
      </c>
      <c r="F48" s="66">
        <f>ROUND(D48-E48,0)</f>
        <v>-23975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6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6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6">
        <f>ROUND(P48-Q48,0)</f>
        <v>0</v>
      </c>
      <c r="S48" s="42"/>
      <c r="T48" s="41">
        <f>D48+H48+L48+P48</f>
        <v>-126154</v>
      </c>
      <c r="U48" s="42">
        <f>E48+I48+M48+Q48</f>
        <v>-102179</v>
      </c>
      <c r="V48" s="66">
        <f>ROUND(T48-U48,0)</f>
        <v>-23975</v>
      </c>
    </row>
    <row r="49" spans="1:22" ht="3" customHeight="1" x14ac:dyDescent="0.2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">
      <c r="A50" s="25" t="s">
        <v>46</v>
      </c>
      <c r="B50" s="29" t="s">
        <v>18</v>
      </c>
      <c r="C50" s="38"/>
      <c r="D50" s="41">
        <f>ROUND(_xll.HPVAL($A50,D$1,$A$2,F$1,$A$3,$A$4)/1000,0)-D52</f>
        <v>-36841</v>
      </c>
      <c r="E50" s="42">
        <f>ROUND(_xll.HPVAL($A50,E$1,$A$2,F$1,$A$3,$A$4)/1000,0)-E52</f>
        <v>-33398</v>
      </c>
      <c r="F50" s="66">
        <f>ROUND(D50-E50,0)</f>
        <v>-3443</v>
      </c>
      <c r="G50" s="65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6">
        <f>ROUND(H50-I50,0)</f>
        <v>0</v>
      </c>
      <c r="K50" s="65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6">
        <f>ROUND(L50-M50,0)</f>
        <v>0</v>
      </c>
      <c r="O50" s="65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6">
        <f>ROUND(P50-Q50,0)</f>
        <v>0</v>
      </c>
      <c r="S50" s="65"/>
      <c r="T50" s="41">
        <f>D50+H50+L50+P50</f>
        <v>-152231</v>
      </c>
      <c r="U50" s="42">
        <f>E50+I50+M50+Q50</f>
        <v>-148788</v>
      </c>
      <c r="V50" s="66">
        <f>ROUND(T50-U50,0)</f>
        <v>-3443</v>
      </c>
    </row>
    <row r="51" spans="1:22" ht="3" customHeight="1" x14ac:dyDescent="0.2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">
      <c r="A52" s="25" t="s">
        <v>46</v>
      </c>
      <c r="B52" s="29" t="s">
        <v>60</v>
      </c>
      <c r="C52" s="38"/>
      <c r="D52" s="41">
        <f>-ROUND(_xll.HPVAL($A52,D$1,"cap_chrg",F$1,$A$3,$A$4)/1000,0)</f>
        <v>32722</v>
      </c>
      <c r="E52" s="42">
        <f>-ROUND(_xll.HPVAL($A52,E$1,"cap_chrg",F$1,$A$3,$A$4)/1000,0)</f>
        <v>39873</v>
      </c>
      <c r="F52" s="66">
        <f>ROUND(D52-E52,0)</f>
        <v>-7151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6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6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6">
        <f>ROUND(P52-Q52,0)</f>
        <v>0</v>
      </c>
      <c r="S52" s="42"/>
      <c r="T52" s="41">
        <f>D52+H52+L52+P52</f>
        <v>173263</v>
      </c>
      <c r="U52" s="42">
        <f>E52+I52+M52+Q52</f>
        <v>180414</v>
      </c>
      <c r="V52" s="66">
        <f>ROUND(T52-U52,0)</f>
        <v>-7151</v>
      </c>
    </row>
    <row r="53" spans="1:22" ht="3" customHeight="1" x14ac:dyDescent="0.2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48693</v>
      </c>
      <c r="F54" s="66">
        <f>ROUND(D54-E54,0)</f>
        <v>-48693</v>
      </c>
      <c r="G54" s="42"/>
      <c r="H54" s="41">
        <f>ROUND(_xll.HPVAL($A54,H$1,"gross_margin",J$1,$A$3,$A$4)/1000,0)</f>
        <v>52216</v>
      </c>
      <c r="I54" s="42">
        <f>ROUND(_xll.HPVAL($A54,I$1,"gross_margin",J$1,$A$3,$A$4)/1000,0)</f>
        <v>52216</v>
      </c>
      <c r="J54" s="66">
        <f>ROUND(H54-I54,0)</f>
        <v>0</v>
      </c>
      <c r="K54" s="42"/>
      <c r="L54" s="41">
        <f>ROUND(_xll.HPVAL($A54,L$1,"gross_margin",N$1,$A$3,$A$4)/1000,0)</f>
        <v>42685</v>
      </c>
      <c r="M54" s="42">
        <f>ROUND(_xll.HPVAL($A54,M$1,"gross_margin",N$1,$A$3,$A$4)/1000,0)</f>
        <v>42685</v>
      </c>
      <c r="N54" s="66">
        <f>ROUND(L54-M54,0)</f>
        <v>0</v>
      </c>
      <c r="O54" s="42"/>
      <c r="P54" s="41">
        <f>ROUND(_xll.HPVAL($A54,P$1,"gross_margin",R$1,$A$3,$A$4)/1000,0)</f>
        <v>44420</v>
      </c>
      <c r="Q54" s="42">
        <f>ROUND(_xll.HPVAL($A54,Q$1,"gross_margin",R$1,$A$3,$A$4)/1000,0)</f>
        <v>44420</v>
      </c>
      <c r="R54" s="66">
        <f>ROUND(P54-Q54,0)</f>
        <v>0</v>
      </c>
      <c r="S54" s="42"/>
      <c r="T54" s="41">
        <f>D54+H54+L54+P54</f>
        <v>139321</v>
      </c>
      <c r="U54" s="42">
        <f>E54+I54+M54+Q54</f>
        <v>188014</v>
      </c>
      <c r="V54" s="66">
        <f>ROUND(T54-U54,0)</f>
        <v>-48693</v>
      </c>
    </row>
    <row r="55" spans="1:22" ht="3" customHeight="1" x14ac:dyDescent="0.2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">
      <c r="B56" s="75" t="s">
        <v>65</v>
      </c>
      <c r="C56" s="38"/>
      <c r="D56" s="139">
        <f>SUM(D46:D54)</f>
        <v>167902</v>
      </c>
      <c r="E56" s="140">
        <f>SUM(E46:E54)</f>
        <v>140986</v>
      </c>
      <c r="F56" s="142">
        <f>SUM(F46:F54)</f>
        <v>26916</v>
      </c>
      <c r="G56" s="42"/>
      <c r="H56" s="139">
        <f>SUM(H46:H54)</f>
        <v>185167</v>
      </c>
      <c r="I56" s="140">
        <f>SUM(I46:I54)</f>
        <v>185167</v>
      </c>
      <c r="J56" s="142">
        <f>SUM(J46:J54)</f>
        <v>0</v>
      </c>
      <c r="K56" s="42"/>
      <c r="L56" s="139">
        <f>SUM(L46:L54)</f>
        <v>206866</v>
      </c>
      <c r="M56" s="140">
        <f>SUM(M46:M54)</f>
        <v>206866</v>
      </c>
      <c r="N56" s="142">
        <f>SUM(N46:N54)</f>
        <v>0</v>
      </c>
      <c r="O56" s="42"/>
      <c r="P56" s="139">
        <f>SUM(P46:P54)</f>
        <v>136260</v>
      </c>
      <c r="Q56" s="140">
        <f>SUM(Q46:Q54)</f>
        <v>136260</v>
      </c>
      <c r="R56" s="142">
        <f>SUM(R46:R54)</f>
        <v>0</v>
      </c>
      <c r="S56" s="42"/>
      <c r="T56" s="139">
        <f>SUM(T46:T54)</f>
        <v>696195</v>
      </c>
      <c r="U56" s="140">
        <f>SUM(U46:U54)</f>
        <v>669279</v>
      </c>
      <c r="V56" s="142">
        <f>SUM(V46:V54)</f>
        <v>26916</v>
      </c>
    </row>
    <row r="57" spans="1:22" ht="3" customHeight="1" x14ac:dyDescent="0.2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3">
      <c r="B60" s="75" t="s">
        <v>66</v>
      </c>
      <c r="C60" s="38"/>
      <c r="D60" s="95">
        <f>SUM(D56:D58)</f>
        <v>166902</v>
      </c>
      <c r="E60" s="96">
        <f>SUM(E56:E58)</f>
        <v>128986</v>
      </c>
      <c r="F60" s="97">
        <f>SUM(F56:F58)</f>
        <v>37916</v>
      </c>
      <c r="G60" s="42"/>
      <c r="H60" s="95">
        <f>SUM(H56:H58)</f>
        <v>176567</v>
      </c>
      <c r="I60" s="96">
        <f>SUM(I56:I58)</f>
        <v>176567</v>
      </c>
      <c r="J60" s="97">
        <f>SUM(J56:J58)</f>
        <v>0</v>
      </c>
      <c r="K60" s="42"/>
      <c r="L60" s="95">
        <f>SUM(L56:L58)</f>
        <v>187966</v>
      </c>
      <c r="M60" s="96">
        <f>SUM(M56:M58)</f>
        <v>187966</v>
      </c>
      <c r="N60" s="97">
        <f>SUM(N56:N58)</f>
        <v>0</v>
      </c>
      <c r="O60" s="42"/>
      <c r="P60" s="95">
        <f>SUM(P56:P58)</f>
        <v>118760</v>
      </c>
      <c r="Q60" s="96">
        <f>SUM(Q56:Q58)</f>
        <v>118760</v>
      </c>
      <c r="R60" s="97">
        <f>SUM(R56:R58)</f>
        <v>0</v>
      </c>
      <c r="S60" s="42"/>
      <c r="T60" s="95">
        <f>SUM(T56:T58)</f>
        <v>650195</v>
      </c>
      <c r="U60" s="96">
        <f>SUM(U56:U58)</f>
        <v>612279</v>
      </c>
      <c r="V60" s="97">
        <f>SUM(V56:V58)</f>
        <v>37916</v>
      </c>
    </row>
    <row r="61" spans="1:22" s="38" customFormat="1" ht="3" customHeight="1" x14ac:dyDescent="0.2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8" x14ac:dyDescent="0.3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5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61"/>
  <sheetViews>
    <sheetView workbookViewId="0">
      <selection activeCell="E53" sqref="E53"/>
    </sheetView>
  </sheetViews>
  <sheetFormatPr defaultColWidth="9.109375" defaultRowHeight="10.199999999999999" x14ac:dyDescent="0.2"/>
  <cols>
    <col min="1" max="1" width="23.6640625" style="27" customWidth="1"/>
    <col min="2" max="2" width="1.6640625" style="27" customWidth="1"/>
    <col min="3" max="4" width="8.6640625" style="27" customWidth="1"/>
    <col min="5" max="5" width="9.6640625" style="27" customWidth="1"/>
    <col min="6" max="11" width="8.6640625" style="27" customWidth="1"/>
    <col min="12" max="18" width="9.6640625" style="27" customWidth="1"/>
    <col min="19" max="16384" width="9.109375" style="27"/>
  </cols>
  <sheetData>
    <row r="1" spans="1:17" ht="15.6" x14ac:dyDescent="0.3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</row>
    <row r="2" spans="1:17" ht="13.8" x14ac:dyDescent="0.25">
      <c r="A2" s="318" t="s">
        <v>161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Q2" s="27" t="s">
        <v>234</v>
      </c>
    </row>
    <row r="3" spans="1:17" ht="13.8" x14ac:dyDescent="0.3">
      <c r="A3" s="319" t="s">
        <v>162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17" ht="3" customHeight="1" x14ac:dyDescent="0.2">
      <c r="A4" s="38"/>
    </row>
    <row r="5" spans="1:17" ht="12.75" customHeight="1" x14ac:dyDescent="0.2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89"/>
      <c r="N6" s="58"/>
    </row>
    <row r="7" spans="1:17" x14ac:dyDescent="0.2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">
      <c r="A9" s="29" t="s">
        <v>3</v>
      </c>
      <c r="C9" s="59">
        <f>GrossMargin!D10-[2]GrossMargin!D10</f>
        <v>-24459</v>
      </c>
      <c r="D9" s="60">
        <f>GrossMargin!E10-[2]GrossMargin!E10</f>
        <v>0</v>
      </c>
      <c r="E9" s="60">
        <f>GrossMargin!F10-[2]GrossMargin!F10</f>
        <v>0</v>
      </c>
      <c r="F9" s="60">
        <f>GrossMargin!G10-[2]GrossMargin!G10</f>
        <v>0</v>
      </c>
      <c r="G9" s="61">
        <f>GrossMargin!H10-[2]GrossMargin!H10</f>
        <v>0</v>
      </c>
      <c r="H9" s="177">
        <f>SUM(C9:G9)</f>
        <v>-24459</v>
      </c>
      <c r="I9" s="59"/>
      <c r="J9" s="60">
        <f>GrossMargin!K10-[2]GrossMargin!K10</f>
        <v>0</v>
      </c>
      <c r="K9" s="84">
        <f>SUM(H9:J9)</f>
        <v>-24459</v>
      </c>
    </row>
    <row r="10" spans="1:17" ht="12" customHeight="1" x14ac:dyDescent="0.2">
      <c r="A10" s="29" t="s">
        <v>272</v>
      </c>
      <c r="C10" s="41">
        <f>GrossMargin!D11-[2]GrossMargin!D11</f>
        <v>-1285</v>
      </c>
      <c r="D10" s="42">
        <f>GrossMargin!E11-[2]GrossMargin!E11</f>
        <v>0</v>
      </c>
      <c r="E10" s="42">
        <f>GrossMargin!F11-[2]GrossMargin!F11</f>
        <v>0</v>
      </c>
      <c r="F10" s="42">
        <f>GrossMargin!G11-[2]GrossMargin!G11</f>
        <v>0</v>
      </c>
      <c r="G10" s="42">
        <f>GrossMargin!H11-[2]GrossMargin!H11</f>
        <v>0</v>
      </c>
      <c r="H10" s="64">
        <f>SUM(C10:G10)</f>
        <v>-1285</v>
      </c>
      <c r="I10" s="41"/>
      <c r="J10" s="42">
        <f>GrossMargin!K11-[2]GrossMargin!K11</f>
        <v>0</v>
      </c>
      <c r="K10" s="66">
        <f>SUM(H10:J10)</f>
        <v>-1285</v>
      </c>
    </row>
    <row r="11" spans="1:17" ht="12" customHeight="1" x14ac:dyDescent="0.2">
      <c r="A11" s="29" t="s">
        <v>106</v>
      </c>
      <c r="C11" s="41">
        <f>GrossMargin!D12-[2]GrossMargin!D12</f>
        <v>7818</v>
      </c>
      <c r="D11" s="42">
        <f>GrossMargin!E12-[2]GrossMargin!E12</f>
        <v>0</v>
      </c>
      <c r="E11" s="42">
        <f>GrossMargin!F12-[2]GrossMargin!F12</f>
        <v>0</v>
      </c>
      <c r="F11" s="42">
        <f>GrossMargin!H12-[2]GrossMargin!H12</f>
        <v>0</v>
      </c>
      <c r="G11" s="42">
        <f>GrossMargin!H12-[2]GrossMargin!H12</f>
        <v>0</v>
      </c>
      <c r="H11" s="64">
        <f t="shared" ref="H11:H17" si="0">SUM(C11:G11)</f>
        <v>7818</v>
      </c>
      <c r="I11" s="41"/>
      <c r="J11" s="42">
        <f>GrossMargin!K12-[2]GrossMargin!K12</f>
        <v>0</v>
      </c>
      <c r="K11" s="66">
        <f t="shared" ref="K11:K17" si="1">SUM(H11:J11)</f>
        <v>7818</v>
      </c>
    </row>
    <row r="12" spans="1:17" ht="12" customHeight="1" x14ac:dyDescent="0.2">
      <c r="A12" s="29" t="s">
        <v>132</v>
      </c>
      <c r="C12" s="41">
        <f>GrossMargin!D13-[2]GrossMargin!D13</f>
        <v>3918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64">
        <f t="shared" si="0"/>
        <v>3918</v>
      </c>
      <c r="I12" s="41"/>
      <c r="J12" s="42">
        <f>GrossMargin!K13-[2]GrossMargin!K13</f>
        <v>0</v>
      </c>
      <c r="K12" s="66">
        <f t="shared" si="1"/>
        <v>3918</v>
      </c>
    </row>
    <row r="13" spans="1:17" ht="12" customHeight="1" x14ac:dyDescent="0.2">
      <c r="A13" s="29" t="s">
        <v>133</v>
      </c>
      <c r="C13" s="41">
        <f>GrossMargin!D14-[2]GrossMargin!D14</f>
        <v>406</v>
      </c>
      <c r="D13" s="42">
        <f>GrossMargin!E14-[2]GrossMargin!E14</f>
        <v>0</v>
      </c>
      <c r="E13" s="42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64">
        <f t="shared" si="0"/>
        <v>406</v>
      </c>
      <c r="I13" s="41"/>
      <c r="J13" s="42">
        <f>GrossMargin!K14-[2]GrossMargin!K14</f>
        <v>0</v>
      </c>
      <c r="K13" s="66">
        <f t="shared" si="1"/>
        <v>406</v>
      </c>
    </row>
    <row r="14" spans="1:17" ht="12" customHeight="1" x14ac:dyDescent="0.2">
      <c r="A14" s="29" t="s">
        <v>251</v>
      </c>
      <c r="C14" s="41">
        <f>GrossMargin!D15-[2]GrossMargin!D15</f>
        <v>1206</v>
      </c>
      <c r="D14" s="42">
        <f>GrossMargin!E15-[2]GrossMargin!E15</f>
        <v>0</v>
      </c>
      <c r="E14" s="42">
        <f>GrossMargin!F15-[2]GrossMargin!F15</f>
        <v>0</v>
      </c>
      <c r="F14" s="42">
        <f>GrossMargin!G15-[2]GrossMargin!G15</f>
        <v>0</v>
      </c>
      <c r="G14" s="42">
        <f>GrossMargin!H15-[2]GrossMargin!H15</f>
        <v>0</v>
      </c>
      <c r="H14" s="64">
        <f t="shared" si="0"/>
        <v>1206</v>
      </c>
      <c r="I14" s="41"/>
      <c r="J14" s="42">
        <f>GrossMargin!K15-[2]GrossMargin!K15</f>
        <v>0</v>
      </c>
      <c r="K14" s="66">
        <f t="shared" si="1"/>
        <v>1206</v>
      </c>
    </row>
    <row r="15" spans="1:17" ht="12" customHeight="1" x14ac:dyDescent="0.2">
      <c r="A15" s="29" t="s">
        <v>275</v>
      </c>
      <c r="C15" s="41">
        <f>GrossMargin!D16-[2]GrossMargin!D16</f>
        <v>2017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64">
        <f t="shared" si="0"/>
        <v>2017</v>
      </c>
      <c r="I15" s="41"/>
      <c r="J15" s="42">
        <f>GrossMargin!K16-[2]GrossMargin!K16</f>
        <v>0</v>
      </c>
      <c r="K15" s="66">
        <f t="shared" si="1"/>
        <v>2017</v>
      </c>
    </row>
    <row r="16" spans="1:17" ht="12" customHeight="1" x14ac:dyDescent="0.2">
      <c r="A16" s="29" t="s">
        <v>155</v>
      </c>
      <c r="C16" s="41">
        <f>GrossMargin!D17-[2]GrossMargin!D17</f>
        <v>-92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64">
        <f t="shared" si="0"/>
        <v>-92</v>
      </c>
      <c r="I16" s="41"/>
      <c r="J16" s="42">
        <f>GrossMargin!K17-[2]GrossMargin!K17</f>
        <v>0</v>
      </c>
      <c r="K16" s="66">
        <f t="shared" si="1"/>
        <v>-92</v>
      </c>
    </row>
    <row r="17" spans="1:11" ht="12" customHeight="1" x14ac:dyDescent="0.2">
      <c r="A17" s="29" t="s">
        <v>292</v>
      </c>
      <c r="C17" s="41">
        <f>GrossMargin!D18-[2]GrossMargin!D18</f>
        <v>-3937</v>
      </c>
      <c r="D17" s="42">
        <f>GrossMargin!E18-[2]GrossMargin!E18</f>
        <v>0</v>
      </c>
      <c r="E17" s="42">
        <f>GrossMargin!F18-[2]GrossMargin!F18</f>
        <v>0</v>
      </c>
      <c r="F17" s="42">
        <f>GrossMargin!H18-[2]GrossMargin!H18</f>
        <v>0</v>
      </c>
      <c r="G17" s="42">
        <f>GrossMargin!H18-[2]GrossMargin!H18</f>
        <v>0</v>
      </c>
      <c r="H17" s="64">
        <f t="shared" si="0"/>
        <v>-3937</v>
      </c>
      <c r="I17" s="41"/>
      <c r="J17" s="42">
        <f>GrossMargin!K18-[2]GrossMargin!K18</f>
        <v>0</v>
      </c>
      <c r="K17" s="66">
        <f t="shared" si="1"/>
        <v>-3937</v>
      </c>
    </row>
    <row r="18" spans="1:11" ht="3" customHeight="1" x14ac:dyDescent="0.2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3">
      <c r="A19" s="106" t="s">
        <v>6</v>
      </c>
      <c r="B19" s="91"/>
      <c r="C19" s="99">
        <f t="shared" ref="C19:H19" si="2">SUM(C9:C17)</f>
        <v>-14408</v>
      </c>
      <c r="D19" s="100">
        <f t="shared" si="2"/>
        <v>0</v>
      </c>
      <c r="E19" s="100">
        <f t="shared" si="2"/>
        <v>0</v>
      </c>
      <c r="F19" s="100">
        <f t="shared" si="2"/>
        <v>0</v>
      </c>
      <c r="G19" s="100">
        <f t="shared" si="2"/>
        <v>0</v>
      </c>
      <c r="H19" s="99">
        <f t="shared" si="2"/>
        <v>-14408</v>
      </c>
      <c r="I19" s="99"/>
      <c r="J19" s="100">
        <f>SUM(J9:J17)</f>
        <v>0</v>
      </c>
      <c r="K19" s="101">
        <f>SUM(K9:K17)</f>
        <v>-14408</v>
      </c>
    </row>
    <row r="20" spans="1:11" ht="3" customHeight="1" x14ac:dyDescent="0.2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">
      <c r="A21" s="29" t="s">
        <v>88</v>
      </c>
      <c r="C21" s="41">
        <f>GrossMargin!D22-[2]GrossMargin!D22</f>
        <v>0</v>
      </c>
      <c r="D21" s="42">
        <f>GrossMargin!E22-[2]GrossMargin!E22</f>
        <v>0</v>
      </c>
      <c r="E21" s="42">
        <f>GrossMargin!F22-[2]GrossMargin!F22</f>
        <v>0</v>
      </c>
      <c r="F21" s="42">
        <f>GrossMargin!G22-[2]GrossMargin!G22</f>
        <v>0</v>
      </c>
      <c r="G21" s="42">
        <f>GrossMargin!H22-[2]GrossMargin!H22</f>
        <v>0</v>
      </c>
      <c r="H21" s="64">
        <f t="shared" ref="H21:H31" si="3">SUM(C21:G21)</f>
        <v>0</v>
      </c>
      <c r="I21" s="41"/>
      <c r="J21" s="42">
        <f>GrossMargin!K22-[2]GrossMargin!K22</f>
        <v>0</v>
      </c>
      <c r="K21" s="66">
        <f t="shared" ref="K21:K31" si="4">SUM(H21:J21)</f>
        <v>0</v>
      </c>
    </row>
    <row r="22" spans="1:11" ht="12" customHeight="1" x14ac:dyDescent="0.2">
      <c r="A22" s="29" t="s">
        <v>89</v>
      </c>
      <c r="C22" s="41">
        <f>GrossMargin!D23-[2]GrossMargin!D23</f>
        <v>0</v>
      </c>
      <c r="D22" s="42">
        <f>GrossMargin!E23-[2]GrossMargin!E23</f>
        <v>0</v>
      </c>
      <c r="E22" s="42">
        <f>GrossMargin!F23-[2]GrossMargin!F23</f>
        <v>0</v>
      </c>
      <c r="F22" s="42">
        <f>GrossMargin!G23-[2]GrossMargin!G23</f>
        <v>0</v>
      </c>
      <c r="G22" s="42">
        <f>GrossMargin!H23-[2]GrossMargin!H23</f>
        <v>0</v>
      </c>
      <c r="H22" s="64">
        <f t="shared" si="3"/>
        <v>0</v>
      </c>
      <c r="I22" s="41"/>
      <c r="J22" s="42">
        <f>GrossMargin!K23-[2]GrossMargin!K23</f>
        <v>0</v>
      </c>
      <c r="K22" s="66">
        <f t="shared" si="4"/>
        <v>0</v>
      </c>
    </row>
    <row r="23" spans="1:11" ht="12" customHeight="1" x14ac:dyDescent="0.2">
      <c r="A23" s="29" t="s">
        <v>229</v>
      </c>
      <c r="C23" s="41">
        <f>GrossMargin!D24-[2]GrossMargin!D24</f>
        <v>1211</v>
      </c>
      <c r="D23" s="42">
        <f>GrossMargin!E24-[2]GrossMargin!E24</f>
        <v>38</v>
      </c>
      <c r="E23" s="42">
        <f>GrossMargin!F24-[2]GrossMargin!F24</f>
        <v>0</v>
      </c>
      <c r="F23" s="42">
        <f>GrossMargin!G24-[2]GrossMargin!G24</f>
        <v>0</v>
      </c>
      <c r="G23" s="42">
        <f>GrossMargin!H24-[2]GrossMargin!H24</f>
        <v>0</v>
      </c>
      <c r="H23" s="64">
        <f t="shared" si="3"/>
        <v>1249</v>
      </c>
      <c r="I23" s="41"/>
      <c r="J23" s="42">
        <f>GrossMargin!K24-[2]GrossMargin!K24</f>
        <v>0</v>
      </c>
      <c r="K23" s="66">
        <f t="shared" si="4"/>
        <v>1249</v>
      </c>
    </row>
    <row r="24" spans="1:11" ht="12" customHeight="1" x14ac:dyDescent="0.2">
      <c r="A24" s="29" t="s">
        <v>67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GrossMargin!G25-[2]GrossMargin!G25</f>
        <v>0</v>
      </c>
      <c r="G24" s="42">
        <f>GrossMargin!H25-[2]GrossMargin!H25</f>
        <v>0</v>
      </c>
      <c r="H24" s="64">
        <f t="shared" si="3"/>
        <v>0</v>
      </c>
      <c r="I24" s="41"/>
      <c r="J24" s="42">
        <f>GrossMargin!K25-[2]GrossMargin!K25</f>
        <v>0</v>
      </c>
      <c r="K24" s="66">
        <f t="shared" si="4"/>
        <v>0</v>
      </c>
    </row>
    <row r="25" spans="1:11" ht="12" customHeight="1" x14ac:dyDescent="0.2">
      <c r="A25" s="29" t="s">
        <v>263</v>
      </c>
      <c r="C25" s="41">
        <f>GrossMargin!D26-[2]GrossMargin!D26</f>
        <v>0</v>
      </c>
      <c r="D25" s="42">
        <f>GrossMargin!E26-[2]GrossMargin!E26</f>
        <v>14</v>
      </c>
      <c r="E25" s="42">
        <f>GrossMargin!F26-[2]GrossMargin!F26</f>
        <v>-73</v>
      </c>
      <c r="F25" s="42">
        <f>GrossMargin!G26-[2]GrossMargin!G26</f>
        <v>0</v>
      </c>
      <c r="G25" s="42">
        <f>GrossMargin!H26-[2]GrossMargin!H26</f>
        <v>0</v>
      </c>
      <c r="H25" s="64">
        <f t="shared" si="3"/>
        <v>-59</v>
      </c>
      <c r="I25" s="41"/>
      <c r="J25" s="42">
        <f>GrossMargin!K26-[2]GrossMargin!K26</f>
        <v>0</v>
      </c>
      <c r="K25" s="66">
        <f t="shared" si="4"/>
        <v>-59</v>
      </c>
    </row>
    <row r="26" spans="1:11" ht="12" customHeight="1" x14ac:dyDescent="0.2">
      <c r="A26" s="29" t="s">
        <v>252</v>
      </c>
      <c r="C26" s="41">
        <f>GrossMargin!D27-[2]GrossMargin!D27</f>
        <v>230</v>
      </c>
      <c r="D26" s="42">
        <f>GrossMargin!E27-[2]GrossMargin!E27</f>
        <v>227</v>
      </c>
      <c r="E26" s="42">
        <f>GrossMargin!F27-[2]GrossMargin!F27</f>
        <v>0</v>
      </c>
      <c r="F26" s="42">
        <f>GrossMargin!H27-[2]GrossMargin!H27</f>
        <v>460</v>
      </c>
      <c r="G26" s="42">
        <v>0</v>
      </c>
      <c r="H26" s="64">
        <f t="shared" si="3"/>
        <v>917</v>
      </c>
      <c r="I26" s="41"/>
      <c r="J26" s="42">
        <f>GrossMargin!K27-[2]GrossMargin!K27</f>
        <v>0</v>
      </c>
      <c r="K26" s="66">
        <f t="shared" si="4"/>
        <v>917</v>
      </c>
    </row>
    <row r="27" spans="1:11" ht="12" customHeight="1" x14ac:dyDescent="0.2">
      <c r="A27" s="29" t="s">
        <v>299</v>
      </c>
      <c r="C27" s="41">
        <f>GrossMargin!D28-[2]GrossMargin!D28</f>
        <v>56</v>
      </c>
      <c r="D27" s="42">
        <f>GrossMargin!E28-[2]GrossMargin!E28</f>
        <v>0</v>
      </c>
      <c r="E27" s="42">
        <f>GrossMargin!F28-[2]GrossMargin!F28</f>
        <v>0</v>
      </c>
      <c r="F27" s="42">
        <f>GrossMargin!H28-[2]GrossMargin!H28</f>
        <v>5847</v>
      </c>
      <c r="G27" s="42">
        <v>0</v>
      </c>
      <c r="H27" s="64">
        <f t="shared" si="3"/>
        <v>5903</v>
      </c>
      <c r="I27" s="41"/>
      <c r="J27" s="42">
        <f>GrossMargin!K28-[2]GrossMargin!K28</f>
        <v>0</v>
      </c>
      <c r="K27" s="66">
        <f t="shared" si="4"/>
        <v>5903</v>
      </c>
    </row>
    <row r="28" spans="1:11" ht="12" customHeight="1" x14ac:dyDescent="0.2">
      <c r="A28" s="29" t="s">
        <v>289</v>
      </c>
      <c r="C28" s="41">
        <f>GrossMargin!D29-[2]GrossMargin!D29</f>
        <v>0</v>
      </c>
      <c r="D28" s="42">
        <f>GrossMargin!E29-[2]GrossMargin!E29</f>
        <v>0</v>
      </c>
      <c r="E28" s="42">
        <f>GrossMargin!F29-[2]GrossMargin!F29</f>
        <v>286</v>
      </c>
      <c r="F28" s="42">
        <f>GrossMargin!H29-[2]GrossMargin!H29</f>
        <v>-55</v>
      </c>
      <c r="G28" s="42">
        <v>0</v>
      </c>
      <c r="H28" s="64">
        <f t="shared" si="3"/>
        <v>231</v>
      </c>
      <c r="I28" s="41"/>
      <c r="J28" s="42">
        <f>GrossMargin!K29-[2]GrossMargin!K29</f>
        <v>0</v>
      </c>
      <c r="K28" s="66">
        <f t="shared" si="4"/>
        <v>231</v>
      </c>
    </row>
    <row r="29" spans="1:11" ht="12" customHeight="1" x14ac:dyDescent="0.2">
      <c r="A29" s="29" t="s">
        <v>290</v>
      </c>
      <c r="C29" s="41">
        <f>GrossMargin!D30-[2]GrossMargin!D30</f>
        <v>0</v>
      </c>
      <c r="D29" s="42">
        <f>GrossMargin!E30-[2]GrossMargin!E30</f>
        <v>0</v>
      </c>
      <c r="E29" s="42">
        <f>GrossMargin!F30-[2]GrossMargin!F30</f>
        <v>1195</v>
      </c>
      <c r="F29" s="42">
        <f>GrossMargin!H30-[2]GrossMargin!H30</f>
        <v>0</v>
      </c>
      <c r="G29" s="42">
        <v>0</v>
      </c>
      <c r="H29" s="64">
        <f t="shared" si="3"/>
        <v>1195</v>
      </c>
      <c r="I29" s="41"/>
      <c r="J29" s="42">
        <f>GrossMargin!K30-[2]GrossMargin!K30</f>
        <v>0</v>
      </c>
      <c r="K29" s="66">
        <f t="shared" si="4"/>
        <v>1195</v>
      </c>
    </row>
    <row r="30" spans="1:11" ht="12" customHeight="1" x14ac:dyDescent="0.2">
      <c r="A30" s="29" t="s">
        <v>156</v>
      </c>
      <c r="C30" s="41">
        <f>GrossMargin!D31-[2]GrossMargin!D31</f>
        <v>0</v>
      </c>
      <c r="D30" s="42">
        <f>GrossMargin!E31-[2]GrossMargin!E31</f>
        <v>300</v>
      </c>
      <c r="E30" s="42">
        <f>GrossMargin!F31-[2]GrossMargin!F31</f>
        <v>0</v>
      </c>
      <c r="F30" s="42">
        <f>GrossMargin!H31-[2]GrossMargin!H31</f>
        <v>-282</v>
      </c>
      <c r="G30" s="42">
        <v>0</v>
      </c>
      <c r="H30" s="64">
        <f t="shared" si="3"/>
        <v>18</v>
      </c>
      <c r="I30" s="41"/>
      <c r="J30" s="42">
        <f>GrossMargin!K31-[2]GrossMargin!K29</f>
        <v>0</v>
      </c>
      <c r="K30" s="66">
        <f t="shared" si="4"/>
        <v>18</v>
      </c>
    </row>
    <row r="31" spans="1:11" ht="12" customHeight="1" x14ac:dyDescent="0.2">
      <c r="A31" s="29" t="s">
        <v>0</v>
      </c>
      <c r="C31" s="41">
        <f>GrossMargin!D32-[2]GrossMargin!D32</f>
        <v>0</v>
      </c>
      <c r="D31" s="42">
        <f>GrossMargin!E32-[2]GrossMargin!E32</f>
        <v>0</v>
      </c>
      <c r="E31" s="42">
        <f>GrossMargin!F32-[2]GrossMargin!F32</f>
        <v>0</v>
      </c>
      <c r="F31" s="42">
        <f>GrossMargin!H32-[2]GrossMargin!H32</f>
        <v>0</v>
      </c>
      <c r="G31" s="42">
        <v>0</v>
      </c>
      <c r="H31" s="64">
        <f t="shared" si="3"/>
        <v>0</v>
      </c>
      <c r="I31" s="41"/>
      <c r="J31" s="42">
        <f>GrossMargin!K32-[2]GrossMargin!K30</f>
        <v>0</v>
      </c>
      <c r="K31" s="66">
        <f t="shared" si="4"/>
        <v>0</v>
      </c>
    </row>
    <row r="32" spans="1:11" ht="3" customHeight="1" x14ac:dyDescent="0.2">
      <c r="A32" s="29"/>
      <c r="C32" s="41"/>
      <c r="D32" s="42"/>
      <c r="E32" s="42"/>
      <c r="F32" s="42"/>
      <c r="G32" s="42"/>
      <c r="H32" s="64"/>
      <c r="I32" s="41"/>
      <c r="J32" s="42"/>
      <c r="K32" s="43"/>
    </row>
    <row r="33" spans="1:11" ht="12" customHeight="1" x14ac:dyDescent="0.3">
      <c r="A33" s="106" t="s">
        <v>1</v>
      </c>
      <c r="B33" s="91"/>
      <c r="C33" s="99">
        <f t="shared" ref="C33:K33" si="5">SUM(C21:C31)</f>
        <v>1497</v>
      </c>
      <c r="D33" s="100">
        <f t="shared" si="5"/>
        <v>579</v>
      </c>
      <c r="E33" s="100">
        <f t="shared" si="5"/>
        <v>1408</v>
      </c>
      <c r="F33" s="100">
        <f t="shared" si="5"/>
        <v>5970</v>
      </c>
      <c r="G33" s="100">
        <f t="shared" si="5"/>
        <v>0</v>
      </c>
      <c r="H33" s="99">
        <f t="shared" si="5"/>
        <v>9454</v>
      </c>
      <c r="I33" s="99"/>
      <c r="J33" s="100">
        <f t="shared" si="5"/>
        <v>0</v>
      </c>
      <c r="K33" s="101">
        <f t="shared" si="5"/>
        <v>9454</v>
      </c>
    </row>
    <row r="34" spans="1:11" ht="3" customHeight="1" x14ac:dyDescent="0.2">
      <c r="A34" s="29"/>
      <c r="C34" s="41"/>
      <c r="D34" s="42"/>
      <c r="E34" s="42"/>
      <c r="F34" s="42"/>
      <c r="G34" s="42"/>
      <c r="H34" s="64"/>
      <c r="I34" s="41"/>
      <c r="J34" s="42"/>
      <c r="K34" s="43"/>
    </row>
    <row r="35" spans="1:11" ht="3" customHeight="1" x14ac:dyDescent="0.2">
      <c r="A35" s="29"/>
      <c r="C35" s="104"/>
      <c r="D35" s="81"/>
      <c r="E35" s="81"/>
      <c r="F35" s="81"/>
      <c r="G35" s="81"/>
      <c r="H35" s="105"/>
      <c r="I35" s="104"/>
      <c r="J35" s="81"/>
      <c r="K35" s="133"/>
    </row>
    <row r="36" spans="1:11" ht="12" customHeight="1" x14ac:dyDescent="0.2">
      <c r="A36" s="29" t="s">
        <v>9</v>
      </c>
      <c r="C36" s="41">
        <f>GrossMargin!D37-[2]GrossMargin!D37</f>
        <v>0</v>
      </c>
      <c r="D36" s="42">
        <f>GrossMargin!E37-[2]GrossMargin!E37</f>
        <v>-1462</v>
      </c>
      <c r="E36" s="42">
        <f>GrossMargin!F37-[2]GrossMargin!F37</f>
        <v>0</v>
      </c>
      <c r="F36" s="42">
        <f>GrossMargin!H37-[2]GrossMargin!H37</f>
        <v>0</v>
      </c>
      <c r="G36" s="42">
        <v>0</v>
      </c>
      <c r="H36" s="64">
        <f>SUM(C36:G36)</f>
        <v>-1462</v>
      </c>
      <c r="I36" s="41"/>
      <c r="J36" s="42">
        <f>GrossMargin!K37-[2]GrossMargin!K35</f>
        <v>0</v>
      </c>
      <c r="K36" s="66">
        <f>SUM(H36:J36)</f>
        <v>-1462</v>
      </c>
    </row>
    <row r="37" spans="1:11" ht="12" customHeight="1" x14ac:dyDescent="0.2">
      <c r="A37" s="29" t="s">
        <v>267</v>
      </c>
      <c r="C37" s="41">
        <f>GrossMargin!D38-[2]GrossMargin!D38</f>
        <v>0</v>
      </c>
      <c r="D37" s="42">
        <f>GrossMargin!E38-[2]GrossMargin!E38</f>
        <v>1251</v>
      </c>
      <c r="E37" s="42">
        <f>GrossMargin!F38-[2]GrossMargin!F38</f>
        <v>0</v>
      </c>
      <c r="F37" s="42">
        <f>GrossMargin!H38-[2]GrossMargin!H38</f>
        <v>0</v>
      </c>
      <c r="G37" s="42">
        <v>0</v>
      </c>
      <c r="H37" s="64">
        <f>SUM(C37:G37)</f>
        <v>1251</v>
      </c>
      <c r="I37" s="41"/>
      <c r="J37" s="42">
        <f>GrossMargin!K38-[2]GrossMargin!K36</f>
        <v>0</v>
      </c>
      <c r="K37" s="66">
        <f>SUM(H37:J37)</f>
        <v>1251</v>
      </c>
    </row>
    <row r="38" spans="1:11" ht="12" hidden="1" customHeight="1" x14ac:dyDescent="0.2">
      <c r="A38" s="45" t="s">
        <v>180</v>
      </c>
      <c r="C38" s="41">
        <f>GrossMargin!D39-[2]GrossMargin!D39</f>
        <v>0</v>
      </c>
      <c r="D38" s="42">
        <f>GrossMargin!E39-[2]GrossMargin!E39</f>
        <v>-19</v>
      </c>
      <c r="E38" s="42">
        <f>GrossMargin!F39-[2]GrossMargin!F39</f>
        <v>3</v>
      </c>
      <c r="F38" s="42">
        <f>GrossMargin!H39-[2]GrossMargin!H39</f>
        <v>0</v>
      </c>
      <c r="G38" s="42">
        <v>0</v>
      </c>
      <c r="H38" s="64">
        <f>SUM(C38:G38)</f>
        <v>-16</v>
      </c>
      <c r="I38" s="41"/>
      <c r="J38" s="42">
        <f>GrossMargin!K39-[2]GrossMargin!K37</f>
        <v>0</v>
      </c>
      <c r="K38" s="66">
        <f>SUM(H38:J38)</f>
        <v>-16</v>
      </c>
    </row>
    <row r="39" spans="1:11" ht="12" hidden="1" customHeight="1" x14ac:dyDescent="0.2">
      <c r="A39" s="45" t="s">
        <v>154</v>
      </c>
      <c r="C39" s="41">
        <f>GrossMargin!D40-[2]GrossMargin!D40</f>
        <v>0</v>
      </c>
      <c r="D39" s="42">
        <f>GrossMargin!E40-[2]GrossMargin!E40</f>
        <v>-7703</v>
      </c>
      <c r="E39" s="42">
        <f>GrossMargin!F40-[2]GrossMargin!F40</f>
        <v>-355</v>
      </c>
      <c r="F39" s="42">
        <f>GrossMargin!H40-[2]GrossMargin!H40</f>
        <v>0</v>
      </c>
      <c r="G39" s="42">
        <v>0</v>
      </c>
      <c r="H39" s="64">
        <f>SUM(C39:G39)</f>
        <v>-8058</v>
      </c>
      <c r="I39" s="41"/>
      <c r="J39" s="42">
        <f>GrossMargin!K40-[2]GrossMargin!K38</f>
        <v>0</v>
      </c>
      <c r="K39" s="66">
        <f>SUM(H39:J39)</f>
        <v>-8058</v>
      </c>
    </row>
    <row r="40" spans="1:11" x14ac:dyDescent="0.2">
      <c r="A40" s="29" t="s">
        <v>154</v>
      </c>
      <c r="B40" s="29"/>
      <c r="C40" s="41">
        <f>GrossMargin!D41-[2]GrossMargin!D41</f>
        <v>0</v>
      </c>
      <c r="D40" s="42">
        <f>GrossMargin!E41-[2]GrossMargin!E41</f>
        <v>-7722</v>
      </c>
      <c r="E40" s="42">
        <f>GrossMargin!F41-[2]GrossMargin!F41</f>
        <v>-352</v>
      </c>
      <c r="F40" s="42">
        <f>GrossMargin!H41-[2]GrossMargin!H41</f>
        <v>0</v>
      </c>
      <c r="G40" s="42">
        <v>0</v>
      </c>
      <c r="H40" s="64">
        <f>SUM(C40:G40)</f>
        <v>-8074</v>
      </c>
      <c r="I40" s="41"/>
      <c r="J40" s="42">
        <f>GrossMargin!K41-[2]GrossMargin!K39</f>
        <v>0</v>
      </c>
      <c r="K40" s="66">
        <f>SUM(H40:J40)</f>
        <v>-8074</v>
      </c>
    </row>
    <row r="41" spans="1:11" ht="3" customHeight="1" x14ac:dyDescent="0.2">
      <c r="A41" s="45"/>
      <c r="C41" s="46"/>
      <c r="D41" s="47"/>
      <c r="E41" s="47"/>
      <c r="F41" s="47"/>
      <c r="G41" s="47"/>
      <c r="H41" s="46"/>
      <c r="I41" s="46"/>
      <c r="J41" s="47"/>
      <c r="K41" s="132"/>
    </row>
    <row r="42" spans="1:11" s="90" customFormat="1" ht="12" customHeight="1" x14ac:dyDescent="0.3">
      <c r="A42" s="106" t="s">
        <v>87</v>
      </c>
      <c r="B42" s="91"/>
      <c r="C42" s="99">
        <f t="shared" ref="C42:K42" si="6">SUM(C36:C39)</f>
        <v>0</v>
      </c>
      <c r="D42" s="100">
        <f t="shared" si="6"/>
        <v>-7933</v>
      </c>
      <c r="E42" s="100">
        <f t="shared" si="6"/>
        <v>-352</v>
      </c>
      <c r="F42" s="100">
        <f t="shared" si="6"/>
        <v>0</v>
      </c>
      <c r="G42" s="100">
        <f t="shared" si="6"/>
        <v>0</v>
      </c>
      <c r="H42" s="99">
        <f t="shared" si="6"/>
        <v>-8285</v>
      </c>
      <c r="I42" s="99"/>
      <c r="J42" s="100">
        <f t="shared" si="6"/>
        <v>0</v>
      </c>
      <c r="K42" s="101">
        <f t="shared" si="6"/>
        <v>-8285</v>
      </c>
    </row>
    <row r="43" spans="1:11" ht="3" customHeight="1" x14ac:dyDescent="0.2">
      <c r="A43" s="29"/>
      <c r="C43" s="104"/>
      <c r="D43" s="81"/>
      <c r="E43" s="81"/>
      <c r="F43" s="81"/>
      <c r="G43" s="81"/>
      <c r="H43" s="105"/>
      <c r="I43" s="104"/>
      <c r="J43" s="81"/>
      <c r="K43" s="133"/>
    </row>
    <row r="44" spans="1:11" ht="12" customHeight="1" x14ac:dyDescent="0.2">
      <c r="A44" s="29" t="s">
        <v>8</v>
      </c>
      <c r="C44" s="41">
        <f>GrossMargin!D45-[2]GrossMargin!D45</f>
        <v>0</v>
      </c>
      <c r="D44" s="42">
        <f>GrossMargin!E45-[2]GrossMargin!E45</f>
        <v>319</v>
      </c>
      <c r="E44" s="42">
        <f>GrossMargin!F45-[2]GrossMargin!F45</f>
        <v>0</v>
      </c>
      <c r="F44" s="42">
        <f>GrossMargin!H45-[2]GrossMargin!H45</f>
        <v>0</v>
      </c>
      <c r="G44" s="42">
        <v>0</v>
      </c>
      <c r="H44" s="64">
        <f>SUM(C44:G44)</f>
        <v>319</v>
      </c>
      <c r="I44" s="41"/>
      <c r="J44" s="42">
        <f>GrossMargin!K45-[2]GrossMargin!K43</f>
        <v>0</v>
      </c>
      <c r="K44" s="66">
        <f>SUM(H44:J44)</f>
        <v>319</v>
      </c>
    </row>
    <row r="45" spans="1:11" ht="3" customHeight="1" x14ac:dyDescent="0.2">
      <c r="A45" s="29"/>
      <c r="C45" s="46"/>
      <c r="D45" s="47"/>
      <c r="E45" s="47"/>
      <c r="F45" s="47"/>
      <c r="G45" s="47"/>
      <c r="H45" s="46"/>
      <c r="I45" s="46"/>
      <c r="J45" s="47"/>
      <c r="K45" s="132"/>
    </row>
    <row r="46" spans="1:11" ht="12" customHeight="1" x14ac:dyDescent="0.2">
      <c r="A46" s="29" t="s">
        <v>7</v>
      </c>
      <c r="C46" s="41">
        <f>GrossMargin!D47-[2]GrossMargin!D47</f>
        <v>289</v>
      </c>
      <c r="D46" s="42">
        <f>GrossMargin!E47-[2]GrossMargin!E47</f>
        <v>0</v>
      </c>
      <c r="E46" s="42">
        <f>GrossMargin!F47-[2]GrossMargin!F47</f>
        <v>0</v>
      </c>
      <c r="F46" s="42">
        <f>GrossMargin!H47-[2]GrossMargin!H47</f>
        <v>0</v>
      </c>
      <c r="G46" s="42">
        <v>0</v>
      </c>
      <c r="H46" s="64">
        <f>SUM(C46:G46)</f>
        <v>289</v>
      </c>
      <c r="I46" s="41"/>
      <c r="J46" s="42">
        <f>GrossMargin!K47-[2]GrossMargin!K45</f>
        <v>0</v>
      </c>
      <c r="K46" s="66">
        <f>SUM(H46:J46)</f>
        <v>289</v>
      </c>
    </row>
    <row r="47" spans="1:11" ht="3" customHeight="1" x14ac:dyDescent="0.2">
      <c r="A47" s="76"/>
      <c r="C47" s="46"/>
      <c r="D47" s="47"/>
      <c r="E47" s="47"/>
      <c r="F47" s="47"/>
      <c r="G47" s="47"/>
      <c r="H47" s="46"/>
      <c r="I47" s="46"/>
      <c r="J47" s="47"/>
      <c r="K47" s="132"/>
    </row>
    <row r="48" spans="1:11" ht="12" customHeight="1" x14ac:dyDescent="0.2">
      <c r="A48" s="29" t="s">
        <v>18</v>
      </c>
      <c r="C48" s="41">
        <f>GrossMargin!D49-[2]GrossMargin!D49</f>
        <v>0</v>
      </c>
      <c r="D48" s="42">
        <f>GrossMargin!E49-[2]GrossMargin!E49</f>
        <v>0</v>
      </c>
      <c r="E48" s="42">
        <f>GrossMargin!F49-[2]GrossMargin!F49</f>
        <v>0</v>
      </c>
      <c r="F48" s="42">
        <f>GrossMargin!H49-[2]GrossMargin!H49</f>
        <v>0</v>
      </c>
      <c r="G48" s="42">
        <v>0</v>
      </c>
      <c r="H48" s="64">
        <f>SUM(C48:G48)</f>
        <v>0</v>
      </c>
      <c r="I48" s="41"/>
      <c r="J48" s="42">
        <f>GrossMargin!K49-[2]GrossMargin!K47</f>
        <v>0</v>
      </c>
      <c r="K48" s="66">
        <f>SUM(H48:J48)</f>
        <v>0</v>
      </c>
    </row>
    <row r="49" spans="1:14" ht="3" customHeight="1" x14ac:dyDescent="0.2">
      <c r="A49" s="76"/>
      <c r="C49" s="46"/>
      <c r="D49" s="47"/>
      <c r="E49" s="47"/>
      <c r="F49" s="47"/>
      <c r="G49" s="47"/>
      <c r="H49" s="46"/>
      <c r="I49" s="46"/>
      <c r="J49" s="47"/>
      <c r="K49" s="132"/>
    </row>
    <row r="50" spans="1:14" ht="12" customHeight="1" x14ac:dyDescent="0.2">
      <c r="A50" s="29" t="s">
        <v>19</v>
      </c>
      <c r="C50" s="41">
        <f>GrossMargin!D51-[2]GrossMargin!D51</f>
        <v>0</v>
      </c>
      <c r="D50" s="42">
        <f>GrossMargin!E51-[2]GrossMargin!E51</f>
        <v>0</v>
      </c>
      <c r="E50" s="42">
        <f>GrossMargin!F51-[2]GrossMargin!F51</f>
        <v>0</v>
      </c>
      <c r="F50" s="42">
        <f>GrossMargin!H51-[2]GrossMargin!H51</f>
        <v>0</v>
      </c>
      <c r="G50" s="42">
        <v>0</v>
      </c>
      <c r="H50" s="64">
        <f>SUM(C50:G50)</f>
        <v>0</v>
      </c>
      <c r="I50" s="41"/>
      <c r="J50" s="42">
        <f>GrossMargin!K51-[2]GrossMargin!K49</f>
        <v>0</v>
      </c>
      <c r="K50" s="66">
        <f>SUM(H50:J50)</f>
        <v>0</v>
      </c>
    </row>
    <row r="51" spans="1:14" ht="3" customHeight="1" x14ac:dyDescent="0.2">
      <c r="A51" s="29"/>
      <c r="C51" s="46"/>
      <c r="D51" s="47"/>
      <c r="E51" s="47"/>
      <c r="F51" s="47"/>
      <c r="G51" s="47"/>
      <c r="H51" s="46"/>
      <c r="I51" s="46"/>
      <c r="J51" s="47"/>
      <c r="K51" s="132"/>
    </row>
    <row r="52" spans="1:14" ht="12" customHeight="1" x14ac:dyDescent="0.3">
      <c r="A52" s="75" t="s">
        <v>14</v>
      </c>
      <c r="C52" s="95">
        <f t="shared" ref="C52:H52" si="7">SUM(C42:C50)+C19+C33</f>
        <v>-12622</v>
      </c>
      <c r="D52" s="96">
        <f t="shared" si="7"/>
        <v>-7035</v>
      </c>
      <c r="E52" s="96">
        <f t="shared" si="7"/>
        <v>1056</v>
      </c>
      <c r="F52" s="96">
        <f t="shared" si="7"/>
        <v>5970</v>
      </c>
      <c r="G52" s="96">
        <f t="shared" si="7"/>
        <v>0</v>
      </c>
      <c r="H52" s="95">
        <f t="shared" si="7"/>
        <v>-12631</v>
      </c>
      <c r="I52" s="95"/>
      <c r="J52" s="96">
        <f>SUM(J42:J50)+J19+J33</f>
        <v>0</v>
      </c>
      <c r="K52" s="97">
        <f>SUM(K42:K50)+K19+K33</f>
        <v>-12631</v>
      </c>
    </row>
    <row r="53" spans="1:14" ht="3" customHeight="1" x14ac:dyDescent="0.2">
      <c r="A53" s="48"/>
      <c r="C53" s="49"/>
      <c r="D53" s="50"/>
      <c r="E53" s="50"/>
      <c r="F53" s="50"/>
      <c r="G53" s="50"/>
      <c r="H53" s="49"/>
      <c r="I53" s="49"/>
      <c r="J53" s="50"/>
      <c r="K53" s="51"/>
    </row>
    <row r="54" spans="1:14" x14ac:dyDescent="0.2">
      <c r="A54" s="27" t="s">
        <v>141</v>
      </c>
      <c r="C54" s="44"/>
      <c r="D54" s="44"/>
      <c r="E54" s="44"/>
      <c r="F54" s="44"/>
      <c r="G54" s="44"/>
      <c r="H54" s="44"/>
      <c r="I54" s="44"/>
      <c r="J54" s="44"/>
      <c r="K54" s="44"/>
    </row>
    <row r="55" spans="1:14" hidden="1" x14ac:dyDescent="0.2">
      <c r="C55" s="44"/>
      <c r="D55" s="74"/>
      <c r="E55" s="138" t="s">
        <v>76</v>
      </c>
      <c r="F55" s="40"/>
      <c r="G55" s="164"/>
      <c r="H55" s="164"/>
      <c r="I55" s="136"/>
      <c r="J55" s="42"/>
      <c r="K55" s="44"/>
      <c r="L55" s="38"/>
      <c r="M55" s="186"/>
      <c r="N55" s="38"/>
    </row>
    <row r="56" spans="1:14" hidden="1" x14ac:dyDescent="0.2">
      <c r="C56" s="44"/>
      <c r="D56" s="74"/>
      <c r="E56" s="138" t="s">
        <v>111</v>
      </c>
      <c r="F56" s="40"/>
      <c r="G56" s="164"/>
      <c r="H56" s="187"/>
      <c r="I56" s="136"/>
      <c r="J56" s="42"/>
      <c r="K56" s="44"/>
      <c r="L56" s="38"/>
      <c r="M56" s="186"/>
      <c r="N56" s="38"/>
    </row>
    <row r="57" spans="1:14" hidden="1" x14ac:dyDescent="0.2">
      <c r="C57" s="44"/>
      <c r="D57" s="74"/>
      <c r="E57" s="138" t="s">
        <v>75</v>
      </c>
      <c r="F57" s="191"/>
      <c r="G57" s="164"/>
      <c r="H57" s="187"/>
      <c r="I57" s="136"/>
      <c r="J57" s="42"/>
      <c r="K57" s="44"/>
      <c r="L57" s="38"/>
      <c r="M57" s="186"/>
      <c r="N57" s="38"/>
    </row>
    <row r="58" spans="1:14" hidden="1" x14ac:dyDescent="0.2">
      <c r="D58" s="39"/>
      <c r="E58" s="138" t="s">
        <v>77</v>
      </c>
      <c r="F58" s="40"/>
      <c r="G58" s="187"/>
      <c r="H58" s="187"/>
      <c r="I58" s="136"/>
      <c r="J58" s="38"/>
      <c r="L58" s="38"/>
      <c r="M58" s="186"/>
      <c r="N58" s="38"/>
    </row>
    <row r="59" spans="1:14" ht="4.5" hidden="1" customHeight="1" x14ac:dyDescent="0.2">
      <c r="D59" s="52"/>
      <c r="E59" s="54"/>
      <c r="F59" s="53"/>
      <c r="G59" s="53"/>
      <c r="H59" s="53"/>
      <c r="I59" s="51"/>
      <c r="J59" s="38"/>
      <c r="L59" s="38"/>
      <c r="M59" s="186"/>
      <c r="N59" s="38"/>
    </row>
    <row r="60" spans="1:14" ht="10.8" hidden="1" thickBot="1" x14ac:dyDescent="0.25">
      <c r="I60" s="137">
        <f>SUM(I55:I59)</f>
        <v>0</v>
      </c>
      <c r="J60" s="135" t="str">
        <f>IF(I60=I52,"","error")</f>
        <v/>
      </c>
      <c r="L60" s="38"/>
      <c r="M60" s="38" t="s">
        <v>286</v>
      </c>
      <c r="N60" s="38"/>
    </row>
    <row r="61" spans="1:14" ht="10.8" hidden="1" thickTop="1" x14ac:dyDescent="0.2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80"/>
  <sheetViews>
    <sheetView topLeftCell="B24" workbookViewId="0">
      <selection activeCell="E53" sqref="E53"/>
    </sheetView>
  </sheetViews>
  <sheetFormatPr defaultColWidth="9.109375" defaultRowHeight="10.199999999999999" x14ac:dyDescent="0.2"/>
  <cols>
    <col min="1" max="1" width="16.88671875" style="25" hidden="1" customWidth="1"/>
    <col min="2" max="2" width="23.6640625" style="27" customWidth="1"/>
    <col min="3" max="3" width="1.6640625" style="27" customWidth="1"/>
    <col min="4" max="5" width="8.6640625" style="27" customWidth="1"/>
    <col min="6" max="6" width="9.6640625" style="27" customWidth="1"/>
    <col min="7" max="7" width="0.109375" style="27" customWidth="1"/>
    <col min="8" max="15" width="8.6640625" style="27" customWidth="1"/>
    <col min="16" max="21" width="9.6640625" style="27" customWidth="1"/>
    <col min="22" max="16384" width="9.109375" style="27"/>
  </cols>
  <sheetData>
    <row r="1" spans="1:20" ht="12.75" customHeight="1" x14ac:dyDescent="0.2">
      <c r="A1" s="25" t="s">
        <v>102</v>
      </c>
    </row>
    <row r="2" spans="1:20" ht="15.6" x14ac:dyDescent="0.3">
      <c r="A2" s="25" t="s">
        <v>50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R2" s="27" t="s">
        <v>234</v>
      </c>
    </row>
    <row r="3" spans="1:20" ht="13.8" x14ac:dyDescent="0.25">
      <c r="A3" s="26">
        <v>36678</v>
      </c>
      <c r="B3" s="318" t="s">
        <v>161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</row>
    <row r="4" spans="1:20" ht="13.8" x14ac:dyDescent="0.3">
      <c r="A4" s="25" t="s">
        <v>47</v>
      </c>
      <c r="B4" s="319" t="str">
        <f>'Old Mgmt Summary'!A3</f>
        <v>Results based on Activity through June 22, 2000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</row>
    <row r="5" spans="1:20" ht="3" customHeight="1" x14ac:dyDescent="0.2">
      <c r="B5" s="38"/>
    </row>
    <row r="6" spans="1:20" ht="12.75" customHeight="1" x14ac:dyDescent="0.2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20" t="s">
        <v>138</v>
      </c>
      <c r="S6" s="321"/>
      <c r="T6" s="322"/>
    </row>
    <row r="7" spans="1:20" x14ac:dyDescent="0.2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20" t="s">
        <v>137</v>
      </c>
      <c r="S7" s="321"/>
      <c r="T7" s="322"/>
    </row>
    <row r="8" spans="1:20" x14ac:dyDescent="0.2">
      <c r="B8" s="37" t="s">
        <v>16</v>
      </c>
      <c r="D8" s="289" t="s">
        <v>259</v>
      </c>
      <c r="E8" s="34" t="s">
        <v>139</v>
      </c>
      <c r="F8" s="34" t="s">
        <v>135</v>
      </c>
      <c r="G8" s="34"/>
      <c r="H8" s="290" t="s">
        <v>261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83" t="s">
        <v>15</v>
      </c>
      <c r="S8" s="144" t="s">
        <v>13</v>
      </c>
      <c r="T8" s="145" t="s">
        <v>20</v>
      </c>
    </row>
    <row r="9" spans="1:20" ht="3" customHeight="1" x14ac:dyDescent="0.2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ht="12" customHeight="1" x14ac:dyDescent="0.2">
      <c r="A10" s="25" t="s">
        <v>231</v>
      </c>
      <c r="B10" s="29" t="s">
        <v>3</v>
      </c>
      <c r="D10" s="59">
        <f>238190</f>
        <v>238190</v>
      </c>
      <c r="E10" s="60"/>
      <c r="F10" s="60"/>
      <c r="G10" s="60"/>
      <c r="H10" s="60"/>
      <c r="I10" s="60"/>
      <c r="J10" s="103">
        <f>SUM(D10:I10)</f>
        <v>238190</v>
      </c>
      <c r="K10" s="59"/>
      <c r="L10" s="60"/>
      <c r="M10" s="60">
        <f t="shared" ref="M10:M18" si="0">SUM(J10:L10)</f>
        <v>238190</v>
      </c>
      <c r="N10" s="60">
        <f>ROUND(_xll.HPVAL($A10,$A$1,$A$2,$A$3,$A$4,$A$6)/1000,0)</f>
        <v>41497</v>
      </c>
      <c r="O10" s="82">
        <f>M10-N10</f>
        <v>196693</v>
      </c>
      <c r="R10" s="73">
        <f>N10-Expenses!E9-'CapChrg-AllocExp'!E10</f>
        <v>38285</v>
      </c>
      <c r="S10" s="73">
        <f>J10+K10-Expenses!D9-'CapChrg-AllocExp'!D10</f>
        <v>233003</v>
      </c>
      <c r="T10" s="73">
        <f>R10-S10</f>
        <v>-194718</v>
      </c>
    </row>
    <row r="11" spans="1:20" ht="12" customHeight="1" x14ac:dyDescent="0.2">
      <c r="A11" s="25" t="s">
        <v>42</v>
      </c>
      <c r="B11" s="29" t="s">
        <v>272</v>
      </c>
      <c r="D11" s="41">
        <v>47379</v>
      </c>
      <c r="E11" s="42"/>
      <c r="F11" s="42"/>
      <c r="G11" s="42"/>
      <c r="H11" s="42"/>
      <c r="I11" s="42"/>
      <c r="J11" s="64">
        <f>SUM(D11:I11)</f>
        <v>47379</v>
      </c>
      <c r="K11" s="41"/>
      <c r="L11" s="42"/>
      <c r="M11" s="42">
        <f>SUM(J11:L11)</f>
        <v>47379</v>
      </c>
      <c r="N11" s="42">
        <f>ROUND(_xll.HPVAL($A11,$A$1,$A$2,$A$3,$A$4,$A$6)/1000,0)</f>
        <v>7570</v>
      </c>
      <c r="O11" s="83">
        <f>M11-N11</f>
        <v>39809</v>
      </c>
      <c r="R11" s="44" t="e">
        <f>N11-Expenses!#REF!-'CapChrg-AllocExp'!#REF!</f>
        <v>#REF!</v>
      </c>
      <c r="S11" s="44" t="e">
        <f>J11+K11-Expenses!#REF!-'CapChrg-AllocExp'!#REF!</f>
        <v>#REF!</v>
      </c>
      <c r="T11" s="44" t="e">
        <f>R11-S11</f>
        <v>#REF!</v>
      </c>
    </row>
    <row r="12" spans="1:20" ht="12" customHeight="1" x14ac:dyDescent="0.2">
      <c r="A12" s="25" t="s">
        <v>105</v>
      </c>
      <c r="B12" s="29" t="s">
        <v>106</v>
      </c>
      <c r="D12" s="41">
        <f>156617+9900+7803+5048</f>
        <v>179368</v>
      </c>
      <c r="E12" s="42"/>
      <c r="F12" s="42"/>
      <c r="G12" s="42"/>
      <c r="H12" s="42">
        <v>-1562</v>
      </c>
      <c r="I12" s="42"/>
      <c r="J12" s="64">
        <f t="shared" ref="J12:J18" si="1">SUM(D12:I12)</f>
        <v>177806</v>
      </c>
      <c r="K12" s="41"/>
      <c r="L12" s="42"/>
      <c r="M12" s="42">
        <f t="shared" si="0"/>
        <v>177806</v>
      </c>
      <c r="N12" s="42">
        <f>ROUND(_xll.HPVAL($A12,$A$1,$A$2,$A$3,$A$4,$A$6)/1000,0)+Expenses!E58</f>
        <v>67236</v>
      </c>
      <c r="O12" s="83">
        <f t="shared" ref="O12:O18" si="2">M12-N12</f>
        <v>110570</v>
      </c>
      <c r="R12" s="44">
        <f>N12-Expenses!E11-'CapChrg-AllocExp'!E12</f>
        <v>53733</v>
      </c>
      <c r="S12" s="44">
        <f>J12+K12-Expenses!D11-'CapChrg-AllocExp'!D12</f>
        <v>163880</v>
      </c>
      <c r="T12" s="44">
        <f t="shared" ref="T12:T18" si="3">R12-S12</f>
        <v>-110147</v>
      </c>
    </row>
    <row r="13" spans="1:20" ht="12" customHeight="1" x14ac:dyDescent="0.2">
      <c r="A13" s="25" t="s">
        <v>27</v>
      </c>
      <c r="B13" s="29" t="s">
        <v>132</v>
      </c>
      <c r="D13" s="41">
        <v>34672</v>
      </c>
      <c r="E13" s="42"/>
      <c r="F13" s="42"/>
      <c r="G13" s="42"/>
      <c r="H13" s="42"/>
      <c r="I13" s="42"/>
      <c r="J13" s="64">
        <f>SUM(D13:I13)</f>
        <v>34672</v>
      </c>
      <c r="K13" s="41"/>
      <c r="L13" s="42"/>
      <c r="M13" s="42">
        <f t="shared" si="0"/>
        <v>34672</v>
      </c>
      <c r="N13" s="42">
        <f>ROUND((_xll.HPVAL($A13,$A$1,"other",$A$3,$A$4,$A$6)+_xll.HPVAL($A13,$A$1,"overview",$A$3,$A$4,$A$6))/1000,0)</f>
        <v>22402</v>
      </c>
      <c r="O13" s="83">
        <f t="shared" si="2"/>
        <v>12270</v>
      </c>
      <c r="R13" s="44">
        <f>N13-Expenses!E12-'CapChrg-AllocExp'!E13</f>
        <v>21747</v>
      </c>
      <c r="S13" s="44">
        <f>J13+K13-Expenses!D12-'CapChrg-AllocExp'!D13</f>
        <v>33898</v>
      </c>
      <c r="T13" s="44">
        <f t="shared" si="3"/>
        <v>-12151</v>
      </c>
    </row>
    <row r="14" spans="1:20" ht="12" customHeight="1" x14ac:dyDescent="0.2">
      <c r="A14" s="25" t="s">
        <v>134</v>
      </c>
      <c r="B14" s="29" t="s">
        <v>133</v>
      </c>
      <c r="D14" s="41">
        <f>1522+11177</f>
        <v>12699</v>
      </c>
      <c r="E14" s="42"/>
      <c r="F14" s="42"/>
      <c r="G14" s="42"/>
      <c r="H14" s="42"/>
      <c r="I14" s="42"/>
      <c r="J14" s="64">
        <f>SUM(D14:I14)</f>
        <v>12699</v>
      </c>
      <c r="K14" s="41"/>
      <c r="L14" s="42"/>
      <c r="M14" s="42">
        <f>SUM(J14:L14)</f>
        <v>12699</v>
      </c>
      <c r="N14" s="42">
        <f>ROUND(_xll.HPVAL($A14,$A$1,$A$2,$A$3,$A$4,$A$6)/1000,0)-N13-2500</f>
        <v>8947</v>
      </c>
      <c r="O14" s="83">
        <f>M14-N14</f>
        <v>3752</v>
      </c>
      <c r="R14" s="44">
        <f>N14-Expenses!E13-'CapChrg-AllocExp'!E14</f>
        <v>7999</v>
      </c>
      <c r="S14" s="44">
        <f>J14+K14-Expenses!D13-'CapChrg-AllocExp'!D14</f>
        <v>11724</v>
      </c>
      <c r="T14" s="44">
        <f>R14-S14</f>
        <v>-3725</v>
      </c>
    </row>
    <row r="15" spans="1:20" ht="12" customHeight="1" x14ac:dyDescent="0.2">
      <c r="A15" s="25" t="s">
        <v>74</v>
      </c>
      <c r="B15" s="29" t="s">
        <v>251</v>
      </c>
      <c r="D15" s="41">
        <f>20492-230</f>
        <v>20262</v>
      </c>
      <c r="E15" s="81"/>
      <c r="F15" s="81"/>
      <c r="G15" s="81"/>
      <c r="H15" s="42"/>
      <c r="I15" s="42"/>
      <c r="J15" s="64">
        <f>SUM(D15:I15)</f>
        <v>20262</v>
      </c>
      <c r="K15" s="41"/>
      <c r="L15" s="42"/>
      <c r="M15" s="42">
        <f t="shared" si="0"/>
        <v>20262</v>
      </c>
      <c r="N15" s="42">
        <v>11556</v>
      </c>
      <c r="O15" s="83">
        <f t="shared" si="2"/>
        <v>8706</v>
      </c>
      <c r="R15" s="44">
        <f>N15-Expenses!E14-'CapChrg-AllocExp'!E15</f>
        <v>9704</v>
      </c>
      <c r="S15" s="44">
        <f>J15+K15-Expenses!D14-'CapChrg-AllocExp'!D15</f>
        <v>19115</v>
      </c>
      <c r="T15" s="44">
        <f t="shared" si="3"/>
        <v>-9411</v>
      </c>
    </row>
    <row r="16" spans="1:20" ht="12" customHeight="1" x14ac:dyDescent="0.2">
      <c r="A16" s="25" t="s">
        <v>28</v>
      </c>
      <c r="B16" s="29" t="s">
        <v>275</v>
      </c>
      <c r="D16" s="41">
        <v>3212</v>
      </c>
      <c r="E16" s="42"/>
      <c r="F16" s="42"/>
      <c r="G16" s="42"/>
      <c r="H16" s="42"/>
      <c r="I16" s="42"/>
      <c r="J16" s="64">
        <f t="shared" si="1"/>
        <v>3212</v>
      </c>
      <c r="K16" s="41"/>
      <c r="L16" s="42"/>
      <c r="M16" s="42">
        <f t="shared" si="0"/>
        <v>3212</v>
      </c>
      <c r="N16" s="42">
        <f>ROUND(_xll.HPVAL($A16,$A$1,$A$2,$A$3,$A$4,$A$6)/1000,0)-1212-5000</f>
        <v>6535</v>
      </c>
      <c r="O16" s="83">
        <f t="shared" si="2"/>
        <v>-3323</v>
      </c>
      <c r="R16" s="44">
        <f>N16-Expenses!E15-'CapChrg-AllocExp'!E16</f>
        <v>5311</v>
      </c>
      <c r="S16" s="44">
        <f>J16+K16-Expenses!D15-'CapChrg-AllocExp'!D16</f>
        <v>1663</v>
      </c>
      <c r="T16" s="44">
        <f t="shared" si="3"/>
        <v>3648</v>
      </c>
    </row>
    <row r="17" spans="1:20" ht="12" customHeight="1" x14ac:dyDescent="0.2">
      <c r="A17" s="25" t="s">
        <v>30</v>
      </c>
      <c r="B17" s="29" t="s">
        <v>155</v>
      </c>
      <c r="D17" s="41">
        <v>2621</v>
      </c>
      <c r="E17" s="42"/>
      <c r="F17" s="42"/>
      <c r="G17" s="42"/>
      <c r="H17" s="42"/>
      <c r="I17" s="42"/>
      <c r="J17" s="64">
        <f t="shared" si="1"/>
        <v>2621</v>
      </c>
      <c r="K17" s="41"/>
      <c r="L17" s="42"/>
      <c r="M17" s="42">
        <f t="shared" si="0"/>
        <v>2621</v>
      </c>
      <c r="N17" s="42">
        <f>ROUND(_xll.HPVAL($A17,$A$1,$A$2,$A$3,$A$4,$A$6)/1000,0)</f>
        <v>3215</v>
      </c>
      <c r="O17" s="83">
        <f t="shared" si="2"/>
        <v>-594</v>
      </c>
      <c r="R17" s="44">
        <f>N17-Expenses!E16-'CapChrg-AllocExp'!E17</f>
        <v>2323</v>
      </c>
      <c r="S17" s="44">
        <f>J17+K17-Expenses!D16-'CapChrg-AllocExp'!D17</f>
        <v>1900</v>
      </c>
      <c r="T17" s="44">
        <f t="shared" si="3"/>
        <v>423</v>
      </c>
    </row>
    <row r="18" spans="1:20" ht="12" customHeight="1" x14ac:dyDescent="0.2">
      <c r="A18" s="25" t="s">
        <v>4</v>
      </c>
      <c r="B18" s="29" t="s">
        <v>292</v>
      </c>
      <c r="D18" s="41">
        <v>-8022</v>
      </c>
      <c r="E18" s="42"/>
      <c r="F18" s="42"/>
      <c r="G18" s="42"/>
      <c r="H18" s="42">
        <v>1562</v>
      </c>
      <c r="I18" s="42"/>
      <c r="J18" s="64">
        <f t="shared" si="1"/>
        <v>-6460</v>
      </c>
      <c r="K18" s="41"/>
      <c r="L18" s="42"/>
      <c r="M18" s="42">
        <f t="shared" si="0"/>
        <v>-6460</v>
      </c>
      <c r="N18" s="42">
        <f>ROUND(_xll.HPVAL($A18,$A$1,$A$2,$A$3,$A$4,$A$6)/1000,0)</f>
        <v>750</v>
      </c>
      <c r="O18" s="83">
        <f t="shared" si="2"/>
        <v>-7210</v>
      </c>
      <c r="R18" s="44">
        <f>N18-Expenses!E17-'CapChrg-AllocExp'!E18</f>
        <v>646</v>
      </c>
      <c r="S18" s="44">
        <f>J18+K18-Expenses!D17-'CapChrg-AllocExp'!D18</f>
        <v>-6512</v>
      </c>
      <c r="T18" s="44">
        <f t="shared" si="3"/>
        <v>7158</v>
      </c>
    </row>
    <row r="19" spans="1:20" ht="3" customHeight="1" x14ac:dyDescent="0.2">
      <c r="B19" s="29"/>
      <c r="D19" s="41"/>
      <c r="E19" s="42"/>
      <c r="F19" s="42"/>
      <c r="G19" s="42"/>
      <c r="H19" s="42"/>
      <c r="I19" s="42"/>
      <c r="J19" s="64"/>
      <c r="K19" s="41"/>
      <c r="L19" s="42"/>
      <c r="M19" s="42"/>
      <c r="N19" s="42"/>
      <c r="O19" s="83"/>
    </row>
    <row r="20" spans="1:20" ht="12" customHeight="1" x14ac:dyDescent="0.3">
      <c r="B20" s="106" t="s">
        <v>6</v>
      </c>
      <c r="C20" s="91"/>
      <c r="D20" s="99">
        <f>SUM(D10:D18)</f>
        <v>530381</v>
      </c>
      <c r="E20" s="100">
        <f>SUM(E10:E18)</f>
        <v>0</v>
      </c>
      <c r="F20" s="100">
        <f>SUM(F10:F18)</f>
        <v>0</v>
      </c>
      <c r="G20" s="100"/>
      <c r="H20" s="100">
        <f t="shared" ref="H20:O20" si="4">SUM(H10:H18)</f>
        <v>0</v>
      </c>
      <c r="I20" s="100">
        <f t="shared" si="4"/>
        <v>0</v>
      </c>
      <c r="J20" s="99">
        <f t="shared" si="4"/>
        <v>530381</v>
      </c>
      <c r="K20" s="99">
        <f t="shared" si="4"/>
        <v>0</v>
      </c>
      <c r="L20" s="100">
        <f t="shared" si="4"/>
        <v>0</v>
      </c>
      <c r="M20" s="100">
        <f t="shared" si="4"/>
        <v>530381</v>
      </c>
      <c r="N20" s="100">
        <f t="shared" si="4"/>
        <v>169708</v>
      </c>
      <c r="O20" s="102">
        <f t="shared" si="4"/>
        <v>360673</v>
      </c>
      <c r="R20" s="100" t="e">
        <f>SUM(R10:R18)</f>
        <v>#REF!</v>
      </c>
      <c r="S20" s="100" t="e">
        <f>SUM(S10:S18)</f>
        <v>#REF!</v>
      </c>
      <c r="T20" s="100" t="e">
        <f>SUM(T10:T18)</f>
        <v>#REF!</v>
      </c>
    </row>
    <row r="21" spans="1:20" ht="3" customHeight="1" x14ac:dyDescent="0.2">
      <c r="B21" s="29"/>
      <c r="D21" s="41"/>
      <c r="E21" s="42"/>
      <c r="F21" s="42"/>
      <c r="G21" s="42"/>
      <c r="H21" s="42"/>
      <c r="I21" s="42"/>
      <c r="J21" s="64"/>
      <c r="K21" s="41"/>
      <c r="L21" s="42"/>
      <c r="M21" s="42"/>
      <c r="N21" s="42"/>
      <c r="O21" s="83"/>
    </row>
    <row r="22" spans="1:20" ht="12" customHeight="1" x14ac:dyDescent="0.2">
      <c r="A22" s="25" t="s">
        <v>32</v>
      </c>
      <c r="B22" s="29" t="s">
        <v>88</v>
      </c>
      <c r="D22" s="41"/>
      <c r="E22" s="42"/>
      <c r="F22" s="42"/>
      <c r="G22" s="42"/>
      <c r="H22" s="42"/>
      <c r="I22" s="42"/>
      <c r="J22" s="64">
        <f t="shared" ref="J22:J32" si="5">SUM(D22:I22)</f>
        <v>0</v>
      </c>
      <c r="K22" s="41"/>
      <c r="L22" s="42"/>
      <c r="M22" s="42">
        <f t="shared" ref="M22:M32" si="6">SUM(J22:L22)</f>
        <v>0</v>
      </c>
      <c r="N22" s="42">
        <f>ROUND(_xll.HPVAL($A22,$A$1,$A$2,$A$3,$A$4,$A$6)/1000,0)</f>
        <v>20493</v>
      </c>
      <c r="O22" s="83">
        <f t="shared" ref="O22:O32" si="7">M22-N22</f>
        <v>-20493</v>
      </c>
      <c r="R22" s="134">
        <f>N22-Expenses!E20-'CapChrg-AllocExp'!E21</f>
        <v>15524</v>
      </c>
      <c r="S22" s="134">
        <f>J22+K22-Expenses!D20-'CapChrg-AllocExp'!D21</f>
        <v>-8510</v>
      </c>
      <c r="T22" s="44">
        <f>R22-S22</f>
        <v>24034</v>
      </c>
    </row>
    <row r="23" spans="1:20" ht="12" customHeight="1" x14ac:dyDescent="0.2">
      <c r="A23" s="25" t="s">
        <v>38</v>
      </c>
      <c r="B23" s="29" t="s">
        <v>89</v>
      </c>
      <c r="D23" s="41"/>
      <c r="E23" s="42">
        <v>506</v>
      </c>
      <c r="F23" s="42"/>
      <c r="G23" s="42"/>
      <c r="H23" s="42"/>
      <c r="I23" s="42"/>
      <c r="J23" s="64">
        <f t="shared" si="5"/>
        <v>506</v>
      </c>
      <c r="K23" s="41"/>
      <c r="L23" s="42"/>
      <c r="M23" s="42">
        <f t="shared" si="6"/>
        <v>506</v>
      </c>
      <c r="N23" s="42">
        <f>ROUND(_xll.HPVAL($A23,$A$1,$A$2,$A$3,$A$4,$A$6)/1000,0)</f>
        <v>13235</v>
      </c>
      <c r="O23" s="83">
        <f t="shared" si="7"/>
        <v>-12729</v>
      </c>
      <c r="R23" s="44">
        <f>N23-Expenses!E21-'CapChrg-AllocExp'!E22</f>
        <v>8273</v>
      </c>
      <c r="S23" s="44">
        <f>J23+K23-Expenses!D21-'CapChrg-AllocExp'!D22</f>
        <v>-5647</v>
      </c>
      <c r="T23" s="44">
        <f>R23-S23</f>
        <v>13920</v>
      </c>
    </row>
    <row r="24" spans="1:20" ht="12" customHeight="1" x14ac:dyDescent="0.2">
      <c r="A24" s="25" t="s">
        <v>230</v>
      </c>
      <c r="B24" s="29" t="s">
        <v>229</v>
      </c>
      <c r="D24" s="41">
        <f>4551+63</f>
        <v>4614</v>
      </c>
      <c r="E24" s="42">
        <f>-76-38</f>
        <v>-114</v>
      </c>
      <c r="F24" s="42">
        <v>0</v>
      </c>
      <c r="G24" s="42"/>
      <c r="H24" s="42"/>
      <c r="I24" s="42"/>
      <c r="J24" s="64">
        <f t="shared" si="5"/>
        <v>4500</v>
      </c>
      <c r="K24" s="41"/>
      <c r="L24" s="42"/>
      <c r="M24" s="42">
        <f t="shared" si="6"/>
        <v>4500</v>
      </c>
      <c r="N24" s="42">
        <f>ROUND(_xll.HPVAL($A24,$A$1,$A$2,$A$3,$A$4,$A$6)/1000,0)</f>
        <v>22861</v>
      </c>
      <c r="O24" s="83">
        <f t="shared" si="7"/>
        <v>-18361</v>
      </c>
      <c r="R24" s="44">
        <f>N24-Expenses!E22-'CapChrg-AllocExp'!E23</f>
        <v>16415</v>
      </c>
      <c r="S24" s="44">
        <f>J24+K24-Expenses!D22-'CapChrg-AllocExp'!D23</f>
        <v>-219</v>
      </c>
      <c r="T24" s="44">
        <f>R24-S24</f>
        <v>16634</v>
      </c>
    </row>
    <row r="25" spans="1:20" ht="12" customHeight="1" x14ac:dyDescent="0.2">
      <c r="A25" s="25" t="s">
        <v>37</v>
      </c>
      <c r="B25" s="29" t="s">
        <v>67</v>
      </c>
      <c r="D25" s="41"/>
      <c r="E25" s="42">
        <v>16150</v>
      </c>
      <c r="F25" s="81"/>
      <c r="G25" s="288"/>
      <c r="H25" s="81"/>
      <c r="I25" s="42"/>
      <c r="J25" s="64">
        <f t="shared" si="5"/>
        <v>16150</v>
      </c>
      <c r="K25" s="41"/>
      <c r="L25" s="42"/>
      <c r="M25" s="42">
        <f>SUM(J25:L25)</f>
        <v>16150</v>
      </c>
      <c r="N25" s="42">
        <f>ROUND(_xll.HPVAL($A25,$A$1,$A$2,$A$3,$A$4,$A$6)/1000,0)</f>
        <v>18711</v>
      </c>
      <c r="O25" s="83">
        <f>M25-N25</f>
        <v>-2561</v>
      </c>
      <c r="R25" s="44" t="e">
        <f>N25-Expenses!#REF!-'CapChrg-AllocExp'!#REF!</f>
        <v>#REF!</v>
      </c>
      <c r="S25" s="44" t="e">
        <f>J25+K25-Expenses!#REF!-'CapChrg-AllocExp'!#REF!</f>
        <v>#REF!</v>
      </c>
      <c r="T25" s="44" t="e">
        <f>R25-S25</f>
        <v>#REF!</v>
      </c>
    </row>
    <row r="26" spans="1:20" ht="12" customHeight="1" x14ac:dyDescent="0.2">
      <c r="B26" s="29" t="s">
        <v>263</v>
      </c>
      <c r="D26" s="41"/>
      <c r="E26" s="81">
        <v>134</v>
      </c>
      <c r="F26" s="81">
        <v>30</v>
      </c>
      <c r="G26" s="81"/>
      <c r="H26" s="42"/>
      <c r="I26" s="42"/>
      <c r="J26" s="64">
        <f t="shared" si="5"/>
        <v>164</v>
      </c>
      <c r="K26" s="41"/>
      <c r="L26" s="42"/>
      <c r="M26" s="42">
        <f t="shared" si="6"/>
        <v>164</v>
      </c>
      <c r="N26" s="42">
        <f>12747-6468-67</f>
        <v>6212</v>
      </c>
      <c r="O26" s="83">
        <f t="shared" si="7"/>
        <v>-6048</v>
      </c>
      <c r="R26" s="44"/>
      <c r="S26" s="44"/>
      <c r="T26" s="44"/>
    </row>
    <row r="27" spans="1:20" ht="12" customHeight="1" x14ac:dyDescent="0.2">
      <c r="A27" s="25" t="s">
        <v>253</v>
      </c>
      <c r="B27" s="29" t="s">
        <v>252</v>
      </c>
      <c r="D27" s="41">
        <v>230</v>
      </c>
      <c r="E27" s="81">
        <v>2698</v>
      </c>
      <c r="F27" s="81"/>
      <c r="G27" s="81"/>
      <c r="H27" s="42">
        <f>6930-230</f>
        <v>6700</v>
      </c>
      <c r="I27" s="42"/>
      <c r="J27" s="64">
        <f t="shared" si="5"/>
        <v>9628</v>
      </c>
      <c r="K27" s="41"/>
      <c r="L27" s="42"/>
      <c r="M27" s="42">
        <f t="shared" si="6"/>
        <v>9628</v>
      </c>
      <c r="N27" s="42">
        <v>11556</v>
      </c>
      <c r="O27" s="83">
        <f t="shared" si="7"/>
        <v>-1928</v>
      </c>
      <c r="R27" s="44"/>
      <c r="S27" s="44"/>
      <c r="T27" s="44"/>
    </row>
    <row r="28" spans="1:20" ht="12" customHeight="1" x14ac:dyDescent="0.2">
      <c r="A28" s="25" t="s">
        <v>41</v>
      </c>
      <c r="B28" s="29" t="s">
        <v>299</v>
      </c>
      <c r="D28" s="41">
        <v>2244</v>
      </c>
      <c r="E28" s="42">
        <v>115</v>
      </c>
      <c r="F28" s="42">
        <v>8179</v>
      </c>
      <c r="G28" s="42"/>
      <c r="H28" s="42">
        <v>7235</v>
      </c>
      <c r="I28" s="42"/>
      <c r="J28" s="64">
        <f>SUM(D28:I28)</f>
        <v>17773</v>
      </c>
      <c r="K28" s="41"/>
      <c r="L28" s="42"/>
      <c r="M28" s="42">
        <f>SUM(J28:L28)</f>
        <v>17773</v>
      </c>
      <c r="N28" s="42">
        <f>ROUND(_xll.HPVAL($A28,$A$1,$A$2,$A$3,$A$4,$A$6)/1000,0)+Expenses!E60--23180-1690</f>
        <v>18423</v>
      </c>
      <c r="O28" s="83">
        <f>M28-N28</f>
        <v>-650</v>
      </c>
      <c r="R28" s="44" t="e">
        <f>N28-Expenses!#REF!-Expenses!E53-'CapChrg-AllocExp'!#REF!</f>
        <v>#REF!</v>
      </c>
      <c r="S28" s="44" t="e">
        <f>J28+K28-Expenses!#REF!-Expenses!D53-'CapChrg-AllocExp'!#REF!</f>
        <v>#REF!</v>
      </c>
      <c r="T28" s="44" t="e">
        <f>R28-S28</f>
        <v>#REF!</v>
      </c>
    </row>
    <row r="29" spans="1:20" ht="12" customHeight="1" x14ac:dyDescent="0.2">
      <c r="B29" s="29" t="s">
        <v>289</v>
      </c>
      <c r="D29" s="41"/>
      <c r="E29" s="42"/>
      <c r="F29" s="42">
        <v>9970</v>
      </c>
      <c r="G29" s="42"/>
      <c r="H29" s="42">
        <v>4772</v>
      </c>
      <c r="I29" s="42"/>
      <c r="J29" s="64">
        <f>SUM(D29:I29)</f>
        <v>14742</v>
      </c>
      <c r="K29" s="41"/>
      <c r="L29" s="42"/>
      <c r="M29" s="42">
        <f>SUM(J29:L29)</f>
        <v>14742</v>
      </c>
      <c r="N29" s="42">
        <f>-23180+Expenses!E59</f>
        <v>10746</v>
      </c>
      <c r="O29" s="83">
        <f>M29-N29</f>
        <v>3996</v>
      </c>
      <c r="R29" s="44"/>
      <c r="S29" s="44"/>
      <c r="T29" s="44"/>
    </row>
    <row r="30" spans="1:20" ht="12" customHeight="1" x14ac:dyDescent="0.2">
      <c r="B30" s="29" t="s">
        <v>290</v>
      </c>
      <c r="D30" s="41"/>
      <c r="E30" s="42"/>
      <c r="F30" s="42">
        <v>379</v>
      </c>
      <c r="G30" s="42"/>
      <c r="H30" s="42">
        <v>0</v>
      </c>
      <c r="I30" s="42"/>
      <c r="J30" s="64">
        <f>SUM(D30:I30)</f>
        <v>379</v>
      </c>
      <c r="K30" s="41"/>
      <c r="L30" s="42"/>
      <c r="M30" s="42">
        <f>SUM(J30:L30)</f>
        <v>379</v>
      </c>
      <c r="N30" s="42">
        <f>1690</f>
        <v>1690</v>
      </c>
      <c r="O30" s="83">
        <f>M30-N30</f>
        <v>-1311</v>
      </c>
      <c r="R30" s="44"/>
      <c r="S30" s="44"/>
      <c r="T30" s="44"/>
    </row>
    <row r="31" spans="1:20" ht="12" customHeight="1" x14ac:dyDescent="0.2">
      <c r="A31" s="25" t="s">
        <v>73</v>
      </c>
      <c r="B31" s="29" t="s">
        <v>156</v>
      </c>
      <c r="D31" s="41"/>
      <c r="E31" s="42">
        <v>300</v>
      </c>
      <c r="F31" s="42"/>
      <c r="G31" s="42"/>
      <c r="H31" s="42">
        <v>371</v>
      </c>
      <c r="I31" s="42"/>
      <c r="J31" s="64">
        <f t="shared" si="5"/>
        <v>671</v>
      </c>
      <c r="K31" s="41"/>
      <c r="L31" s="42"/>
      <c r="M31" s="42">
        <f t="shared" si="6"/>
        <v>671</v>
      </c>
      <c r="N31" s="42">
        <f>ROUND(_xll.HPVAL($A31,$A$1,$A$2,$A$3,$A$4,$A$6)/1000,0)</f>
        <v>7712</v>
      </c>
      <c r="O31" s="83">
        <f t="shared" si="7"/>
        <v>-7041</v>
      </c>
      <c r="R31" s="44" t="e">
        <f>N31-Expenses!#REF!-'CapChrg-AllocExp'!#REF!</f>
        <v>#REF!</v>
      </c>
      <c r="S31" s="44" t="e">
        <f>J31+K31-Expenses!#REF!-'CapChrg-AllocExp'!#REF!</f>
        <v>#REF!</v>
      </c>
      <c r="T31" s="44" t="e">
        <f>R31-S31</f>
        <v>#REF!</v>
      </c>
    </row>
    <row r="32" spans="1:20" ht="12" customHeight="1" x14ac:dyDescent="0.2">
      <c r="A32" s="25" t="s">
        <v>36</v>
      </c>
      <c r="B32" s="29" t="s">
        <v>0</v>
      </c>
      <c r="D32" s="41"/>
      <c r="E32" s="42"/>
      <c r="F32" s="42"/>
      <c r="G32" s="42"/>
      <c r="H32" s="42">
        <v>2</v>
      </c>
      <c r="I32" s="42"/>
      <c r="J32" s="64">
        <f t="shared" si="5"/>
        <v>2</v>
      </c>
      <c r="K32" s="41"/>
      <c r="L32" s="42"/>
      <c r="M32" s="42">
        <f t="shared" si="6"/>
        <v>2</v>
      </c>
      <c r="N32" s="42">
        <f>ROUND(_xll.HPVAL($A32,$A$1,$A$2,$A$3,$A$4,$A$6)/1000,0)</f>
        <v>4656</v>
      </c>
      <c r="O32" s="83">
        <f t="shared" si="7"/>
        <v>-4654</v>
      </c>
      <c r="R32" s="44">
        <f>N32-Expenses!E30-'CapChrg-AllocExp'!E31</f>
        <v>2651</v>
      </c>
      <c r="S32" s="44">
        <f>J32+K32-Expenses!D30-'CapChrg-AllocExp'!D31</f>
        <v>-1614</v>
      </c>
      <c r="T32" s="44">
        <f>R32-S32</f>
        <v>4265</v>
      </c>
    </row>
    <row r="33" spans="1:20" ht="3" customHeight="1" x14ac:dyDescent="0.2">
      <c r="B33" s="29"/>
      <c r="D33" s="41"/>
      <c r="E33" s="42"/>
      <c r="F33" s="42"/>
      <c r="G33" s="42"/>
      <c r="H33" s="42"/>
      <c r="I33" s="42"/>
      <c r="J33" s="64"/>
      <c r="K33" s="41"/>
      <c r="L33" s="42"/>
      <c r="M33" s="42"/>
      <c r="N33" s="42"/>
      <c r="O33" s="83"/>
    </row>
    <row r="34" spans="1:20" ht="12" customHeight="1" x14ac:dyDescent="0.3">
      <c r="B34" s="106" t="s">
        <v>1</v>
      </c>
      <c r="C34" s="91"/>
      <c r="D34" s="99">
        <f>D22+D23+D24+D25+D26+D27+D32+D31+D28+D29+D30</f>
        <v>7088</v>
      </c>
      <c r="E34" s="100">
        <f>E22+E23+E24+E25+E26+E27+E32+E31+E28+E29+E30</f>
        <v>19789</v>
      </c>
      <c r="F34" s="100">
        <f>F22+F23+F24+F25+F26+F27+F32+F31+F28+F29+F30</f>
        <v>18558</v>
      </c>
      <c r="G34" s="100" t="e">
        <f>G22+G23+G24+#REF!+G26+G27+G32</f>
        <v>#REF!</v>
      </c>
      <c r="H34" s="100">
        <f t="shared" ref="H34:O34" si="8">H22+H23+H24+H25+H26+H27+H32+H31+H28+H29+H30</f>
        <v>19080</v>
      </c>
      <c r="I34" s="100">
        <f t="shared" si="8"/>
        <v>0</v>
      </c>
      <c r="J34" s="99">
        <f t="shared" si="8"/>
        <v>64515</v>
      </c>
      <c r="K34" s="99">
        <f t="shared" si="8"/>
        <v>0</v>
      </c>
      <c r="L34" s="100">
        <f t="shared" si="8"/>
        <v>0</v>
      </c>
      <c r="M34" s="100">
        <f t="shared" si="8"/>
        <v>64515</v>
      </c>
      <c r="N34" s="100">
        <f t="shared" si="8"/>
        <v>136295</v>
      </c>
      <c r="O34" s="102">
        <f t="shared" si="8"/>
        <v>-71780</v>
      </c>
      <c r="R34" s="100" t="e">
        <f>SUM(R22:R32)</f>
        <v>#REF!</v>
      </c>
      <c r="S34" s="100" t="e">
        <f>SUM(S22:S32)</f>
        <v>#REF!</v>
      </c>
      <c r="T34" s="100" t="e">
        <f>SUM(T22:T32)</f>
        <v>#REF!</v>
      </c>
    </row>
    <row r="35" spans="1:20" ht="3" customHeight="1" x14ac:dyDescent="0.2">
      <c r="B35" s="29"/>
      <c r="D35" s="41"/>
      <c r="E35" s="42"/>
      <c r="F35" s="42"/>
      <c r="G35" s="42"/>
      <c r="H35" s="42"/>
      <c r="I35" s="42"/>
      <c r="J35" s="64"/>
      <c r="K35" s="41"/>
      <c r="L35" s="42"/>
      <c r="M35" s="42"/>
      <c r="N35" s="42"/>
      <c r="O35" s="83"/>
    </row>
    <row r="36" spans="1:20" ht="3" customHeight="1" x14ac:dyDescent="0.2">
      <c r="B36" s="29"/>
      <c r="D36" s="41"/>
      <c r="E36" s="42"/>
      <c r="F36" s="42"/>
      <c r="G36" s="42"/>
      <c r="H36" s="42"/>
      <c r="I36" s="42"/>
      <c r="J36" s="64"/>
      <c r="K36" s="41"/>
      <c r="L36" s="42"/>
      <c r="M36" s="42"/>
      <c r="N36" s="42"/>
      <c r="O36" s="83"/>
    </row>
    <row r="37" spans="1:20" ht="12" customHeight="1" x14ac:dyDescent="0.2">
      <c r="A37" s="25" t="s">
        <v>40</v>
      </c>
      <c r="B37" s="29" t="s">
        <v>9</v>
      </c>
      <c r="D37" s="41"/>
      <c r="E37" s="81">
        <v>-29675</v>
      </c>
      <c r="F37" s="81">
        <v>1</v>
      </c>
      <c r="G37" s="81"/>
      <c r="H37" s="42"/>
      <c r="I37" s="42"/>
      <c r="J37" s="64">
        <f>SUM(D37:I37)</f>
        <v>-29674</v>
      </c>
      <c r="K37" s="41"/>
      <c r="L37" s="42"/>
      <c r="M37" s="42">
        <f>SUM(J37:L37)</f>
        <v>-29674</v>
      </c>
      <c r="N37" s="42">
        <f>ROUND(_xll.HPVAL($A37,$A$1,$A$2,$A$3,$A$4,$A$6)/1000,0)</f>
        <v>15385</v>
      </c>
      <c r="O37" s="83">
        <f>M37-N37</f>
        <v>-45059</v>
      </c>
      <c r="R37" s="134">
        <f>N37-Expenses!E34-'CapChrg-AllocExp'!E35</f>
        <v>12608</v>
      </c>
      <c r="S37" s="134">
        <f>J37+K37-Expenses!D34-'CapChrg-AllocExp'!D35</f>
        <v>-30805</v>
      </c>
      <c r="T37" s="44">
        <f>R37-S37</f>
        <v>43413</v>
      </c>
    </row>
    <row r="38" spans="1:20" ht="12" customHeight="1" x14ac:dyDescent="0.2">
      <c r="A38" s="25" t="s">
        <v>39</v>
      </c>
      <c r="B38" s="29" t="s">
        <v>267</v>
      </c>
      <c r="D38" s="41"/>
      <c r="E38" s="81">
        <v>3576</v>
      </c>
      <c r="F38" s="81"/>
      <c r="G38" s="81"/>
      <c r="H38" s="42"/>
      <c r="I38" s="42"/>
      <c r="J38" s="64">
        <f>SUM(D38:I38)</f>
        <v>3576</v>
      </c>
      <c r="K38" s="41"/>
      <c r="L38" s="42"/>
      <c r="M38" s="42">
        <f>SUM(J38:L38)</f>
        <v>3576</v>
      </c>
      <c r="N38" s="42">
        <f>ROUND(_xll.HPVAL($A38,$A$1,$A$2,$A$3,$A$4,$A$6)/1000,0)</f>
        <v>2000</v>
      </c>
      <c r="O38" s="83">
        <f>M38-N38</f>
        <v>1576</v>
      </c>
      <c r="R38" s="44">
        <f>N38-Expenses!E35-'CapChrg-AllocExp'!E36</f>
        <v>-3544</v>
      </c>
      <c r="S38" s="44">
        <f>J38+K38-Expenses!D35-'CapChrg-AllocExp'!D36</f>
        <v>-374</v>
      </c>
      <c r="T38" s="44">
        <f>R38-S38</f>
        <v>-3170</v>
      </c>
    </row>
    <row r="39" spans="1:20" ht="12.75" hidden="1" customHeight="1" x14ac:dyDescent="0.2">
      <c r="A39" s="25" t="s">
        <v>153</v>
      </c>
      <c r="B39" s="45" t="s">
        <v>180</v>
      </c>
      <c r="D39" s="41"/>
      <c r="E39" s="81">
        <f>3621-1049</f>
        <v>2572</v>
      </c>
      <c r="F39" s="81">
        <v>5</v>
      </c>
      <c r="G39" s="81"/>
      <c r="H39" s="42"/>
      <c r="I39" s="42"/>
      <c r="J39" s="64">
        <f>SUM(D39:I39)</f>
        <v>2577</v>
      </c>
      <c r="K39" s="41">
        <f>Greensheet!M88</f>
        <v>0</v>
      </c>
      <c r="L39" s="42"/>
      <c r="M39" s="42">
        <f>SUM(J39:L39)</f>
        <v>2577</v>
      </c>
      <c r="N39" s="42">
        <f>ROUND(_xll.HPVAL($A39,$A$1,$A$2,$A$3,$A$4,$A$6)/1000,0)</f>
        <v>8222</v>
      </c>
      <c r="O39" s="83">
        <f>M39-N39</f>
        <v>-5645</v>
      </c>
      <c r="R39" s="44">
        <f>N39-Expenses!E36-'CapChrg-AllocExp'!E37</f>
        <v>1900</v>
      </c>
      <c r="S39" s="44">
        <f>J39+K39-Expenses!D36-'CapChrg-AllocExp'!D37</f>
        <v>-1301</v>
      </c>
      <c r="T39" s="44">
        <f>R39-S39</f>
        <v>3201</v>
      </c>
    </row>
    <row r="40" spans="1:20" ht="12.75" hidden="1" customHeight="1" x14ac:dyDescent="0.2">
      <c r="A40" s="25" t="s">
        <v>157</v>
      </c>
      <c r="B40" s="45" t="s">
        <v>154</v>
      </c>
      <c r="D40" s="41"/>
      <c r="E40" s="81">
        <v>-15032</v>
      </c>
      <c r="F40" s="81">
        <v>-369</v>
      </c>
      <c r="G40" s="81"/>
      <c r="H40" s="42">
        <v>0</v>
      </c>
      <c r="I40" s="42"/>
      <c r="J40" s="64">
        <f>SUM(D40:I40)</f>
        <v>-15401</v>
      </c>
      <c r="K40" s="41"/>
      <c r="L40" s="42"/>
      <c r="M40" s="42">
        <f>SUM(J40:L40)</f>
        <v>-15401</v>
      </c>
      <c r="N40" s="42">
        <f>ROUND(_xll.HPVAL($A40,$A$1,$A$2,$A$3,$A$4,$A$6)/1000,0)</f>
        <v>6483</v>
      </c>
      <c r="O40" s="83">
        <f>M40-N40</f>
        <v>-21884</v>
      </c>
      <c r="R40" s="134">
        <f>N40-Expenses!E37-'CapChrg-AllocExp'!E39</f>
        <v>-1561</v>
      </c>
      <c r="S40" s="134">
        <f>J40+K40-Expenses!D37-'CapChrg-AllocExp'!D39</f>
        <v>-24499</v>
      </c>
      <c r="T40" s="44">
        <f>R40-S40</f>
        <v>22938</v>
      </c>
    </row>
    <row r="41" spans="1:20" ht="12" customHeight="1" x14ac:dyDescent="0.2">
      <c r="B41" s="29" t="s">
        <v>154</v>
      </c>
      <c r="D41" s="41">
        <f>SUM(D39:D40)</f>
        <v>0</v>
      </c>
      <c r="E41" s="81">
        <f>SUM(E39:E40)</f>
        <v>-12460</v>
      </c>
      <c r="F41" s="81">
        <f>SUM(F39:F40)</f>
        <v>-364</v>
      </c>
      <c r="G41" s="81"/>
      <c r="H41" s="81">
        <f>SUM(H39:H40)</f>
        <v>0</v>
      </c>
      <c r="I41" s="42">
        <f>SUM(I39:I40)</f>
        <v>0</v>
      </c>
      <c r="J41" s="64">
        <f>SUM(D41:I41)</f>
        <v>-12824</v>
      </c>
      <c r="K41" s="41"/>
      <c r="L41" s="42">
        <f>SUM(L39:L40)</f>
        <v>0</v>
      </c>
      <c r="M41" s="42">
        <f>SUM(J41:L41)</f>
        <v>-12824</v>
      </c>
      <c r="N41" s="42">
        <f>SUM(N39:N40)</f>
        <v>14705</v>
      </c>
      <c r="O41" s="83">
        <f>SUM(O39:O40)</f>
        <v>-27529</v>
      </c>
      <c r="R41" s="44"/>
      <c r="S41" s="44"/>
      <c r="T41" s="44"/>
    </row>
    <row r="42" spans="1:20" ht="3" customHeight="1" x14ac:dyDescent="0.2">
      <c r="B42" s="45"/>
      <c r="D42" s="46"/>
      <c r="E42" s="47"/>
      <c r="F42" s="47"/>
      <c r="G42" s="47"/>
      <c r="H42" s="47"/>
      <c r="I42" s="47"/>
      <c r="J42" s="46"/>
      <c r="K42" s="46"/>
      <c r="L42" s="47"/>
      <c r="M42" s="47"/>
      <c r="N42" s="47"/>
      <c r="O42" s="126"/>
    </row>
    <row r="43" spans="1:20" s="90" customFormat="1" ht="12" customHeight="1" x14ac:dyDescent="0.3">
      <c r="B43" s="106" t="s">
        <v>87</v>
      </c>
      <c r="C43" s="91"/>
      <c r="D43" s="99">
        <f t="shared" ref="D43:O43" si="9">SUM(D37:D40)</f>
        <v>0</v>
      </c>
      <c r="E43" s="100">
        <f>E37+E38+E41</f>
        <v>-38559</v>
      </c>
      <c r="F43" s="100">
        <f>F37+F38+F41</f>
        <v>-363</v>
      </c>
      <c r="G43" s="100"/>
      <c r="H43" s="100">
        <f t="shared" si="9"/>
        <v>0</v>
      </c>
      <c r="I43" s="100">
        <f t="shared" si="9"/>
        <v>0</v>
      </c>
      <c r="J43" s="99">
        <f t="shared" si="9"/>
        <v>-38922</v>
      </c>
      <c r="K43" s="99">
        <f t="shared" si="9"/>
        <v>0</v>
      </c>
      <c r="L43" s="100">
        <f t="shared" si="9"/>
        <v>0</v>
      </c>
      <c r="M43" s="100">
        <f>M37+M38+M41</f>
        <v>-38922</v>
      </c>
      <c r="N43" s="100">
        <f>N37+N38+N41</f>
        <v>32090</v>
      </c>
      <c r="O43" s="102">
        <f t="shared" si="9"/>
        <v>-71012</v>
      </c>
      <c r="R43" s="100">
        <f>SUM(R37:R41)</f>
        <v>9403</v>
      </c>
      <c r="S43" s="100">
        <f>SUM(S37:S41)</f>
        <v>-56979</v>
      </c>
      <c r="T43" s="100">
        <f>SUM(T37:T41)</f>
        <v>66382</v>
      </c>
    </row>
    <row r="44" spans="1:20" ht="3" customHeight="1" x14ac:dyDescent="0.2">
      <c r="B44" s="29"/>
      <c r="D44" s="104"/>
      <c r="E44" s="81"/>
      <c r="F44" s="81"/>
      <c r="G44" s="81"/>
      <c r="H44" s="81"/>
      <c r="I44" s="81"/>
      <c r="J44" s="105"/>
      <c r="K44" s="104"/>
      <c r="L44" s="81"/>
      <c r="M44" s="81"/>
      <c r="N44" s="81"/>
      <c r="O44" s="127"/>
    </row>
    <row r="45" spans="1:20" ht="12" customHeight="1" x14ac:dyDescent="0.2">
      <c r="A45" s="25" t="s">
        <v>82</v>
      </c>
      <c r="B45" s="29" t="s">
        <v>8</v>
      </c>
      <c r="D45" s="41"/>
      <c r="E45" s="42">
        <v>319</v>
      </c>
      <c r="F45" s="42"/>
      <c r="G45" s="42"/>
      <c r="H45" s="42"/>
      <c r="I45" s="42"/>
      <c r="J45" s="64">
        <f>SUM(D45:I45)</f>
        <v>319</v>
      </c>
      <c r="K45" s="41"/>
      <c r="L45" s="42"/>
      <c r="M45" s="42">
        <f>SUM(J45:L45)</f>
        <v>319</v>
      </c>
      <c r="N45" s="42">
        <f>ROUND(_xll.HPVAL($A45,$A$1,$A$2,$A$3,$A$4,$A$6)/1000,0)</f>
        <v>2500</v>
      </c>
      <c r="O45" s="83">
        <f>M45-N45</f>
        <v>-2181</v>
      </c>
      <c r="R45" s="134">
        <f>N45-Expenses!E41-'CapChrg-AllocExp'!E42</f>
        <v>-2117</v>
      </c>
      <c r="S45" s="134">
        <f>J45+K45-Expenses!D41-'CapChrg-AllocExp'!D42</f>
        <v>-5809</v>
      </c>
      <c r="T45" s="44">
        <f>R45-S45</f>
        <v>3692</v>
      </c>
    </row>
    <row r="46" spans="1:20" ht="3" customHeight="1" x14ac:dyDescent="0.2">
      <c r="B46" s="29"/>
      <c r="D46" s="41"/>
      <c r="E46" s="42"/>
      <c r="F46" s="42"/>
      <c r="G46" s="42"/>
      <c r="H46" s="42"/>
      <c r="I46" s="42"/>
      <c r="J46" s="64"/>
      <c r="K46" s="41"/>
      <c r="L46" s="42"/>
      <c r="M46" s="42"/>
      <c r="N46" s="42"/>
      <c r="O46" s="83"/>
    </row>
    <row r="47" spans="1:20" ht="12" customHeight="1" x14ac:dyDescent="0.2">
      <c r="A47" s="25" t="s">
        <v>44</v>
      </c>
      <c r="B47" s="29" t="s">
        <v>7</v>
      </c>
      <c r="D47" s="41">
        <v>-18812</v>
      </c>
      <c r="E47" s="42"/>
      <c r="F47" s="42"/>
      <c r="G47" s="42"/>
      <c r="H47" s="42"/>
      <c r="I47" s="42"/>
      <c r="J47" s="64">
        <f>SUM(D47:I47)</f>
        <v>-18812</v>
      </c>
      <c r="K47" s="41"/>
      <c r="L47" s="42"/>
      <c r="M47" s="42">
        <f>SUM(J47:L47)</f>
        <v>-18812</v>
      </c>
      <c r="N47" s="42"/>
      <c r="O47" s="83">
        <f>M47-N47</f>
        <v>-18812</v>
      </c>
      <c r="R47" s="44"/>
      <c r="S47" s="44"/>
      <c r="T47" s="44"/>
    </row>
    <row r="48" spans="1:20" ht="3" customHeight="1" x14ac:dyDescent="0.2">
      <c r="B48" s="76"/>
      <c r="D48" s="77"/>
      <c r="E48" s="67"/>
      <c r="F48" s="67"/>
      <c r="G48" s="67"/>
      <c r="H48" s="67"/>
      <c r="I48" s="67"/>
      <c r="J48" s="46"/>
      <c r="K48" s="77"/>
      <c r="L48" s="67"/>
      <c r="M48" s="67"/>
      <c r="N48" s="67"/>
      <c r="O48" s="126"/>
    </row>
    <row r="49" spans="1:20" ht="12" customHeight="1" x14ac:dyDescent="0.2">
      <c r="A49" s="25" t="s">
        <v>46</v>
      </c>
      <c r="B49" s="29" t="s">
        <v>18</v>
      </c>
      <c r="D49" s="41"/>
      <c r="E49" s="42">
        <v>-3777</v>
      </c>
      <c r="F49" s="42">
        <v>-15401</v>
      </c>
      <c r="G49" s="42"/>
      <c r="H49" s="42"/>
      <c r="I49" s="42"/>
      <c r="J49" s="64">
        <f>SUM(D49:I49)</f>
        <v>-19178</v>
      </c>
      <c r="K49" s="41"/>
      <c r="L49" s="42"/>
      <c r="M49" s="42">
        <f>SUM(J49:L49)</f>
        <v>-19178</v>
      </c>
      <c r="N49" s="42">
        <f>ROUND(_xll.HPVAL($A49,$A$1,$A$2,$A$3,$A$4,$A$6)/1000,0)</f>
        <v>-10795</v>
      </c>
      <c r="O49" s="83">
        <f>M49-N49</f>
        <v>-8383</v>
      </c>
      <c r="T49" s="44"/>
    </row>
    <row r="50" spans="1:20" ht="3" customHeight="1" x14ac:dyDescent="0.2">
      <c r="B50" s="76"/>
      <c r="D50" s="77"/>
      <c r="E50" s="67"/>
      <c r="F50" s="67"/>
      <c r="G50" s="67"/>
      <c r="H50" s="67"/>
      <c r="I50" s="67"/>
      <c r="J50" s="46"/>
      <c r="K50" s="77"/>
      <c r="L50" s="67"/>
      <c r="M50" s="67"/>
      <c r="N50" s="67"/>
      <c r="O50" s="126"/>
    </row>
    <row r="51" spans="1:20" ht="12" customHeight="1" x14ac:dyDescent="0.2">
      <c r="B51" s="29" t="s">
        <v>19</v>
      </c>
      <c r="D51" s="41"/>
      <c r="E51" s="42"/>
      <c r="F51" s="42"/>
      <c r="G51" s="42"/>
      <c r="H51" s="42"/>
      <c r="I51" s="42"/>
      <c r="J51" s="64">
        <f>SUM(D51:I51)</f>
        <v>0</v>
      </c>
      <c r="K51" s="41"/>
      <c r="L51" s="42"/>
      <c r="M51" s="42">
        <f>SUM(J51:L51)</f>
        <v>0</v>
      </c>
      <c r="N51" s="42">
        <f>44888+7328</f>
        <v>52216</v>
      </c>
      <c r="O51" s="83">
        <f>M51-N51</f>
        <v>-52216</v>
      </c>
      <c r="T51" s="44"/>
    </row>
    <row r="52" spans="1:20" ht="3" customHeight="1" x14ac:dyDescent="0.2">
      <c r="B52" s="29"/>
      <c r="D52" s="41"/>
      <c r="E52" s="42"/>
      <c r="F52" s="42"/>
      <c r="G52" s="42"/>
      <c r="H52" s="42"/>
      <c r="I52" s="42"/>
      <c r="J52" s="64"/>
      <c r="K52" s="41"/>
      <c r="L52" s="42"/>
      <c r="M52" s="42"/>
      <c r="N52" s="42"/>
      <c r="O52" s="83"/>
    </row>
    <row r="53" spans="1:20" ht="12" customHeight="1" x14ac:dyDescent="0.3">
      <c r="B53" s="75" t="s">
        <v>14</v>
      </c>
      <c r="D53" s="95">
        <f>SUM(D43:D51)+D34+D20</f>
        <v>518657</v>
      </c>
      <c r="E53" s="96">
        <f>SUM(E43:E51)+E34+E20</f>
        <v>-22228</v>
      </c>
      <c r="F53" s="96">
        <f>SUM(F43:F51)+F34+F20</f>
        <v>2794</v>
      </c>
      <c r="G53" s="96" t="s">
        <v>269</v>
      </c>
      <c r="H53" s="96">
        <f t="shared" ref="H53:O53" si="10">SUM(H43:H51)+H34+H20</f>
        <v>19080</v>
      </c>
      <c r="I53" s="96">
        <f t="shared" si="10"/>
        <v>0</v>
      </c>
      <c r="J53" s="95">
        <f t="shared" si="10"/>
        <v>518303</v>
      </c>
      <c r="K53" s="95">
        <f t="shared" si="10"/>
        <v>0</v>
      </c>
      <c r="L53" s="96">
        <f t="shared" si="10"/>
        <v>0</v>
      </c>
      <c r="M53" s="96">
        <f t="shared" si="10"/>
        <v>518303</v>
      </c>
      <c r="N53" s="96">
        <f t="shared" si="10"/>
        <v>382014</v>
      </c>
      <c r="O53" s="98">
        <f t="shared" si="10"/>
        <v>136289</v>
      </c>
    </row>
    <row r="54" spans="1:20" ht="3" customHeight="1" x14ac:dyDescent="0.2">
      <c r="B54" s="48"/>
      <c r="D54" s="49"/>
      <c r="E54" s="50"/>
      <c r="F54" s="50"/>
      <c r="G54" s="50"/>
      <c r="H54" s="50"/>
      <c r="I54" s="50"/>
      <c r="J54" s="49"/>
      <c r="K54" s="49"/>
      <c r="L54" s="50"/>
      <c r="M54" s="50"/>
      <c r="N54" s="50"/>
      <c r="O54" s="128"/>
    </row>
    <row r="55" spans="1:20" x14ac:dyDescent="0.2">
      <c r="B55" s="287" t="s">
        <v>260</v>
      </c>
      <c r="C55" s="135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1:20" x14ac:dyDescent="0.2">
      <c r="B56" s="287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20" x14ac:dyDescent="0.2">
      <c r="B57" s="287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20" x14ac:dyDescent="0.2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20" x14ac:dyDescent="0.2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20" x14ac:dyDescent="0.2">
      <c r="B60" s="176" t="s">
        <v>127</v>
      </c>
      <c r="D60" s="44"/>
      <c r="E60" s="44"/>
      <c r="F60" s="44"/>
      <c r="G60" s="44"/>
      <c r="H60" s="44"/>
      <c r="I60" s="44"/>
      <c r="J60" s="44"/>
      <c r="K60" s="44"/>
      <c r="L60" s="44"/>
      <c r="M60" s="44" t="s">
        <v>286</v>
      </c>
      <c r="N60" s="44"/>
      <c r="O60" s="44"/>
    </row>
    <row r="61" spans="1:20" x14ac:dyDescent="0.2">
      <c r="B61" s="27" t="s">
        <v>3</v>
      </c>
      <c r="D61" s="44">
        <f>D10+D15+D11+D28+D27</f>
        <v>308305</v>
      </c>
    </row>
    <row r="62" spans="1:20" x14ac:dyDescent="0.2">
      <c r="B62" s="27" t="s">
        <v>128</v>
      </c>
      <c r="D62" s="44">
        <f>D16+D17+D18+D24</f>
        <v>2425</v>
      </c>
    </row>
    <row r="75" spans="1:1" x14ac:dyDescent="0.2">
      <c r="A75" s="27"/>
    </row>
    <row r="76" spans="1:1" x14ac:dyDescent="0.2">
      <c r="A76" s="27"/>
    </row>
    <row r="77" spans="1:1" x14ac:dyDescent="0.2">
      <c r="A77" s="27"/>
    </row>
    <row r="78" spans="1:1" x14ac:dyDescent="0.2">
      <c r="A78" s="27"/>
    </row>
    <row r="79" spans="1:1" x14ac:dyDescent="0.2">
      <c r="A79" s="27"/>
    </row>
    <row r="80" spans="1:1" x14ac:dyDescent="0.2">
      <c r="A80" s="27"/>
    </row>
  </sheetData>
  <mergeCells count="5">
    <mergeCell ref="B2:O2"/>
    <mergeCell ref="B3:O3"/>
    <mergeCell ref="B4:O4"/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Expenses</vt:lpstr>
      <vt:lpstr>Expense Weekly Change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2000-06-23T17:44:50Z</cp:lastPrinted>
  <dcterms:created xsi:type="dcterms:W3CDTF">1999-10-18T12:36:30Z</dcterms:created>
  <dcterms:modified xsi:type="dcterms:W3CDTF">2023-09-10T15:24:31Z</dcterms:modified>
</cp:coreProperties>
</file>