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048" tabRatio="794" firstSheet="7"/>
  </bookViews>
  <sheets>
    <sheet name="Consol" sheetId="8" r:id="rId1"/>
    <sheet name="East" sheetId="1" r:id="rId2"/>
    <sheet name="West" sheetId="9" r:id="rId3"/>
    <sheet name="Downstream" sheetId="10" r:id="rId4"/>
    <sheet name="Generation" sheetId="11" r:id="rId5"/>
    <sheet name="Coal" sheetId="19" r:id="rId6"/>
    <sheet name="Canada" sheetId="20" r:id="rId7"/>
    <sheet name="New Products" sheetId="12" r:id="rId8"/>
    <sheet name="Mexico" sheetId="13" r:id="rId9"/>
    <sheet name=" Upstream Originations" sheetId="22" r:id="rId10"/>
    <sheet name="HPL&amp;LRC" sheetId="23" r:id="rId11"/>
    <sheet name="Principal Investing" sheetId="15" r:id="rId12"/>
    <sheet name="Energy Capital Res." sheetId="16" r:id="rId13"/>
    <sheet name="CTG Assets" sheetId="17" r:id="rId14"/>
    <sheet name="Chairman" sheetId="21" r:id="rId15"/>
  </sheets>
  <externalReferences>
    <externalReference r:id="rId16"/>
  </externalReferences>
  <definedNames>
    <definedName name="_xlnm.Print_Area" localSheetId="0">Consol!$A$1:$T$71</definedName>
    <definedName name="_xlnm.Print_Area" localSheetId="8">Mexico!$1:$1048576</definedName>
  </definedNames>
  <calcPr calcId="0" calcMode="manual" fullCalcOnLoad="1"/>
</workbook>
</file>

<file path=xl/calcChain.xml><?xml version="1.0" encoding="utf-8"?>
<calcChain xmlns="http://schemas.openxmlformats.org/spreadsheetml/2006/main">
  <c r="D13" i="22" l="1"/>
  <c r="E13" i="22"/>
  <c r="F13" i="22"/>
  <c r="G13" i="22"/>
  <c r="H13" i="22"/>
  <c r="I13" i="22"/>
  <c r="J13" i="22"/>
  <c r="K13" i="22"/>
  <c r="L13" i="22"/>
  <c r="M13" i="22"/>
  <c r="H14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D22" i="22"/>
  <c r="E22" i="22"/>
  <c r="O22" i="22"/>
  <c r="O23" i="22"/>
  <c r="O24" i="22"/>
  <c r="O25" i="22"/>
  <c r="O26" i="22"/>
  <c r="C27" i="22"/>
  <c r="D27" i="22"/>
  <c r="E27" i="22"/>
  <c r="F27" i="22"/>
  <c r="H27" i="22"/>
  <c r="I27" i="22"/>
  <c r="J27" i="22"/>
  <c r="K27" i="22"/>
  <c r="L27" i="22"/>
  <c r="M27" i="22"/>
  <c r="N27" i="22"/>
  <c r="O27" i="22"/>
  <c r="C29" i="22"/>
  <c r="D29" i="22"/>
  <c r="E29" i="22"/>
  <c r="O29" i="22"/>
  <c r="F39" i="22"/>
  <c r="G39" i="22"/>
  <c r="O39" i="22"/>
  <c r="P39" i="22"/>
  <c r="F40" i="22"/>
  <c r="P40" i="22"/>
  <c r="O41" i="22"/>
  <c r="P41" i="22"/>
  <c r="B42" i="22"/>
  <c r="C42" i="22"/>
  <c r="E42" i="22"/>
  <c r="F42" i="22"/>
  <c r="I42" i="22"/>
  <c r="J42" i="22"/>
  <c r="L42" i="22"/>
  <c r="M42" i="22"/>
  <c r="O42" i="22"/>
  <c r="P42" i="22"/>
  <c r="R42" i="22"/>
  <c r="S42" i="22"/>
  <c r="F43" i="22"/>
  <c r="J43" i="22"/>
  <c r="M43" i="22"/>
  <c r="P43" i="22"/>
  <c r="S43" i="22"/>
  <c r="B44" i="22"/>
  <c r="E44" i="22"/>
  <c r="I44" i="22"/>
  <c r="L44" i="22"/>
  <c r="O44" i="22"/>
  <c r="R44" i="22"/>
  <c r="D13" i="20"/>
  <c r="E13" i="20"/>
  <c r="F13" i="20"/>
  <c r="G13" i="20"/>
  <c r="H13" i="20"/>
  <c r="I13" i="20"/>
  <c r="J13" i="20"/>
  <c r="K13" i="20"/>
  <c r="L13" i="20"/>
  <c r="M13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D22" i="20"/>
  <c r="E22" i="20"/>
  <c r="O22" i="20"/>
  <c r="O23" i="20"/>
  <c r="O24" i="20"/>
  <c r="O25" i="20"/>
  <c r="O26" i="20"/>
  <c r="C27" i="20"/>
  <c r="D27" i="20"/>
  <c r="E27" i="20"/>
  <c r="F27" i="20"/>
  <c r="H27" i="20"/>
  <c r="I27" i="20"/>
  <c r="J27" i="20"/>
  <c r="K27" i="20"/>
  <c r="L27" i="20"/>
  <c r="M27" i="20"/>
  <c r="N27" i="20"/>
  <c r="O27" i="20"/>
  <c r="C29" i="20"/>
  <c r="D29" i="20"/>
  <c r="E29" i="20"/>
  <c r="O29" i="20"/>
  <c r="G39" i="20"/>
  <c r="O39" i="20"/>
  <c r="P39" i="20"/>
  <c r="F40" i="20"/>
  <c r="P40" i="20"/>
  <c r="O41" i="20"/>
  <c r="P41" i="20"/>
  <c r="B42" i="20"/>
  <c r="C42" i="20"/>
  <c r="E42" i="20"/>
  <c r="F42" i="20"/>
  <c r="I42" i="20"/>
  <c r="J42" i="20"/>
  <c r="L42" i="20"/>
  <c r="M42" i="20"/>
  <c r="O42" i="20"/>
  <c r="P42" i="20"/>
  <c r="R42" i="20"/>
  <c r="S42" i="20"/>
  <c r="F43" i="20"/>
  <c r="J43" i="20"/>
  <c r="M43" i="20"/>
  <c r="P43" i="20"/>
  <c r="S43" i="20"/>
  <c r="B44" i="20"/>
  <c r="E44" i="20"/>
  <c r="I44" i="20"/>
  <c r="L44" i="20"/>
  <c r="O44" i="20"/>
  <c r="R44" i="20"/>
  <c r="D13" i="21"/>
  <c r="E13" i="21"/>
  <c r="F13" i="21"/>
  <c r="G13" i="21"/>
  <c r="H13" i="21"/>
  <c r="I13" i="21"/>
  <c r="J13" i="21"/>
  <c r="K13" i="21"/>
  <c r="L13" i="21"/>
  <c r="M13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22" i="21"/>
  <c r="E22" i="21"/>
  <c r="O22" i="21"/>
  <c r="O23" i="21"/>
  <c r="O24" i="21"/>
  <c r="O25" i="21"/>
  <c r="O26" i="21"/>
  <c r="C27" i="21"/>
  <c r="D27" i="21"/>
  <c r="E27" i="21"/>
  <c r="F27" i="21"/>
  <c r="H27" i="21"/>
  <c r="I27" i="21"/>
  <c r="J27" i="21"/>
  <c r="K27" i="21"/>
  <c r="L27" i="21"/>
  <c r="M27" i="21"/>
  <c r="N27" i="21"/>
  <c r="O27" i="21"/>
  <c r="C29" i="21"/>
  <c r="D29" i="21"/>
  <c r="E29" i="21"/>
  <c r="O29" i="21"/>
  <c r="O39" i="21"/>
  <c r="P39" i="21"/>
  <c r="P40" i="21"/>
  <c r="O41" i="21"/>
  <c r="P41" i="21"/>
  <c r="B42" i="21"/>
  <c r="C42" i="21"/>
  <c r="E42" i="21"/>
  <c r="F42" i="21"/>
  <c r="I42" i="21"/>
  <c r="J42" i="21"/>
  <c r="L42" i="21"/>
  <c r="M42" i="21"/>
  <c r="O42" i="21"/>
  <c r="P42" i="21"/>
  <c r="R42" i="21"/>
  <c r="S42" i="21"/>
  <c r="P43" i="21"/>
  <c r="E44" i="21"/>
  <c r="I44" i="21"/>
  <c r="L44" i="21"/>
  <c r="O44" i="21"/>
  <c r="R44" i="21"/>
  <c r="D13" i="19"/>
  <c r="E13" i="19"/>
  <c r="F13" i="19"/>
  <c r="G13" i="19"/>
  <c r="H13" i="19"/>
  <c r="I13" i="19"/>
  <c r="J13" i="19"/>
  <c r="K13" i="19"/>
  <c r="L13" i="19"/>
  <c r="M13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D22" i="19"/>
  <c r="E22" i="19"/>
  <c r="O22" i="19"/>
  <c r="O23" i="19"/>
  <c r="O24" i="19"/>
  <c r="O25" i="19"/>
  <c r="O26" i="19"/>
  <c r="C27" i="19"/>
  <c r="D27" i="19"/>
  <c r="E27" i="19"/>
  <c r="F27" i="19"/>
  <c r="H27" i="19"/>
  <c r="I27" i="19"/>
  <c r="J27" i="19"/>
  <c r="K27" i="19"/>
  <c r="L27" i="19"/>
  <c r="M27" i="19"/>
  <c r="N27" i="19"/>
  <c r="O27" i="19"/>
  <c r="C29" i="19"/>
  <c r="D29" i="19"/>
  <c r="E29" i="19"/>
  <c r="O29" i="19"/>
  <c r="O39" i="19"/>
  <c r="P39" i="19"/>
  <c r="P40" i="19"/>
  <c r="O41" i="19"/>
  <c r="P41" i="19"/>
  <c r="B42" i="19"/>
  <c r="C42" i="19"/>
  <c r="E42" i="19"/>
  <c r="F42" i="19"/>
  <c r="I42" i="19"/>
  <c r="J42" i="19"/>
  <c r="L42" i="19"/>
  <c r="M42" i="19"/>
  <c r="O42" i="19"/>
  <c r="P42" i="19"/>
  <c r="R42" i="19"/>
  <c r="S42" i="19"/>
  <c r="F43" i="19"/>
  <c r="J43" i="19"/>
  <c r="M43" i="19"/>
  <c r="P43" i="19"/>
  <c r="S43" i="19"/>
  <c r="B44" i="19"/>
  <c r="E44" i="19"/>
  <c r="I44" i="19"/>
  <c r="L44" i="19"/>
  <c r="O44" i="19"/>
  <c r="R44" i="19"/>
  <c r="C13" i="8"/>
  <c r="D13" i="8"/>
  <c r="E13" i="8"/>
  <c r="F13" i="8"/>
  <c r="G13" i="8"/>
  <c r="H13" i="8"/>
  <c r="I13" i="8"/>
  <c r="J13" i="8"/>
  <c r="K13" i="8"/>
  <c r="L13" i="8"/>
  <c r="M13" i="8"/>
  <c r="C14" i="8"/>
  <c r="D14" i="8"/>
  <c r="E14" i="8"/>
  <c r="F14" i="8"/>
  <c r="G14" i="8"/>
  <c r="H14" i="8"/>
  <c r="I14" i="8"/>
  <c r="J14" i="8"/>
  <c r="K14" i="8"/>
  <c r="L14" i="8"/>
  <c r="M14" i="8"/>
  <c r="C15" i="8"/>
  <c r="D15" i="8"/>
  <c r="E15" i="8"/>
  <c r="F15" i="8"/>
  <c r="G15" i="8"/>
  <c r="H15" i="8"/>
  <c r="I15" i="8"/>
  <c r="J15" i="8"/>
  <c r="K15" i="8"/>
  <c r="L15" i="8"/>
  <c r="M15" i="8"/>
  <c r="C16" i="8"/>
  <c r="D16" i="8"/>
  <c r="E16" i="8"/>
  <c r="F16" i="8"/>
  <c r="G16" i="8"/>
  <c r="H16" i="8"/>
  <c r="I16" i="8"/>
  <c r="J16" i="8"/>
  <c r="K16" i="8"/>
  <c r="L16" i="8"/>
  <c r="M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D22" i="8"/>
  <c r="E22" i="8"/>
  <c r="O22" i="8"/>
  <c r="O23" i="8"/>
  <c r="O24" i="8"/>
  <c r="O25" i="8"/>
  <c r="O26" i="8"/>
  <c r="C27" i="8"/>
  <c r="D27" i="8"/>
  <c r="E27" i="8"/>
  <c r="F27" i="8"/>
  <c r="H27" i="8"/>
  <c r="I27" i="8"/>
  <c r="J27" i="8"/>
  <c r="K27" i="8"/>
  <c r="L27" i="8"/>
  <c r="M27" i="8"/>
  <c r="N27" i="8"/>
  <c r="O27" i="8"/>
  <c r="C29" i="8"/>
  <c r="D29" i="8"/>
  <c r="E29" i="8"/>
  <c r="O29" i="8"/>
  <c r="B39" i="8"/>
  <c r="C39" i="8"/>
  <c r="E39" i="8"/>
  <c r="F39" i="8"/>
  <c r="G39" i="8"/>
  <c r="I39" i="8"/>
  <c r="J39" i="8"/>
  <c r="L39" i="8"/>
  <c r="M39" i="8"/>
  <c r="O39" i="8"/>
  <c r="P39" i="8"/>
  <c r="R39" i="8"/>
  <c r="S39" i="8"/>
  <c r="C40" i="8"/>
  <c r="F40" i="8"/>
  <c r="J40" i="8"/>
  <c r="M40" i="8"/>
  <c r="P40" i="8"/>
  <c r="S40" i="8"/>
  <c r="B41" i="8"/>
  <c r="C41" i="8"/>
  <c r="E41" i="8"/>
  <c r="F41" i="8"/>
  <c r="I41" i="8"/>
  <c r="J41" i="8"/>
  <c r="L41" i="8"/>
  <c r="M41" i="8"/>
  <c r="O41" i="8"/>
  <c r="P41" i="8"/>
  <c r="R41" i="8"/>
  <c r="S41" i="8"/>
  <c r="B42" i="8"/>
  <c r="C42" i="8"/>
  <c r="E42" i="8"/>
  <c r="F42" i="8"/>
  <c r="I42" i="8"/>
  <c r="J42" i="8"/>
  <c r="L42" i="8"/>
  <c r="M42" i="8"/>
  <c r="O42" i="8"/>
  <c r="P42" i="8"/>
  <c r="R42" i="8"/>
  <c r="S42" i="8"/>
  <c r="C43" i="8"/>
  <c r="F43" i="8"/>
  <c r="J43" i="8"/>
  <c r="M43" i="8"/>
  <c r="P43" i="8"/>
  <c r="S43" i="8"/>
  <c r="B44" i="8"/>
  <c r="E44" i="8"/>
  <c r="I44" i="8"/>
  <c r="L44" i="8"/>
  <c r="O44" i="8"/>
  <c r="R44" i="8"/>
  <c r="B70" i="8"/>
  <c r="B71" i="8"/>
  <c r="D13" i="17"/>
  <c r="E13" i="17"/>
  <c r="F13" i="17"/>
  <c r="G13" i="17"/>
  <c r="H13" i="17"/>
  <c r="I13" i="17"/>
  <c r="J13" i="17"/>
  <c r="K13" i="17"/>
  <c r="L13" i="17"/>
  <c r="M13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D22" i="17"/>
  <c r="E22" i="17"/>
  <c r="O22" i="17"/>
  <c r="O23" i="17"/>
  <c r="O24" i="17"/>
  <c r="O25" i="17"/>
  <c r="O26" i="17"/>
  <c r="C27" i="17"/>
  <c r="D27" i="17"/>
  <c r="E27" i="17"/>
  <c r="F27" i="17"/>
  <c r="H27" i="17"/>
  <c r="I27" i="17"/>
  <c r="J27" i="17"/>
  <c r="K27" i="17"/>
  <c r="L27" i="17"/>
  <c r="M27" i="17"/>
  <c r="N27" i="17"/>
  <c r="O27" i="17"/>
  <c r="C29" i="17"/>
  <c r="D29" i="17"/>
  <c r="E29" i="17"/>
  <c r="O29" i="17"/>
  <c r="F39" i="17"/>
  <c r="O39" i="17"/>
  <c r="P39" i="17"/>
  <c r="F40" i="17"/>
  <c r="P40" i="17"/>
  <c r="O41" i="17"/>
  <c r="P41" i="17"/>
  <c r="B42" i="17"/>
  <c r="C42" i="17"/>
  <c r="E42" i="17"/>
  <c r="F42" i="17"/>
  <c r="I42" i="17"/>
  <c r="J42" i="17"/>
  <c r="L42" i="17"/>
  <c r="M42" i="17"/>
  <c r="O42" i="17"/>
  <c r="P42" i="17"/>
  <c r="R42" i="17"/>
  <c r="S42" i="17"/>
  <c r="C43" i="17"/>
  <c r="F43" i="17"/>
  <c r="J43" i="17"/>
  <c r="M43" i="17"/>
  <c r="P43" i="17"/>
  <c r="S43" i="17"/>
  <c r="B44" i="17"/>
  <c r="E44" i="17"/>
  <c r="I44" i="17"/>
  <c r="L44" i="17"/>
  <c r="O44" i="17"/>
  <c r="R44" i="17"/>
  <c r="D13" i="10"/>
  <c r="E13" i="10"/>
  <c r="F13" i="10"/>
  <c r="G13" i="10"/>
  <c r="H13" i="10"/>
  <c r="I13" i="10"/>
  <c r="J13" i="10"/>
  <c r="K13" i="10"/>
  <c r="L13" i="10"/>
  <c r="M13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22" i="10"/>
  <c r="E22" i="10"/>
  <c r="O22" i="10"/>
  <c r="O23" i="10"/>
  <c r="O24" i="10"/>
  <c r="O25" i="10"/>
  <c r="O26" i="10"/>
  <c r="C27" i="10"/>
  <c r="D27" i="10"/>
  <c r="E27" i="10"/>
  <c r="F27" i="10"/>
  <c r="H27" i="10"/>
  <c r="I27" i="10"/>
  <c r="J27" i="10"/>
  <c r="K27" i="10"/>
  <c r="L27" i="10"/>
  <c r="M27" i="10"/>
  <c r="N27" i="10"/>
  <c r="O27" i="10"/>
  <c r="C29" i="10"/>
  <c r="D29" i="10"/>
  <c r="E29" i="10"/>
  <c r="O29" i="10"/>
  <c r="O39" i="10"/>
  <c r="P39" i="10"/>
  <c r="F40" i="10"/>
  <c r="P40" i="10"/>
  <c r="O41" i="10"/>
  <c r="P41" i="10"/>
  <c r="B42" i="10"/>
  <c r="C42" i="10"/>
  <c r="E42" i="10"/>
  <c r="F42" i="10"/>
  <c r="I42" i="10"/>
  <c r="J42" i="10"/>
  <c r="L42" i="10"/>
  <c r="M42" i="10"/>
  <c r="O42" i="10"/>
  <c r="P42" i="10"/>
  <c r="R42" i="10"/>
  <c r="S42" i="10"/>
  <c r="F43" i="10"/>
  <c r="J43" i="10"/>
  <c r="M43" i="10"/>
  <c r="P43" i="10"/>
  <c r="S43" i="10"/>
  <c r="B44" i="10"/>
  <c r="E44" i="10"/>
  <c r="I44" i="10"/>
  <c r="L44" i="10"/>
  <c r="O44" i="10"/>
  <c r="R44" i="10"/>
  <c r="D13" i="1"/>
  <c r="E13" i="1"/>
  <c r="F13" i="1"/>
  <c r="G13" i="1"/>
  <c r="H13" i="1"/>
  <c r="I13" i="1"/>
  <c r="J13" i="1"/>
  <c r="K13" i="1"/>
  <c r="L13" i="1"/>
  <c r="M1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22" i="1"/>
  <c r="E22" i="1"/>
  <c r="O22" i="1"/>
  <c r="O23" i="1"/>
  <c r="O24" i="1"/>
  <c r="O25" i="1"/>
  <c r="O26" i="1"/>
  <c r="C27" i="1"/>
  <c r="D27" i="1"/>
  <c r="E27" i="1"/>
  <c r="F27" i="1"/>
  <c r="H27" i="1"/>
  <c r="I27" i="1"/>
  <c r="J27" i="1"/>
  <c r="K27" i="1"/>
  <c r="L27" i="1"/>
  <c r="M27" i="1"/>
  <c r="N27" i="1"/>
  <c r="O27" i="1"/>
  <c r="C29" i="1"/>
  <c r="D29" i="1"/>
  <c r="E29" i="1"/>
  <c r="O29" i="1"/>
  <c r="O39" i="1"/>
  <c r="P39" i="1"/>
  <c r="P40" i="1"/>
  <c r="O41" i="1"/>
  <c r="P41" i="1"/>
  <c r="B42" i="1"/>
  <c r="C42" i="1"/>
  <c r="E42" i="1"/>
  <c r="F42" i="1"/>
  <c r="I42" i="1"/>
  <c r="J42" i="1"/>
  <c r="L42" i="1"/>
  <c r="M42" i="1"/>
  <c r="O42" i="1"/>
  <c r="P42" i="1"/>
  <c r="R42" i="1"/>
  <c r="S42" i="1"/>
  <c r="F43" i="1"/>
  <c r="J43" i="1"/>
  <c r="M43" i="1"/>
  <c r="P43" i="1"/>
  <c r="S43" i="1"/>
  <c r="B44" i="1"/>
  <c r="E44" i="1"/>
  <c r="I44" i="1"/>
  <c r="L44" i="1"/>
  <c r="O44" i="1"/>
  <c r="R44" i="1"/>
  <c r="D13" i="16"/>
  <c r="E13" i="16"/>
  <c r="F13" i="16"/>
  <c r="G13" i="16"/>
  <c r="H13" i="16"/>
  <c r="I13" i="16"/>
  <c r="J13" i="16"/>
  <c r="K13" i="16"/>
  <c r="L13" i="16"/>
  <c r="M13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D22" i="16"/>
  <c r="E22" i="16"/>
  <c r="O22" i="16"/>
  <c r="O23" i="16"/>
  <c r="O24" i="16"/>
  <c r="O25" i="16"/>
  <c r="O26" i="16"/>
  <c r="C27" i="16"/>
  <c r="D27" i="16"/>
  <c r="E27" i="16"/>
  <c r="F27" i="16"/>
  <c r="H27" i="16"/>
  <c r="I27" i="16"/>
  <c r="J27" i="16"/>
  <c r="K27" i="16"/>
  <c r="L27" i="16"/>
  <c r="M27" i="16"/>
  <c r="N27" i="16"/>
  <c r="O27" i="16"/>
  <c r="C29" i="16"/>
  <c r="D29" i="16"/>
  <c r="E29" i="16"/>
  <c r="O29" i="16"/>
  <c r="O39" i="16"/>
  <c r="P39" i="16"/>
  <c r="P40" i="16"/>
  <c r="O41" i="16"/>
  <c r="P41" i="16"/>
  <c r="B42" i="16"/>
  <c r="C42" i="16"/>
  <c r="E42" i="16"/>
  <c r="F42" i="16"/>
  <c r="I42" i="16"/>
  <c r="J42" i="16"/>
  <c r="L42" i="16"/>
  <c r="M42" i="16"/>
  <c r="O42" i="16"/>
  <c r="P42" i="16"/>
  <c r="R42" i="16"/>
  <c r="S42" i="16"/>
  <c r="F43" i="16"/>
  <c r="J43" i="16"/>
  <c r="M43" i="16"/>
  <c r="P43" i="16"/>
  <c r="S43" i="16"/>
  <c r="B44" i="16"/>
  <c r="E44" i="16"/>
  <c r="I44" i="16"/>
  <c r="L44" i="16"/>
  <c r="O44" i="16"/>
  <c r="R44" i="16"/>
  <c r="D13" i="11"/>
  <c r="E13" i="11"/>
  <c r="F13" i="11"/>
  <c r="G13" i="11"/>
  <c r="H13" i="11"/>
  <c r="I13" i="11"/>
  <c r="J13" i="11"/>
  <c r="K13" i="11"/>
  <c r="L13" i="11"/>
  <c r="M13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22" i="11"/>
  <c r="E22" i="11"/>
  <c r="O22" i="11"/>
  <c r="O23" i="11"/>
  <c r="O24" i="11"/>
  <c r="O25" i="11"/>
  <c r="O26" i="11"/>
  <c r="C27" i="11"/>
  <c r="D27" i="11"/>
  <c r="E27" i="11"/>
  <c r="F27" i="11"/>
  <c r="H27" i="11"/>
  <c r="I27" i="11"/>
  <c r="J27" i="11"/>
  <c r="K27" i="11"/>
  <c r="L27" i="11"/>
  <c r="M27" i="11"/>
  <c r="N27" i="11"/>
  <c r="O27" i="11"/>
  <c r="C29" i="11"/>
  <c r="D29" i="11"/>
  <c r="E29" i="11"/>
  <c r="O29" i="11"/>
  <c r="O39" i="11"/>
  <c r="P39" i="11"/>
  <c r="F40" i="11"/>
  <c r="P40" i="11"/>
  <c r="O41" i="11"/>
  <c r="P41" i="11"/>
  <c r="B42" i="11"/>
  <c r="C42" i="11"/>
  <c r="E42" i="11"/>
  <c r="F42" i="11"/>
  <c r="I42" i="11"/>
  <c r="J42" i="11"/>
  <c r="L42" i="11"/>
  <c r="M42" i="11"/>
  <c r="O42" i="11"/>
  <c r="P42" i="11"/>
  <c r="R42" i="11"/>
  <c r="S42" i="11"/>
  <c r="F43" i="11"/>
  <c r="J43" i="11"/>
  <c r="M43" i="11"/>
  <c r="P43" i="11"/>
  <c r="S43" i="11"/>
  <c r="B44" i="11"/>
  <c r="E44" i="11"/>
  <c r="I44" i="11"/>
  <c r="L44" i="11"/>
  <c r="O44" i="11"/>
  <c r="R44" i="11"/>
  <c r="D13" i="23"/>
  <c r="E13" i="23"/>
  <c r="F13" i="23"/>
  <c r="G13" i="23"/>
  <c r="H13" i="23"/>
  <c r="I13" i="23"/>
  <c r="J13" i="23"/>
  <c r="K13" i="23"/>
  <c r="L13" i="23"/>
  <c r="M13" i="23"/>
  <c r="H14" i="23"/>
  <c r="M14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D22" i="23"/>
  <c r="E22" i="23"/>
  <c r="O22" i="23"/>
  <c r="O23" i="23"/>
  <c r="O24" i="23"/>
  <c r="O25" i="23"/>
  <c r="O26" i="23"/>
  <c r="C27" i="23"/>
  <c r="D27" i="23"/>
  <c r="E27" i="23"/>
  <c r="F27" i="23"/>
  <c r="H27" i="23"/>
  <c r="I27" i="23"/>
  <c r="J27" i="23"/>
  <c r="K27" i="23"/>
  <c r="L27" i="23"/>
  <c r="M27" i="23"/>
  <c r="N27" i="23"/>
  <c r="O27" i="23"/>
  <c r="C29" i="23"/>
  <c r="D29" i="23"/>
  <c r="E29" i="23"/>
  <c r="O29" i="23"/>
  <c r="F39" i="23"/>
  <c r="G39" i="23"/>
  <c r="O39" i="23"/>
  <c r="P39" i="23"/>
  <c r="F40" i="23"/>
  <c r="P40" i="23"/>
  <c r="O41" i="23"/>
  <c r="P41" i="23"/>
  <c r="B42" i="23"/>
  <c r="C42" i="23"/>
  <c r="E42" i="23"/>
  <c r="F42" i="23"/>
  <c r="I42" i="23"/>
  <c r="J42" i="23"/>
  <c r="L42" i="23"/>
  <c r="M42" i="23"/>
  <c r="O42" i="23"/>
  <c r="P42" i="23"/>
  <c r="R42" i="23"/>
  <c r="S42" i="23"/>
  <c r="F43" i="23"/>
  <c r="J43" i="23"/>
  <c r="M43" i="23"/>
  <c r="P43" i="23"/>
  <c r="S43" i="23"/>
  <c r="B44" i="23"/>
  <c r="E44" i="23"/>
  <c r="I44" i="23"/>
  <c r="L44" i="23"/>
  <c r="O44" i="23"/>
  <c r="R44" i="23"/>
  <c r="D13" i="13"/>
  <c r="E13" i="13"/>
  <c r="F13" i="13"/>
  <c r="G13" i="13"/>
  <c r="H13" i="13"/>
  <c r="I13" i="13"/>
  <c r="J13" i="13"/>
  <c r="K13" i="13"/>
  <c r="L13" i="13"/>
  <c r="M13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D22" i="13"/>
  <c r="E22" i="13"/>
  <c r="O22" i="13"/>
  <c r="O23" i="13"/>
  <c r="O24" i="13"/>
  <c r="O25" i="13"/>
  <c r="O26" i="13"/>
  <c r="C27" i="13"/>
  <c r="D27" i="13"/>
  <c r="E27" i="13"/>
  <c r="F27" i="13"/>
  <c r="H27" i="13"/>
  <c r="I27" i="13"/>
  <c r="J27" i="13"/>
  <c r="K27" i="13"/>
  <c r="L27" i="13"/>
  <c r="M27" i="13"/>
  <c r="N27" i="13"/>
  <c r="O27" i="13"/>
  <c r="C29" i="13"/>
  <c r="D29" i="13"/>
  <c r="E29" i="13"/>
  <c r="O29" i="13"/>
  <c r="O39" i="13"/>
  <c r="P39" i="13"/>
  <c r="P40" i="13"/>
  <c r="O41" i="13"/>
  <c r="P41" i="13"/>
  <c r="B42" i="13"/>
  <c r="C42" i="13"/>
  <c r="E42" i="13"/>
  <c r="F42" i="13"/>
  <c r="I42" i="13"/>
  <c r="J42" i="13"/>
  <c r="L42" i="13"/>
  <c r="M42" i="13"/>
  <c r="O42" i="13"/>
  <c r="P42" i="13"/>
  <c r="R42" i="13"/>
  <c r="S42" i="13"/>
  <c r="F43" i="13"/>
  <c r="J43" i="13"/>
  <c r="M43" i="13"/>
  <c r="P43" i="13"/>
  <c r="S43" i="13"/>
  <c r="B44" i="13"/>
  <c r="E44" i="13"/>
  <c r="I44" i="13"/>
  <c r="L44" i="13"/>
  <c r="O44" i="13"/>
  <c r="R44" i="13"/>
  <c r="D13" i="12"/>
  <c r="E13" i="12"/>
  <c r="F13" i="12"/>
  <c r="G13" i="12"/>
  <c r="H13" i="12"/>
  <c r="I13" i="12"/>
  <c r="J13" i="12"/>
  <c r="K13" i="12"/>
  <c r="L13" i="12"/>
  <c r="M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D22" i="12"/>
  <c r="E22" i="12"/>
  <c r="O22" i="12"/>
  <c r="O23" i="12"/>
  <c r="O24" i="12"/>
  <c r="O25" i="12"/>
  <c r="O26" i="12"/>
  <c r="C27" i="12"/>
  <c r="D27" i="12"/>
  <c r="E27" i="12"/>
  <c r="F27" i="12"/>
  <c r="H27" i="12"/>
  <c r="I27" i="12"/>
  <c r="J27" i="12"/>
  <c r="K27" i="12"/>
  <c r="L27" i="12"/>
  <c r="M27" i="12"/>
  <c r="N27" i="12"/>
  <c r="O27" i="12"/>
  <c r="C29" i="12"/>
  <c r="D29" i="12"/>
  <c r="E29" i="12"/>
  <c r="O29" i="12"/>
  <c r="O39" i="12"/>
  <c r="P39" i="12"/>
  <c r="P40" i="12"/>
  <c r="O41" i="12"/>
  <c r="P41" i="12"/>
  <c r="B42" i="12"/>
  <c r="C42" i="12"/>
  <c r="E42" i="12"/>
  <c r="F42" i="12"/>
  <c r="I42" i="12"/>
  <c r="J42" i="12"/>
  <c r="L42" i="12"/>
  <c r="M42" i="12"/>
  <c r="O42" i="12"/>
  <c r="P42" i="12"/>
  <c r="R42" i="12"/>
  <c r="S42" i="12"/>
  <c r="F43" i="12"/>
  <c r="J43" i="12"/>
  <c r="M43" i="12"/>
  <c r="P43" i="12"/>
  <c r="S43" i="12"/>
  <c r="B44" i="12"/>
  <c r="E44" i="12"/>
  <c r="I44" i="12"/>
  <c r="L44" i="12"/>
  <c r="O44" i="12"/>
  <c r="R44" i="12"/>
  <c r="D13" i="15"/>
  <c r="E13" i="15"/>
  <c r="F13" i="15"/>
  <c r="G13" i="15"/>
  <c r="H13" i="15"/>
  <c r="I13" i="15"/>
  <c r="J13" i="15"/>
  <c r="K13" i="15"/>
  <c r="L13" i="15"/>
  <c r="M13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D22" i="15"/>
  <c r="E22" i="15"/>
  <c r="O22" i="15"/>
  <c r="O23" i="15"/>
  <c r="O24" i="15"/>
  <c r="O25" i="15"/>
  <c r="O26" i="15"/>
  <c r="C27" i="15"/>
  <c r="D27" i="15"/>
  <c r="E27" i="15"/>
  <c r="F27" i="15"/>
  <c r="H27" i="15"/>
  <c r="I27" i="15"/>
  <c r="J27" i="15"/>
  <c r="K27" i="15"/>
  <c r="L27" i="15"/>
  <c r="M27" i="15"/>
  <c r="N27" i="15"/>
  <c r="O27" i="15"/>
  <c r="C29" i="15"/>
  <c r="D29" i="15"/>
  <c r="E29" i="15"/>
  <c r="O29" i="15"/>
  <c r="O39" i="15"/>
  <c r="P39" i="15"/>
  <c r="F40" i="15"/>
  <c r="P40" i="15"/>
  <c r="O41" i="15"/>
  <c r="P41" i="15"/>
  <c r="B42" i="15"/>
  <c r="C42" i="15"/>
  <c r="E42" i="15"/>
  <c r="F42" i="15"/>
  <c r="I42" i="15"/>
  <c r="J42" i="15"/>
  <c r="L42" i="15"/>
  <c r="M42" i="15"/>
  <c r="O42" i="15"/>
  <c r="P42" i="15"/>
  <c r="R42" i="15"/>
  <c r="S42" i="15"/>
  <c r="F43" i="15"/>
  <c r="J43" i="15"/>
  <c r="M43" i="15"/>
  <c r="P43" i="15"/>
  <c r="S43" i="15"/>
  <c r="B44" i="15"/>
  <c r="E44" i="15"/>
  <c r="I44" i="15"/>
  <c r="L44" i="15"/>
  <c r="O44" i="15"/>
  <c r="R44" i="15"/>
  <c r="D13" i="9"/>
  <c r="E13" i="9"/>
  <c r="F13" i="9"/>
  <c r="G13" i="9"/>
  <c r="H13" i="9"/>
  <c r="I13" i="9"/>
  <c r="J13" i="9"/>
  <c r="K13" i="9"/>
  <c r="L13" i="9"/>
  <c r="M13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D22" i="9"/>
  <c r="E22" i="9"/>
  <c r="O22" i="9"/>
  <c r="O23" i="9"/>
  <c r="O24" i="9"/>
  <c r="O25" i="9"/>
  <c r="O26" i="9"/>
  <c r="C27" i="9"/>
  <c r="D27" i="9"/>
  <c r="E27" i="9"/>
  <c r="F27" i="9"/>
  <c r="H27" i="9"/>
  <c r="I27" i="9"/>
  <c r="J27" i="9"/>
  <c r="K27" i="9"/>
  <c r="L27" i="9"/>
  <c r="M27" i="9"/>
  <c r="N27" i="9"/>
  <c r="O27" i="9"/>
  <c r="C29" i="9"/>
  <c r="D29" i="9"/>
  <c r="E29" i="9"/>
  <c r="O29" i="9"/>
  <c r="O39" i="9"/>
  <c r="P39" i="9"/>
  <c r="P40" i="9"/>
  <c r="O41" i="9"/>
  <c r="P41" i="9"/>
  <c r="B42" i="9"/>
  <c r="C42" i="9"/>
  <c r="E42" i="9"/>
  <c r="F42" i="9"/>
  <c r="I42" i="9"/>
  <c r="J42" i="9"/>
  <c r="L42" i="9"/>
  <c r="M42" i="9"/>
  <c r="O42" i="9"/>
  <c r="P42" i="9"/>
  <c r="R42" i="9"/>
  <c r="S42" i="9"/>
  <c r="F43" i="9"/>
  <c r="J43" i="9"/>
  <c r="M43" i="9"/>
  <c r="P43" i="9"/>
  <c r="S43" i="9"/>
  <c r="B44" i="9"/>
  <c r="E44" i="9"/>
  <c r="I44" i="9"/>
  <c r="L44" i="9"/>
  <c r="O44" i="9"/>
  <c r="R44" i="9"/>
</calcChain>
</file>

<file path=xl/sharedStrings.xml><?xml version="1.0" encoding="utf-8"?>
<sst xmlns="http://schemas.openxmlformats.org/spreadsheetml/2006/main" count="1170" uniqueCount="64">
  <si>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</si>
  <si>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</si>
  <si>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</si>
  <si>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</si>
  <si>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</si>
  <si>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</si>
  <si>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</si>
  <si>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</si>
  <si>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</si>
  <si>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</si>
  <si>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</si>
  <si>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</si>
  <si>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</si>
  <si>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</si>
  <si>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</si>
  <si>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Average</t>
  </si>
  <si>
    <t># of Transactions</t>
  </si>
  <si>
    <t>Dollar Value of Transactions</t>
  </si>
  <si>
    <t>Executions</t>
  </si>
  <si>
    <t>Budget</t>
  </si>
  <si>
    <t>Total Year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</si>
  <si>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</si>
  <si>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</si>
  <si>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</si>
  <si>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</si>
  <si>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</si>
  <si>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</si>
  <si>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</si>
  <si>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</si>
  <si>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Actual</t>
  </si>
  <si>
    <t>Forward Quarters</t>
  </si>
  <si>
    <t>$ Coverage</t>
  </si>
  <si>
    <t>1Q01</t>
  </si>
  <si>
    <t>Team:</t>
  </si>
  <si>
    <t>Week</t>
  </si>
  <si>
    <t>East Midstream</t>
  </si>
  <si>
    <t>1Q00</t>
  </si>
  <si>
    <t>2Q00</t>
  </si>
  <si>
    <t>3Q00</t>
  </si>
  <si>
    <t>4Q00</t>
  </si>
  <si>
    <t xml:space="preserve">        $ millions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</si>
  <si>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</si>
  <si>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</si>
  <si>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</si>
  <si>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</si>
  <si>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Weekly Summary - 2Q00 through 1Q01</t>
  </si>
  <si>
    <t>West Midstream</t>
  </si>
  <si>
    <t>Industrial Downstream</t>
  </si>
  <si>
    <t>Mexico</t>
  </si>
  <si>
    <t>Principal Investing</t>
  </si>
  <si>
    <t>CTG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</si>
  <si>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</si>
  <si>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</si>
  <si>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</si>
  <si>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</si>
  <si>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</si>
  <si>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</si>
  <si>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</si>
  <si>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</si>
  <si>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</si>
  <si>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Generation / IPP Investments</t>
  </si>
  <si>
    <t>Results based on Activity through June 16, 2000</t>
  </si>
  <si>
    <t>Upstream Originations</t>
  </si>
  <si>
    <t>HPL and 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</si>
</sst>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71" formatCode="&quot;$&quot;#,##0.0_);\(&quot;$&quot;#,##0.0\)"/>
  </numFmts>
  <fonts count="23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i/>
      <sz val="10"/>
      <name val="Arial Narrow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sz val="11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164" fontId="5" fillId="0" borderId="2" xfId="2" applyNumberFormat="1" applyFont="1" applyBorder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6" fontId="3" fillId="0" borderId="0" xfId="1" applyNumberFormat="1" applyFont="1"/>
    <xf numFmtId="164" fontId="3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2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4" xfId="0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7" fontId="5" fillId="0" borderId="6" xfId="2" applyNumberFormat="1" applyFont="1" applyBorder="1"/>
    <xf numFmtId="164" fontId="5" fillId="0" borderId="3" xfId="2" applyNumberFormat="1" applyFont="1" applyBorder="1" applyAlignment="1">
      <alignment horizontal="center"/>
    </xf>
    <xf numFmtId="166" fontId="3" fillId="0" borderId="5" xfId="1" applyNumberFormat="1" applyFont="1" applyBorder="1"/>
    <xf numFmtId="166" fontId="3" fillId="0" borderId="6" xfId="1" applyNumberFormat="1" applyFont="1" applyBorder="1" applyAlignment="1">
      <alignment horizontal="center"/>
    </xf>
    <xf numFmtId="167" fontId="3" fillId="0" borderId="6" xfId="2" applyNumberFormat="1" applyFont="1" applyBorder="1"/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3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5" fillId="0" borderId="0" xfId="2" applyNumberFormat="1" applyFont="1"/>
    <xf numFmtId="14" fontId="5" fillId="0" borderId="1" xfId="0" applyNumberFormat="1" applyFont="1" applyBorder="1" applyAlignment="1">
      <alignment horizontal="center"/>
    </xf>
    <xf numFmtId="167" fontId="3" fillId="0" borderId="5" xfId="1" applyNumberFormat="1" applyFont="1" applyBorder="1"/>
    <xf numFmtId="0" fontId="19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8" fillId="0" borderId="0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1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2" fillId="0" borderId="0" xfId="3" applyFont="1" applyFill="1" applyBorder="1" applyAlignment="1">
      <alignment horizontal="center"/>
    </xf>
    <xf numFmtId="166" fontId="3" fillId="0" borderId="6" xfId="1" applyNumberFormat="1" applyFont="1" applyFill="1" applyBorder="1"/>
    <xf numFmtId="166" fontId="5" fillId="0" borderId="6" xfId="2" applyNumberFormat="1" applyFont="1" applyBorder="1"/>
    <xf numFmtId="41" fontId="21" fillId="0" borderId="0" xfId="0" applyNumberFormat="1" applyFont="1"/>
    <xf numFmtId="0" fontId="22" fillId="0" borderId="0" xfId="0" applyFont="1"/>
    <xf numFmtId="166" fontId="3" fillId="0" borderId="6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 applyAlignment="1">
      <alignment horizontal="center"/>
    </xf>
    <xf numFmtId="166" fontId="3" fillId="0" borderId="5" xfId="1" applyNumberFormat="1" applyFont="1" applyFill="1" applyBorder="1"/>
    <xf numFmtId="0" fontId="3" fillId="0" borderId="4" xfId="0" applyFont="1" applyFill="1" applyBorder="1" applyAlignment="1">
      <alignment horizontal="center"/>
    </xf>
    <xf numFmtId="41" fontId="3" fillId="0" borderId="0" xfId="0" applyNumberFormat="1" applyFont="1" applyFill="1"/>
    <xf numFmtId="41" fontId="5" fillId="0" borderId="2" xfId="0" applyNumberFormat="1" applyFont="1" applyFill="1" applyBorder="1"/>
    <xf numFmtId="0" fontId="3" fillId="0" borderId="0" xfId="0" applyFont="1" applyFill="1"/>
    <xf numFmtId="41" fontId="5" fillId="0" borderId="2" xfId="0" applyNumberFormat="1" applyFont="1" applyFill="1" applyBorder="1" applyProtection="1">
      <protection locked="0"/>
    </xf>
    <xf numFmtId="167" fontId="5" fillId="0" borderId="6" xfId="2" applyNumberFormat="1" applyFont="1" applyFill="1" applyBorder="1"/>
    <xf numFmtId="0" fontId="5" fillId="0" borderId="0" xfId="2" applyNumberFormat="1" applyFont="1" applyFill="1"/>
    <xf numFmtId="164" fontId="5" fillId="0" borderId="3" xfId="2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4" fontId="5" fillId="0" borderId="0" xfId="2" applyNumberFormat="1" applyFont="1" applyFill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1" fillId="0" borderId="0" xfId="0" applyFont="1" applyAlignment="1">
      <alignment horizontal="center"/>
    </xf>
    <xf numFmtId="22" fontId="13" fillId="0" borderId="0" xfId="0" applyNumberFormat="1" applyFont="1" applyAlignment="1">
      <alignment horizontal="left"/>
    </xf>
    <xf numFmtId="9" fontId="18" fillId="2" borderId="11" xfId="3" applyFont="1" applyFill="1" applyBorder="1" applyAlignment="1">
      <alignment horizontal="center"/>
    </xf>
    <xf numFmtId="9" fontId="18" fillId="2" borderId="12" xfId="3" applyFont="1" applyFill="1" applyBorder="1" applyAlignment="1">
      <alignment horizontal="center"/>
    </xf>
    <xf numFmtId="9" fontId="12" fillId="2" borderId="11" xfId="3" applyFont="1" applyFill="1" applyBorder="1" applyAlignment="1">
      <alignment horizontal="center"/>
    </xf>
    <xf numFmtId="9" fontId="12" fillId="2" borderId="12" xfId="3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64160503906332E-2"/>
          <c:y val="4.7892843504287561E-2"/>
          <c:w val="0.92201272018915836"/>
          <c:h val="0.81609405331305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9811500376422"/>
                  <c:y val="0.61685982433522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4233-9262-1A1D12B9AA7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81136218359408"/>
                  <c:y val="0.6111126831147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4233-9262-1A1D12B9AA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41515981463124"/>
                  <c:y val="0.492338431224076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9F-4233-9262-1A1D12B9AA7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87430287476405"/>
                  <c:y val="0.524905564806991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9F-4233-9262-1A1D12B9AA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081772227817332"/>
                  <c:y val="0.17049852287526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9F-4233-9262-1A1D12B9AA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(Consol!$C$43,Consol!$F$43,Consol!$J$43,Consol!$M$43,Consol!$P$43,Consol!$S$43)</c:f>
              <c:numCache>
                <c:formatCode>_(* #,##0.0_);_(* \(#,##0.0\);_(* "-"?_);_(@_)</c:formatCode>
                <c:ptCount val="6"/>
                <c:pt idx="0">
                  <c:v>170.1</c:v>
                </c:pt>
                <c:pt idx="1">
                  <c:v>220.58500000000004</c:v>
                </c:pt>
                <c:pt idx="2">
                  <c:v>220.94399999999999</c:v>
                </c:pt>
                <c:pt idx="3">
                  <c:v>257.79500000000002</c:v>
                </c:pt>
                <c:pt idx="4">
                  <c:v>869.42400000000009</c:v>
                </c:pt>
                <c:pt idx="5">
                  <c:v>316.44324999999998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F-4233-9262-1A1D12B9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4492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35221912346133"/>
                  <c:y val="0.67241552280019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9F-4233-9262-1A1D12B9AA7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32708584031762"/>
                  <c:y val="0.71647693882414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9F-4233-9262-1A1D12B9AA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41515981463124"/>
                  <c:y val="0.4252884503180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9F-4233-9262-1A1D12B9AA7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87430287476405"/>
                  <c:y val="0.46551843886167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9F-4233-9262-1A1D12B9AA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207558410653506"/>
                  <c:y val="5.93871259453165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9F-4233-9262-1A1D12B9AA7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8993724356593384"/>
                  <c:y val="0.73754978996602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9F-4233-9262-1A1D12B9AA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(Consol!$C$42,Consol!$F$42,Consol!$J$42,Consol!$M$42,Consol!$P$42,Consol!$S$42)</c:f>
              <c:numCache>
                <c:formatCode>_(* #,##0.0_);_(* \(#,##0.0\);_(* "-"?_);_(@_)</c:formatCode>
                <c:ptCount val="6"/>
                <c:pt idx="0">
                  <c:v>145.19999999999999</c:v>
                </c:pt>
                <c:pt idx="1">
                  <c:v>70.695999999999998</c:v>
                </c:pt>
                <c:pt idx="2">
                  <c:v>360.416</c:v>
                </c:pt>
                <c:pt idx="3">
                  <c:v>313.072</c:v>
                </c:pt>
                <c:pt idx="4">
                  <c:v>889.38400000000001</c:v>
                </c:pt>
                <c:pt idx="5">
                  <c:v>81.349999999999994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9F-4233-9262-1A1D12B9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34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4920"/>
        <c:crosses val="autoZero"/>
        <c:crossBetween val="between"/>
        <c:majorUnit val="1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050324914370353"/>
          <c:y val="0.94444687390455051"/>
          <c:w val="0.20566040893714516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10280630130226E-2"/>
          <c:y val="4.7892843504287561E-2"/>
          <c:w val="0.94194835507068086"/>
          <c:h val="0.808431198352373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Upstream Originations'!$A$43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674166250303939"/>
                  <c:y val="0.630269820516424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E1-488E-917F-814CCD2918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79048663043209"/>
                  <c:y val="0.66666838157968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E1-488E-917F-814CCD2918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09398926649011"/>
                  <c:y val="0.65708981287882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E1-488E-917F-814CCD29188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89437289677138"/>
                  <c:y val="0.66475266783951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E1-488E-917F-814CCD2918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720411354438309"/>
                  <c:y val="0.35823846941207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E1-488E-917F-814CCD29188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62871742322015"/>
                  <c:y val="0.67049980906002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E1-488E-917F-814CCD2918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Originations'!$C$43,' Upstream Originations'!$F$43,' Upstream Originations'!$J$43,' Upstream Originations'!$M$43,' Upstream Originations'!$P$43,' Upstream Originations'!$S$43)</c:f>
              <c:numCache>
                <c:formatCode>_(* #,##0.0_);_(* \(#,##0.0\);_(* "-"?_);_(@_)</c:formatCode>
                <c:ptCount val="6"/>
                <c:pt idx="0">
                  <c:v>30.3</c:v>
                </c:pt>
                <c:pt idx="1">
                  <c:v>18.422999999999998</c:v>
                </c:pt>
                <c:pt idx="2">
                  <c:v>20.238</c:v>
                </c:pt>
                <c:pt idx="3">
                  <c:v>21.355</c:v>
                </c:pt>
                <c:pt idx="4">
                  <c:v>90.316000000000003</c:v>
                </c:pt>
                <c:pt idx="5">
                  <c:v>28.829250000000005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1-488E-917F-814CCD29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01112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 Upstream Originations'!$A$42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674166250303939"/>
                  <c:y val="0.6819940915010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E1-488E-917F-814CCD2918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41470687898794"/>
                  <c:y val="0.71647693882414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E1-488E-917F-814CCD2918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5908702607133"/>
                  <c:y val="0.595786973193337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E1-488E-917F-814CCD29188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551859314532717"/>
                  <c:y val="0.718392652564313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E1-488E-917F-814CCD2918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07677429005059"/>
                  <c:y val="0.41954130909755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E1-488E-917F-814CCD29188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76628549606860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E1-488E-917F-814CCD2918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Originations'!$C$42,' Upstream Originations'!$F$42,' Upstream Originations'!$J$42,' Upstream Originations'!$M$42,' Upstream Originations'!$P$42,' Upstream Originations'!$S$42)</c:f>
              <c:numCache>
                <c:formatCode>_(* #,##0.0_);_(* \(#,##0.0\);_(* "-"?_);_(@_)</c:formatCode>
                <c:ptCount val="6"/>
                <c:pt idx="0">
                  <c:v>23.1</c:v>
                </c:pt>
                <c:pt idx="1">
                  <c:v>14.469999999999999</c:v>
                </c:pt>
                <c:pt idx="2">
                  <c:v>31.861999999999998</c:v>
                </c:pt>
                <c:pt idx="3">
                  <c:v>18.137</c:v>
                </c:pt>
                <c:pt idx="4">
                  <c:v>87.568999999999988</c:v>
                </c:pt>
                <c:pt idx="5">
                  <c:v>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E1-488E-917F-814CCD29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50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01112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980080272346564"/>
          <c:y val="0.93486830520369324"/>
          <c:w val="0.20412002127774198"/>
          <c:h val="5.55556984649735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82941375797585E-2"/>
          <c:y val="4.7892843504287561E-2"/>
          <c:w val="0.94007569432501348"/>
          <c:h val="0.806515484612202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'HPL&amp;LRC'!$A$43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DB-44F5-A5A1-ABACD3F1EB6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16002837032266"/>
                  <c:y val="0.7222240800446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DB-44F5-A5A1-ABACD3F1EB6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5908702607133"/>
                  <c:y val="0.63601696173693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DB-44F5-A5A1-ABACD3F1EB6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551859314532717"/>
                  <c:y val="0.6187755380753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DB-44F5-A5A1-ABACD3F1EB6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638027692610855"/>
                  <c:y val="0.79502120217117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DB-44F5-A5A1-ABACD3F1EB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('HPL&amp;LRC'!$C$43,'HPL&amp;LRC'!$F$43,'HPL&amp;LRC'!$J$43,'HPL&amp;LRC'!$M$43,'HPL&amp;LRC'!$P$43,'HPL&amp;LRC'!$S$43)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12.436</c:v>
                </c:pt>
                <c:pt idx="2">
                  <c:v>27.077999999999999</c:v>
                </c:pt>
                <c:pt idx="3">
                  <c:v>26.841000000000001</c:v>
                </c:pt>
                <c:pt idx="4">
                  <c:v>66.35499999999999</c:v>
                </c:pt>
                <c:pt idx="5">
                  <c:v>36.235350000000004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DB-44F5-A5A1-ABACD3F1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03976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'HPL&amp;LRC'!$A$42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DB-44F5-A5A1-ABACD3F1EB6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16002837032266"/>
                  <c:y val="0.65708981287882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DB-44F5-A5A1-ABACD3F1EB6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008775125493648"/>
                  <c:y val="0.69157266020191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DB-44F5-A5A1-ABACD3F1EB6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988813488521763"/>
                  <c:y val="0.6800783777608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DB-44F5-A5A1-ABACD3F1EB6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DB-44F5-A5A1-ABACD3F1EB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('HPL&amp;LRC'!$C$42,'HPL&amp;LRC'!$F$42,'HPL&amp;LRC'!$J$42,'HPL&amp;LRC'!$M$42,'HPL&amp;LRC'!$P$42,'HPL&amp;LRC'!$S$42)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15.069999999999999</c:v>
                </c:pt>
                <c:pt idx="2">
                  <c:v>6.5540000000000003</c:v>
                </c:pt>
                <c:pt idx="3">
                  <c:v>2.9350000000000001</c:v>
                </c:pt>
                <c:pt idx="4">
                  <c:v>24.558999999999997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DB-44F5-A5A1-ABACD3F1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10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03976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5980080272346564"/>
          <c:y val="0.93486830520369324"/>
          <c:w val="0.20412002127774198"/>
          <c:h val="5.55556984649735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89179387351303E-2"/>
          <c:y val="4.5977129764116054E-2"/>
          <c:w val="0.94506945631345984"/>
          <c:h val="0.818009767053231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716626638187635"/>
                  <c:y val="0.739465503706199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FE-4861-85C6-25FE1D992D8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46976901793437"/>
                  <c:y val="0.66666838157968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FE-4861-85C6-25FE1D992D8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7327165399251"/>
                  <c:y val="0.70881408386345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FE-4861-85C6-25FE1D992D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Investing'!$C$43,'Principal Investing'!$F$43,'Principal Investing'!$J$43,'Principal Investing'!$M$43,'Principal Investing'!$P$43,'Principal Investing'!$S$43)</c:f>
              <c:numCache>
                <c:formatCode>_(* #,##0.0_);_(* \(#,##0.0\);_(* "-"?_);_(@_)</c:formatCode>
                <c:ptCount val="6"/>
                <c:pt idx="0">
                  <c:v>15.4</c:v>
                </c:pt>
                <c:pt idx="1">
                  <c:v>15.385</c:v>
                </c:pt>
                <c:pt idx="2">
                  <c:v>15.39</c:v>
                </c:pt>
                <c:pt idx="3">
                  <c:v>15.39</c:v>
                </c:pt>
                <c:pt idx="4">
                  <c:v>61.564999999999998</c:v>
                </c:pt>
                <c:pt idx="5">
                  <c:v>20.776499999999999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E-4861-85C6-25FE1D992D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22070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48698399437409"/>
                  <c:y val="0.4099627403967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FE-4861-85C6-25FE1D992D8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54204613332055"/>
                  <c:y val="0.83908261819511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FE-4861-85C6-25FE1D992D8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46976901793437"/>
                  <c:y val="0.7356340762258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FE-4861-85C6-25FE1D992D8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FE-4861-85C6-25FE1D992D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Investing'!$C$42,'Principal Investing'!$F$42,'Principal Investing'!$J$42,'Principal Investing'!$M$42,'Principal Investing'!$P$42,'Principal Investing'!$S$42)</c:f>
              <c:numCache>
                <c:formatCode>_(* #,##0.0_);_(* \(#,##0.0\);_(* "-"?_);_(@_)</c:formatCode>
                <c:ptCount val="6"/>
                <c:pt idx="0">
                  <c:v>93.7</c:v>
                </c:pt>
                <c:pt idx="1">
                  <c:v>-28.212000000000003</c:v>
                </c:pt>
                <c:pt idx="2">
                  <c:v>10</c:v>
                </c:pt>
                <c:pt idx="3">
                  <c:v>10</c:v>
                </c:pt>
                <c:pt idx="4">
                  <c:v>85.488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FE-4861-85C6-25FE1D992D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2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2070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10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101181515125498"/>
          <c:y val="0.94061544642420758"/>
          <c:w val="0.20412002127774198"/>
          <c:h val="4.9808557244459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40738890239725E-2"/>
          <c:y val="4.7892843504287561E-2"/>
          <c:w val="0.94694211705912723"/>
          <c:h val="0.819925480793402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674166250303939"/>
                  <c:y val="0.75670692736774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F9-4848-BEF2-795227D5B52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66938538765322"/>
                  <c:y val="0.79885262965151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F9-4848-BEF2-795227D5B5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Res.'!$C$43,'Energy Capital Res.'!$F$43,'Energy Capital Res.'!$J$43,'Energy Capital Res.'!$M$43,'Energy Capital Res.'!$P$43,'Energy Capital Res.'!$S$43)</c:f>
              <c:numCache>
                <c:formatCode>_(* #,##0.0_);_(* \(#,##0.0\);_(* "-"?_);_(@_)</c:formatCode>
                <c:ptCount val="6"/>
                <c:pt idx="0">
                  <c:v>10.3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25.3</c:v>
                </c:pt>
                <c:pt idx="5" formatCode="_(* #,##0.0_);_(* \(#,##0.0\);_(* &quot;-&quot;??_);_(@_)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9-4848-BEF2-795227D5B5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29168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5964474004145"/>
                  <c:y val="0.8218411945335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F9-4848-BEF2-795227D5B52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66938538765322"/>
                  <c:y val="0.73371836248568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F9-4848-BEF2-795227D5B52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F9-4848-BEF2-795227D5B52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F9-4848-BEF2-795227D5B52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F9-4848-BEF2-795227D5B5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Res.'!$C$42,'Energy Capital Res.'!$F$42,'Energy Capital Res.'!$J$42,'Energy Capital Res.'!$M$42,'Energy Capital Res.'!$P$42,'Energy Capital Res.'!$S$42)</c:f>
              <c:numCache>
                <c:formatCode>_(* #,##0.0_);_(* \(#,##0.0\);_(* "-"?_);_(@_)</c:formatCode>
                <c:ptCount val="6"/>
                <c:pt idx="0">
                  <c:v>0.9</c:v>
                </c:pt>
                <c:pt idx="1">
                  <c:v>2.3250000000000002</c:v>
                </c:pt>
                <c:pt idx="2">
                  <c:v>0</c:v>
                </c:pt>
                <c:pt idx="3">
                  <c:v>0</c:v>
                </c:pt>
                <c:pt idx="4">
                  <c:v>3.2250000000000001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F9-4848-BEF2-795227D5B5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229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9168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787823788536851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36825880809372E-2"/>
          <c:y val="4.6762630995172506E-2"/>
          <c:w val="0.94431034602515396"/>
          <c:h val="0.818346042415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81599251853482"/>
                  <c:y val="0.76079203503684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5F-4511-B509-452A013FE18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54498285620712"/>
                  <c:y val="0.71223084131108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F-4511-B509-452A013FE1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Assets'!$C$43,'CTG Assets'!$F$43,'CTG Assets'!$J$43,'CTG Assets'!$M$43,'CTG Assets'!$P$43,'CTG Assets'!$S$43)</c:f>
              <c:numCache>
                <c:formatCode>_(* #,##0.0_);_(* \(#,##0.0\);_(* "-"?_);_(@_)</c:formatCode>
                <c:ptCount val="6"/>
                <c:pt idx="0">
                  <c:v>14.4</c:v>
                </c:pt>
                <c:pt idx="1">
                  <c:v>14.705</c:v>
                </c:pt>
                <c:pt idx="2">
                  <c:v>13.904999999999999</c:v>
                </c:pt>
                <c:pt idx="3">
                  <c:v>19.954999999999998</c:v>
                </c:pt>
                <c:pt idx="4">
                  <c:v>62.964999999999996</c:v>
                </c:pt>
                <c:pt idx="5">
                  <c:v>26.939250000000001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F-4511-B509-452A013F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4426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22281181848049"/>
                  <c:y val="0.80935322876260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5F-4511-B509-452A013FE18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39721519956361"/>
                  <c:y val="0.84532448337427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5F-4511-B509-452A013FE18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978227287042259"/>
                  <c:y val="0.81115179149318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5F-4511-B509-452A013FE1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5F-4511-B509-452A013FE18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73640677747688"/>
                  <c:y val="0.85251873429660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5F-4511-B509-452A013FE1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5F-4511-B509-452A013FE1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Assets'!$C$42,'CTG Assets'!$F$42,'CTG Assets'!$J$42,'CTG Assets'!$M$42,'CTG Assets'!$P$42,'CTG Assets'!$S$42)</c:f>
              <c:numCache>
                <c:formatCode>_(* #,##0.0_);_(* \(#,##0.0\);_(* "-"?_);_(@_)</c:formatCode>
                <c:ptCount val="6"/>
                <c:pt idx="0">
                  <c:v>-0.60000000000000009</c:v>
                </c:pt>
                <c:pt idx="1">
                  <c:v>-4.75</c:v>
                </c:pt>
                <c:pt idx="2">
                  <c:v>1</c:v>
                </c:pt>
                <c:pt idx="3">
                  <c:v>0</c:v>
                </c:pt>
                <c:pt idx="4">
                  <c:v>-4.3499999999999996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F-4511-B509-452A013F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34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426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9007294517222784"/>
          <c:y val="0.94964112174811877"/>
          <c:w val="0.19794197637834959"/>
          <c:h val="4.136694280342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10280630130226E-2"/>
          <c:y val="4.5977129764116054E-2"/>
          <c:w val="0.94257257531923666"/>
          <c:h val="0.800768343391688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94-4385-B8AC-1A60A131BA7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16002837032266"/>
                  <c:y val="0.570882694571107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94-4385-B8AC-1A60A131BA7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5908702607133"/>
                  <c:y val="0.6819940915010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94-4385-B8AC-1A60A131BA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94-4385-B8AC-1A60A131BA7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(Chairman!$C$43,Chairman!$F$43,Chairman!$J$43,Chairman!$M$43,Chairman!$P$43,Chairman!$S$43)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52.2</c:v>
                </c:pt>
                <c:pt idx="2">
                  <c:v>23.4</c:v>
                </c:pt>
                <c:pt idx="3">
                  <c:v>23.4</c:v>
                </c:pt>
                <c:pt idx="4">
                  <c:v>99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4-4385-B8AC-1A60A131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3040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94-4385-B8AC-1A60A131BA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94-4385-B8AC-1A60A131BA7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5908702607133"/>
                  <c:y val="0.63601696173693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94-4385-B8AC-1A60A131BA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94-4385-B8AC-1A60A131BA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94-4385-B8AC-1A60A131BA7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(Chairman!$C$42,Chairman!$F$42,Chairman!$J$42,Chairman!$M$42,Chairman!$P$42,Chairman!$S$42)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-19.100999999999999</c:v>
                </c:pt>
                <c:pt idx="2">
                  <c:v>30</c:v>
                </c:pt>
                <c:pt idx="3">
                  <c:v>0</c:v>
                </c:pt>
                <c:pt idx="4">
                  <c:v>10.899000000000001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4-4385-B8AC-1A60A131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93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040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897633746541435"/>
          <c:y val="0.94061544642420758"/>
          <c:w val="0.20412002127774198"/>
          <c:h val="4.9808557244459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82941375797585E-2"/>
          <c:y val="4.7892843504287561E-2"/>
          <c:w val="0.94069991457356927"/>
          <c:h val="0.810346912092545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98386498859724"/>
                  <c:y val="0.73180264874551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99-4E27-B188-C38A1B30C3B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16002837032266"/>
                  <c:y val="0.706898370123284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99-4E27-B188-C38A1B30C3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71820951504596"/>
                  <c:y val="0.69157266020191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99-4E27-B188-C38A1B30C3B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32521478716207"/>
                  <c:y val="0.4674341526018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99-4E27-B188-C38A1B30C3B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50137816888742"/>
                  <c:y val="0.65708981287882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99-4E27-B188-C38A1B30C3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(East!$C$43,East!$F$43,East!$J$43,East!$M$43,East!$P$43,East!$S$43)</c:f>
              <c:numCache>
                <c:formatCode>_(* #,##0.0_);_(* \(#,##0.0\);_(* "-"?_);_(@_)</c:formatCode>
                <c:ptCount val="6"/>
                <c:pt idx="0">
                  <c:v>14.2</c:v>
                </c:pt>
                <c:pt idx="1">
                  <c:v>20.492999999999999</c:v>
                </c:pt>
                <c:pt idx="2">
                  <c:v>21.492999999999999</c:v>
                </c:pt>
                <c:pt idx="3">
                  <c:v>22.344000000000001</c:v>
                </c:pt>
                <c:pt idx="4">
                  <c:v>78.53</c:v>
                </c:pt>
                <c:pt idx="5">
                  <c:v>30.164400000000001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99-4E27-B188-C38A1B30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2964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72918647993195"/>
                  <c:y val="0.80459977087203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99-4E27-B188-C38A1B30C3B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465690936454579"/>
                  <c:y val="0.7873583472104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99-4E27-B188-C38A1B30C3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22132852082284"/>
                  <c:y val="0.30268277094709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99-4E27-B188-C38A1B30C3B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863969438810615"/>
                  <c:y val="0.77777977850962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99-4E27-B188-C38A1B30C3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99-4E27-B188-C38A1B30C3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(East!$C$42,East!$F$42,East!$J$42,East!$M$42,East!$P$42,East!$S$42)</c:f>
              <c:numCache>
                <c:formatCode>_(* #,##0.0_);_(* \(#,##0.0\);_(* "-"?_);_(@_)</c:formatCode>
                <c:ptCount val="6"/>
                <c:pt idx="0">
                  <c:v>2.8000000000000003</c:v>
                </c:pt>
                <c:pt idx="1">
                  <c:v>3</c:v>
                </c:pt>
                <c:pt idx="2">
                  <c:v>120.25</c:v>
                </c:pt>
                <c:pt idx="3">
                  <c:v>7</c:v>
                </c:pt>
                <c:pt idx="4">
                  <c:v>133.05000000000001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99-4E27-B188-C38A1B30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62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964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9912667838248033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40738890239725E-2"/>
          <c:y val="4.7892843504287561E-2"/>
          <c:w val="0.94631789681057121"/>
          <c:h val="0.81609405331305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73542449148567"/>
                  <c:y val="0.6992355151625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51-4962-843D-DD25E99ABF2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91782588476476"/>
                  <c:y val="0.739465503706199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51-4962-843D-DD25E99ABF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59710827226699"/>
                  <c:y val="0.66475266783951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51-4962-843D-DD25E99ABF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32521478716207"/>
                  <c:y val="0.4559398701608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51-4962-843D-DD25E99ABF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(West!$C$43,West!$F$43,West!$J$43,West!$M$43,West!$P$43,West!$S$43)</c:f>
              <c:numCache>
                <c:formatCode>_(* #,##0.0_);_(* \(#,##0.0\);_(* "-"?_);_(@_)</c:formatCode>
                <c:ptCount val="6"/>
                <c:pt idx="0">
                  <c:v>13.2</c:v>
                </c:pt>
                <c:pt idx="1">
                  <c:v>13.234999999999999</c:v>
                </c:pt>
                <c:pt idx="2">
                  <c:v>17.163</c:v>
                </c:pt>
                <c:pt idx="3">
                  <c:v>43.231000000000002</c:v>
                </c:pt>
                <c:pt idx="4">
                  <c:v>86.829000000000008</c:v>
                </c:pt>
                <c:pt idx="5">
                  <c:v>58.361850000000004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51-4962-843D-DD25E99A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1742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4807459828204"/>
                  <c:y val="0.750959786147228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51-4962-843D-DD25E99ABF2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91782588476476"/>
                  <c:y val="0.67049980906002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51-4962-843D-DD25E99ABF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59710827226699"/>
                  <c:y val="0.729886935005342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51-4962-843D-DD25E99ABF2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99825916311061"/>
                  <c:y val="0.791189774690830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51-4962-843D-DD25E99ABF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(West!$C$42,West!$F$42,West!$J$42,West!$M$42,West!$P$42,West!$S$42)</c:f>
              <c:numCache>
                <c:formatCode>_(* #,##0.0_);_(* \(#,##0.0\);_(* "-"?_);_(@_)</c:formatCode>
                <c:ptCount val="6"/>
                <c:pt idx="0">
                  <c:v>8.4</c:v>
                </c:pt>
                <c:pt idx="1">
                  <c:v>16.986000000000001</c:v>
                </c:pt>
                <c:pt idx="2">
                  <c:v>10</c:v>
                </c:pt>
                <c:pt idx="3">
                  <c:v>64</c:v>
                </c:pt>
                <c:pt idx="4">
                  <c:v>99.38600000000001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51-4962-843D-DD25E99A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21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1742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0848998211081704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82941375797585E-2"/>
          <c:y val="4.7892843504287561E-2"/>
          <c:w val="0.94007569432501348"/>
          <c:h val="0.81609405331305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5964474004145"/>
                  <c:y val="0.73754978996602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71-49A0-8B6C-FC47D2FC14A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16002837032266"/>
                  <c:y val="0.630269820516424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71-49A0-8B6C-FC47D2FC14A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638027692610855"/>
                  <c:y val="0.58237697701213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1-49A0-8B6C-FC47D2FC14A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(Downstream!$C$43,Downstream!$F$43,Downstream!$J$43,Downstream!$M$43,Downstream!$P$43,Downstream!$S$43)</c:f>
              <c:numCache>
                <c:formatCode>_(* #,##0.0_);_(* \(#,##0.0\);_(* "-"?_);_(@_)</c:formatCode>
                <c:ptCount val="6"/>
                <c:pt idx="0">
                  <c:v>16.899999999999999</c:v>
                </c:pt>
                <c:pt idx="1">
                  <c:v>22.861000000000001</c:v>
                </c:pt>
                <c:pt idx="2">
                  <c:v>28.361000000000001</c:v>
                </c:pt>
                <c:pt idx="3">
                  <c:v>28.361000000000001</c:v>
                </c:pt>
                <c:pt idx="4">
                  <c:v>96.483000000000004</c:v>
                </c:pt>
                <c:pt idx="5">
                  <c:v>38.287350000000004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1-49A0-8B6C-FC47D2FC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3456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97762697704352"/>
                  <c:y val="0.8007683433916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71-49A0-8B6C-FC47D2FC14A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16002837032266"/>
                  <c:y val="0.6819940915010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1-49A0-8B6C-FC47D2FC14A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5908702607133"/>
                  <c:y val="0.58237697701213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71-49A0-8B6C-FC47D2FC14A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575605667755287"/>
                  <c:y val="0.645595530437796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1-49A0-8B6C-FC47D2FC14A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(Downstream!$C$42,Downstream!$F$42,Downstream!$J$42,Downstream!$M$42,Downstream!$P$42,Downstream!$S$42)</c:f>
              <c:numCache>
                <c:formatCode>_(* #,##0.0_);_(* \(#,##0.0\);_(* "-"?_);_(@_)</c:formatCode>
                <c:ptCount val="6"/>
                <c:pt idx="0">
                  <c:v>3.2</c:v>
                </c:pt>
                <c:pt idx="1">
                  <c:v>14.847999999999999</c:v>
                </c:pt>
                <c:pt idx="2">
                  <c:v>56</c:v>
                </c:pt>
                <c:pt idx="3">
                  <c:v>51</c:v>
                </c:pt>
                <c:pt idx="4">
                  <c:v>125.048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71-49A0-8B6C-FC47D2FC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6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3456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852741018013929"/>
          <c:y val="0.94444687390455051"/>
          <c:w val="0.20412002127774198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82941375797585E-2"/>
          <c:y val="4.7892843504287561E-2"/>
          <c:w val="0.94069991457356927"/>
          <c:h val="0.81609405331305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23230548570881"/>
                  <c:y val="0.645595530437796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D3-41C7-BD54-52A08CC0713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66314737609948"/>
                  <c:y val="0.718392652564313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D3-41C7-BD54-52A08CC0713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34242976360176"/>
                  <c:y val="0.66666838157968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D3-41C7-BD54-52A08CC0713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64593239965978"/>
                  <c:y val="0.73371836248568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D3-41C7-BD54-52A08CC0713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50137816888742"/>
                  <c:y val="0.643679816697624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D3-41C7-BD54-52A08CC071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(Generation!$C$43,Generation!$F$43,Generation!$J$43,Generation!$M$43,Generation!$P$43,Generation!$S$43)</c:f>
              <c:numCache>
                <c:formatCode>_(* #,##0.0_);_(* \(#,##0.0\);_(* "-"?_);_(@_)</c:formatCode>
                <c:ptCount val="6"/>
                <c:pt idx="0">
                  <c:v>18.7</c:v>
                </c:pt>
                <c:pt idx="1">
                  <c:v>18.710999999999999</c:v>
                </c:pt>
                <c:pt idx="2">
                  <c:v>18.712</c:v>
                </c:pt>
                <c:pt idx="3">
                  <c:v>18.713000000000001</c:v>
                </c:pt>
                <c:pt idx="4">
                  <c:v>74.835999999999999</c:v>
                </c:pt>
                <c:pt idx="5">
                  <c:v>25.262550000000005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3-41C7-BD54-52A08CC071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288736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72918647993195"/>
                  <c:y val="0.71456122508397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D3-41C7-BD54-52A08CC0713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5908702607133"/>
                  <c:y val="0.60919696937453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D3-41C7-BD54-52A08CC0713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45255404149468"/>
                  <c:y val="0.21072851141886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D3-41C7-BD54-52A08CC0713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50137816888742"/>
                  <c:y val="0.70115122890276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D3-41C7-BD54-52A08CC071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(Generation!$C$42,Generation!$F$42,Generation!$J$42,Generation!$M$42,Generation!$P$42,Generation!$S$42)</c:f>
              <c:numCache>
                <c:formatCode>_(* #,##0.0_);_(* \(#,##0.0\);_(* "-"?_);_(@_)</c:formatCode>
                <c:ptCount val="6"/>
                <c:pt idx="0">
                  <c:v>7.2</c:v>
                </c:pt>
                <c:pt idx="1">
                  <c:v>38.549999999999997</c:v>
                </c:pt>
                <c:pt idx="2">
                  <c:v>29</c:v>
                </c:pt>
                <c:pt idx="3">
                  <c:v>72.5</c:v>
                </c:pt>
                <c:pt idx="4">
                  <c:v>147.25</c:v>
                </c:pt>
                <c:pt idx="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D3-41C7-BD54-52A08CC071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22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887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0848998211081704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09548832471166E-2"/>
          <c:y val="4.7892843504287561E-2"/>
          <c:w val="0.92197330711689574"/>
          <c:h val="0.81609405331305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8651709408710568"/>
                  <c:y val="0.69540408768225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1E-4843-9E50-05EC53F08FD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4069949548038484"/>
                  <c:y val="0.7547912136275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1E-4843-9E50-05EC53F08FD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4881896873664"/>
                  <c:y val="0.69157266020191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1E-4843-9E50-05EC53F08FD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719163752127571"/>
                  <c:y val="0.607281255634366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1E-4843-9E50-05EC53F08FD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574358065444527"/>
                  <c:y val="0.7547912136275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1E-4843-9E50-05EC53F08FD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(Coal!$C$43,Coal!$F$43,Coal!$J$43,Coal!$M$43,Coal!$P$43,Coal!$S$43)</c:f>
              <c:numCache>
                <c:formatCode>_(* #,##0.0_);_(* \(#,##0.0\);_(* "-"?_);_(@_)</c:formatCode>
                <c:ptCount val="6"/>
                <c:pt idx="0">
                  <c:v>12.7</c:v>
                </c:pt>
                <c:pt idx="1">
                  <c:v>6.2119999999999997</c:v>
                </c:pt>
                <c:pt idx="2">
                  <c:v>6.2789999999999999</c:v>
                </c:pt>
                <c:pt idx="3">
                  <c:v>6.2789999999999999</c:v>
                </c:pt>
                <c:pt idx="4">
                  <c:v>31.47</c:v>
                </c:pt>
                <c:pt idx="5">
                  <c:v>8.4766500000000011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1E-4843-9E50-05EC53F08F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93500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20735343949397"/>
                  <c:y val="0.81609405331305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1E-4843-9E50-05EC53F08FD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651709408710568"/>
                  <c:y val="0.76245406858825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1E-4843-9E50-05EC53F08FD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695417398905012"/>
                  <c:y val="0.557472698389907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1E-4843-9E50-05EC53F08FD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23850158794407"/>
                  <c:y val="0.6417641029574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1E-4843-9E50-05EC53F08FD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656741727271991"/>
                  <c:y val="0.43295130527875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1E-4843-9E50-05EC53F08FD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99825916311061"/>
                  <c:y val="0.68965694646174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1E-4843-9E50-05EC53F08FD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(Coal!$C$42,Coal!$F$42,Coal!$J$42,Coal!$M$42,Coal!$P$42,Coal!$S$42)</c:f>
              <c:numCache>
                <c:formatCode>_(* #,##0.0_);_(* \(#,##0.0\);_(* "-"?_);_(@_)</c:formatCode>
                <c:ptCount val="6"/>
                <c:pt idx="0">
                  <c:v>-1.1000000000000001</c:v>
                </c:pt>
                <c:pt idx="1">
                  <c:v>4.2229999999999999</c:v>
                </c:pt>
                <c:pt idx="2">
                  <c:v>45</c:v>
                </c:pt>
                <c:pt idx="3">
                  <c:v>25</c:v>
                </c:pt>
                <c:pt idx="4">
                  <c:v>73.123000000000005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1E-4843-9E50-05EC53F08F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93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500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725401763681283"/>
          <c:y val="0.94444687390455051"/>
          <c:w val="0.20412002127774198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07161624353374E-2"/>
          <c:y val="4.7892843504287561E-2"/>
          <c:w val="0.94007569432501348"/>
          <c:h val="0.81609405331305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98386498859724"/>
                  <c:y val="0.70115122890276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D9-4A5B-B320-A1FEED808DE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153580812176686"/>
                  <c:y val="0.70498265638311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D9-4A5B-B320-A1FEED808D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9666500121575"/>
                  <c:y val="0.724139793784827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D9-4A5B-B320-A1FEED808DE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7327165399251"/>
                  <c:y val="0.70115122890276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D9-4A5B-B320-A1FEED808D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70099453860627"/>
                  <c:y val="0.44444558771978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D9-4A5B-B320-A1FEED808D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(Canada!$C$43,Canada!$F$43,Canada!$J$43,Canada!$M$43,Canada!$P$43,Canada!$S$43)</c:f>
              <c:numCache>
                <c:formatCode>_(* #,##0.0_);_(* \(#,##0.0\);_(* "-"?_);_(@_)</c:formatCode>
                <c:ptCount val="6"/>
                <c:pt idx="0">
                  <c:v>11.6</c:v>
                </c:pt>
                <c:pt idx="1">
                  <c:v>11.555999999999999</c:v>
                </c:pt>
                <c:pt idx="2">
                  <c:v>11.557</c:v>
                </c:pt>
                <c:pt idx="3">
                  <c:v>11.558</c:v>
                </c:pt>
                <c:pt idx="4">
                  <c:v>46.271000000000001</c:v>
                </c:pt>
                <c:pt idx="5">
                  <c:v>15.603300000000001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D9-4A5B-B320-A1FEED80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4860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60184722559931"/>
                  <c:y val="0.76245406858825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D9-4A5B-B320-A1FEED808DE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28736762465527"/>
                  <c:y val="0.63601696173693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D9-4A5B-B320-A1FEED808D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821509050926904"/>
                  <c:y val="0.662836954099339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D9-4A5B-B320-A1FEED808DE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863969438810615"/>
                  <c:y val="0.764369782328429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D9-4A5B-B320-A1FEED808D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70099453860627"/>
                  <c:y val="0.375479893073614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D9-4A5B-B320-A1FEED808DE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D9-4A5B-B320-A1FEED808D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(Canada!$C$42,Canada!$F$42,Canada!$J$42,Canada!$M$42,Canada!$P$42,Canada!$S$42)</c:f>
              <c:numCache>
                <c:formatCode>_(* #,##0.0_);_(* \(#,##0.0\);_(* "-"?_);_(@_)</c:formatCode>
                <c:ptCount val="6"/>
                <c:pt idx="0">
                  <c:v>7.6000000000000005</c:v>
                </c:pt>
                <c:pt idx="1">
                  <c:v>12.010999999999999</c:v>
                </c:pt>
                <c:pt idx="2">
                  <c:v>20</c:v>
                </c:pt>
                <c:pt idx="3">
                  <c:v>7</c:v>
                </c:pt>
                <c:pt idx="4">
                  <c:v>46.611000000000004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D9-4A5B-B320-A1FEED80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14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4860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9787823788536851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28262867132304E-2"/>
          <c:y val="4.7892843504287561E-2"/>
          <c:w val="0.9369545930822345"/>
          <c:h val="0.812262625832716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8089911185010363"/>
                  <c:y val="0.69348837394208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29-B7C8-4814BC38984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508151324338273"/>
                  <c:y val="0.72797122126517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29-B7C8-4814BC38984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051235513377343"/>
                  <c:y val="0.773948351029286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29-B7C8-4814BC3898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70099453860627"/>
                  <c:y val="0.61302839685488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29-B7C8-4814BC38984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69540408768225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29-B7C8-4814BC3898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Products'!$B$37,'New Products'!$E$37,'New Products'!$I$37,'New Products'!$L$37,'New Products'!$O$37,'New Products'!$R$37)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('New Products'!$C$43,'New Products'!$F$43,'New Products'!$J$43,'New Products'!$M$43,'New Products'!$P$43,'New Products'!$S$43)</c:f>
              <c:numCache>
                <c:formatCode>_(* #,##0.0_);_(* \(#,##0.0\);_(* "-"?_);_(@_)</c:formatCode>
                <c:ptCount val="6"/>
                <c:pt idx="0">
                  <c:v>7.7</c:v>
                </c:pt>
                <c:pt idx="1">
                  <c:v>7.7119999999999997</c:v>
                </c:pt>
                <c:pt idx="2">
                  <c:v>7.7119999999999997</c:v>
                </c:pt>
                <c:pt idx="3">
                  <c:v>7.7119999999999997</c:v>
                </c:pt>
                <c:pt idx="4">
                  <c:v>30.835999999999999</c:v>
                </c:pt>
                <c:pt idx="5">
                  <c:v>10.411200000000001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8E-4929-B7C8-4814BC389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10168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29-B7C8-4814BC38984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027489160154784"/>
                  <c:y val="0.76053835484808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29-B7C8-4814BC38984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632995374049427"/>
                  <c:y val="0.77777977850962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29-B7C8-4814BC38984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18E-4929-B7C8-4814BC3898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07677429005059"/>
                  <c:y val="0.67049980906002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29-B7C8-4814BC38984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449514015733379"/>
                  <c:y val="0.74904407240705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29-B7C8-4814BC3898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Products'!$B$37:$C$37,'New Products'!$E$37:$F$37,'New Products'!$I$37:$J$37,'New Products'!$L$37:$M$37,'New Products'!$O$37:$P$37,'New Products'!$R$37:$S$37)</c:f>
              <c:strCache>
                <c:ptCount val="11"/>
                <c:pt idx="0">
                  <c:v>1Q00</c:v>
                </c:pt>
                <c:pt idx="2">
                  <c:v>2Q00</c:v>
                </c:pt>
                <c:pt idx="4">
                  <c:v>3Q00</c:v>
                </c:pt>
                <c:pt idx="6">
                  <c:v>4Q00</c:v>
                </c:pt>
                <c:pt idx="8">
                  <c:v>2000</c:v>
                </c:pt>
                <c:pt idx="10">
                  <c:v>1Q01</c:v>
                </c:pt>
              </c:strCache>
            </c:strRef>
          </c:cat>
          <c:val>
            <c:numRef>
              <c:f>('New Products'!$C$42,'New Products'!$F$42,'New Products'!$J$42,'New Products'!$M$42,'New Products'!$P$42,'New Products'!$S$42)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1.2530000000000001</c:v>
                </c:pt>
                <c:pt idx="2">
                  <c:v>0.75</c:v>
                </c:pt>
                <c:pt idx="3">
                  <c:v>21.5</c:v>
                </c:pt>
                <c:pt idx="4">
                  <c:v>23.503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8E-4929-B7C8-4814BC389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1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0168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1910172633626535"/>
          <c:y val="0.94444687390455051"/>
          <c:w val="0.20412002127774198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07161624353374E-2"/>
          <c:y val="4.7892843504287561E-2"/>
          <c:w val="0.94007569432501348"/>
          <c:h val="0.818009767053231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403268911598999"/>
                  <c:y val="0.74712835866688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72-49D8-9730-C60887625D7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32521478716207"/>
                  <c:y val="0.73754978996602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72-49D8-9730-C60887625D7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99825916311061"/>
                  <c:y val="0.74904407240705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72-49D8-9730-C60887625D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(Mexico!$C$43,Mexico!$F$43,Mexico!$J$43,Mexico!$M$43,Mexico!$P$43,Mexico!$S$43)</c:f>
              <c:numCache>
                <c:formatCode>_(* #,##0.0_);_(* \(#,##0.0\);_(* "-"?_);_(@_)</c:formatCode>
                <c:ptCount val="6"/>
                <c:pt idx="0">
                  <c:v>4.7</c:v>
                </c:pt>
                <c:pt idx="1">
                  <c:v>4.6559999999999997</c:v>
                </c:pt>
                <c:pt idx="2">
                  <c:v>4.6559999999999997</c:v>
                </c:pt>
                <c:pt idx="3">
                  <c:v>4.6559999999999997</c:v>
                </c:pt>
                <c:pt idx="4">
                  <c:v>18.667999999999999</c:v>
                </c:pt>
                <c:pt idx="5">
                  <c:v>6.2856000000000005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72-49D8-9730-C60887625D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10266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72-49D8-9730-C60887625D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403268911598999"/>
                  <c:y val="0.80459977087203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72-49D8-9730-C60887625D7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72-49D8-9730-C60887625D7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99825916311061"/>
                  <c:y val="0.791189774690830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72-49D8-9730-C60887625D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(Mexico!$C$42,Mexico!$F$42,Mexico!$J$42,Mexico!$M$42,Mexico!$P$42,Mexico!$S$42)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2.3E-2</c:v>
                </c:pt>
                <c:pt idx="2">
                  <c:v>0</c:v>
                </c:pt>
                <c:pt idx="3">
                  <c:v>34</c:v>
                </c:pt>
                <c:pt idx="4">
                  <c:v>34.023000000000003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72-49D8-9730-C60887625D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10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0266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2035016683337694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49120" cy="487680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604266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0" y="45720"/>
          <a:ext cx="8313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388620</xdr:colOff>
      <xdr:row>3</xdr:row>
      <xdr:rowOff>45720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6499860" y="982980"/>
          <a:ext cx="6515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60418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60419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60420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624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62466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62467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62468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137160</xdr:colOff>
      <xdr:row>48</xdr:row>
      <xdr:rowOff>83820</xdr:rowOff>
    </xdr:from>
    <xdr:ext cx="1817370" cy="476250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6027420" y="7452360"/>
          <a:ext cx="180594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608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426720</xdr:colOff>
      <xdr:row>3</xdr:row>
      <xdr:rowOff>45720</xdr:rowOff>
    </xdr:to>
    <xdr:sp macro="" textlink="">
      <xdr:nvSpPr>
        <xdr:cNvPr id="46084" name="Line 4"/>
        <xdr:cNvSpPr>
          <a:spLocks noChangeShapeType="1"/>
        </xdr:cNvSpPr>
      </xdr:nvSpPr>
      <xdr:spPr bwMode="auto">
        <a:xfrm flipH="1">
          <a:off x="6477000" y="982980"/>
          <a:ext cx="6667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48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48130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813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381000</xdr:colOff>
      <xdr:row>3</xdr:row>
      <xdr:rowOff>45720</xdr:rowOff>
    </xdr:to>
    <xdr:sp macro="" textlink="">
      <xdr:nvSpPr>
        <xdr:cNvPr id="48132" name="Line 4"/>
        <xdr:cNvSpPr>
          <a:spLocks noChangeShapeType="1"/>
        </xdr:cNvSpPr>
      </xdr:nvSpPr>
      <xdr:spPr bwMode="auto">
        <a:xfrm flipH="1">
          <a:off x="6477000" y="982980"/>
          <a:ext cx="6621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1043940</xdr:colOff>
      <xdr:row>46</xdr:row>
      <xdr:rowOff>0</xdr:rowOff>
    </xdr:from>
    <xdr:to>
      <xdr:col>20</xdr:col>
      <xdr:colOff>38100</xdr:colOff>
      <xdr:row>70</xdr:row>
      <xdr:rowOff>30480</xdr:rowOff>
    </xdr:to>
    <xdr:graphicFrame macro="">
      <xdr:nvGraphicFramePr>
        <xdr:cNvPr id="50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50178" name="Text Box 2"/>
        <xdr:cNvSpPr txBox="1">
          <a:spLocks noChangeArrowheads="1"/>
        </xdr:cNvSpPr>
      </xdr:nvSpPr>
      <xdr:spPr bwMode="auto">
        <a:xfrm>
          <a:off x="64389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0179" name="Line 3"/>
        <xdr:cNvSpPr>
          <a:spLocks noChangeShapeType="1"/>
        </xdr:cNvSpPr>
      </xdr:nvSpPr>
      <xdr:spPr bwMode="auto">
        <a:xfrm flipH="1">
          <a:off x="0" y="45720"/>
          <a:ext cx="8686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50180" name="Line 4"/>
        <xdr:cNvSpPr>
          <a:spLocks noChangeShapeType="1"/>
        </xdr:cNvSpPr>
      </xdr:nvSpPr>
      <xdr:spPr bwMode="auto">
        <a:xfrm flipH="1">
          <a:off x="68961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583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58370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837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58372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31745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31746" name="Text Box 1026"/>
        <xdr:cNvSpPr txBox="1">
          <a:spLocks noChangeArrowheads="1"/>
        </xdr:cNvSpPr>
      </xdr:nvSpPr>
      <xdr:spPr bwMode="auto">
        <a:xfrm>
          <a:off x="6019800" y="743712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1747" name="Line 1027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396240</xdr:colOff>
      <xdr:row>3</xdr:row>
      <xdr:rowOff>45720</xdr:rowOff>
    </xdr:to>
    <xdr:sp macro="" textlink="">
      <xdr:nvSpPr>
        <xdr:cNvPr id="31748" name="Line 1028"/>
        <xdr:cNvSpPr>
          <a:spLocks noChangeShapeType="1"/>
        </xdr:cNvSpPr>
      </xdr:nvSpPr>
      <xdr:spPr bwMode="auto">
        <a:xfrm flipH="1">
          <a:off x="6477000" y="975360"/>
          <a:ext cx="663702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46</xdr:row>
      <xdr:rowOff>0</xdr:rowOff>
    </xdr:from>
    <xdr:to>
      <xdr:col>20</xdr:col>
      <xdr:colOff>60960</xdr:colOff>
      <xdr:row>68</xdr:row>
      <xdr:rowOff>121920</xdr:rowOff>
    </xdr:to>
    <xdr:graphicFrame macro="">
      <xdr:nvGraphicFramePr>
        <xdr:cNvPr id="3379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33794" name="Text Box 1026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3795" name="Line 1027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33796" name="Line 1028"/>
        <xdr:cNvSpPr>
          <a:spLocks noChangeShapeType="1"/>
        </xdr:cNvSpPr>
      </xdr:nvSpPr>
      <xdr:spPr bwMode="auto">
        <a:xfrm flipH="1">
          <a:off x="64770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35842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426720</xdr:colOff>
      <xdr:row>3</xdr:row>
      <xdr:rowOff>45720</xdr:rowOff>
    </xdr:to>
    <xdr:sp macro="" textlink="">
      <xdr:nvSpPr>
        <xdr:cNvPr id="35844" name="Line 4"/>
        <xdr:cNvSpPr>
          <a:spLocks noChangeShapeType="1"/>
        </xdr:cNvSpPr>
      </xdr:nvSpPr>
      <xdr:spPr bwMode="auto">
        <a:xfrm flipH="1">
          <a:off x="6477000" y="975360"/>
          <a:ext cx="66675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37890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 flipH="1">
          <a:off x="64770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542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54274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4275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426720</xdr:colOff>
      <xdr:row>3</xdr:row>
      <xdr:rowOff>45720</xdr:rowOff>
    </xdr:to>
    <xdr:sp macro="" textlink="">
      <xdr:nvSpPr>
        <xdr:cNvPr id="54276" name="Line 4"/>
        <xdr:cNvSpPr>
          <a:spLocks noChangeShapeType="1"/>
        </xdr:cNvSpPr>
      </xdr:nvSpPr>
      <xdr:spPr bwMode="auto">
        <a:xfrm flipH="1">
          <a:off x="6477000" y="982980"/>
          <a:ext cx="6667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56322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579120</xdr:colOff>
      <xdr:row>3</xdr:row>
      <xdr:rowOff>45720</xdr:rowOff>
    </xdr:from>
    <xdr:to>
      <xdr:col>19</xdr:col>
      <xdr:colOff>342900</xdr:colOff>
      <xdr:row>3</xdr:row>
      <xdr:rowOff>68580</xdr:rowOff>
    </xdr:to>
    <xdr:sp macro="" textlink="">
      <xdr:nvSpPr>
        <xdr:cNvPr id="56324" name="Line 4"/>
        <xdr:cNvSpPr>
          <a:spLocks noChangeShapeType="1"/>
        </xdr:cNvSpPr>
      </xdr:nvSpPr>
      <xdr:spPr bwMode="auto">
        <a:xfrm flipH="1" flipV="1">
          <a:off x="6469380" y="982980"/>
          <a:ext cx="659130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129540</xdr:colOff>
      <xdr:row>48</xdr:row>
      <xdr:rowOff>83820</xdr:rowOff>
    </xdr:from>
    <xdr:to>
      <xdr:col>11</xdr:col>
      <xdr:colOff>198120</xdr:colOff>
      <xdr:row>51</xdr:row>
      <xdr:rowOff>91440</xdr:rowOff>
    </xdr:to>
    <xdr:sp macro="" textlink="">
      <xdr:nvSpPr>
        <xdr:cNvPr id="39938" name="Text Box 2"/>
        <xdr:cNvSpPr txBox="1">
          <a:spLocks noChangeArrowheads="1"/>
        </xdr:cNvSpPr>
      </xdr:nvSpPr>
      <xdr:spPr bwMode="auto">
        <a:xfrm>
          <a:off x="6019800" y="7437120"/>
          <a:ext cx="1828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9939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396240</xdr:colOff>
      <xdr:row>3</xdr:row>
      <xdr:rowOff>45720</xdr:rowOff>
    </xdr:to>
    <xdr:sp macro="" textlink="">
      <xdr:nvSpPr>
        <xdr:cNvPr id="39940" name="Line 4"/>
        <xdr:cNvSpPr>
          <a:spLocks noChangeShapeType="1"/>
        </xdr:cNvSpPr>
      </xdr:nvSpPr>
      <xdr:spPr bwMode="auto">
        <a:xfrm flipH="1">
          <a:off x="6477000" y="982980"/>
          <a:ext cx="6637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41986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1987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68580</xdr:rowOff>
    </xdr:to>
    <xdr:sp macro="" textlink="">
      <xdr:nvSpPr>
        <xdr:cNvPr id="41988" name="Line 4"/>
        <xdr:cNvSpPr>
          <a:spLocks noChangeShapeType="1"/>
        </xdr:cNvSpPr>
      </xdr:nvSpPr>
      <xdr:spPr bwMode="auto">
        <a:xfrm flipH="1" flipV="1">
          <a:off x="6477000" y="982980"/>
          <a:ext cx="665988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The%20Hot%20List/Hot%20List%200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list - Identified "/>
      <sheetName val="Hotlist - Completed"/>
    </sheetNames>
    <sheetDataSet>
      <sheetData sheetId="0">
        <row r="30">
          <cell r="F30">
            <v>21493</v>
          </cell>
          <cell r="I30">
            <v>22344</v>
          </cell>
          <cell r="O30">
            <v>30164.400000000001</v>
          </cell>
        </row>
        <row r="42">
          <cell r="F42">
            <v>17163</v>
          </cell>
          <cell r="I42">
            <v>43231</v>
          </cell>
          <cell r="O42">
            <v>58361.850000000006</v>
          </cell>
        </row>
        <row r="56">
          <cell r="F56">
            <v>28361</v>
          </cell>
          <cell r="I56">
            <v>28361</v>
          </cell>
          <cell r="O56">
            <v>38287.350000000006</v>
          </cell>
        </row>
        <row r="66">
          <cell r="F66">
            <v>18712</v>
          </cell>
          <cell r="I66">
            <v>18713</v>
          </cell>
          <cell r="O66">
            <v>25262.550000000003</v>
          </cell>
        </row>
        <row r="80">
          <cell r="F80">
            <v>6279</v>
          </cell>
          <cell r="I80">
            <v>6279</v>
          </cell>
          <cell r="O80">
            <v>8476.6500000000015</v>
          </cell>
        </row>
        <row r="92">
          <cell r="F92">
            <v>11557</v>
          </cell>
          <cell r="I92">
            <v>11558</v>
          </cell>
          <cell r="O92">
            <v>15603.300000000001</v>
          </cell>
        </row>
        <row r="99">
          <cell r="F99">
            <v>7712</v>
          </cell>
          <cell r="I99">
            <v>7712</v>
          </cell>
          <cell r="O99">
            <v>10411.200000000001</v>
          </cell>
        </row>
        <row r="107">
          <cell r="F107">
            <v>4656</v>
          </cell>
          <cell r="I107">
            <v>4656</v>
          </cell>
          <cell r="O107">
            <v>6285.6</v>
          </cell>
        </row>
        <row r="131">
          <cell r="F131">
            <v>20238</v>
          </cell>
          <cell r="I131">
            <v>21355</v>
          </cell>
          <cell r="O131">
            <v>28829.250000000004</v>
          </cell>
        </row>
        <row r="141">
          <cell r="F141">
            <v>27078</v>
          </cell>
          <cell r="I141">
            <v>26841</v>
          </cell>
          <cell r="O141">
            <v>36235.350000000006</v>
          </cell>
        </row>
        <row r="149">
          <cell r="F149">
            <v>15390</v>
          </cell>
          <cell r="I149">
            <v>15390</v>
          </cell>
          <cell r="O149">
            <v>20776.5</v>
          </cell>
        </row>
        <row r="159">
          <cell r="F159">
            <v>5000</v>
          </cell>
          <cell r="I159">
            <v>8000</v>
          </cell>
          <cell r="O159">
            <v>10800</v>
          </cell>
        </row>
        <row r="172">
          <cell r="F172">
            <v>13905</v>
          </cell>
          <cell r="I172">
            <v>19955</v>
          </cell>
          <cell r="O172">
            <v>26939.25</v>
          </cell>
        </row>
      </sheetData>
      <sheetData sheetId="1">
        <row r="11">
          <cell r="C11">
            <v>20493</v>
          </cell>
          <cell r="I11">
            <v>4656</v>
          </cell>
        </row>
        <row r="18">
          <cell r="C18">
            <v>13235</v>
          </cell>
        </row>
        <row r="26">
          <cell r="C26">
            <v>22861</v>
          </cell>
          <cell r="I26">
            <v>12436</v>
          </cell>
        </row>
        <row r="33">
          <cell r="C33">
            <v>18711</v>
          </cell>
        </row>
        <row r="34">
          <cell r="I34">
            <v>18423</v>
          </cell>
        </row>
        <row r="41">
          <cell r="C41">
            <v>6212</v>
          </cell>
        </row>
        <row r="42">
          <cell r="I42">
            <v>15385</v>
          </cell>
        </row>
        <row r="48">
          <cell r="I48">
            <v>2000</v>
          </cell>
        </row>
        <row r="56">
          <cell r="I56">
            <v>14705</v>
          </cell>
        </row>
        <row r="57">
          <cell r="C57">
            <v>11556</v>
          </cell>
        </row>
        <row r="63">
          <cell r="C63">
            <v>7712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B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bestFit="1" customWidth="1"/>
    <col min="4" max="4" width="8.88671875" style="2" customWidth="1"/>
    <col min="5" max="5" width="9.33203125" style="2" bestFit="1" customWidth="1"/>
    <col min="6" max="6" width="8.88671875" style="2" bestFit="1" customWidth="1"/>
    <col min="7" max="8" width="8.6640625" style="2" customWidth="1"/>
    <col min="9" max="10" width="8.5546875" style="2" bestFit="1" customWidth="1"/>
    <col min="11" max="11" width="8.88671875" style="2" bestFit="1" customWidth="1"/>
    <col min="12" max="12" width="9.33203125" style="2" bestFit="1" customWidth="1"/>
    <col min="13" max="13" width="8.88671875" style="2" bestFit="1" customWidth="1"/>
    <col min="14" max="14" width="9.33203125" style="2" bestFit="1" customWidth="1"/>
    <col min="15" max="15" width="9.6640625" style="2" bestFit="1" customWidth="1"/>
    <col min="16" max="16" width="9.6640625" style="2" customWidth="1"/>
    <col min="17" max="17" width="7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7" x14ac:dyDescent="0.3">
      <c r="A1" s="41"/>
      <c r="B1" s="42"/>
    </row>
    <row r="2" spans="1:17" ht="30" x14ac:dyDescent="0.5">
      <c r="A2" s="43" t="s">
        <v>41</v>
      </c>
      <c r="B2" s="43"/>
      <c r="N2" s="40" t="s">
        <v>33</v>
      </c>
      <c r="O2" s="39" t="s">
        <v>43</v>
      </c>
    </row>
    <row r="3" spans="1:17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7" s="15" customFormat="1" ht="18" x14ac:dyDescent="0.35">
      <c r="B4" s="16"/>
    </row>
    <row r="5" spans="1:17" s="15" customFormat="1" ht="18" x14ac:dyDescent="0.35">
      <c r="B5" s="16"/>
    </row>
    <row r="6" spans="1:17" s="15" customFormat="1" ht="18" x14ac:dyDescent="0.35">
      <c r="B6" s="16"/>
    </row>
    <row r="7" spans="1:17" s="15" customFormat="1" ht="18" x14ac:dyDescent="0.35">
      <c r="B7" s="16"/>
    </row>
    <row r="8" spans="1:17" s="1" customFormat="1" ht="23.25" customHeight="1" x14ac:dyDescent="0.45">
      <c r="A8" s="19"/>
      <c r="B8" s="38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  <c r="Q8" s="38"/>
    </row>
    <row r="9" spans="1:17" s="1" customFormat="1" ht="23.25" customHeight="1" x14ac:dyDescent="0.45">
      <c r="A9" s="19"/>
      <c r="B9" s="38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7" s="1" customFormat="1" ht="23.25" customHeight="1" x14ac:dyDescent="0.45">
      <c r="A10" s="19"/>
      <c r="B10" s="38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3">
      <c r="A12" s="3" t="s">
        <v>4</v>
      </c>
    </row>
    <row r="13" spans="1:17" x14ac:dyDescent="0.3">
      <c r="A13" s="2" t="s">
        <v>5</v>
      </c>
      <c r="C13" s="44">
        <f>East!C13+West!C13+Downstream!C13+Generation!C13+'New Products'!C13+Mexico!C13+'Principal Investing'!C13+'Energy Capital Res.'!C13+'CTG Assets'!C13+' Upstream Originations'!C13+'HPL&amp;LRC'!C13+Coal!C13+Canada!C13+Chairman!C13</f>
        <v>0</v>
      </c>
      <c r="D13" s="44">
        <f>East!D13+West!D13+Downstream!D13+Generation!D13+'New Products'!D13+Mexico!D13+'Principal Investing'!D13+'Energy Capital Res.'!D13+'CTG Assets'!D13+' Upstream Originations'!D13+'HPL&amp;LRC'!D13+Coal!D13+Canada!D13+Chairman!D13</f>
        <v>110</v>
      </c>
      <c r="E13" s="44">
        <f>East!E13+West!E13+Downstream!E13+Generation!E13+'New Products'!E13+Mexico!E13+'Principal Investing'!E13+'Energy Capital Res.'!E13+'CTG Assets'!E13+' Upstream Originations'!E13+'HPL&amp;LRC'!E13+Coal!E13+Canada!E13+Chairman!E13</f>
        <v>216</v>
      </c>
      <c r="F13" s="44">
        <f>East!F13+West!F13+Downstream!F13+Generation!F13+'New Products'!F13+Mexico!F13+'Principal Investing'!F13+'Energy Capital Res.'!F13+'CTG Assets'!F13+' Upstream Originations'!F13+'HPL&amp;LRC'!F13+Coal!F13+Canada!F13+Chairman!F13</f>
        <v>224</v>
      </c>
      <c r="G13" s="44">
        <f>East!G13+West!G13+Downstream!G13+Generation!G13+'New Products'!G13+Mexico!G13+'Principal Investing'!G13+'Energy Capital Res.'!G13+'CTG Assets'!G13+' Upstream Originations'!G13+'HPL&amp;LRC'!G13+Coal!G13+Canada!G13+Chairman!G13</f>
        <v>233</v>
      </c>
      <c r="H13" s="44">
        <f>East!H13+West!H13+Downstream!H13+Generation!H13+'New Products'!H13+Mexico!H13+'Principal Investing'!H13+'Energy Capital Res.'!H13+'CTG Assets'!H13+' Upstream Originations'!H13+'HPL&amp;LRC'!H13+Coal!H13+Canada!H13+Chairman!H13</f>
        <v>224</v>
      </c>
      <c r="I13" s="44">
        <f>East!I13+West!I13+Downstream!I13+Generation!I13+'New Products'!I13+Mexico!I13+'Principal Investing'!I13+'Energy Capital Res.'!I13+'CTG Assets'!I13+' Upstream Originations'!I13+'HPL&amp;LRC'!I13+Coal!I13+Canada!I13+Chairman!I13</f>
        <v>301</v>
      </c>
      <c r="J13" s="44">
        <f>East!J13+West!J13+Downstream!J13+Generation!J13+'New Products'!J13+Mexico!J13+'Principal Investing'!J13+'Energy Capital Res.'!J13+'CTG Assets'!J13+' Upstream Originations'!J13+'HPL&amp;LRC'!J13+Coal!J13+Canada!J13+Chairman!J13</f>
        <v>302</v>
      </c>
      <c r="K13" s="44">
        <f>East!K13+West!K13+Downstream!K13+Generation!K13+'New Products'!K13+Mexico!K13+'Principal Investing'!K13+'Energy Capital Res.'!K13+'CTG Assets'!K13+' Upstream Originations'!K13+'HPL&amp;LRC'!K13+Coal!K13+Canada!K13+Chairman!K13</f>
        <v>292</v>
      </c>
      <c r="L13" s="44">
        <f>East!L13+West!L13+Downstream!L13+Generation!L13+'New Products'!L13+Mexico!L13+'Principal Investing'!L13+'Energy Capital Res.'!L13+'CTG Assets'!L13+' Upstream Originations'!L13+'HPL&amp;LRC'!L13+Coal!L13+Canada!L13+Chairman!L13</f>
        <v>359</v>
      </c>
      <c r="M13" s="44">
        <f>East!M13+West!M13+Downstream!M13+Generation!M13+'New Products'!M13+Mexico!M13+'Principal Investing'!M13+'Energy Capital Res.'!M13+'CTG Assets'!M13+' Upstream Originations'!M13+'HPL&amp;LRC'!M13+Coal!M13+Canada!M13+Chairman!M13</f>
        <v>391</v>
      </c>
      <c r="N13" s="44"/>
      <c r="O13" s="44"/>
    </row>
    <row r="14" spans="1:17" x14ac:dyDescent="0.3">
      <c r="A14" s="4" t="s">
        <v>1</v>
      </c>
      <c r="C14" s="44">
        <f>East!C14+West!C14+Downstream!C14+Generation!C14+'New Products'!C14+Mexico!C14+'Principal Investing'!C14+'Energy Capital Res.'!C14+'CTG Assets'!C14+' Upstream Originations'!C14+'HPL&amp;LRC'!C14+Coal!C14+Canada!C14+Chairman!C14</f>
        <v>110</v>
      </c>
      <c r="D14" s="44">
        <f>East!D14+West!D14+Downstream!D14+Generation!D14+'New Products'!D14+Mexico!D14+'Principal Investing'!D14+'Energy Capital Res.'!D14+'CTG Assets'!D14+' Upstream Originations'!D14+'HPL&amp;LRC'!D14+Coal!D14+Canada!D14+Chairman!D14</f>
        <v>148</v>
      </c>
      <c r="E14" s="44">
        <f>East!E14+West!E14+Downstream!E14+Generation!E14+'New Products'!E14+Mexico!E14+'Principal Investing'!E14+'Energy Capital Res.'!E14+'CTG Assets'!E14+' Upstream Originations'!E14+'HPL&amp;LRC'!E14+Coal!E14+Canada!E14+Chairman!E14</f>
        <v>17</v>
      </c>
      <c r="F14" s="44">
        <f>East!F14+West!F14+Downstream!F14+Generation!F14+'New Products'!F14+Mexico!F14+'Principal Investing'!F14+'Energy Capital Res.'!F14+'CTG Assets'!F14+' Upstream Originations'!F14+'HPL&amp;LRC'!F14+Coal!F14+Canada!F14+Chairman!F14</f>
        <v>23</v>
      </c>
      <c r="G14" s="44">
        <f>East!G14+West!G14+Downstream!G14+Generation!G14+'New Products'!G14+Mexico!G14+'Principal Investing'!G14+'Energy Capital Res.'!G14+'CTG Assets'!G14+' Upstream Originations'!G14+'HPL&amp;LRC'!G14+Coal!G14+Canada!G14+Chairman!G14</f>
        <v>20</v>
      </c>
      <c r="H14" s="44">
        <f>East!H14+West!H14+Downstream!H14+Generation!H14+'New Products'!H14+Mexico!H14+'Principal Investing'!H14+'Energy Capital Res.'!H14+'CTG Assets'!H14+' Upstream Originations'!H14+'HPL&amp;LRC'!H14+Coal!H14+Canada!H14+Chairman!H14</f>
        <v>90</v>
      </c>
      <c r="I14" s="44">
        <f>East!I14+West!I14+Downstream!I14+Generation!I14+'New Products'!I14+Mexico!I14+'Principal Investing'!I14+'Energy Capital Res.'!I14+'CTG Assets'!I14+' Upstream Originations'!I14+'HPL&amp;LRC'!I14+Coal!I14+Canada!I14+Chairman!I14</f>
        <v>21</v>
      </c>
      <c r="J14" s="44">
        <f>East!J14+West!J14+Downstream!J14+Generation!J14+'New Products'!J14+Mexico!J14+'Principal Investing'!J14+'Energy Capital Res.'!J14+'CTG Assets'!J14+' Upstream Originations'!J14+'HPL&amp;LRC'!J14+Coal!J14+Canada!J14+Chairman!J14</f>
        <v>10</v>
      </c>
      <c r="K14" s="44">
        <f>East!K14+West!K14+Downstream!K14+Generation!K14+'New Products'!K14+Mexico!K14+'Principal Investing'!K14+'Energy Capital Res.'!K14+'CTG Assets'!K14+' Upstream Originations'!K14+'HPL&amp;LRC'!K14+Coal!K14+Canada!K14+Chairman!K14</f>
        <v>110</v>
      </c>
      <c r="L14" s="44">
        <f>East!L14+West!L14+Downstream!L14+Generation!L14+'New Products'!L14+Mexico!L14+'Principal Investing'!L14+'Energy Capital Res.'!L14+'CTG Assets'!L14+' Upstream Originations'!L14+'HPL&amp;LRC'!L14+Coal!L14+Canada!L14+Chairman!L14</f>
        <v>53</v>
      </c>
      <c r="M14" s="44">
        <f>East!M14+West!M14+Downstream!M14+Generation!M14+'New Products'!M14+Mexico!M14+'Principal Investing'!M14+'Energy Capital Res.'!M14+'CTG Assets'!M14+' Upstream Originations'!M14+'HPL&amp;LRC'!M14+Coal!M14+Canada!M14+Chairman!M14</f>
        <v>46</v>
      </c>
      <c r="N14" s="44"/>
      <c r="O14" s="44"/>
    </row>
    <row r="15" spans="1:17" x14ac:dyDescent="0.3">
      <c r="A15" s="4" t="s">
        <v>2</v>
      </c>
      <c r="C15" s="44">
        <f>East!C15+West!C15+Downstream!C15+Generation!C15+'New Products'!C15+Mexico!C15+'Principal Investing'!C15+'Energy Capital Res.'!C15+'CTG Assets'!C15+' Upstream Originations'!C15+'HPL&amp;LRC'!C15+Coal!C15+Canada!C15+Chairman!C15</f>
        <v>0</v>
      </c>
      <c r="D15" s="44">
        <f>East!D15+West!D15+Downstream!D15+Generation!D15+'New Products'!D15+Mexico!D15+'Principal Investing'!D15+'Energy Capital Res.'!D15+'CTG Assets'!D15+' Upstream Originations'!D15+'HPL&amp;LRC'!D15+Coal!D15+Canada!D15+Chairman!D15</f>
        <v>11</v>
      </c>
      <c r="E15" s="44">
        <f>East!E15+West!E15+Downstream!E15+Generation!E15+'New Products'!E15+Mexico!E15+'Principal Investing'!E15+'Energy Capital Res.'!E15+'CTG Assets'!E15+' Upstream Originations'!E15+'HPL&amp;LRC'!E15+Coal!E15+Canada!E15+Chairman!E15</f>
        <v>9</v>
      </c>
      <c r="F15" s="44">
        <f>East!F15+West!F15+Downstream!F15+Generation!F15+'New Products'!F15+Mexico!F15+'Principal Investing'!F15+'Energy Capital Res.'!F15+'CTG Assets'!F15+' Upstream Originations'!F15+'HPL&amp;LRC'!F15+Coal!F15+Canada!F15+Chairman!F15</f>
        <v>13</v>
      </c>
      <c r="G15" s="44">
        <f>East!G15+West!G15+Downstream!G15+Generation!G15+'New Products'!G15+Mexico!G15+'Principal Investing'!G15+'Energy Capital Res.'!G15+'CTG Assets'!G15+' Upstream Originations'!G15+'HPL&amp;LRC'!G15+Coal!G15+Canada!G15+Chairman!G15</f>
        <v>19</v>
      </c>
      <c r="H15" s="44">
        <f>East!H15+West!H15+Downstream!H15+Generation!H15+'New Products'!H15+Mexico!H15+'Principal Investing'!H15+'Energy Capital Res.'!H15+'CTG Assets'!H15+' Upstream Originations'!H15+'HPL&amp;LRC'!H15+Coal!H15+Canada!H15+Chairman!H15</f>
        <v>8</v>
      </c>
      <c r="I15" s="44">
        <f>East!I15+West!I15+Downstream!I15+Generation!I15+'New Products'!I15+Mexico!I15+'Principal Investing'!I15+'Energy Capital Res.'!I15+'CTG Assets'!I15+' Upstream Originations'!I15+'HPL&amp;LRC'!I15+Coal!I15+Canada!I15+Chairman!I15</f>
        <v>14</v>
      </c>
      <c r="J15" s="44">
        <f>East!J15+West!J15+Downstream!J15+Generation!J15+'New Products'!J15+Mexico!J15+'Principal Investing'!J15+'Energy Capital Res.'!J15+'CTG Assets'!J15+' Upstream Originations'!J15+'HPL&amp;LRC'!J15+Coal!J15+Canada!J15+Chairman!J15</f>
        <v>7</v>
      </c>
      <c r="K15" s="44">
        <f>East!K15+West!K15+Downstream!K15+Generation!K15+'New Products'!K15+Mexico!K15+'Principal Investing'!K15+'Energy Capital Res.'!K15+'CTG Assets'!K15+' Upstream Originations'!K15+'HPL&amp;LRC'!K15+Coal!K15+Canada!K15+Chairman!K15</f>
        <v>7</v>
      </c>
      <c r="L15" s="44">
        <f>East!L15+West!L15+Downstream!L15+Generation!L15+'New Products'!L15+Mexico!L15+'Principal Investing'!L15+'Energy Capital Res.'!L15+'CTG Assets'!L15+' Upstream Originations'!L15+'HPL&amp;LRC'!L15+Coal!L15+Canada!L15+Chairman!L15</f>
        <v>11</v>
      </c>
      <c r="M15" s="44">
        <f>East!M15+West!M15+Downstream!M15+Generation!M15+'New Products'!M15+Mexico!M15+'Principal Investing'!M15+'Energy Capital Res.'!M15+'CTG Assets'!M15+' Upstream Originations'!M15+'HPL&amp;LRC'!M15+Coal!M15+Canada!M15+Chairman!M15</f>
        <v>30</v>
      </c>
      <c r="N15" s="44"/>
      <c r="O15" s="44"/>
    </row>
    <row r="16" spans="1:17" x14ac:dyDescent="0.3">
      <c r="A16" s="4" t="s">
        <v>3</v>
      </c>
      <c r="C16" s="44">
        <f>East!C16+West!C16+Downstream!C16+Generation!C16+'New Products'!C16+Mexico!C16+'Principal Investing'!C16+'Energy Capital Res.'!C16+'CTG Assets'!C16+' Upstream Originations'!C16+'HPL&amp;LRC'!C16+Coal!C16+Canada!C16+Chairman!C16</f>
        <v>0</v>
      </c>
      <c r="D16" s="44">
        <f>East!D16+West!D16+Downstream!D16+Generation!D16+'New Products'!D16+Mexico!D16+'Principal Investing'!D16+'Energy Capital Res.'!D16+'CTG Assets'!D16+' Upstream Originations'!D16+'HPL&amp;LRC'!D16+Coal!D16+Canada!D16+Chairman!D16</f>
        <v>31</v>
      </c>
      <c r="E16" s="44">
        <f>East!E16+West!E16+Downstream!E16+Generation!E16+'New Products'!E16+Mexico!E16+'Principal Investing'!E16+'Energy Capital Res.'!E16+'CTG Assets'!E16+' Upstream Originations'!E16+'HPL&amp;LRC'!E16+Coal!E16+Canada!E16+Chairman!E16</f>
        <v>0</v>
      </c>
      <c r="F16" s="44">
        <f>East!F16+West!F16+Downstream!F16+Generation!F16+'New Products'!F16+Mexico!F16+'Principal Investing'!F16+'Energy Capital Res.'!F16+'CTG Assets'!F16+' Upstream Originations'!F16+'HPL&amp;LRC'!F16+Coal!F16+Canada!F16+Chairman!F16</f>
        <v>1</v>
      </c>
      <c r="G16" s="44">
        <f>East!G16+West!G16+Downstream!G16+Generation!G16+'New Products'!G16+Mexico!G16+'Principal Investing'!G16+'Energy Capital Res.'!G16+'CTG Assets'!G16+' Upstream Originations'!G16+'HPL&amp;LRC'!G16+Coal!G16+Canada!G16+Chairman!G16</f>
        <v>10</v>
      </c>
      <c r="H16" s="44">
        <f>East!H16+West!H16+Downstream!H16+Generation!H16+'New Products'!H16+Mexico!H16+'Principal Investing'!H16+'Energy Capital Res.'!H16+'CTG Assets'!H16+' Upstream Originations'!H16+'HPL&amp;LRC'!H16+Coal!H16+Canada!H16+Chairman!H16</f>
        <v>5</v>
      </c>
      <c r="I16" s="44">
        <f>East!I16+West!I16+Downstream!I16+Generation!I16+'New Products'!I16+Mexico!I16+'Principal Investing'!I16+'Energy Capital Res.'!I16+'CTG Assets'!I16+' Upstream Originations'!I16+'HPL&amp;LRC'!I16+Coal!I16+Canada!I16+Chairman!I16</f>
        <v>6</v>
      </c>
      <c r="J16" s="44">
        <f>East!J16+West!J16+Downstream!J16+Generation!J16+'New Products'!J16+Mexico!J16+'Principal Investing'!J16+'Energy Capital Res.'!J16+'CTG Assets'!J16+' Upstream Originations'!J16+'HPL&amp;LRC'!J16+Coal!J16+Canada!J16+Chairman!J16</f>
        <v>13</v>
      </c>
      <c r="K16" s="44">
        <f>East!K16+West!K16+Downstream!K16+Generation!K16+'New Products'!K16+Mexico!K16+'Principal Investing'!K16+'Energy Capital Res.'!K16+'CTG Assets'!K16+' Upstream Originations'!K16+'HPL&amp;LRC'!K16+Coal!K16+Canada!K16+Chairman!K16</f>
        <v>36</v>
      </c>
      <c r="L16" s="44">
        <f>East!L16+West!L16+Downstream!L16+Generation!L16+'New Products'!L16+Mexico!L16+'Principal Investing'!L16+'Energy Capital Res.'!L16+'CTG Assets'!L16+' Upstream Originations'!L16+'HPL&amp;LRC'!L16+Coal!L16+Canada!L16+Chairman!L16</f>
        <v>10</v>
      </c>
      <c r="M16" s="44">
        <f>East!M16+West!M16+Downstream!M16+Generation!M16+'New Products'!M16+Mexico!M16+'Principal Investing'!M16+'Energy Capital Res.'!M16+'CTG Assets'!M16+' Upstream Originations'!M16+'HPL&amp;LRC'!M16+Coal!M16+Canada!M16+Chairman!M16</f>
        <v>12</v>
      </c>
      <c r="N16" s="44"/>
      <c r="O16" s="44"/>
      <c r="P16" s="66"/>
    </row>
    <row r="17" spans="1:19" ht="14.4" thickBot="1" x14ac:dyDescent="0.35">
      <c r="A17" s="2" t="s">
        <v>6</v>
      </c>
      <c r="C17" s="45">
        <f t="shared" ref="C17:H17" si="0">+C13+C14-C15-C16</f>
        <v>110</v>
      </c>
      <c r="D17" s="45">
        <f t="shared" si="0"/>
        <v>216</v>
      </c>
      <c r="E17" s="45">
        <f t="shared" si="0"/>
        <v>224</v>
      </c>
      <c r="F17" s="45">
        <f t="shared" si="0"/>
        <v>233</v>
      </c>
      <c r="G17" s="45">
        <f t="shared" si="0"/>
        <v>224</v>
      </c>
      <c r="H17" s="45">
        <f t="shared" si="0"/>
        <v>301</v>
      </c>
      <c r="I17" s="45">
        <f t="shared" ref="I17:O17" si="1">+I13+I14-I15-I16</f>
        <v>302</v>
      </c>
      <c r="J17" s="45">
        <f t="shared" si="1"/>
        <v>292</v>
      </c>
      <c r="K17" s="45">
        <f t="shared" si="1"/>
        <v>359</v>
      </c>
      <c r="L17" s="45">
        <f t="shared" si="1"/>
        <v>391</v>
      </c>
      <c r="M17" s="76">
        <f t="shared" si="1"/>
        <v>395</v>
      </c>
      <c r="N17" s="45">
        <f t="shared" si="1"/>
        <v>0</v>
      </c>
      <c r="O17" s="45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4.4" hidden="1" thickTop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0.46527777777777779</v>
      </c>
      <c r="D29" s="10">
        <f>+D27/E17</f>
        <v>0.51249999999999996</v>
      </c>
      <c r="E29" s="10">
        <f>+E27/F17</f>
        <v>0.44120171673819741</v>
      </c>
      <c r="F29" s="10"/>
      <c r="G29" s="10"/>
      <c r="H29" s="10"/>
      <c r="I29" s="10"/>
      <c r="J29" s="10"/>
      <c r="O29" s="10" t="e">
        <f>+O27/#REF!</f>
        <v>#REF!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f>East!B39+West!B39+Downstream!B39+Generation!B39+'New Products'!B39+Mexico!B39+'Principal Investing'!B39+'Energy Capital Res.'!B39+'CTG Assets'!B39+' Upstream Originations'!B39+'HPL&amp;LRC'!B39+Coal!B39+Canada!B39+Chairman!B39</f>
        <v>45</v>
      </c>
      <c r="C39" s="27">
        <f>East!C39+West!C39+Downstream!C39+Generation!C39+'New Products'!C39+Mexico!C39+'Principal Investing'!C39+'Energy Capital Res.'!C39+'CTG Assets'!C39+' Upstream Originations'!C39+'HPL&amp;LRC'!C39+Coal!C39+Canada!C39+Chairman!C39</f>
        <v>31.299999999999997</v>
      </c>
      <c r="D39" s="59"/>
      <c r="E39" s="26">
        <f>East!E39+West!E39+Downstream!E39+Generation!E39+'New Products'!E39+Mexico!E39+'Principal Investing'!E39+'Energy Capital Res.'!E39+'CTG Assets'!E39+' Upstream Originations'!E39+'HPL&amp;LRC'!E39+Coal!E39+Canada!E39+Chairman!E39</f>
        <v>124</v>
      </c>
      <c r="F39" s="27">
        <f>East!F39+West!F39+Downstream!F39+Generation!F39+'New Products'!F39+Mexico!F39+'Principal Investing'!F39+'Energy Capital Res.'!F39+'CTG Assets'!F39+' Upstream Originations'!F39+'HPL&amp;LRC'!F39+Coal!F39+Canada!F39+Chairman!F39</f>
        <v>31.420026999999997</v>
      </c>
      <c r="G39" s="59">
        <f>East!G39+West!G39+Downstream!G39+Generation!G39+'New Products'!G39+Mexico!G39+'Principal Investing'!G39+'Energy Capital Res.'!G39+'CTG Assets'!G39+' Upstream Originations'!G39+'HPL&amp;LRC'!G39+Coal!G39+Canada!G39+Chairman!G39</f>
        <v>26.209000000000003</v>
      </c>
      <c r="H39" s="9"/>
      <c r="I39" s="26">
        <f>East!I39+West!I39+Downstream!I39+Generation!I39+'New Products'!I39+Mexico!I39+'Principal Investing'!I39+'Energy Capital Res.'!I39+'CTG Assets'!I39+' Upstream Originations'!I39+'HPL&amp;LRC'!I39+Coal!I39+Canada!I39+Chairman!I39</f>
        <v>0</v>
      </c>
      <c r="J39" s="27">
        <f>East!J39+West!J39+Downstream!J39+Generation!J39+'New Products'!J39+Mexico!J39+'Principal Investing'!J39+'Energy Capital Res.'!J39+'CTG Assets'!J39+' Upstream Originations'!J39+'HPL&amp;LRC'!J39+Coal!J39+Canada!J39+Chairman!J39</f>
        <v>0</v>
      </c>
      <c r="K39" s="9"/>
      <c r="L39" s="26">
        <f>East!L39+West!L39+Downstream!L39+Generation!L39+'New Products'!L39+Mexico!L39+'Principal Investing'!L39+'Energy Capital Res.'!L39+'CTG Assets'!L39+' Upstream Originations'!L39+'HPL&amp;LRC'!L39+Coal!L39+Canada!L39+Chairman!L39</f>
        <v>0</v>
      </c>
      <c r="M39" s="27">
        <f>East!M39+West!M39+Downstream!M39+Generation!M39+'New Products'!M39+Mexico!M39+'Principal Investing'!M39+'Energy Capital Res.'!M39+'CTG Assets'!M39+' Upstream Originations'!M39+'HPL&amp;LRC'!M39+Coal!M39+Canada!M39+Chairman!M39</f>
        <v>0</v>
      </c>
      <c r="N39" s="9"/>
      <c r="O39" s="26">
        <f>+B39+E39+I39+L39</f>
        <v>169</v>
      </c>
      <c r="P39" s="27">
        <f>+C39+F39+J39+M39</f>
        <v>62.720026999999995</v>
      </c>
      <c r="Q39" s="9"/>
      <c r="R39" s="26">
        <f>East!R39+West!R39+Downstream!R39+Generation!R39+'New Products'!R39+Mexico!R39+'Principal Investing'!R39+'Energy Capital Res.'!R39+'CTG Assets'!R39+' Upstream Originations'!R39+'HPL&amp;LRC'!R39+Coal!R39+Canada!R39+Chairman!R39</f>
        <v>0</v>
      </c>
      <c r="S39" s="27">
        <f>East!S39+West!S39+Downstream!S39+Generation!S39+'New Products'!S39+Mexico!S39+'Principal Investing'!S39+'Energy Capital Res.'!S39+'CTG Assets'!S39+' Upstream Originations'!S39+'HPL&amp;LRC'!S39+Coal!S39+Canada!S39+Chairman!S39</f>
        <v>0</v>
      </c>
      <c r="T39" s="9"/>
    </row>
    <row r="40" spans="1:20" x14ac:dyDescent="0.3">
      <c r="A40" s="2" t="s">
        <v>58</v>
      </c>
      <c r="B40" s="26"/>
      <c r="C40" s="64">
        <f>East!C40+West!C40+Downstream!C40+Generation!C40+'New Products'!C40+Mexico!C40+'Principal Investing'!C40+'Energy Capital Res.'!C40+'CTG Assets'!C40+' Upstream Originations'!C40+'HPL&amp;LRC'!C40+Coal!C40+Canada!C40+Chairman!C40</f>
        <v>113.9</v>
      </c>
      <c r="D40" s="59"/>
      <c r="E40" s="26"/>
      <c r="F40" s="64">
        <f>East!F40+West!F40+Downstream!F40+Generation!F40+'New Products'!F40+Mexico!F40+'Principal Investing'!F40+'Energy Capital Res.'!F40+'CTG Assets'!F40+' Upstream Originations'!F40+'HPL&amp;LRC'!F40+Coal!F40+Canada!F40+Chairman!F40</f>
        <v>-26.076027000000003</v>
      </c>
      <c r="G40" s="59"/>
      <c r="H40" s="9"/>
      <c r="I40" s="26"/>
      <c r="J40" s="64">
        <f>East!J40+West!J40+Downstream!J40+Generation!J40+'New Products'!J40+Mexico!J40+'Principal Investing'!J40+'Energy Capital Res.'!J40+'CTG Assets'!J40+' Upstream Originations'!J40+'HPL&amp;LRC'!J40+Coal!J40+Canada!J40+Chairman!J40</f>
        <v>0</v>
      </c>
      <c r="K40" s="9"/>
      <c r="L40" s="26"/>
      <c r="M40" s="64">
        <f>East!M40+West!M40+Downstream!M40+Generation!M40+'New Products'!M40+Mexico!M40+'Principal Investing'!M40+'Energy Capital Res.'!M40+'CTG Assets'!M40+' Upstream Originations'!M40+'HPL&amp;LRC'!M40+Coal!M40+Canada!M40+Chairman!M40</f>
        <v>0</v>
      </c>
      <c r="N40" s="9"/>
      <c r="O40" s="26"/>
      <c r="P40" s="64">
        <f>East!P40+West!P40+Downstream!P40+Generation!P40+'New Products'!P40+Mexico!P40+'Principal Investing'!P40+'Energy Capital Res.'!P40+'CTG Assets'!P40+' Upstream Originations'!P40+'HPL&amp;LRC'!P40+Coal!P40+Canada!P40+Chairman!P40</f>
        <v>87.823973000000009</v>
      </c>
      <c r="Q40" s="9"/>
      <c r="R40" s="26"/>
      <c r="S40" s="64">
        <f>East!S40+West!S40+Downstream!S40+Generation!S40+'New Products'!S40+Mexico!S40+'Principal Investing'!S40+'Energy Capital Res.'!S40+'CTG Assets'!S40+' Upstream Originations'!S40+'HPL&amp;LRC'!S40+Coal!S40+Canada!S40+Chairman!S40</f>
        <v>0</v>
      </c>
      <c r="T40" s="9"/>
    </row>
    <row r="41" spans="1:20" x14ac:dyDescent="0.3">
      <c r="A41" s="2" t="s">
        <v>0</v>
      </c>
      <c r="B41" s="28">
        <f>East!B41+West!B41+Downstream!B41+Generation!B41+'New Products'!B41+Mexico!B41+'Principal Investing'!B41+'Energy Capital Res.'!B41+'CTG Assets'!B41+' Upstream Originations'!B41+'HPL&amp;LRC'!B41+Coal!B41+Canada!B41+Chairman!B41</f>
        <v>0</v>
      </c>
      <c r="C41" s="32">
        <f>East!C41+West!C41+Downstream!C41+Generation!C41+'New Products'!C41+Mexico!C41+'Principal Investing'!C41+'Energy Capital Res.'!C41+'CTG Assets'!C41+' Upstream Originations'!C41+'HPL&amp;LRC'!C41+Coal!C41+Canada!C41+Chairman!C41</f>
        <v>0</v>
      </c>
      <c r="D41" s="54"/>
      <c r="E41" s="28">
        <f>East!E41+West!E41+Downstream!E41+Generation!E41+'New Products'!E41+Mexico!E41+'Principal Investing'!E41+'Energy Capital Res.'!E41+'CTG Assets'!E41+' Upstream Originations'!E41+'HPL&amp;LRC'!E41+Coal!E41+Canada!E41+Chairman!E41</f>
        <v>45</v>
      </c>
      <c r="F41" s="32">
        <f>East!F41+West!F41+Downstream!F41+Generation!F41+'New Products'!F41+Mexico!F41+'Principal Investing'!F41+'Energy Capital Res.'!F41+'CTG Assets'!F41+' Upstream Originations'!F41+'HPL&amp;LRC'!F41+Coal!F41+Canada!F41+Chairman!F41</f>
        <v>65.352000000000004</v>
      </c>
      <c r="G41" s="54"/>
      <c r="H41" s="9"/>
      <c r="I41" s="28">
        <f>East!I41+West!I41+Downstream!I41+Generation!I41+'New Products'!I41+Mexico!I41+'Principal Investing'!I41+'Energy Capital Res.'!I41+'CTG Assets'!I41+' Upstream Originations'!I41+'HPL&amp;LRC'!I41+Coal!I41+Canada!I41+Chairman!I41</f>
        <v>224</v>
      </c>
      <c r="J41" s="32">
        <f>East!J41+West!J41+Downstream!J41+Generation!J41+'New Products'!J41+Mexico!J41+'Principal Investing'!J41+'Energy Capital Res.'!J41+'CTG Assets'!J41+' Upstream Originations'!J41+'HPL&amp;LRC'!J41+Coal!J41+Canada!J41+Chairman!J41</f>
        <v>360.416</v>
      </c>
      <c r="K41" s="9"/>
      <c r="L41" s="28">
        <f>East!L41+West!L41+Downstream!L41+Generation!L41+'New Products'!L41+Mexico!L41+'Principal Investing'!L41+'Energy Capital Res.'!L41+'CTG Assets'!L41+' Upstream Originations'!L41+'HPL&amp;LRC'!L41+Coal!L41+Canada!L41+Chairman!L41</f>
        <v>105</v>
      </c>
      <c r="M41" s="32">
        <f>East!M41+West!M41+Downstream!M41+Generation!M41+'New Products'!M41+Mexico!M41+'Principal Investing'!M41+'Energy Capital Res.'!M41+'CTG Assets'!M41+' Upstream Originations'!M41+'HPL&amp;LRC'!M41+Coal!M41+Canada!M41+Chairman!M41</f>
        <v>313.072</v>
      </c>
      <c r="N41" s="9"/>
      <c r="O41" s="28">
        <f>East!O41+West!O41+Downstream!O41+Generation!O41+'New Products'!O41+Mexico!O41+'Principal Investing'!O41+'Energy Capital Res.'!O41+'CTG Assets'!O41+' Upstream Originations'!O41+'HPL&amp;LRC'!O41+Coal!O41+Canada!O41+Chairman!O41</f>
        <v>374</v>
      </c>
      <c r="P41" s="32">
        <f>+C41+F41+J41+M41</f>
        <v>738.84</v>
      </c>
      <c r="Q41" s="9"/>
      <c r="R41" s="28">
        <f>East!R41+West!R41+Downstream!R41+Generation!R41+'New Products'!R41+Mexico!R41+'Principal Investing'!R41+'Energy Capital Res.'!R41+'CTG Assets'!R41+' Upstream Originations'!R41+'HPL&amp;LRC'!R41+Coal!R41+Canada!R41+Chairman!R41</f>
        <v>21</v>
      </c>
      <c r="S41" s="32">
        <f>East!S41+West!S41+Downstream!S41+Generation!S41+'New Products'!S41+Mexico!S41+'Principal Investing'!S41+'Energy Capital Res.'!S41+'CTG Assets'!S41+' Upstream Originations'!S41+'HPL&amp;LRC'!S41+Coal!S41+Canada!S41+Chairman!S41</f>
        <v>81.349999999999994</v>
      </c>
      <c r="T41" s="9"/>
    </row>
    <row r="42" spans="1:20" s="5" customFormat="1" x14ac:dyDescent="0.3">
      <c r="A42" s="5" t="s">
        <v>59</v>
      </c>
      <c r="B42" s="23">
        <f>SUM(B39:B41)</f>
        <v>45</v>
      </c>
      <c r="C42" s="30">
        <f>SUM(C39:C41)</f>
        <v>145.19999999999999</v>
      </c>
      <c r="D42" s="55"/>
      <c r="E42" s="23">
        <f>SUM(E39:E41)</f>
        <v>169</v>
      </c>
      <c r="F42" s="30">
        <f>SUM(F39:F41)</f>
        <v>70.695999999999998</v>
      </c>
      <c r="G42" s="55"/>
      <c r="H42" s="11"/>
      <c r="I42" s="23">
        <f>SUM(I39:I41)</f>
        <v>224</v>
      </c>
      <c r="J42" s="30">
        <f>SUM(J39:J41)</f>
        <v>360.416</v>
      </c>
      <c r="K42" s="11"/>
      <c r="L42" s="23">
        <f>SUM(L39:L41)</f>
        <v>105</v>
      </c>
      <c r="M42" s="30">
        <f>SUM(M39:M41)</f>
        <v>313.072</v>
      </c>
      <c r="N42" s="11"/>
      <c r="O42" s="23">
        <f>SUM(O39:O41)</f>
        <v>543</v>
      </c>
      <c r="P42" s="30">
        <f>SUM(P39:P41)</f>
        <v>889.38400000000001</v>
      </c>
      <c r="Q42" s="11"/>
      <c r="R42" s="23">
        <f>SUM(R39:R41)</f>
        <v>21</v>
      </c>
      <c r="S42" s="30">
        <f>SUM(S39:S41)</f>
        <v>81.349999999999994</v>
      </c>
      <c r="T42" s="11"/>
    </row>
    <row r="43" spans="1:20" s="14" customFormat="1" x14ac:dyDescent="0.3">
      <c r="A43" s="46" t="s">
        <v>19</v>
      </c>
      <c r="B43" s="31"/>
      <c r="C43" s="30">
        <f>East!C43+West!C43+Downstream!C43+Generation!C43+'New Products'!C43+Mexico!C43+'Principal Investing'!C43+'Energy Capital Res.'!C43+'CTG Assets'!C43+' Upstream Originations'!C43+'HPL&amp;LRC'!C43+Coal!C43+Canada!C43+Chairman!C43</f>
        <v>170.1</v>
      </c>
      <c r="D43" s="55"/>
      <c r="E43" s="31"/>
      <c r="F43" s="30">
        <f>East!F43+West!F43+Downstream!F43+Generation!F43+'New Products'!F43+Mexico!F43+'Principal Investing'!F43+'Energy Capital Res.'!F43+'CTG Assets'!F43+' Upstream Originations'!F43+'HPL&amp;LRC'!F43+Coal!F43+Canada!F43+Chairman!F43</f>
        <v>220.58500000000004</v>
      </c>
      <c r="G43" s="55"/>
      <c r="H43" s="10"/>
      <c r="I43" s="31"/>
      <c r="J43" s="30">
        <f>East!J43+West!J43+Downstream!J43+Generation!J43+'New Products'!J43+Mexico!J43+'Principal Investing'!J43+'Energy Capital Res.'!J43+'CTG Assets'!J43+' Upstream Originations'!J43+'HPL&amp;LRC'!J43+Coal!J43+Canada!J43+Chairman!J43</f>
        <v>220.94399999999999</v>
      </c>
      <c r="K43" s="10"/>
      <c r="L43" s="31"/>
      <c r="M43" s="30">
        <f>East!M43+West!M43+Downstream!M43+Generation!M43+'New Products'!M43+Mexico!M43+'Principal Investing'!M43+'Energy Capital Res.'!M43+'CTG Assets'!M43+' Upstream Originations'!M43+'HPL&amp;LRC'!M43+Coal!M43+Canada!M43+Chairman!M43</f>
        <v>257.79500000000002</v>
      </c>
      <c r="N43" s="10"/>
      <c r="O43" s="31"/>
      <c r="P43" s="30">
        <f>+M43+J43+F43+C43</f>
        <v>869.42400000000009</v>
      </c>
      <c r="Q43" s="10"/>
      <c r="R43" s="31"/>
      <c r="S43" s="30">
        <f>East!S43+West!S43+Downstream!S43+Generation!S43+'New Products'!S43+Mexico!S43+'Principal Investing'!S43+'Energy Capital Res.'!S43+'CTG Assets'!S43+' Upstream Originations'!S43+'HPL&amp;LRC'!S43+Coal!S43+Canada!S43+Chairman!S43</f>
        <v>316.44324999999998</v>
      </c>
      <c r="T43" s="10"/>
    </row>
    <row r="44" spans="1:20" s="5" customFormat="1" ht="18.600000000000001" thickBot="1" x14ac:dyDescent="0.4">
      <c r="A44" s="5" t="s">
        <v>31</v>
      </c>
      <c r="B44" s="97">
        <f>+C42/C43</f>
        <v>0.8536155202821869</v>
      </c>
      <c r="C44" s="98"/>
      <c r="D44" s="49"/>
      <c r="E44" s="97">
        <f>+F42/F43</f>
        <v>0.32049323390076384</v>
      </c>
      <c r="F44" s="98"/>
      <c r="G44" s="56"/>
      <c r="H44" s="49"/>
      <c r="I44" s="97">
        <f>+J42/J43</f>
        <v>1.6312549786371209</v>
      </c>
      <c r="J44" s="98"/>
      <c r="K44" s="49"/>
      <c r="L44" s="97">
        <f>+M42/M43</f>
        <v>1.2144223123024107</v>
      </c>
      <c r="M44" s="98"/>
      <c r="N44" s="49"/>
      <c r="O44" s="97">
        <f>+P42/P43</f>
        <v>1.0229577283350815</v>
      </c>
      <c r="P44" s="98"/>
      <c r="Q44" s="49"/>
      <c r="R44" s="97">
        <f>+S42/S43</f>
        <v>0.2570761108034379</v>
      </c>
      <c r="S44" s="98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  <row r="70" spans="2:18" x14ac:dyDescent="0.3">
      <c r="B70" s="41" t="str">
        <f ca="1">CELL("filename")</f>
        <v>H:\Consolidations\Team Structure\[Account Mapping for Team Reports.xls]Allocations acct Mapping</v>
      </c>
      <c r="C70" s="41"/>
    </row>
    <row r="71" spans="2:18" x14ac:dyDescent="0.3">
      <c r="B71" s="96">
        <f ca="1">NOW()</f>
        <v>36693.511145949073</v>
      </c>
      <c r="C71" s="96"/>
    </row>
  </sheetData>
  <mergeCells count="24">
    <mergeCell ref="B71:C71"/>
    <mergeCell ref="B44:C44"/>
    <mergeCell ref="R44:S44"/>
    <mergeCell ref="L44:M44"/>
    <mergeCell ref="I44:J44"/>
    <mergeCell ref="E44:F44"/>
    <mergeCell ref="O44:P44"/>
    <mergeCell ref="I34:S34"/>
    <mergeCell ref="E36:F36"/>
    <mergeCell ref="O36:P36"/>
    <mergeCell ref="B36:C36"/>
    <mergeCell ref="A46:B46"/>
    <mergeCell ref="B37:C37"/>
    <mergeCell ref="E37:F37"/>
    <mergeCell ref="O37:P37"/>
    <mergeCell ref="R37:S37"/>
    <mergeCell ref="I37:J37"/>
    <mergeCell ref="L37:M37"/>
    <mergeCell ref="A3:F3"/>
    <mergeCell ref="R36:S36"/>
    <mergeCell ref="C8:O8"/>
    <mergeCell ref="C9:O9"/>
    <mergeCell ref="B19:O19"/>
    <mergeCell ref="A32:S32"/>
  </mergeCells>
  <printOptions horizontalCentered="1"/>
  <pageMargins left="0.42" right="0" top="0.25" bottom="0.24" header="0.25" footer="0.25"/>
  <pageSetup scale="6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62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17</v>
      </c>
      <c r="E13" s="17">
        <f t="shared" si="0"/>
        <v>23</v>
      </c>
      <c r="F13" s="17">
        <f t="shared" si="0"/>
        <v>24</v>
      </c>
      <c r="G13" s="17">
        <f t="shared" si="0"/>
        <v>24</v>
      </c>
      <c r="H13" s="17">
        <f t="shared" si="0"/>
        <v>21</v>
      </c>
      <c r="I13" s="17">
        <f t="shared" si="0"/>
        <v>45</v>
      </c>
      <c r="J13" s="17">
        <f t="shared" si="0"/>
        <v>47</v>
      </c>
      <c r="K13" s="17">
        <f t="shared" si="0"/>
        <v>47</v>
      </c>
      <c r="L13" s="17">
        <f t="shared" si="0"/>
        <v>56</v>
      </c>
      <c r="M13" s="73">
        <f t="shared" si="0"/>
        <v>59</v>
      </c>
      <c r="N13" s="17"/>
      <c r="O13" s="17"/>
    </row>
    <row r="14" spans="1:16" x14ac:dyDescent="0.3">
      <c r="A14" s="4" t="s">
        <v>1</v>
      </c>
      <c r="C14" s="17">
        <v>17</v>
      </c>
      <c r="D14" s="17">
        <v>10</v>
      </c>
      <c r="E14" s="17">
        <v>2</v>
      </c>
      <c r="F14" s="17">
        <v>0</v>
      </c>
      <c r="G14" s="17">
        <v>2</v>
      </c>
      <c r="H14" s="17">
        <f>36-10</f>
        <v>26</v>
      </c>
      <c r="I14" s="17">
        <v>2</v>
      </c>
      <c r="J14" s="17">
        <v>0</v>
      </c>
      <c r="K14" s="17">
        <v>10</v>
      </c>
      <c r="L14" s="17">
        <v>9</v>
      </c>
      <c r="M14" s="73">
        <v>0</v>
      </c>
      <c r="N14" s="17"/>
      <c r="O14" s="17"/>
    </row>
    <row r="15" spans="1:16" x14ac:dyDescent="0.3">
      <c r="A15" s="4" t="s">
        <v>2</v>
      </c>
      <c r="C15" s="17">
        <v>0</v>
      </c>
      <c r="D15" s="17">
        <v>4</v>
      </c>
      <c r="E15" s="17">
        <v>1</v>
      </c>
      <c r="F15" s="17">
        <v>0</v>
      </c>
      <c r="G15" s="17">
        <v>4</v>
      </c>
      <c r="H15" s="17">
        <v>2</v>
      </c>
      <c r="I15" s="17">
        <v>0</v>
      </c>
      <c r="J15" s="17">
        <v>0</v>
      </c>
      <c r="K15" s="17">
        <v>1</v>
      </c>
      <c r="L15" s="17">
        <v>5</v>
      </c>
      <c r="M15" s="73">
        <v>0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1</v>
      </c>
      <c r="H16" s="17">
        <v>0</v>
      </c>
      <c r="I16" s="17">
        <v>0</v>
      </c>
      <c r="J16" s="17">
        <v>0</v>
      </c>
      <c r="K16" s="17">
        <v>0</v>
      </c>
      <c r="L16" s="17">
        <v>1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17</v>
      </c>
      <c r="D17" s="18">
        <f t="shared" si="1"/>
        <v>23</v>
      </c>
      <c r="E17" s="18">
        <f t="shared" si="1"/>
        <v>24</v>
      </c>
      <c r="F17" s="18">
        <f t="shared" si="1"/>
        <v>24</v>
      </c>
      <c r="G17" s="18">
        <f t="shared" si="1"/>
        <v>21</v>
      </c>
      <c r="H17" s="18">
        <f t="shared" si="1"/>
        <v>45</v>
      </c>
      <c r="I17" s="18">
        <f t="shared" si="1"/>
        <v>47</v>
      </c>
      <c r="J17" s="18">
        <f t="shared" si="1"/>
        <v>47</v>
      </c>
      <c r="K17" s="18">
        <f t="shared" si="1"/>
        <v>56</v>
      </c>
      <c r="L17" s="18">
        <f t="shared" si="1"/>
        <v>59</v>
      </c>
      <c r="M17" s="74">
        <f t="shared" si="1"/>
        <v>59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>+F22+F23-F24-F26</f>
        <v>0</v>
      </c>
      <c r="G27" s="8"/>
      <c r="H27" s="8">
        <f t="shared" ref="H27:O27" si="2">+H22+H23-H24-H26</f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4.3695652173913047</v>
      </c>
      <c r="D29" s="10">
        <f>+D27/E17</f>
        <v>4.7833333333333332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17</v>
      </c>
      <c r="C39" s="27">
        <v>7.1</v>
      </c>
      <c r="D39" s="9"/>
      <c r="E39" s="26">
        <v>2</v>
      </c>
      <c r="F39" s="27">
        <f>0.861+0.527</f>
        <v>1.3879999999999999</v>
      </c>
      <c r="G39" s="59">
        <f>0.861+0.527</f>
        <v>1.3879999999999999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19</v>
      </c>
      <c r="P39" s="27">
        <f>+M39+J39+F39+C39</f>
        <v>8.4879999999999995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16</v>
      </c>
      <c r="D40" s="9"/>
      <c r="E40" s="26"/>
      <c r="F40" s="64">
        <f>11.87-F39</f>
        <v>10.481999999999999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26.481999999999999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6</v>
      </c>
      <c r="F41" s="32">
        <v>2.6</v>
      </c>
      <c r="G41" s="54"/>
      <c r="H41" s="9"/>
      <c r="I41" s="28">
        <v>24</v>
      </c>
      <c r="J41" s="71">
        <v>31.861999999999998</v>
      </c>
      <c r="K41" s="69"/>
      <c r="L41" s="72">
        <v>22</v>
      </c>
      <c r="M41" s="71">
        <v>18.137</v>
      </c>
      <c r="N41" s="9"/>
      <c r="O41" s="28">
        <f>+L41+I41+E41+B41</f>
        <v>52</v>
      </c>
      <c r="P41" s="32">
        <f>+M41+J41+F41+C41</f>
        <v>52.598999999999997</v>
      </c>
      <c r="Q41" s="9"/>
      <c r="R41" s="28">
        <v>7</v>
      </c>
      <c r="S41" s="32">
        <v>6.35</v>
      </c>
      <c r="T41" s="9"/>
    </row>
    <row r="42" spans="1:20" s="5" customFormat="1" x14ac:dyDescent="0.3">
      <c r="A42" s="5" t="s">
        <v>59</v>
      </c>
      <c r="B42" s="23">
        <f>SUM(B39:B41)</f>
        <v>17</v>
      </c>
      <c r="C42" s="30">
        <f>SUM(C39:C41)</f>
        <v>23.1</v>
      </c>
      <c r="D42" s="11"/>
      <c r="E42" s="23">
        <f>SUM(E39:E41)</f>
        <v>8</v>
      </c>
      <c r="F42" s="30">
        <f>SUM(F39:F41)</f>
        <v>14.469999999999999</v>
      </c>
      <c r="G42" s="55"/>
      <c r="H42" s="11"/>
      <c r="I42" s="23">
        <f>SUM(I39:I41)</f>
        <v>24</v>
      </c>
      <c r="J42" s="30">
        <f>SUM(J39:J41)</f>
        <v>31.861999999999998</v>
      </c>
      <c r="K42" s="11"/>
      <c r="L42" s="23">
        <f>SUM(L39:L41)</f>
        <v>22</v>
      </c>
      <c r="M42" s="30">
        <f>SUM(M39:M41)</f>
        <v>18.137</v>
      </c>
      <c r="N42" s="11"/>
      <c r="O42" s="23">
        <f>SUM(O39:O41)</f>
        <v>71</v>
      </c>
      <c r="P42" s="30">
        <f>SUM(P39:P41)</f>
        <v>87.568999999999988</v>
      </c>
      <c r="Q42" s="11"/>
      <c r="R42" s="23">
        <f>SUM(R39:R41)</f>
        <v>7</v>
      </c>
      <c r="S42" s="30">
        <f>SUM(S39:S41)</f>
        <v>6.35</v>
      </c>
      <c r="T42" s="11"/>
    </row>
    <row r="43" spans="1:20" s="14" customFormat="1" x14ac:dyDescent="0.3">
      <c r="A43" s="46" t="s">
        <v>19</v>
      </c>
      <c r="B43" s="31"/>
      <c r="C43" s="30">
        <v>30.3</v>
      </c>
      <c r="D43" s="10"/>
      <c r="E43" s="31"/>
      <c r="F43" s="77">
        <f>+'[1]Hotlist - Completed'!$I$34/1000</f>
        <v>18.422999999999998</v>
      </c>
      <c r="G43" s="55"/>
      <c r="H43" s="10"/>
      <c r="I43" s="31"/>
      <c r="J43" s="77">
        <f>+'[1]Hotlist - Identified '!$F$131/1000</f>
        <v>20.238</v>
      </c>
      <c r="K43" s="10"/>
      <c r="L43" s="31"/>
      <c r="M43" s="77">
        <f>+'[1]Hotlist - Identified '!$I$131/1000</f>
        <v>21.355</v>
      </c>
      <c r="N43" s="10"/>
      <c r="O43" s="31"/>
      <c r="P43" s="30">
        <f>+M43+J43+F43+C43</f>
        <v>90.316000000000003</v>
      </c>
      <c r="Q43" s="10"/>
      <c r="R43" s="31"/>
      <c r="S43" s="77">
        <f>+'[1]Hotlist - Identified '!$O$131/1000</f>
        <v>28.829250000000005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0.76237623762376239</v>
      </c>
      <c r="C44" s="100"/>
      <c r="D44" s="38"/>
      <c r="E44" s="99">
        <f>+F42/F43</f>
        <v>0.78543125441024808</v>
      </c>
      <c r="F44" s="100"/>
      <c r="G44" s="56"/>
      <c r="H44" s="38"/>
      <c r="I44" s="99">
        <f>+J42/J43</f>
        <v>1.5743650558355569</v>
      </c>
      <c r="J44" s="100"/>
      <c r="K44" s="38"/>
      <c r="L44" s="99">
        <f>+M42/M43</f>
        <v>0.84930929524701471</v>
      </c>
      <c r="M44" s="100"/>
      <c r="N44" s="38"/>
      <c r="O44" s="99">
        <f>+P42/P43</f>
        <v>0.9695845697329375</v>
      </c>
      <c r="P44" s="100"/>
      <c r="Q44" s="38"/>
      <c r="R44" s="99">
        <f>+S42/S43</f>
        <v>0.22026240710389616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3:F3"/>
    <mergeCell ref="E36:F36"/>
    <mergeCell ref="O36:P36"/>
    <mergeCell ref="C8:O8"/>
    <mergeCell ref="C9:O9"/>
    <mergeCell ref="R36:S36"/>
    <mergeCell ref="B19:O19"/>
    <mergeCell ref="A32:S32"/>
    <mergeCell ref="R37:S37"/>
    <mergeCell ref="I34:S34"/>
    <mergeCell ref="B36:C36"/>
    <mergeCell ref="B37:C37"/>
    <mergeCell ref="E37:F37"/>
    <mergeCell ref="I37:J37"/>
    <mergeCell ref="L37:M37"/>
    <mergeCell ref="O44:P44"/>
    <mergeCell ref="O37:P37"/>
    <mergeCell ref="A46:B46"/>
    <mergeCell ref="E44:F44"/>
    <mergeCell ref="I44:J44"/>
    <mergeCell ref="L44:M44"/>
    <mergeCell ref="B44:C44"/>
    <mergeCell ref="R44:S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topLeftCell="B2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63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>+C17</f>
        <v>65</v>
      </c>
      <c r="E13" s="17">
        <f t="shared" ref="E13:M13" si="0">+D17</f>
        <v>43</v>
      </c>
      <c r="F13" s="17">
        <f t="shared" si="0"/>
        <v>44</v>
      </c>
      <c r="G13" s="17">
        <f t="shared" si="0"/>
        <v>44</v>
      </c>
      <c r="H13" s="17">
        <f t="shared" si="0"/>
        <v>33</v>
      </c>
      <c r="I13" s="17">
        <f t="shared" si="0"/>
        <v>82</v>
      </c>
      <c r="J13" s="17">
        <f t="shared" si="0"/>
        <v>82</v>
      </c>
      <c r="K13" s="17">
        <f t="shared" si="0"/>
        <v>79</v>
      </c>
      <c r="L13" s="17">
        <f t="shared" si="0"/>
        <v>138</v>
      </c>
      <c r="M13" s="73">
        <f t="shared" si="0"/>
        <v>166</v>
      </c>
      <c r="N13" s="17"/>
      <c r="O13" s="17"/>
    </row>
    <row r="14" spans="1:16" x14ac:dyDescent="0.3">
      <c r="A14" s="4" t="s">
        <v>1</v>
      </c>
      <c r="C14" s="17">
        <v>65</v>
      </c>
      <c r="D14" s="17">
        <v>10</v>
      </c>
      <c r="E14" s="17">
        <v>1</v>
      </c>
      <c r="F14" s="17">
        <v>0</v>
      </c>
      <c r="G14" s="17">
        <v>2</v>
      </c>
      <c r="H14" s="17">
        <f>43+10</f>
        <v>53</v>
      </c>
      <c r="I14" s="17">
        <v>7</v>
      </c>
      <c r="J14" s="17">
        <v>8</v>
      </c>
      <c r="K14" s="17">
        <v>93</v>
      </c>
      <c r="L14" s="17">
        <v>40</v>
      </c>
      <c r="M14" s="73">
        <f>8+8+11</f>
        <v>27</v>
      </c>
      <c r="N14" s="17"/>
      <c r="O14" s="17"/>
    </row>
    <row r="15" spans="1:16" x14ac:dyDescent="0.3">
      <c r="A15" s="4" t="s">
        <v>2</v>
      </c>
      <c r="C15" s="17">
        <v>0</v>
      </c>
      <c r="D15" s="17">
        <v>4</v>
      </c>
      <c r="E15" s="17">
        <v>0</v>
      </c>
      <c r="F15" s="17">
        <v>0</v>
      </c>
      <c r="G15" s="17">
        <v>4</v>
      </c>
      <c r="H15" s="17">
        <v>0</v>
      </c>
      <c r="I15" s="17">
        <v>1</v>
      </c>
      <c r="J15" s="17">
        <v>1</v>
      </c>
      <c r="K15" s="17">
        <v>2</v>
      </c>
      <c r="L15" s="17">
        <v>6</v>
      </c>
      <c r="M15" s="73">
        <v>16</v>
      </c>
      <c r="N15" s="17"/>
      <c r="O15" s="17"/>
    </row>
    <row r="16" spans="1:16" x14ac:dyDescent="0.3">
      <c r="A16" s="4" t="s">
        <v>3</v>
      </c>
      <c r="C16" s="17">
        <v>0</v>
      </c>
      <c r="D16" s="17">
        <v>28</v>
      </c>
      <c r="E16" s="17">
        <v>0</v>
      </c>
      <c r="F16" s="17">
        <v>0</v>
      </c>
      <c r="G16" s="17">
        <v>9</v>
      </c>
      <c r="H16" s="17">
        <v>4</v>
      </c>
      <c r="I16" s="17">
        <v>6</v>
      </c>
      <c r="J16" s="17">
        <v>10</v>
      </c>
      <c r="K16" s="17">
        <v>32</v>
      </c>
      <c r="L16" s="17">
        <v>6</v>
      </c>
      <c r="M16" s="73">
        <v>8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65</v>
      </c>
      <c r="D17" s="18">
        <f t="shared" si="1"/>
        <v>43</v>
      </c>
      <c r="E17" s="18">
        <f t="shared" si="1"/>
        <v>44</v>
      </c>
      <c r="F17" s="18">
        <f t="shared" si="1"/>
        <v>44</v>
      </c>
      <c r="G17" s="18">
        <f t="shared" si="1"/>
        <v>33</v>
      </c>
      <c r="H17" s="18">
        <f t="shared" si="1"/>
        <v>82</v>
      </c>
      <c r="I17" s="18">
        <f t="shared" si="1"/>
        <v>82</v>
      </c>
      <c r="J17" s="18">
        <f t="shared" si="1"/>
        <v>79</v>
      </c>
      <c r="K17" s="18">
        <f t="shared" si="1"/>
        <v>138</v>
      </c>
      <c r="L17" s="18">
        <f t="shared" si="1"/>
        <v>166</v>
      </c>
      <c r="M17" s="74">
        <f t="shared" si="1"/>
        <v>169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>+F22+F23-F24-F26</f>
        <v>0</v>
      </c>
      <c r="G27" s="8"/>
      <c r="H27" s="8">
        <f t="shared" ref="H27:O27" si="2">+H22+H23-H24-H26</f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2.3372093023255816</v>
      </c>
      <c r="D29" s="10">
        <f>+D27/E17</f>
        <v>2.6090909090909089</v>
      </c>
      <c r="E29" s="10">
        <f>+E27/F17</f>
        <v>2.3363636363636364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103</v>
      </c>
      <c r="F39" s="27">
        <f>5.85-0.861-0.527+0.368</f>
        <v>4.83</v>
      </c>
      <c r="G39" s="59">
        <f>5.85-0.861-0.527+0.368</f>
        <v>4.83</v>
      </c>
      <c r="H39" s="9"/>
      <c r="I39" s="26">
        <v>0</v>
      </c>
      <c r="J39" s="27">
        <v>0</v>
      </c>
      <c r="K39" s="9"/>
      <c r="L39" s="26">
        <v>0</v>
      </c>
      <c r="M39" s="27">
        <v>0</v>
      </c>
      <c r="N39" s="9"/>
      <c r="O39" s="26">
        <f>+L39+I39+E39+B39</f>
        <v>103</v>
      </c>
      <c r="P39" s="27">
        <f>+M39+J39+F39+C39</f>
        <v>4.83</v>
      </c>
      <c r="Q39" s="9"/>
      <c r="R39" s="26">
        <v>0</v>
      </c>
      <c r="S39" s="27">
        <v>0</v>
      </c>
      <c r="T39" s="9"/>
    </row>
    <row r="40" spans="1:20" x14ac:dyDescent="0.3">
      <c r="A40" s="2" t="s">
        <v>58</v>
      </c>
      <c r="B40" s="26"/>
      <c r="C40" s="64">
        <v>0</v>
      </c>
      <c r="D40" s="9"/>
      <c r="E40" s="26"/>
      <c r="F40" s="64">
        <f>14.511-0.816-F39</f>
        <v>8.8649999999999984</v>
      </c>
      <c r="G40" s="59"/>
      <c r="H40" s="9"/>
      <c r="I40" s="26"/>
      <c r="J40" s="64">
        <v>0</v>
      </c>
      <c r="K40" s="69"/>
      <c r="L40" s="70"/>
      <c r="M40" s="64">
        <v>0</v>
      </c>
      <c r="N40" s="9"/>
      <c r="O40" s="26"/>
      <c r="P40" s="64">
        <f>+C40+F40+J40+M40</f>
        <v>8.8649999999999984</v>
      </c>
      <c r="Q40" s="9"/>
      <c r="R40" s="26"/>
      <c r="S40" s="27">
        <v>0</v>
      </c>
      <c r="T40" s="9"/>
    </row>
    <row r="41" spans="1:20" x14ac:dyDescent="0.3">
      <c r="A41" s="2" t="s">
        <v>0</v>
      </c>
      <c r="B41" s="28">
        <v>0</v>
      </c>
      <c r="C41" s="32">
        <v>0</v>
      </c>
      <c r="D41" s="9"/>
      <c r="E41" s="28">
        <v>14</v>
      </c>
      <c r="F41" s="32">
        <v>1.375</v>
      </c>
      <c r="G41" s="54"/>
      <c r="H41" s="9"/>
      <c r="I41" s="28">
        <v>124</v>
      </c>
      <c r="J41" s="71">
        <v>6.5540000000000003</v>
      </c>
      <c r="K41" s="69"/>
      <c r="L41" s="72">
        <v>31</v>
      </c>
      <c r="M41" s="71">
        <v>2.9350000000000001</v>
      </c>
      <c r="N41" s="9"/>
      <c r="O41" s="28">
        <f>+L41+I41+E41+B41</f>
        <v>169</v>
      </c>
      <c r="P41" s="32">
        <f>+M41+J41+F41+C41</f>
        <v>10.864000000000001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117</v>
      </c>
      <c r="F42" s="30">
        <f>SUM(F39:F41)</f>
        <v>15.069999999999999</v>
      </c>
      <c r="G42" s="55"/>
      <c r="H42" s="11"/>
      <c r="I42" s="23">
        <f>SUM(I39:I41)</f>
        <v>124</v>
      </c>
      <c r="J42" s="30">
        <f>SUM(J39:J41)</f>
        <v>6.5540000000000003</v>
      </c>
      <c r="K42" s="11"/>
      <c r="L42" s="23">
        <f>SUM(L39:L41)</f>
        <v>31</v>
      </c>
      <c r="M42" s="30">
        <f>SUM(M39:M41)</f>
        <v>2.9350000000000001</v>
      </c>
      <c r="N42" s="11"/>
      <c r="O42" s="23">
        <f>SUM(O39:O41)</f>
        <v>272</v>
      </c>
      <c r="P42" s="30">
        <f>SUM(P39:P41)</f>
        <v>24.558999999999997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0</v>
      </c>
      <c r="D43" s="10"/>
      <c r="E43" s="31"/>
      <c r="F43" s="77">
        <f>+'[1]Hotlist - Completed'!$I$26/1000</f>
        <v>12.436</v>
      </c>
      <c r="G43" s="55"/>
      <c r="H43" s="10"/>
      <c r="I43" s="31"/>
      <c r="J43" s="30">
        <f>+'[1]Hotlist - Identified '!$F$141/1000</f>
        <v>27.077999999999999</v>
      </c>
      <c r="K43" s="10"/>
      <c r="L43" s="31"/>
      <c r="M43" s="30">
        <f>+'[1]Hotlist - Identified '!$I$141/1000</f>
        <v>26.841000000000001</v>
      </c>
      <c r="N43" s="10"/>
      <c r="O43" s="31"/>
      <c r="P43" s="30">
        <f>+M43+J43+F43+C43</f>
        <v>66.35499999999999</v>
      </c>
      <c r="Q43" s="10"/>
      <c r="R43" s="31"/>
      <c r="S43" s="30">
        <f>+'[1]Hotlist - Identified '!$O$141/1000</f>
        <v>36.235350000000004</v>
      </c>
      <c r="T43" s="10"/>
    </row>
    <row r="44" spans="1:20" s="5" customFormat="1" ht="18.600000000000001" thickBot="1" x14ac:dyDescent="0.4">
      <c r="A44" s="5" t="s">
        <v>31</v>
      </c>
      <c r="B44" s="99" t="e">
        <f>+C42/C43</f>
        <v>#DIV/0!</v>
      </c>
      <c r="C44" s="100"/>
      <c r="D44" s="38"/>
      <c r="E44" s="99">
        <f>+F42/F43</f>
        <v>1.2118044387262785</v>
      </c>
      <c r="F44" s="100"/>
      <c r="G44" s="56"/>
      <c r="H44" s="38"/>
      <c r="I44" s="99">
        <f>+J42/J43</f>
        <v>0.2420415097126819</v>
      </c>
      <c r="J44" s="100"/>
      <c r="K44" s="38"/>
      <c r="L44" s="99">
        <f>+M42/M43</f>
        <v>0.10934763980477627</v>
      </c>
      <c r="M44" s="100"/>
      <c r="N44" s="38"/>
      <c r="O44" s="99">
        <f>+P42/P43</f>
        <v>0.37011528897596263</v>
      </c>
      <c r="P44" s="100"/>
      <c r="Q44" s="38"/>
      <c r="R44" s="99">
        <f>+S42/S43</f>
        <v>0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topLeftCell="B1" zoomScale="80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49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10</v>
      </c>
      <c r="I13" s="17">
        <f t="shared" si="0"/>
        <v>10</v>
      </c>
      <c r="J13" s="17">
        <f t="shared" si="0"/>
        <v>10</v>
      </c>
      <c r="K13" s="17">
        <f t="shared" si="0"/>
        <v>10</v>
      </c>
      <c r="L13" s="17">
        <f t="shared" si="0"/>
        <v>10</v>
      </c>
      <c r="M13" s="73">
        <f t="shared" si="0"/>
        <v>10</v>
      </c>
      <c r="N13" s="17"/>
      <c r="O13" s="17"/>
    </row>
    <row r="14" spans="1:16" x14ac:dyDescent="0.3">
      <c r="A14" s="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10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1</v>
      </c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2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10</v>
      </c>
      <c r="H17" s="18">
        <f t="shared" si="1"/>
        <v>10</v>
      </c>
      <c r="I17" s="18">
        <f t="shared" si="1"/>
        <v>10</v>
      </c>
      <c r="J17" s="18">
        <f t="shared" si="1"/>
        <v>10</v>
      </c>
      <c r="K17" s="18">
        <f t="shared" si="1"/>
        <v>10</v>
      </c>
      <c r="L17" s="18">
        <f t="shared" si="1"/>
        <v>10</v>
      </c>
      <c r="M17" s="74">
        <f t="shared" si="1"/>
        <v>9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 t="e">
        <f>+C27/D17</f>
        <v>#DIV/0!</v>
      </c>
      <c r="D29" s="10" t="e">
        <f>+D27/E17</f>
        <v>#DIV/0!</v>
      </c>
      <c r="E29" s="10" t="e">
        <f>+E27/F17</f>
        <v>#DIV/0!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</v>
      </c>
      <c r="C39" s="27">
        <v>2.2999999999999998</v>
      </c>
      <c r="D39" s="9"/>
      <c r="E39" s="26">
        <v>2</v>
      </c>
      <c r="F39" s="27">
        <v>6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8.3000000000000007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91.4</v>
      </c>
      <c r="D40" s="9"/>
      <c r="E40" s="26"/>
      <c r="F40" s="64">
        <f>-28.212-F39</f>
        <v>-34.212000000000003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57.188000000000002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1</v>
      </c>
      <c r="F41" s="32">
        <v>0</v>
      </c>
      <c r="G41" s="54"/>
      <c r="H41" s="9"/>
      <c r="I41" s="28">
        <v>4</v>
      </c>
      <c r="J41" s="71">
        <v>10</v>
      </c>
      <c r="K41" s="69"/>
      <c r="L41" s="72">
        <v>2</v>
      </c>
      <c r="M41" s="71">
        <v>10</v>
      </c>
      <c r="N41" s="9"/>
      <c r="O41" s="28">
        <f>+L41+I41+E41+B41</f>
        <v>7</v>
      </c>
      <c r="P41" s="32">
        <f>+M41+J41+F41+C41</f>
        <v>20</v>
      </c>
      <c r="Q41" s="9"/>
      <c r="R41" s="28">
        <v>2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1</v>
      </c>
      <c r="C42" s="30">
        <f>SUM(C39:C41)</f>
        <v>93.7</v>
      </c>
      <c r="D42" s="11"/>
      <c r="E42" s="23">
        <f>SUM(E39:E41)</f>
        <v>3</v>
      </c>
      <c r="F42" s="30">
        <f>SUM(F39:F41)</f>
        <v>-28.212000000000003</v>
      </c>
      <c r="G42" s="55"/>
      <c r="H42" s="11"/>
      <c r="I42" s="23">
        <f>SUM(I39:I41)</f>
        <v>4</v>
      </c>
      <c r="J42" s="30">
        <f>SUM(J39:J41)</f>
        <v>10</v>
      </c>
      <c r="K42" s="11"/>
      <c r="L42" s="23">
        <f>SUM(L39:L41)</f>
        <v>2</v>
      </c>
      <c r="M42" s="30">
        <f>SUM(M39:M41)</f>
        <v>10</v>
      </c>
      <c r="N42" s="11"/>
      <c r="O42" s="23">
        <f>SUM(O39:O41)</f>
        <v>10</v>
      </c>
      <c r="P42" s="30">
        <f>SUM(P39:P41)</f>
        <v>85.488</v>
      </c>
      <c r="Q42" s="11"/>
      <c r="R42" s="23">
        <f>SUM(R39:R41)</f>
        <v>2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15.4</v>
      </c>
      <c r="D43" s="10"/>
      <c r="E43" s="31"/>
      <c r="F43" s="77">
        <f>+'[1]Hotlist - Completed'!$I$42/1000</f>
        <v>15.385</v>
      </c>
      <c r="G43" s="55"/>
      <c r="H43" s="10"/>
      <c r="I43" s="31"/>
      <c r="J43" s="30">
        <f>+'[1]Hotlist - Identified '!$F$149/1000</f>
        <v>15.39</v>
      </c>
      <c r="K43" s="10"/>
      <c r="L43" s="31"/>
      <c r="M43" s="30">
        <f>+'[1]Hotlist - Identified '!$I$149/1000</f>
        <v>15.39</v>
      </c>
      <c r="N43" s="10"/>
      <c r="O43" s="31"/>
      <c r="P43" s="30">
        <f>+M43+J43+F43+C43</f>
        <v>61.564999999999998</v>
      </c>
      <c r="Q43" s="10"/>
      <c r="R43" s="31"/>
      <c r="S43" s="30">
        <f>+'[1]Hotlist - Identified '!$O$149/1000</f>
        <v>20.776499999999999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6.0844155844155843</v>
      </c>
      <c r="C44" s="100"/>
      <c r="D44" s="38"/>
      <c r="E44" s="99">
        <f>+F42/F43</f>
        <v>-1.8337341566460841</v>
      </c>
      <c r="F44" s="100"/>
      <c r="G44" s="56"/>
      <c r="H44" s="38"/>
      <c r="I44" s="99">
        <f>+J42/J43</f>
        <v>0.64977257959714096</v>
      </c>
      <c r="J44" s="100"/>
      <c r="K44" s="38"/>
      <c r="L44" s="99">
        <f>+M42/M43</f>
        <v>0.64977257959714096</v>
      </c>
      <c r="M44" s="100"/>
      <c r="N44" s="38"/>
      <c r="O44" s="99">
        <f>+P42/P43</f>
        <v>1.3885811743685537</v>
      </c>
      <c r="P44" s="100"/>
      <c r="Q44" s="38"/>
      <c r="R44" s="99">
        <f>+S42/S43</f>
        <v>0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52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11</v>
      </c>
      <c r="F13" s="17">
        <f t="shared" si="0"/>
        <v>11</v>
      </c>
      <c r="G13" s="17">
        <f t="shared" si="0"/>
        <v>11</v>
      </c>
      <c r="H13" s="17">
        <f t="shared" si="0"/>
        <v>12</v>
      </c>
      <c r="I13" s="17">
        <f t="shared" si="0"/>
        <v>11</v>
      </c>
      <c r="J13" s="17">
        <f t="shared" si="0"/>
        <v>12</v>
      </c>
      <c r="K13" s="17">
        <f t="shared" si="0"/>
        <v>12</v>
      </c>
      <c r="L13" s="17">
        <f t="shared" si="0"/>
        <v>12</v>
      </c>
      <c r="M13" s="73">
        <f t="shared" si="0"/>
        <v>12</v>
      </c>
      <c r="N13" s="17"/>
      <c r="O13" s="17"/>
    </row>
    <row r="14" spans="1:16" x14ac:dyDescent="0.3">
      <c r="A14" s="4" t="s">
        <v>1</v>
      </c>
      <c r="C14" s="17">
        <v>0</v>
      </c>
      <c r="D14" s="17">
        <v>11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11</v>
      </c>
      <c r="E17" s="18">
        <f t="shared" si="1"/>
        <v>11</v>
      </c>
      <c r="F17" s="18">
        <f t="shared" si="1"/>
        <v>11</v>
      </c>
      <c r="G17" s="18">
        <f t="shared" si="1"/>
        <v>12</v>
      </c>
      <c r="H17" s="18">
        <f t="shared" si="1"/>
        <v>11</v>
      </c>
      <c r="I17" s="18">
        <f t="shared" si="1"/>
        <v>12</v>
      </c>
      <c r="J17" s="18">
        <f t="shared" si="1"/>
        <v>12</v>
      </c>
      <c r="K17" s="18">
        <f t="shared" si="1"/>
        <v>12</v>
      </c>
      <c r="L17" s="18">
        <f t="shared" si="1"/>
        <v>12</v>
      </c>
      <c r="M17" s="74">
        <f t="shared" si="1"/>
        <v>12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9.1363636363636367</v>
      </c>
      <c r="D29" s="10">
        <f>+D27/E17</f>
        <v>10.436363636363636</v>
      </c>
      <c r="E29" s="10">
        <f>+E27/F17</f>
        <v>9.3454545454545457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</v>
      </c>
      <c r="C39" s="27">
        <v>0.1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0.1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0.8</v>
      </c>
      <c r="D40" s="9"/>
      <c r="E40" s="26"/>
      <c r="F40" s="64">
        <v>2.3250000000000002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3.125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1</v>
      </c>
      <c r="F41" s="32">
        <v>0</v>
      </c>
      <c r="G41" s="54"/>
      <c r="H41" s="9"/>
      <c r="I41" s="28">
        <v>5</v>
      </c>
      <c r="J41" s="71">
        <v>0</v>
      </c>
      <c r="K41" s="69"/>
      <c r="L41" s="72">
        <v>6</v>
      </c>
      <c r="M41" s="71">
        <v>0</v>
      </c>
      <c r="N41" s="9"/>
      <c r="O41" s="28">
        <f>+L41+I41+E41+B41</f>
        <v>12</v>
      </c>
      <c r="P41" s="32">
        <f>+M41+J41+F41+C41</f>
        <v>0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1</v>
      </c>
      <c r="C42" s="30">
        <f>SUM(C39:C41)</f>
        <v>0.9</v>
      </c>
      <c r="D42" s="11"/>
      <c r="E42" s="23">
        <f>SUM(E39:E41)</f>
        <v>1</v>
      </c>
      <c r="F42" s="30">
        <f>SUM(F39:F41)</f>
        <v>2.3250000000000002</v>
      </c>
      <c r="G42" s="55"/>
      <c r="H42" s="11"/>
      <c r="I42" s="23">
        <f>SUM(I39:I41)</f>
        <v>5</v>
      </c>
      <c r="J42" s="30">
        <f>SUM(J39:J41)</f>
        <v>0</v>
      </c>
      <c r="K42" s="11"/>
      <c r="L42" s="23">
        <f>SUM(L39:L41)</f>
        <v>6</v>
      </c>
      <c r="M42" s="30">
        <f>SUM(M39:M41)</f>
        <v>0</v>
      </c>
      <c r="N42" s="11"/>
      <c r="O42" s="23">
        <f>SUM(O39:O41)</f>
        <v>13</v>
      </c>
      <c r="P42" s="30">
        <f>SUM(P39:P41)</f>
        <v>3.2250000000000001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10.3</v>
      </c>
      <c r="D43" s="10"/>
      <c r="E43" s="31"/>
      <c r="F43" s="77">
        <f>+'[1]Hotlist - Completed'!$I$48/1000</f>
        <v>2</v>
      </c>
      <c r="G43" s="55"/>
      <c r="H43" s="10"/>
      <c r="I43" s="31"/>
      <c r="J43" s="30">
        <f>+'[1]Hotlist - Identified '!$F$159/1000</f>
        <v>5</v>
      </c>
      <c r="K43" s="10"/>
      <c r="L43" s="31"/>
      <c r="M43" s="30">
        <f>+'[1]Hotlist - Identified '!$I$159/1000</f>
        <v>8</v>
      </c>
      <c r="N43" s="10"/>
      <c r="O43" s="31"/>
      <c r="P43" s="30">
        <f>+M43+J43+F43+C43</f>
        <v>25.3</v>
      </c>
      <c r="Q43" s="10"/>
      <c r="R43" s="31"/>
      <c r="S43" s="65">
        <f>+'[1]Hotlist - Identified '!$O$159/1000</f>
        <v>10.8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8.7378640776699032E-2</v>
      </c>
      <c r="C44" s="100"/>
      <c r="D44" s="38"/>
      <c r="E44" s="99">
        <f>+F42/F43</f>
        <v>1.1625000000000001</v>
      </c>
      <c r="F44" s="100"/>
      <c r="G44" s="56"/>
      <c r="H44" s="38"/>
      <c r="I44" s="99">
        <f>+J42/J43</f>
        <v>0</v>
      </c>
      <c r="J44" s="100"/>
      <c r="K44" s="38"/>
      <c r="L44" s="99">
        <f>+M42/M43</f>
        <v>0</v>
      </c>
      <c r="M44" s="100"/>
      <c r="N44" s="38"/>
      <c r="O44" s="99">
        <f>+P42/P43</f>
        <v>0.12747035573122531</v>
      </c>
      <c r="P44" s="100"/>
      <c r="Q44" s="38"/>
      <c r="R44" s="99">
        <f>+S42/S43</f>
        <v>0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5" width="10.88671875" style="2" bestFit="1" customWidth="1"/>
    <col min="6" max="6" width="11.109375" style="2" bestFit="1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50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17</v>
      </c>
      <c r="J13" s="17">
        <f t="shared" si="0"/>
        <v>17</v>
      </c>
      <c r="K13" s="17">
        <f t="shared" si="0"/>
        <v>17</v>
      </c>
      <c r="L13" s="17">
        <f t="shared" si="0"/>
        <v>16</v>
      </c>
      <c r="M13" s="73">
        <f t="shared" si="0"/>
        <v>16</v>
      </c>
      <c r="N13" s="17"/>
      <c r="O13" s="17"/>
    </row>
    <row r="14" spans="1:16" x14ac:dyDescent="0.3">
      <c r="A14" s="4" t="s">
        <v>1</v>
      </c>
      <c r="C14" s="17">
        <v>0</v>
      </c>
      <c r="D14" s="17">
        <v>17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</v>
      </c>
      <c r="L16" s="17">
        <v>0</v>
      </c>
      <c r="M16" s="73">
        <v>1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17</v>
      </c>
      <c r="I17" s="18">
        <f t="shared" si="1"/>
        <v>17</v>
      </c>
      <c r="J17" s="18">
        <f t="shared" si="1"/>
        <v>17</v>
      </c>
      <c r="K17" s="18">
        <f t="shared" si="1"/>
        <v>16</v>
      </c>
      <c r="L17" s="18">
        <f t="shared" si="1"/>
        <v>16</v>
      </c>
      <c r="M17" s="74">
        <f t="shared" si="1"/>
        <v>15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</v>
      </c>
      <c r="C39" s="27">
        <v>1.4</v>
      </c>
      <c r="D39" s="9"/>
      <c r="E39" s="26">
        <v>2</v>
      </c>
      <c r="F39" s="27">
        <f>-0.17-0.054973</f>
        <v>-0.22497300000000001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1.1750269999999998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-2</v>
      </c>
      <c r="D40" s="9"/>
      <c r="E40" s="26"/>
      <c r="F40" s="64">
        <f>-4.75-F39</f>
        <v>-4.5250269999999997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-6.5250269999999997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0</v>
      </c>
      <c r="G41" s="54"/>
      <c r="H41" s="9"/>
      <c r="I41" s="28">
        <v>9</v>
      </c>
      <c r="J41" s="71">
        <v>1</v>
      </c>
      <c r="K41" s="69"/>
      <c r="L41" s="72">
        <v>3</v>
      </c>
      <c r="M41" s="71">
        <v>0</v>
      </c>
      <c r="N41" s="9"/>
      <c r="O41" s="28">
        <f>+L41+I41+E41+B41</f>
        <v>15</v>
      </c>
      <c r="P41" s="32">
        <f>+M41+J41+F41+C41</f>
        <v>1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1</v>
      </c>
      <c r="C42" s="30">
        <f>SUM(C39:C41)</f>
        <v>-0.60000000000000009</v>
      </c>
      <c r="D42" s="11"/>
      <c r="E42" s="23">
        <f>SUM(E39:E41)</f>
        <v>5</v>
      </c>
      <c r="F42" s="30">
        <f>SUM(F39:F41)</f>
        <v>-4.75</v>
      </c>
      <c r="G42" s="55"/>
      <c r="H42" s="11"/>
      <c r="I42" s="23">
        <f>SUM(I39:I41)</f>
        <v>9</v>
      </c>
      <c r="J42" s="30">
        <f>SUM(J39:J41)</f>
        <v>1</v>
      </c>
      <c r="K42" s="11"/>
      <c r="L42" s="23">
        <f>SUM(L39:L41)</f>
        <v>3</v>
      </c>
      <c r="M42" s="30">
        <f>SUM(M39:M41)</f>
        <v>0</v>
      </c>
      <c r="N42" s="11"/>
      <c r="O42" s="23">
        <f>SUM(O39:O41)</f>
        <v>18</v>
      </c>
      <c r="P42" s="30">
        <f>SUM(P39:P41)</f>
        <v>-4.3499999999999996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f>7.9+6.5</f>
        <v>14.4</v>
      </c>
      <c r="D43" s="10"/>
      <c r="E43" s="31"/>
      <c r="F43" s="77">
        <f>+'[1]Hotlist - Completed'!$I$56/1000</f>
        <v>14.705</v>
      </c>
      <c r="G43" s="55"/>
      <c r="H43" s="10"/>
      <c r="I43" s="31"/>
      <c r="J43" s="30">
        <f>+'[1]Hotlist - Identified '!$F$172/1000</f>
        <v>13.904999999999999</v>
      </c>
      <c r="K43" s="10"/>
      <c r="L43" s="31"/>
      <c r="M43" s="30">
        <f>+'[1]Hotlist - Identified '!$I$172/1000</f>
        <v>19.954999999999998</v>
      </c>
      <c r="N43" s="10"/>
      <c r="O43" s="31"/>
      <c r="P43" s="30">
        <f>+M43+J43+F43+C43</f>
        <v>62.964999999999996</v>
      </c>
      <c r="Q43" s="10"/>
      <c r="R43" s="31"/>
      <c r="S43" s="30">
        <f>+'[1]Hotlist - Identified '!$O$172/1000</f>
        <v>26.939250000000001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-4.1666666666666671E-2</v>
      </c>
      <c r="C44" s="100"/>
      <c r="D44" s="38"/>
      <c r="E44" s="99">
        <f>+F42/F43</f>
        <v>-0.32301938116286977</v>
      </c>
      <c r="F44" s="100"/>
      <c r="G44" s="56"/>
      <c r="H44" s="38"/>
      <c r="I44" s="99">
        <f>+J42/J43</f>
        <v>7.1916576770945706E-2</v>
      </c>
      <c r="J44" s="100"/>
      <c r="K44" s="38"/>
      <c r="L44" s="99">
        <f>+M42/M43</f>
        <v>0</v>
      </c>
      <c r="M44" s="100"/>
      <c r="N44" s="38"/>
      <c r="O44" s="99">
        <f>+P42/P43</f>
        <v>-6.9086000158818384E-2</v>
      </c>
      <c r="P44" s="100"/>
      <c r="Q44" s="38"/>
      <c r="R44" s="99">
        <f>+S42/S43</f>
        <v>0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4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51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0</v>
      </c>
      <c r="F13" s="17">
        <f t="shared" si="0"/>
        <v>1</v>
      </c>
      <c r="G13" s="17">
        <f t="shared" si="0"/>
        <v>1</v>
      </c>
      <c r="H13" s="17">
        <f t="shared" si="0"/>
        <v>3</v>
      </c>
      <c r="I13" s="17">
        <f t="shared" si="0"/>
        <v>3</v>
      </c>
      <c r="J13" s="17">
        <f t="shared" si="0"/>
        <v>3</v>
      </c>
      <c r="K13" s="17">
        <f t="shared" si="0"/>
        <v>1</v>
      </c>
      <c r="L13" s="17">
        <f t="shared" si="0"/>
        <v>1</v>
      </c>
      <c r="M13" s="73">
        <f t="shared" si="0"/>
        <v>1</v>
      </c>
      <c r="N13" s="17"/>
      <c r="O13" s="17"/>
    </row>
    <row r="14" spans="1:16" x14ac:dyDescent="0.3">
      <c r="A14" s="4" t="s">
        <v>1</v>
      </c>
      <c r="C14" s="17">
        <v>0</v>
      </c>
      <c r="D14" s="17">
        <v>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2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1</v>
      </c>
      <c r="F17" s="18">
        <f t="shared" si="1"/>
        <v>1</v>
      </c>
      <c r="G17" s="18">
        <f t="shared" si="1"/>
        <v>3</v>
      </c>
      <c r="H17" s="18">
        <f t="shared" si="1"/>
        <v>3</v>
      </c>
      <c r="I17" s="18">
        <f t="shared" si="1"/>
        <v>3</v>
      </c>
      <c r="J17" s="18">
        <f t="shared" si="1"/>
        <v>1</v>
      </c>
      <c r="K17" s="18">
        <f t="shared" si="1"/>
        <v>1</v>
      </c>
      <c r="L17" s="18">
        <f t="shared" si="1"/>
        <v>1</v>
      </c>
      <c r="M17" s="74">
        <f t="shared" si="1"/>
        <v>1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 t="e">
        <f>+C27/D17</f>
        <v>#DIV/0!</v>
      </c>
      <c r="D29" s="10">
        <f>+D27/E17</f>
        <v>114.8</v>
      </c>
      <c r="E29" s="10">
        <f>+E27/F17</f>
        <v>102.8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0</v>
      </c>
      <c r="D40" s="9"/>
      <c r="E40" s="26"/>
      <c r="F40" s="64">
        <v>-19.100999999999999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-19.100999999999999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1</v>
      </c>
      <c r="J41" s="71">
        <v>30</v>
      </c>
      <c r="K41" s="69"/>
      <c r="L41" s="72">
        <v>0</v>
      </c>
      <c r="M41" s="71">
        <v>0</v>
      </c>
      <c r="N41" s="9"/>
      <c r="O41" s="28">
        <f>+L41+I41+E41+B41</f>
        <v>1</v>
      </c>
      <c r="P41" s="32">
        <f>+M41+J41+F41+C41</f>
        <v>30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0</v>
      </c>
      <c r="F42" s="30">
        <f>SUM(F39:F41)</f>
        <v>-19.100999999999999</v>
      </c>
      <c r="G42" s="55"/>
      <c r="H42" s="11"/>
      <c r="I42" s="23">
        <f>SUM(I39:I41)</f>
        <v>1</v>
      </c>
      <c r="J42" s="30">
        <f>SUM(J39:J41)</f>
        <v>30</v>
      </c>
      <c r="K42" s="11"/>
      <c r="L42" s="23">
        <f>SUM(L39:L41)</f>
        <v>0</v>
      </c>
      <c r="M42" s="30">
        <f>SUM(M39:M41)</f>
        <v>0</v>
      </c>
      <c r="N42" s="11"/>
      <c r="O42" s="23">
        <f>SUM(O39:O41)</f>
        <v>1</v>
      </c>
      <c r="P42" s="30">
        <f>SUM(P39:P41)</f>
        <v>10.899000000000001</v>
      </c>
      <c r="Q42" s="11"/>
      <c r="R42" s="23">
        <f>SUM(R39:R41)</f>
        <v>0</v>
      </c>
      <c r="S42" s="30">
        <f>SUM(S39:S41)</f>
        <v>0</v>
      </c>
      <c r="T42" s="11"/>
    </row>
    <row r="43" spans="1:20" s="81" customFormat="1" x14ac:dyDescent="0.3">
      <c r="A43" s="78" t="s">
        <v>19</v>
      </c>
      <c r="B43" s="79"/>
      <c r="C43" s="77">
        <v>0</v>
      </c>
      <c r="D43" s="80"/>
      <c r="E43" s="79"/>
      <c r="F43" s="77">
        <v>52.2</v>
      </c>
      <c r="G43" s="55"/>
      <c r="H43" s="80"/>
      <c r="I43" s="79"/>
      <c r="J43" s="77">
        <v>23.4</v>
      </c>
      <c r="K43" s="80"/>
      <c r="L43" s="79"/>
      <c r="M43" s="77">
        <v>23.4</v>
      </c>
      <c r="N43" s="80"/>
      <c r="O43" s="79"/>
      <c r="P43" s="77">
        <f>+M43+J43+F43+C43</f>
        <v>99</v>
      </c>
      <c r="Q43" s="80"/>
      <c r="R43" s="79"/>
      <c r="S43" s="77">
        <v>0.01</v>
      </c>
      <c r="T43" s="80"/>
    </row>
    <row r="44" spans="1:20" s="5" customFormat="1" ht="18.600000000000001" thickBot="1" x14ac:dyDescent="0.4">
      <c r="A44" s="5" t="s">
        <v>31</v>
      </c>
      <c r="B44" s="99">
        <v>0</v>
      </c>
      <c r="C44" s="100"/>
      <c r="D44" s="38"/>
      <c r="E44" s="99">
        <f>+F42/F43</f>
        <v>-0.36591954022988504</v>
      </c>
      <c r="F44" s="100"/>
      <c r="G44" s="56"/>
      <c r="H44" s="38"/>
      <c r="I44" s="99">
        <f>+J42/J43</f>
        <v>1.2820512820512822</v>
      </c>
      <c r="J44" s="100"/>
      <c r="K44" s="38"/>
      <c r="L44" s="99">
        <f>+M42/M43</f>
        <v>0</v>
      </c>
      <c r="M44" s="100"/>
      <c r="N44" s="38"/>
      <c r="O44" s="99">
        <f>+P42/P43</f>
        <v>0.1100909090909091</v>
      </c>
      <c r="P44" s="100"/>
      <c r="Q44" s="38"/>
      <c r="R44" s="99">
        <f>+S42/S43</f>
        <v>0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35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20</v>
      </c>
      <c r="F13" s="17">
        <f t="shared" si="0"/>
        <v>23</v>
      </c>
      <c r="G13" s="17">
        <f t="shared" si="0"/>
        <v>24</v>
      </c>
      <c r="H13" s="17">
        <f t="shared" si="0"/>
        <v>22</v>
      </c>
      <c r="I13" s="17">
        <f t="shared" si="0"/>
        <v>21</v>
      </c>
      <c r="J13" s="17">
        <f t="shared" si="0"/>
        <v>24</v>
      </c>
      <c r="K13" s="17">
        <f t="shared" si="0"/>
        <v>20</v>
      </c>
      <c r="L13" s="17">
        <f t="shared" si="0"/>
        <v>21</v>
      </c>
      <c r="M13" s="73">
        <f t="shared" si="0"/>
        <v>21</v>
      </c>
      <c r="N13" s="17"/>
      <c r="O13" s="17"/>
    </row>
    <row r="14" spans="1:16" x14ac:dyDescent="0.3">
      <c r="A14" s="4" t="s">
        <v>1</v>
      </c>
      <c r="C14" s="17">
        <v>1</v>
      </c>
      <c r="D14" s="17">
        <v>20</v>
      </c>
      <c r="E14" s="17">
        <v>5</v>
      </c>
      <c r="F14" s="17">
        <v>1</v>
      </c>
      <c r="G14" s="17">
        <v>0</v>
      </c>
      <c r="H14" s="17">
        <v>0</v>
      </c>
      <c r="I14" s="17">
        <v>5</v>
      </c>
      <c r="J14" s="17">
        <v>0</v>
      </c>
      <c r="K14" s="17">
        <v>1</v>
      </c>
      <c r="L14" s="17">
        <v>0</v>
      </c>
      <c r="M14" s="73">
        <v>9</v>
      </c>
      <c r="N14" s="17"/>
      <c r="O14" s="17"/>
    </row>
    <row r="15" spans="1:16" x14ac:dyDescent="0.3">
      <c r="A15" s="4" t="s">
        <v>2</v>
      </c>
      <c r="C15" s="17">
        <v>0</v>
      </c>
      <c r="D15" s="17">
        <v>1</v>
      </c>
      <c r="E15" s="17">
        <v>2</v>
      </c>
      <c r="F15" s="17">
        <v>0</v>
      </c>
      <c r="G15" s="17">
        <v>2</v>
      </c>
      <c r="H15" s="17">
        <v>1</v>
      </c>
      <c r="I15" s="17">
        <v>2</v>
      </c>
      <c r="J15" s="17">
        <v>3</v>
      </c>
      <c r="K15" s="17">
        <v>0</v>
      </c>
      <c r="L15" s="17">
        <v>0</v>
      </c>
      <c r="M15" s="73">
        <v>3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20</v>
      </c>
      <c r="E17" s="18">
        <f t="shared" si="1"/>
        <v>23</v>
      </c>
      <c r="F17" s="18">
        <f t="shared" si="1"/>
        <v>24</v>
      </c>
      <c r="G17" s="18">
        <f t="shared" si="1"/>
        <v>22</v>
      </c>
      <c r="H17" s="18">
        <f t="shared" si="1"/>
        <v>21</v>
      </c>
      <c r="I17" s="18">
        <f t="shared" si="1"/>
        <v>24</v>
      </c>
      <c r="J17" s="18">
        <f t="shared" si="1"/>
        <v>20</v>
      </c>
      <c r="K17" s="18">
        <f t="shared" si="1"/>
        <v>21</v>
      </c>
      <c r="L17" s="18">
        <f t="shared" si="1"/>
        <v>21</v>
      </c>
      <c r="M17" s="74">
        <f t="shared" si="1"/>
        <v>27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t="12.75" hidden="1" customHeight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t="12.75" hidden="1" customHeight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t="12.75" hidden="1" customHeight="1" x14ac:dyDescent="0.3">
      <c r="A21" s="3" t="s">
        <v>4</v>
      </c>
    </row>
    <row r="22" spans="1:19" ht="12.75" hidden="1" customHeight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t="12.75" hidden="1" customHeight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t="12.75" hidden="1" customHeight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t="12.75" hidden="1" customHeight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t="12.75" hidden="1" customHeight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customHeight="1" thickBot="1" x14ac:dyDescent="0.3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2.75" hidden="1" customHeight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t="12.75" hidden="1" customHeight="1" x14ac:dyDescent="0.3">
      <c r="A29" s="5" t="s">
        <v>21</v>
      </c>
      <c r="B29" s="11"/>
      <c r="C29" s="10">
        <f>+C27/D17</f>
        <v>5.0250000000000004</v>
      </c>
      <c r="D29" s="10">
        <f>+D27/E17</f>
        <v>4.9913043478260866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ht="12.75" customHeigh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4</v>
      </c>
      <c r="C39" s="27">
        <v>3.1</v>
      </c>
      <c r="D39" s="9"/>
      <c r="E39" s="26">
        <v>1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5</v>
      </c>
      <c r="P39" s="27">
        <f>+M39+J39+F39+C39</f>
        <v>3.1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-0.3</v>
      </c>
      <c r="D40" s="9"/>
      <c r="E40" s="26"/>
      <c r="F40" s="64">
        <v>0</v>
      </c>
      <c r="G40" s="61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-0.3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3</v>
      </c>
      <c r="G41" s="61"/>
      <c r="H41" s="9"/>
      <c r="I41" s="28">
        <v>21</v>
      </c>
      <c r="J41" s="71">
        <v>120.25</v>
      </c>
      <c r="K41" s="69"/>
      <c r="L41" s="72">
        <v>3</v>
      </c>
      <c r="M41" s="71">
        <v>7</v>
      </c>
      <c r="N41" s="9"/>
      <c r="O41" s="28">
        <f>+L41+I41+E41+B41</f>
        <v>27</v>
      </c>
      <c r="P41" s="32">
        <f>+M41+J41+F41+C41</f>
        <v>130.25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4</v>
      </c>
      <c r="C42" s="30">
        <f>SUM(C39:C41)</f>
        <v>2.8000000000000003</v>
      </c>
      <c r="D42" s="11"/>
      <c r="E42" s="23">
        <f>SUM(E39:E41)</f>
        <v>4</v>
      </c>
      <c r="F42" s="30">
        <f>SUM(F39:F41)</f>
        <v>3</v>
      </c>
      <c r="G42" s="62"/>
      <c r="H42" s="11"/>
      <c r="I42" s="23">
        <f>SUM(I39:I41)</f>
        <v>21</v>
      </c>
      <c r="J42" s="30">
        <f>SUM(J39:J41)</f>
        <v>120.25</v>
      </c>
      <c r="K42" s="11"/>
      <c r="L42" s="23">
        <f>SUM(L39:L41)</f>
        <v>3</v>
      </c>
      <c r="M42" s="30">
        <f>SUM(M39:M41)</f>
        <v>7</v>
      </c>
      <c r="N42" s="11"/>
      <c r="O42" s="23">
        <f>SUM(O39:O41)</f>
        <v>32</v>
      </c>
      <c r="P42" s="30">
        <f>SUM(P39:P41)</f>
        <v>133.05000000000001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14.2</v>
      </c>
      <c r="D43" s="10"/>
      <c r="E43" s="31"/>
      <c r="F43" s="77">
        <f>+'[1]Hotlist - Completed'!$C$11/1000</f>
        <v>20.492999999999999</v>
      </c>
      <c r="G43" s="62"/>
      <c r="H43" s="10"/>
      <c r="I43" s="31"/>
      <c r="J43" s="30">
        <f>+'[1]Hotlist - Identified '!$F$30/1000</f>
        <v>21.492999999999999</v>
      </c>
      <c r="K43" s="10"/>
      <c r="L43" s="31"/>
      <c r="M43" s="30">
        <f>+'[1]Hotlist - Identified '!$I$30/1000</f>
        <v>22.344000000000001</v>
      </c>
      <c r="N43" s="10"/>
      <c r="O43" s="31"/>
      <c r="P43" s="30">
        <f>+M43+J43+F43+C43</f>
        <v>78.53</v>
      </c>
      <c r="Q43" s="10"/>
      <c r="R43" s="31"/>
      <c r="S43" s="30">
        <f>+'[1]Hotlist - Identified '!$O$30/1000</f>
        <v>30.164400000000001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0.19718309859154931</v>
      </c>
      <c r="C44" s="100"/>
      <c r="D44" s="38"/>
      <c r="E44" s="99">
        <f>+F42/F43</f>
        <v>0.14639145073927684</v>
      </c>
      <c r="F44" s="100"/>
      <c r="G44" s="63"/>
      <c r="H44" s="38"/>
      <c r="I44" s="99">
        <f>+J42/J43</f>
        <v>5.5948448332015079</v>
      </c>
      <c r="J44" s="100"/>
      <c r="K44" s="38"/>
      <c r="L44" s="99">
        <f>+M42/M43</f>
        <v>0.31328320802005011</v>
      </c>
      <c r="M44" s="100"/>
      <c r="N44" s="38"/>
      <c r="O44" s="99">
        <f>+P42/P43</f>
        <v>1.6942569718578888</v>
      </c>
      <c r="P44" s="100"/>
      <c r="Q44" s="38"/>
      <c r="R44" s="99">
        <f>+S42/S43</f>
        <v>0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E36:F36"/>
    <mergeCell ref="B36:C36"/>
    <mergeCell ref="B37:C37"/>
    <mergeCell ref="I44:J44"/>
    <mergeCell ref="E37:F37"/>
    <mergeCell ref="L44:M44"/>
    <mergeCell ref="R44:S44"/>
    <mergeCell ref="B19:O19"/>
    <mergeCell ref="I34:S34"/>
    <mergeCell ref="R37:S37"/>
    <mergeCell ref="A32:S32"/>
    <mergeCell ref="R36:S36"/>
    <mergeCell ref="O36:P36"/>
    <mergeCell ref="A3:F3"/>
    <mergeCell ref="C8:O8"/>
    <mergeCell ref="C9:O9"/>
    <mergeCell ref="A46:B46"/>
    <mergeCell ref="O44:P44"/>
    <mergeCell ref="O37:P37"/>
    <mergeCell ref="B44:C44"/>
    <mergeCell ref="L37:M37"/>
    <mergeCell ref="I37:J37"/>
    <mergeCell ref="E44:F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46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18</v>
      </c>
      <c r="F13" s="17">
        <f t="shared" si="0"/>
        <v>17</v>
      </c>
      <c r="G13" s="17">
        <f t="shared" si="0"/>
        <v>17</v>
      </c>
      <c r="H13" s="17">
        <f t="shared" si="0"/>
        <v>16</v>
      </c>
      <c r="I13" s="17">
        <f t="shared" si="0"/>
        <v>15</v>
      </c>
      <c r="J13" s="17">
        <f t="shared" si="0"/>
        <v>15</v>
      </c>
      <c r="K13" s="17">
        <f t="shared" si="0"/>
        <v>15</v>
      </c>
      <c r="L13" s="17">
        <f t="shared" si="0"/>
        <v>15</v>
      </c>
      <c r="M13" s="73">
        <f t="shared" si="0"/>
        <v>15</v>
      </c>
      <c r="N13" s="17"/>
      <c r="O13" s="17"/>
    </row>
    <row r="14" spans="1:16" x14ac:dyDescent="0.3">
      <c r="A14" s="4" t="s">
        <v>1</v>
      </c>
      <c r="C14" s="17">
        <v>1</v>
      </c>
      <c r="D14" s="17">
        <v>17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3</v>
      </c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2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3">
        <v>2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18</v>
      </c>
      <c r="E17" s="18">
        <f t="shared" si="1"/>
        <v>17</v>
      </c>
      <c r="F17" s="18">
        <f t="shared" si="1"/>
        <v>17</v>
      </c>
      <c r="G17" s="18">
        <f t="shared" si="1"/>
        <v>16</v>
      </c>
      <c r="H17" s="18">
        <f t="shared" si="1"/>
        <v>15</v>
      </c>
      <c r="I17" s="18">
        <f t="shared" si="1"/>
        <v>15</v>
      </c>
      <c r="J17" s="18">
        <f t="shared" si="1"/>
        <v>15</v>
      </c>
      <c r="K17" s="18">
        <f t="shared" si="1"/>
        <v>15</v>
      </c>
      <c r="L17" s="18">
        <f t="shared" si="1"/>
        <v>15</v>
      </c>
      <c r="M17" s="74">
        <f t="shared" si="1"/>
        <v>16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5.583333333333333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</v>
      </c>
      <c r="C39" s="27">
        <v>2.9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2.9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5.5</v>
      </c>
      <c r="D40" s="9"/>
      <c r="E40" s="26"/>
      <c r="F40" s="64">
        <v>0.50600000000000001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6.0060000000000002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4</v>
      </c>
      <c r="F41" s="32">
        <v>16.48</v>
      </c>
      <c r="G41" s="54"/>
      <c r="H41" s="9"/>
      <c r="I41" s="28">
        <v>3</v>
      </c>
      <c r="J41" s="71">
        <v>10</v>
      </c>
      <c r="K41" s="69"/>
      <c r="L41" s="72">
        <v>8</v>
      </c>
      <c r="M41" s="71">
        <v>64</v>
      </c>
      <c r="N41" s="9"/>
      <c r="O41" s="28">
        <f>+L41+I41+E41+B41</f>
        <v>15</v>
      </c>
      <c r="P41" s="32">
        <f>+M41+J41+F41+C41</f>
        <v>90.48</v>
      </c>
      <c r="Q41" s="9"/>
      <c r="R41" s="28">
        <v>1</v>
      </c>
      <c r="S41" s="32">
        <v>5</v>
      </c>
      <c r="T41" s="9"/>
    </row>
    <row r="42" spans="1:20" s="5" customFormat="1" x14ac:dyDescent="0.3">
      <c r="A42" s="5" t="s">
        <v>59</v>
      </c>
      <c r="B42" s="23">
        <f>SUM(B39:B41)</f>
        <v>1</v>
      </c>
      <c r="C42" s="30">
        <f>SUM(C39:C41)</f>
        <v>8.4</v>
      </c>
      <c r="D42" s="11"/>
      <c r="E42" s="23">
        <f>SUM(E39:E41)</f>
        <v>4</v>
      </c>
      <c r="F42" s="30">
        <f>SUM(F39:F41)</f>
        <v>16.986000000000001</v>
      </c>
      <c r="G42" s="55"/>
      <c r="H42" s="11"/>
      <c r="I42" s="23">
        <f>SUM(I39:I41)</f>
        <v>3</v>
      </c>
      <c r="J42" s="30">
        <f>SUM(J39:J41)</f>
        <v>10</v>
      </c>
      <c r="K42" s="11"/>
      <c r="L42" s="23">
        <f>SUM(L39:L41)</f>
        <v>8</v>
      </c>
      <c r="M42" s="30">
        <f>SUM(M39:M41)</f>
        <v>64</v>
      </c>
      <c r="N42" s="11"/>
      <c r="O42" s="23">
        <f>SUM(O39:O41)</f>
        <v>16</v>
      </c>
      <c r="P42" s="30">
        <f>SUM(P39:P41)</f>
        <v>99.38600000000001</v>
      </c>
      <c r="Q42" s="11"/>
      <c r="R42" s="23">
        <f>SUM(R39:R41)</f>
        <v>1</v>
      </c>
      <c r="S42" s="30">
        <f>SUM(S39:S41)</f>
        <v>5</v>
      </c>
      <c r="T42" s="11"/>
    </row>
    <row r="43" spans="1:20" s="14" customFormat="1" x14ac:dyDescent="0.3">
      <c r="A43" s="46" t="s">
        <v>19</v>
      </c>
      <c r="B43" s="31"/>
      <c r="C43" s="30">
        <v>13.2</v>
      </c>
      <c r="D43" s="10"/>
      <c r="E43" s="31"/>
      <c r="F43" s="77">
        <f>+'[1]Hotlist - Completed'!$C$18/1000</f>
        <v>13.234999999999999</v>
      </c>
      <c r="G43" s="55"/>
      <c r="H43" s="10"/>
      <c r="I43" s="31"/>
      <c r="J43" s="30">
        <f>+'[1]Hotlist - Identified '!$F$42/1000</f>
        <v>17.163</v>
      </c>
      <c r="K43" s="10"/>
      <c r="L43" s="31"/>
      <c r="M43" s="30">
        <f>+'[1]Hotlist - Identified '!$I$42/1000</f>
        <v>43.231000000000002</v>
      </c>
      <c r="N43" s="10"/>
      <c r="O43" s="31"/>
      <c r="P43" s="30">
        <f>+M43+J43+F43+C43</f>
        <v>86.829000000000008</v>
      </c>
      <c r="Q43" s="10"/>
      <c r="R43" s="31"/>
      <c r="S43" s="30">
        <f>+'[1]Hotlist - Identified '!$O$42/1000</f>
        <v>58.361850000000004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0.63636363636363646</v>
      </c>
      <c r="C44" s="100"/>
      <c r="D44" s="38"/>
      <c r="E44" s="99">
        <f>+F42/F43</f>
        <v>1.2834151870041557</v>
      </c>
      <c r="F44" s="100"/>
      <c r="G44" s="56"/>
      <c r="H44" s="38"/>
      <c r="I44" s="99">
        <f>+J42/J43</f>
        <v>0.58264872108605725</v>
      </c>
      <c r="J44" s="100"/>
      <c r="K44" s="38"/>
      <c r="L44" s="99">
        <f>+M42/M43</f>
        <v>1.4804191436700516</v>
      </c>
      <c r="M44" s="100"/>
      <c r="N44" s="38"/>
      <c r="O44" s="99">
        <f>+P42/P43</f>
        <v>1.1446175816835389</v>
      </c>
      <c r="P44" s="100"/>
      <c r="Q44" s="38"/>
      <c r="R44" s="99">
        <f>+S42/S43</f>
        <v>8.567240414757242E-2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C8:O8"/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47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5</v>
      </c>
      <c r="E13" s="17">
        <f t="shared" si="0"/>
        <v>15</v>
      </c>
      <c r="F13" s="17">
        <f t="shared" si="0"/>
        <v>16</v>
      </c>
      <c r="G13" s="17">
        <f t="shared" si="0"/>
        <v>27</v>
      </c>
      <c r="H13" s="17">
        <f t="shared" si="0"/>
        <v>22</v>
      </c>
      <c r="I13" s="17">
        <f t="shared" si="0"/>
        <v>26</v>
      </c>
      <c r="J13" s="17">
        <f t="shared" si="0"/>
        <v>27</v>
      </c>
      <c r="K13" s="17">
        <f t="shared" si="0"/>
        <v>27</v>
      </c>
      <c r="L13" s="17">
        <f t="shared" si="0"/>
        <v>26</v>
      </c>
      <c r="M13" s="73">
        <f t="shared" si="0"/>
        <v>26</v>
      </c>
      <c r="N13" s="17"/>
      <c r="O13" s="17"/>
    </row>
    <row r="14" spans="1:16" x14ac:dyDescent="0.3">
      <c r="A14" s="4" t="s">
        <v>1</v>
      </c>
      <c r="C14" s="17">
        <v>5</v>
      </c>
      <c r="D14" s="17">
        <v>14</v>
      </c>
      <c r="E14" s="17">
        <v>2</v>
      </c>
      <c r="F14" s="17">
        <v>17</v>
      </c>
      <c r="G14" s="17">
        <v>0</v>
      </c>
      <c r="H14" s="17">
        <v>5</v>
      </c>
      <c r="I14" s="17">
        <v>3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3">
      <c r="A15" s="4" t="s">
        <v>2</v>
      </c>
      <c r="C15" s="17">
        <v>0</v>
      </c>
      <c r="D15" s="17">
        <v>2</v>
      </c>
      <c r="E15" s="17">
        <v>1</v>
      </c>
      <c r="F15" s="17">
        <v>6</v>
      </c>
      <c r="G15" s="17">
        <v>5</v>
      </c>
      <c r="H15" s="17">
        <v>1</v>
      </c>
      <c r="I15" s="17">
        <v>2</v>
      </c>
      <c r="J15" s="17">
        <v>0</v>
      </c>
      <c r="K15" s="17">
        <v>1</v>
      </c>
      <c r="L15" s="17">
        <v>0</v>
      </c>
      <c r="M15" s="73">
        <v>1</v>
      </c>
      <c r="N15" s="17"/>
      <c r="O15" s="17"/>
    </row>
    <row r="16" spans="1:16" x14ac:dyDescent="0.3">
      <c r="A16" s="4" t="s">
        <v>3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5</v>
      </c>
      <c r="D17" s="18">
        <f t="shared" si="1"/>
        <v>15</v>
      </c>
      <c r="E17" s="18">
        <f t="shared" si="1"/>
        <v>16</v>
      </c>
      <c r="F17" s="18">
        <f t="shared" si="1"/>
        <v>27</v>
      </c>
      <c r="G17" s="18">
        <f t="shared" si="1"/>
        <v>22</v>
      </c>
      <c r="H17" s="18">
        <f t="shared" si="1"/>
        <v>26</v>
      </c>
      <c r="I17" s="18">
        <f t="shared" si="1"/>
        <v>27</v>
      </c>
      <c r="J17" s="18">
        <f t="shared" si="1"/>
        <v>27</v>
      </c>
      <c r="K17" s="18">
        <f t="shared" si="1"/>
        <v>26</v>
      </c>
      <c r="L17" s="18">
        <f t="shared" si="1"/>
        <v>26</v>
      </c>
      <c r="M17" s="74">
        <f t="shared" si="1"/>
        <v>25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6.7</v>
      </c>
      <c r="D29" s="10">
        <f>+D27/E17</f>
        <v>7.1749999999999998</v>
      </c>
      <c r="E29" s="10">
        <f>+E27/F17</f>
        <v>3.8074074074074074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13</v>
      </c>
      <c r="C39" s="27">
        <v>4</v>
      </c>
      <c r="D39" s="9"/>
      <c r="E39" s="26">
        <v>2</v>
      </c>
      <c r="F39" s="27">
        <v>0.33600000000000002</v>
      </c>
      <c r="G39" s="59">
        <v>0.3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15</v>
      </c>
      <c r="P39" s="27">
        <f>+M39+J39+F39+C39</f>
        <v>4.3360000000000003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-0.8</v>
      </c>
      <c r="D40" s="9"/>
      <c r="E40" s="26"/>
      <c r="F40" s="64">
        <f>3.251-F39</f>
        <v>2.915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2.1150000000000002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2</v>
      </c>
      <c r="F41" s="71">
        <v>11.597</v>
      </c>
      <c r="G41" s="54"/>
      <c r="H41" s="9"/>
      <c r="I41" s="28">
        <v>9</v>
      </c>
      <c r="J41" s="71">
        <v>56</v>
      </c>
      <c r="K41" s="69"/>
      <c r="L41" s="72">
        <v>10</v>
      </c>
      <c r="M41" s="71">
        <v>51</v>
      </c>
      <c r="N41" s="9"/>
      <c r="O41" s="28">
        <f>+L41+I41+E41+B41</f>
        <v>21</v>
      </c>
      <c r="P41" s="32">
        <f>+M41+J41+F41+C41</f>
        <v>118.59699999999999</v>
      </c>
      <c r="Q41" s="9"/>
      <c r="R41" s="28">
        <v>4</v>
      </c>
      <c r="S41" s="32">
        <v>31</v>
      </c>
      <c r="T41" s="9"/>
    </row>
    <row r="42" spans="1:20" s="5" customFormat="1" x14ac:dyDescent="0.3">
      <c r="A42" s="5" t="s">
        <v>59</v>
      </c>
      <c r="B42" s="23">
        <f>SUM(B39:B41)</f>
        <v>13</v>
      </c>
      <c r="C42" s="30">
        <f>SUM(C39:C41)</f>
        <v>3.2</v>
      </c>
      <c r="D42" s="11"/>
      <c r="E42" s="23">
        <f>SUM(E39:E41)</f>
        <v>4</v>
      </c>
      <c r="F42" s="30">
        <f>SUM(F39:F41)</f>
        <v>14.847999999999999</v>
      </c>
      <c r="G42" s="55"/>
      <c r="H42" s="11"/>
      <c r="I42" s="23">
        <f>SUM(I39:I41)</f>
        <v>9</v>
      </c>
      <c r="J42" s="30">
        <f>SUM(J39:J41)</f>
        <v>56</v>
      </c>
      <c r="K42" s="11"/>
      <c r="L42" s="23">
        <f>SUM(L39:L41)</f>
        <v>10</v>
      </c>
      <c r="M42" s="30">
        <f>SUM(M39:M41)</f>
        <v>51</v>
      </c>
      <c r="N42" s="11"/>
      <c r="O42" s="23">
        <f>SUM(O39:O41)</f>
        <v>36</v>
      </c>
      <c r="P42" s="30">
        <f>SUM(P39:P41)</f>
        <v>125.048</v>
      </c>
      <c r="Q42" s="11"/>
      <c r="R42" s="23">
        <f>SUM(R39:R41)</f>
        <v>4</v>
      </c>
      <c r="S42" s="30">
        <f>SUM(S39:S41)</f>
        <v>31</v>
      </c>
      <c r="T42" s="11"/>
    </row>
    <row r="43" spans="1:20" s="14" customFormat="1" x14ac:dyDescent="0.3">
      <c r="A43" s="46" t="s">
        <v>19</v>
      </c>
      <c r="B43" s="31"/>
      <c r="C43" s="30">
        <v>16.899999999999999</v>
      </c>
      <c r="D43" s="10"/>
      <c r="E43" s="31"/>
      <c r="F43" s="77">
        <f>+'[1]Hotlist - Completed'!$C$26/1000</f>
        <v>22.861000000000001</v>
      </c>
      <c r="G43" s="55"/>
      <c r="H43" s="10"/>
      <c r="I43" s="31"/>
      <c r="J43" s="30">
        <f>+'[1]Hotlist - Identified '!$F$56/1000</f>
        <v>28.361000000000001</v>
      </c>
      <c r="K43" s="10"/>
      <c r="L43" s="31"/>
      <c r="M43" s="30">
        <f>+'[1]Hotlist - Identified '!$I$56/1000</f>
        <v>28.361000000000001</v>
      </c>
      <c r="N43" s="10"/>
      <c r="O43" s="31"/>
      <c r="P43" s="30">
        <f>+M43+J43+F43+C43</f>
        <v>96.483000000000004</v>
      </c>
      <c r="Q43" s="10"/>
      <c r="R43" s="31"/>
      <c r="S43" s="30">
        <f>+'[1]Hotlist - Identified '!$O$56/1000</f>
        <v>38.287350000000004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0.18934911242603553</v>
      </c>
      <c r="C44" s="100"/>
      <c r="D44" s="38"/>
      <c r="E44" s="99">
        <f>+F42/F43</f>
        <v>0.64949039849525392</v>
      </c>
      <c r="F44" s="100"/>
      <c r="G44" s="56"/>
      <c r="H44" s="38"/>
      <c r="I44" s="99">
        <f>+J42/J43</f>
        <v>1.9745425055534007</v>
      </c>
      <c r="J44" s="100"/>
      <c r="K44" s="38"/>
      <c r="L44" s="99">
        <f>+M42/M43</f>
        <v>1.7982440675575615</v>
      </c>
      <c r="M44" s="100"/>
      <c r="N44" s="38"/>
      <c r="O44" s="99">
        <f>+P42/P43</f>
        <v>1.2960625187856927</v>
      </c>
      <c r="P44" s="100"/>
      <c r="Q44" s="38"/>
      <c r="R44" s="99">
        <f>+S42/S43</f>
        <v>0.80966690042533618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60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15</v>
      </c>
      <c r="E13" s="17">
        <f t="shared" si="0"/>
        <v>32</v>
      </c>
      <c r="F13" s="17">
        <f t="shared" si="0"/>
        <v>31</v>
      </c>
      <c r="G13" s="17">
        <f t="shared" si="0"/>
        <v>25</v>
      </c>
      <c r="H13" s="17">
        <f t="shared" si="0"/>
        <v>23</v>
      </c>
      <c r="I13" s="17">
        <f t="shared" si="0"/>
        <v>24</v>
      </c>
      <c r="J13" s="17">
        <f t="shared" si="0"/>
        <v>15</v>
      </c>
      <c r="K13" s="17">
        <f t="shared" si="0"/>
        <v>14</v>
      </c>
      <c r="L13" s="17">
        <f t="shared" si="0"/>
        <v>14</v>
      </c>
      <c r="M13" s="73">
        <f t="shared" si="0"/>
        <v>14</v>
      </c>
      <c r="N13" s="17"/>
      <c r="O13" s="17"/>
    </row>
    <row r="14" spans="1:16" x14ac:dyDescent="0.3">
      <c r="A14" s="4" t="s">
        <v>1</v>
      </c>
      <c r="C14" s="17">
        <v>15</v>
      </c>
      <c r="D14" s="17">
        <v>17</v>
      </c>
      <c r="E14" s="17">
        <v>1</v>
      </c>
      <c r="F14" s="17">
        <v>2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2</v>
      </c>
      <c r="F15" s="17">
        <v>7</v>
      </c>
      <c r="G15" s="17">
        <v>2</v>
      </c>
      <c r="H15" s="17">
        <v>0</v>
      </c>
      <c r="I15" s="17">
        <v>9</v>
      </c>
      <c r="J15" s="17">
        <v>1</v>
      </c>
      <c r="K15" s="17">
        <v>0</v>
      </c>
      <c r="L15" s="17">
        <v>0</v>
      </c>
      <c r="M15" s="73">
        <v>2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15</v>
      </c>
      <c r="D17" s="18">
        <f t="shared" si="1"/>
        <v>32</v>
      </c>
      <c r="E17" s="18">
        <f t="shared" si="1"/>
        <v>31</v>
      </c>
      <c r="F17" s="18">
        <f t="shared" si="1"/>
        <v>25</v>
      </c>
      <c r="G17" s="18">
        <f t="shared" si="1"/>
        <v>23</v>
      </c>
      <c r="H17" s="18">
        <f t="shared" si="1"/>
        <v>24</v>
      </c>
      <c r="I17" s="18">
        <f t="shared" si="1"/>
        <v>15</v>
      </c>
      <c r="J17" s="18">
        <f t="shared" si="1"/>
        <v>14</v>
      </c>
      <c r="K17" s="18">
        <f t="shared" si="1"/>
        <v>14</v>
      </c>
      <c r="L17" s="18">
        <f t="shared" si="1"/>
        <v>14</v>
      </c>
      <c r="M17" s="74">
        <f t="shared" si="1"/>
        <v>12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3.140625</v>
      </c>
      <c r="D29" s="10">
        <f>+D27/E17</f>
        <v>3.7032258064516128</v>
      </c>
      <c r="E29" s="10">
        <f>+E27/F17</f>
        <v>4.1120000000000001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12.6</v>
      </c>
      <c r="G39" s="59">
        <v>12.6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12.6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7.2</v>
      </c>
      <c r="D40" s="9"/>
      <c r="E40" s="26"/>
      <c r="F40" s="64">
        <f>16.15-F39</f>
        <v>3.5499999999999989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10.75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32">
        <v>0</v>
      </c>
      <c r="D41" s="9"/>
      <c r="E41" s="28">
        <v>1</v>
      </c>
      <c r="F41" s="32">
        <v>22.4</v>
      </c>
      <c r="G41" s="54"/>
      <c r="H41" s="9"/>
      <c r="I41" s="28">
        <v>3</v>
      </c>
      <c r="J41" s="71">
        <v>29</v>
      </c>
      <c r="K41" s="69"/>
      <c r="L41" s="72">
        <v>6</v>
      </c>
      <c r="M41" s="71">
        <v>72.5</v>
      </c>
      <c r="N41" s="9"/>
      <c r="O41" s="28">
        <f>+L41+I41+E41+B41</f>
        <v>10</v>
      </c>
      <c r="P41" s="32">
        <f>+M41+J41+F41+C41</f>
        <v>123.9</v>
      </c>
      <c r="Q41" s="9"/>
      <c r="R41" s="28">
        <v>2</v>
      </c>
      <c r="S41" s="32">
        <v>17.5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7.2</v>
      </c>
      <c r="D42" s="11"/>
      <c r="E42" s="23">
        <f>SUM(E39:E41)</f>
        <v>2</v>
      </c>
      <c r="F42" s="30">
        <f>SUM(F39:F41)</f>
        <v>38.549999999999997</v>
      </c>
      <c r="G42" s="55"/>
      <c r="H42" s="11"/>
      <c r="I42" s="23">
        <f>SUM(I39:I41)</f>
        <v>3</v>
      </c>
      <c r="J42" s="30">
        <f>SUM(J39:J41)</f>
        <v>29</v>
      </c>
      <c r="K42" s="11"/>
      <c r="L42" s="23">
        <f>SUM(L39:L41)</f>
        <v>6</v>
      </c>
      <c r="M42" s="30">
        <f>SUM(M39:M41)</f>
        <v>72.5</v>
      </c>
      <c r="N42" s="11"/>
      <c r="O42" s="23">
        <f>SUM(O39:O41)</f>
        <v>11</v>
      </c>
      <c r="P42" s="30">
        <f>SUM(P39:P41)</f>
        <v>147.25</v>
      </c>
      <c r="Q42" s="11"/>
      <c r="R42" s="23">
        <f>SUM(R39:R41)</f>
        <v>2</v>
      </c>
      <c r="S42" s="30">
        <f>SUM(S39:S41)</f>
        <v>17.5</v>
      </c>
      <c r="T42" s="11"/>
    </row>
    <row r="43" spans="1:20" s="14" customFormat="1" x14ac:dyDescent="0.3">
      <c r="A43" s="46" t="s">
        <v>19</v>
      </c>
      <c r="B43" s="31"/>
      <c r="C43" s="30">
        <v>18.7</v>
      </c>
      <c r="D43" s="10"/>
      <c r="E43" s="31"/>
      <c r="F43" s="77">
        <f>+'[1]Hotlist - Completed'!$C$33/1000</f>
        <v>18.710999999999999</v>
      </c>
      <c r="G43" s="55"/>
      <c r="H43" s="10"/>
      <c r="I43" s="31"/>
      <c r="J43" s="30">
        <f>+'[1]Hotlist - Identified '!$F$66/1000</f>
        <v>18.712</v>
      </c>
      <c r="K43" s="10"/>
      <c r="L43" s="31"/>
      <c r="M43" s="30">
        <f>+'[1]Hotlist - Identified '!$I$66/1000</f>
        <v>18.713000000000001</v>
      </c>
      <c r="N43" s="10"/>
      <c r="O43" s="31"/>
      <c r="P43" s="30">
        <f>+M43+J43+F43+C43</f>
        <v>74.835999999999999</v>
      </c>
      <c r="Q43" s="10"/>
      <c r="R43" s="31"/>
      <c r="S43" s="30">
        <f>+'[1]Hotlist - Identified '!$O$66/1000</f>
        <v>25.262550000000005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0.38502673796791448</v>
      </c>
      <c r="C44" s="100"/>
      <c r="D44" s="38"/>
      <c r="E44" s="99">
        <f>+F42/F43</f>
        <v>2.0602853936187269</v>
      </c>
      <c r="F44" s="100"/>
      <c r="G44" s="56"/>
      <c r="H44" s="38"/>
      <c r="I44" s="99">
        <f>+J42/J43</f>
        <v>1.549807610089782</v>
      </c>
      <c r="J44" s="100"/>
      <c r="K44" s="38"/>
      <c r="L44" s="99">
        <f>+M42/M43</f>
        <v>3.8743119756319135</v>
      </c>
      <c r="M44" s="100"/>
      <c r="N44" s="38"/>
      <c r="O44" s="99">
        <f>+P42/P43</f>
        <v>1.9676358971617938</v>
      </c>
      <c r="P44" s="100"/>
      <c r="Q44" s="38"/>
      <c r="R44" s="99">
        <f>+S42/S43</f>
        <v>0.69272500202869458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54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4</v>
      </c>
      <c r="E13" s="17">
        <f t="shared" si="0"/>
        <v>14</v>
      </c>
      <c r="F13" s="17">
        <f t="shared" si="0"/>
        <v>14</v>
      </c>
      <c r="G13" s="17">
        <f t="shared" si="0"/>
        <v>17</v>
      </c>
      <c r="H13" s="17">
        <f t="shared" si="0"/>
        <v>19</v>
      </c>
      <c r="I13" s="17">
        <f t="shared" si="0"/>
        <v>18</v>
      </c>
      <c r="J13" s="17">
        <f t="shared" si="0"/>
        <v>19</v>
      </c>
      <c r="K13" s="17">
        <f t="shared" si="0"/>
        <v>19</v>
      </c>
      <c r="L13" s="17">
        <f t="shared" si="0"/>
        <v>19</v>
      </c>
      <c r="M13" s="73">
        <f t="shared" si="0"/>
        <v>21</v>
      </c>
      <c r="N13" s="17"/>
      <c r="O13" s="17"/>
    </row>
    <row r="14" spans="1:16" x14ac:dyDescent="0.3">
      <c r="A14" s="4" t="s">
        <v>1</v>
      </c>
      <c r="C14" s="17">
        <v>4</v>
      </c>
      <c r="D14" s="17">
        <v>10</v>
      </c>
      <c r="E14" s="17">
        <v>1</v>
      </c>
      <c r="F14" s="17">
        <v>3</v>
      </c>
      <c r="G14" s="17">
        <v>3</v>
      </c>
      <c r="H14" s="17">
        <v>0</v>
      </c>
      <c r="I14" s="17">
        <v>1</v>
      </c>
      <c r="J14" s="17">
        <v>0</v>
      </c>
      <c r="K14" s="17">
        <v>0</v>
      </c>
      <c r="L14" s="17">
        <v>2</v>
      </c>
      <c r="M14" s="73">
        <v>6</v>
      </c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3">
        <v>5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4</v>
      </c>
      <c r="D17" s="18">
        <f t="shared" si="1"/>
        <v>14</v>
      </c>
      <c r="E17" s="18">
        <f t="shared" si="1"/>
        <v>14</v>
      </c>
      <c r="F17" s="18">
        <f t="shared" si="1"/>
        <v>17</v>
      </c>
      <c r="G17" s="18">
        <f t="shared" si="1"/>
        <v>19</v>
      </c>
      <c r="H17" s="18">
        <f t="shared" si="1"/>
        <v>18</v>
      </c>
      <c r="I17" s="18">
        <f t="shared" si="1"/>
        <v>19</v>
      </c>
      <c r="J17" s="18">
        <f t="shared" si="1"/>
        <v>19</v>
      </c>
      <c r="K17" s="18">
        <f t="shared" si="1"/>
        <v>19</v>
      </c>
      <c r="L17" s="18">
        <f t="shared" si="1"/>
        <v>21</v>
      </c>
      <c r="M17" s="74">
        <f t="shared" si="1"/>
        <v>22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7.1785714285714288</v>
      </c>
      <c r="D29" s="10">
        <f>+D27/E17</f>
        <v>8.1999999999999993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-1.1000000000000001</v>
      </c>
      <c r="D40" s="9"/>
      <c r="E40" s="26"/>
      <c r="F40" s="64">
        <v>0.223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-0.87700000000000011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5</v>
      </c>
      <c r="F41" s="32">
        <v>4</v>
      </c>
      <c r="G41" s="54"/>
      <c r="H41" s="9"/>
      <c r="I41" s="28">
        <v>10</v>
      </c>
      <c r="J41" s="71">
        <v>45</v>
      </c>
      <c r="K41" s="69"/>
      <c r="L41" s="72">
        <v>5</v>
      </c>
      <c r="M41" s="71">
        <v>25</v>
      </c>
      <c r="N41" s="9"/>
      <c r="O41" s="28">
        <f>+L41+I41+E41+B41</f>
        <v>20</v>
      </c>
      <c r="P41" s="32">
        <f>+M41+J41+F41+C41</f>
        <v>74</v>
      </c>
      <c r="Q41" s="9"/>
      <c r="R41" s="28">
        <v>2</v>
      </c>
      <c r="S41" s="32">
        <v>10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-1.1000000000000001</v>
      </c>
      <c r="D42" s="11"/>
      <c r="E42" s="23">
        <f>SUM(E39:E41)</f>
        <v>5</v>
      </c>
      <c r="F42" s="30">
        <f>SUM(F39:F41)</f>
        <v>4.2229999999999999</v>
      </c>
      <c r="G42" s="55"/>
      <c r="H42" s="11"/>
      <c r="I42" s="23">
        <f>SUM(I39:I41)</f>
        <v>10</v>
      </c>
      <c r="J42" s="30">
        <f>SUM(J39:J41)</f>
        <v>45</v>
      </c>
      <c r="K42" s="11"/>
      <c r="L42" s="23">
        <f>SUM(L39:L41)</f>
        <v>5</v>
      </c>
      <c r="M42" s="30">
        <f>SUM(M39:M41)</f>
        <v>25</v>
      </c>
      <c r="N42" s="11"/>
      <c r="O42" s="23">
        <f>SUM(O39:O41)</f>
        <v>20</v>
      </c>
      <c r="P42" s="30">
        <f>SUM(P39:P41)</f>
        <v>73.123000000000005</v>
      </c>
      <c r="Q42" s="11"/>
      <c r="R42" s="23">
        <f>SUM(R39:R41)</f>
        <v>2</v>
      </c>
      <c r="S42" s="30">
        <f>SUM(S39:S41)</f>
        <v>10</v>
      </c>
      <c r="T42" s="11"/>
    </row>
    <row r="43" spans="1:20" s="14" customFormat="1" x14ac:dyDescent="0.3">
      <c r="A43" s="46" t="s">
        <v>19</v>
      </c>
      <c r="B43" s="31"/>
      <c r="C43" s="30">
        <v>12.7</v>
      </c>
      <c r="D43" s="10"/>
      <c r="E43" s="31"/>
      <c r="F43" s="77">
        <f>+'[1]Hotlist - Completed'!$C$41/1000</f>
        <v>6.2119999999999997</v>
      </c>
      <c r="G43" s="55"/>
      <c r="H43" s="10"/>
      <c r="I43" s="31"/>
      <c r="J43" s="30">
        <f>+'[1]Hotlist - Identified '!$F$80/1000</f>
        <v>6.2789999999999999</v>
      </c>
      <c r="K43" s="10"/>
      <c r="L43" s="31"/>
      <c r="M43" s="30">
        <f>+'[1]Hotlist - Identified '!$I$80/1000</f>
        <v>6.2789999999999999</v>
      </c>
      <c r="N43" s="10"/>
      <c r="O43" s="31"/>
      <c r="P43" s="30">
        <f>+M43+J43+F43+C43</f>
        <v>31.47</v>
      </c>
      <c r="Q43" s="10"/>
      <c r="R43" s="31"/>
      <c r="S43" s="30">
        <f>+'[1]Hotlist - Identified '!$O$80/1000</f>
        <v>8.4766500000000011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-8.6614173228346469E-2</v>
      </c>
      <c r="C44" s="100"/>
      <c r="D44" s="38"/>
      <c r="E44" s="99">
        <f>+F42/F43</f>
        <v>0.67981326464906633</v>
      </c>
      <c r="F44" s="100"/>
      <c r="G44" s="56"/>
      <c r="H44" s="38"/>
      <c r="I44" s="99">
        <f>+J42/J43</f>
        <v>7.1667462971810796</v>
      </c>
      <c r="J44" s="100"/>
      <c r="K44" s="38"/>
      <c r="L44" s="99">
        <f>+M42/M43</f>
        <v>3.9815257206561556</v>
      </c>
      <c r="M44" s="100"/>
      <c r="N44" s="38"/>
      <c r="O44" s="99">
        <f>+P42/P43</f>
        <v>2.3235780108039403</v>
      </c>
      <c r="P44" s="100"/>
      <c r="Q44" s="38"/>
      <c r="R44" s="99">
        <f>+S42/S43</f>
        <v>1.1797113246388606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55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16</v>
      </c>
      <c r="J13" s="17">
        <f t="shared" si="0"/>
        <v>18</v>
      </c>
      <c r="K13" s="17">
        <f t="shared" si="0"/>
        <v>18</v>
      </c>
      <c r="L13" s="17">
        <f t="shared" si="0"/>
        <v>15</v>
      </c>
      <c r="M13" s="73">
        <f t="shared" si="0"/>
        <v>13</v>
      </c>
      <c r="N13" s="17"/>
      <c r="O13" s="17"/>
    </row>
    <row r="14" spans="1:16" x14ac:dyDescent="0.3">
      <c r="A14" s="4" t="s">
        <v>1</v>
      </c>
      <c r="C14" s="17">
        <v>0</v>
      </c>
      <c r="D14" s="17">
        <v>18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2</v>
      </c>
      <c r="K14" s="17">
        <v>1</v>
      </c>
      <c r="L14" s="17">
        <v>1</v>
      </c>
      <c r="M14" s="73">
        <v>0</v>
      </c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73">
        <v>0</v>
      </c>
      <c r="N15" s="17"/>
      <c r="O15" s="17"/>
    </row>
    <row r="16" spans="1:16" x14ac:dyDescent="0.3">
      <c r="A16" s="4" t="s">
        <v>3</v>
      </c>
      <c r="C16" s="17">
        <v>0</v>
      </c>
      <c r="D16" s="17">
        <v>1</v>
      </c>
      <c r="E16" s="17">
        <v>0</v>
      </c>
      <c r="F16" s="17">
        <v>0</v>
      </c>
      <c r="G16" s="17">
        <v>0</v>
      </c>
      <c r="H16" s="17">
        <v>1</v>
      </c>
      <c r="I16" s="17">
        <v>0</v>
      </c>
      <c r="J16" s="17">
        <v>2</v>
      </c>
      <c r="K16" s="17">
        <v>3</v>
      </c>
      <c r="L16" s="17">
        <v>3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16</v>
      </c>
      <c r="I17" s="18">
        <f t="shared" si="1"/>
        <v>18</v>
      </c>
      <c r="J17" s="18">
        <f t="shared" si="1"/>
        <v>18</v>
      </c>
      <c r="K17" s="18">
        <f t="shared" si="1"/>
        <v>15</v>
      </c>
      <c r="L17" s="18">
        <f t="shared" si="1"/>
        <v>13</v>
      </c>
      <c r="M17" s="74">
        <f t="shared" si="1"/>
        <v>13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7</v>
      </c>
      <c r="C39" s="27">
        <v>10.4</v>
      </c>
      <c r="D39" s="9"/>
      <c r="E39" s="26">
        <v>10</v>
      </c>
      <c r="F39" s="27">
        <v>6.47</v>
      </c>
      <c r="G39" s="59">
        <f>3.6+0.95+0.5+0.34+0.23+1.45</f>
        <v>7.07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17</v>
      </c>
      <c r="P39" s="27">
        <f>+M39+J39+F39+C39</f>
        <v>16.87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-2.8</v>
      </c>
      <c r="D40" s="9"/>
      <c r="E40" s="26"/>
      <c r="F40" s="64">
        <f>8.711-F39</f>
        <v>2.2410000000000005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-0.55899999999999928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48">
        <v>0</v>
      </c>
      <c r="D41" s="9"/>
      <c r="E41" s="28">
        <v>3</v>
      </c>
      <c r="F41" s="32">
        <v>3.3</v>
      </c>
      <c r="G41" s="54"/>
      <c r="H41" s="9"/>
      <c r="I41" s="28">
        <v>8</v>
      </c>
      <c r="J41" s="71">
        <v>20</v>
      </c>
      <c r="K41" s="69"/>
      <c r="L41" s="72">
        <v>2</v>
      </c>
      <c r="M41" s="71">
        <v>7</v>
      </c>
      <c r="N41" s="9"/>
      <c r="O41" s="28">
        <f>+L41+I41+E41+B41</f>
        <v>13</v>
      </c>
      <c r="P41" s="32">
        <f>+M41+J41+F41+C41</f>
        <v>30.3</v>
      </c>
      <c r="Q41" s="9"/>
      <c r="R41" s="28">
        <v>0</v>
      </c>
      <c r="S41" s="48">
        <v>0</v>
      </c>
      <c r="T41" s="9"/>
    </row>
    <row r="42" spans="1:20" s="5" customFormat="1" x14ac:dyDescent="0.3">
      <c r="A42" s="5" t="s">
        <v>59</v>
      </c>
      <c r="B42" s="23">
        <f>SUM(B39:B41)</f>
        <v>7</v>
      </c>
      <c r="C42" s="30">
        <f>SUM(C39:C41)</f>
        <v>7.6000000000000005</v>
      </c>
      <c r="D42" s="11"/>
      <c r="E42" s="23">
        <f>SUM(E39:E41)</f>
        <v>13</v>
      </c>
      <c r="F42" s="30">
        <f>SUM(F39:F41)</f>
        <v>12.010999999999999</v>
      </c>
      <c r="G42" s="55"/>
      <c r="H42" s="11"/>
      <c r="I42" s="23">
        <f>SUM(I39:I41)</f>
        <v>8</v>
      </c>
      <c r="J42" s="30">
        <f>SUM(J39:J41)</f>
        <v>20</v>
      </c>
      <c r="K42" s="11"/>
      <c r="L42" s="23">
        <f>SUM(L39:L41)</f>
        <v>2</v>
      </c>
      <c r="M42" s="30">
        <f>SUM(M39:M41)</f>
        <v>7</v>
      </c>
      <c r="N42" s="11"/>
      <c r="O42" s="23">
        <f>SUM(O39:O41)</f>
        <v>30</v>
      </c>
      <c r="P42" s="30">
        <f>SUM(P39:P41)</f>
        <v>46.611000000000004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11.6</v>
      </c>
      <c r="D43" s="10"/>
      <c r="E43" s="31"/>
      <c r="F43" s="77">
        <f>+'[1]Hotlist - Completed'!$C$57/1000</f>
        <v>11.555999999999999</v>
      </c>
      <c r="G43" s="55"/>
      <c r="H43" s="10"/>
      <c r="I43" s="31"/>
      <c r="J43" s="30">
        <f>+'[1]Hotlist - Identified '!$F$92/1000</f>
        <v>11.557</v>
      </c>
      <c r="K43" s="10"/>
      <c r="L43" s="31"/>
      <c r="M43" s="30">
        <f>+'[1]Hotlist - Identified '!$I$92/1000</f>
        <v>11.558</v>
      </c>
      <c r="N43" s="10"/>
      <c r="O43" s="31"/>
      <c r="P43" s="30">
        <f>+M43+J43+F43+C43</f>
        <v>46.271000000000001</v>
      </c>
      <c r="Q43" s="10"/>
      <c r="R43" s="31"/>
      <c r="S43" s="30">
        <f>+'[1]Hotlist - Identified '!$O$92/1000</f>
        <v>15.603300000000001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0.65517241379310354</v>
      </c>
      <c r="C44" s="100"/>
      <c r="D44" s="38"/>
      <c r="E44" s="99">
        <f>+F42/F43</f>
        <v>1.039373485635168</v>
      </c>
      <c r="F44" s="100"/>
      <c r="G44" s="56"/>
      <c r="H44" s="38"/>
      <c r="I44" s="99">
        <f>+J42/J43</f>
        <v>1.7305529116552738</v>
      </c>
      <c r="J44" s="100"/>
      <c r="K44" s="38"/>
      <c r="L44" s="99">
        <f>+M42/M43</f>
        <v>0.60564111437965051</v>
      </c>
      <c r="M44" s="100"/>
      <c r="N44" s="38"/>
      <c r="O44" s="99">
        <f>+P42/P43</f>
        <v>1.0073480149553717</v>
      </c>
      <c r="P44" s="100"/>
      <c r="Q44" s="38"/>
      <c r="R44" s="99">
        <f>+S42/S43</f>
        <v>0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topLeftCell="C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7" x14ac:dyDescent="0.3">
      <c r="A1" s="41"/>
      <c r="B1" s="42"/>
    </row>
    <row r="2" spans="1:17" ht="30" x14ac:dyDescent="0.5">
      <c r="A2" s="43" t="s">
        <v>41</v>
      </c>
      <c r="B2" s="43"/>
      <c r="N2" s="40" t="s">
        <v>33</v>
      </c>
      <c r="O2" s="39" t="s">
        <v>53</v>
      </c>
    </row>
    <row r="3" spans="1:17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7" s="15" customFormat="1" ht="18" x14ac:dyDescent="0.35">
      <c r="B4" s="16"/>
    </row>
    <row r="5" spans="1:17" s="15" customFormat="1" ht="18" x14ac:dyDescent="0.35">
      <c r="B5" s="16"/>
    </row>
    <row r="6" spans="1:17" s="15" customFormat="1" ht="18" x14ac:dyDescent="0.35">
      <c r="B6" s="16"/>
    </row>
    <row r="7" spans="1:17" s="15" customFormat="1" ht="18" x14ac:dyDescent="0.35">
      <c r="B7" s="16"/>
    </row>
    <row r="8" spans="1:17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  <c r="Q8" s="38"/>
    </row>
    <row r="9" spans="1:17" s="15" customFormat="1" ht="23.25" customHeight="1" x14ac:dyDescent="0.35">
      <c r="B9" s="16"/>
      <c r="C9" s="88" t="s">
        <v>16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2"/>
    </row>
    <row r="10" spans="1:17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3">
      <c r="A12" s="3" t="s">
        <v>4</v>
      </c>
    </row>
    <row r="13" spans="1:17" ht="12.75" customHeight="1" x14ac:dyDescent="0.3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5</v>
      </c>
      <c r="F13" s="17">
        <f t="shared" si="0"/>
        <v>5</v>
      </c>
      <c r="G13" s="17">
        <f t="shared" si="0"/>
        <v>5</v>
      </c>
      <c r="H13" s="17">
        <f t="shared" si="0"/>
        <v>5</v>
      </c>
      <c r="I13" s="17">
        <f t="shared" si="0"/>
        <v>4</v>
      </c>
      <c r="J13" s="17">
        <f t="shared" si="0"/>
        <v>4</v>
      </c>
      <c r="K13" s="17">
        <f t="shared" si="0"/>
        <v>4</v>
      </c>
      <c r="L13" s="17">
        <f t="shared" si="0"/>
        <v>7</v>
      </c>
      <c r="M13" s="73">
        <f t="shared" si="0"/>
        <v>7</v>
      </c>
      <c r="N13" s="17"/>
      <c r="O13" s="17"/>
    </row>
    <row r="14" spans="1:17" x14ac:dyDescent="0.3">
      <c r="A14" s="4" t="s">
        <v>1</v>
      </c>
      <c r="C14" s="17">
        <v>1</v>
      </c>
      <c r="D14" s="17">
        <v>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5</v>
      </c>
      <c r="L14" s="17">
        <v>0</v>
      </c>
      <c r="M14" s="73">
        <v>0</v>
      </c>
      <c r="N14" s="17"/>
      <c r="O14" s="17"/>
    </row>
    <row r="15" spans="1:17" x14ac:dyDescent="0.3">
      <c r="A15" s="4" t="s">
        <v>2</v>
      </c>
      <c r="C15" s="17">
        <v>0</v>
      </c>
      <c r="D15" s="17"/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2</v>
      </c>
      <c r="L15" s="17">
        <v>0</v>
      </c>
      <c r="M15" s="73">
        <v>0</v>
      </c>
      <c r="N15" s="17"/>
      <c r="O15" s="17"/>
    </row>
    <row r="16" spans="1:17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5</v>
      </c>
      <c r="E17" s="18">
        <f t="shared" si="1"/>
        <v>5</v>
      </c>
      <c r="F17" s="18">
        <f t="shared" si="1"/>
        <v>5</v>
      </c>
      <c r="G17" s="18">
        <f t="shared" si="1"/>
        <v>5</v>
      </c>
      <c r="H17" s="18">
        <f t="shared" si="1"/>
        <v>4</v>
      </c>
      <c r="I17" s="18">
        <f t="shared" si="1"/>
        <v>4</v>
      </c>
      <c r="J17" s="18">
        <f t="shared" si="1"/>
        <v>4</v>
      </c>
      <c r="K17" s="18">
        <f t="shared" si="1"/>
        <v>7</v>
      </c>
      <c r="L17" s="18">
        <f t="shared" si="1"/>
        <v>7</v>
      </c>
      <c r="M17" s="74">
        <f t="shared" si="1"/>
        <v>7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20.100000000000001</v>
      </c>
      <c r="D29" s="10">
        <f>+D27/E17</f>
        <v>22.96</v>
      </c>
      <c r="E29" s="10">
        <f>+E27/F17</f>
        <v>20.56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61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0</v>
      </c>
      <c r="D40" s="9"/>
      <c r="E40" s="26"/>
      <c r="F40" s="64">
        <v>0.65300000000000002</v>
      </c>
      <c r="G40" s="61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0.65300000000000002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32">
        <v>0</v>
      </c>
      <c r="D41" s="9"/>
      <c r="E41" s="28">
        <v>2</v>
      </c>
      <c r="F41" s="32">
        <v>0.6</v>
      </c>
      <c r="G41" s="61"/>
      <c r="H41" s="9"/>
      <c r="I41" s="28">
        <v>1</v>
      </c>
      <c r="J41" s="71">
        <v>0.75</v>
      </c>
      <c r="K41" s="69"/>
      <c r="L41" s="72">
        <v>3</v>
      </c>
      <c r="M41" s="71">
        <v>21.5</v>
      </c>
      <c r="N41" s="9"/>
      <c r="O41" s="28">
        <f>+L41+I41+E41+B41</f>
        <v>6</v>
      </c>
      <c r="P41" s="32">
        <f>+M41+J41+F41+C41</f>
        <v>22.85</v>
      </c>
      <c r="Q41" s="9"/>
      <c r="R41" s="28">
        <v>1</v>
      </c>
      <c r="S41" s="32">
        <v>7.5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2</v>
      </c>
      <c r="F42" s="30">
        <f>SUM(F39:F41)</f>
        <v>1.2530000000000001</v>
      </c>
      <c r="G42" s="62"/>
      <c r="H42" s="11"/>
      <c r="I42" s="23">
        <f>SUM(I39:I41)</f>
        <v>1</v>
      </c>
      <c r="J42" s="30">
        <f>SUM(J39:J41)</f>
        <v>0.75</v>
      </c>
      <c r="K42" s="11"/>
      <c r="L42" s="23">
        <f>SUM(L39:L41)</f>
        <v>3</v>
      </c>
      <c r="M42" s="30">
        <f>SUM(M39:M41)</f>
        <v>21.5</v>
      </c>
      <c r="N42" s="11"/>
      <c r="O42" s="23">
        <f>SUM(O39:O41)</f>
        <v>6</v>
      </c>
      <c r="P42" s="30">
        <f>SUM(P39:P41)</f>
        <v>23.503</v>
      </c>
      <c r="Q42" s="11"/>
      <c r="R42" s="23">
        <f>SUM(R39:R41)</f>
        <v>1</v>
      </c>
      <c r="S42" s="30">
        <f>SUM(S39:S41)</f>
        <v>7.5</v>
      </c>
      <c r="T42" s="11"/>
    </row>
    <row r="43" spans="1:20" s="14" customFormat="1" x14ac:dyDescent="0.3">
      <c r="A43" s="46" t="s">
        <v>19</v>
      </c>
      <c r="B43" s="31"/>
      <c r="C43" s="30">
        <v>7.7</v>
      </c>
      <c r="D43" s="10"/>
      <c r="E43" s="31"/>
      <c r="F43" s="77">
        <f>+'[1]Hotlist - Completed'!$C$63/1000</f>
        <v>7.7119999999999997</v>
      </c>
      <c r="G43" s="62"/>
      <c r="H43" s="10"/>
      <c r="I43" s="31"/>
      <c r="J43" s="30">
        <f>+'[1]Hotlist - Identified '!$F$99/1000</f>
        <v>7.7119999999999997</v>
      </c>
      <c r="K43" s="10"/>
      <c r="L43" s="31"/>
      <c r="M43" s="30">
        <f>+'[1]Hotlist - Identified '!$I$99/1000</f>
        <v>7.7119999999999997</v>
      </c>
      <c r="N43" s="10"/>
      <c r="O43" s="31"/>
      <c r="P43" s="30">
        <f>+M43+J43+F43+C43</f>
        <v>30.835999999999999</v>
      </c>
      <c r="Q43" s="10"/>
      <c r="R43" s="31"/>
      <c r="S43" s="30">
        <f>+'[1]Hotlist - Identified '!$O$99/1000</f>
        <v>10.411200000000001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0</v>
      </c>
      <c r="C44" s="100"/>
      <c r="D44" s="38"/>
      <c r="E44" s="99">
        <f>+F42/F43</f>
        <v>0.16247406639004153</v>
      </c>
      <c r="F44" s="100"/>
      <c r="G44" s="63"/>
      <c r="H44" s="38"/>
      <c r="I44" s="99">
        <f>+J42/J43</f>
        <v>9.7251037344398342E-2</v>
      </c>
      <c r="J44" s="100"/>
      <c r="K44" s="38"/>
      <c r="L44" s="99">
        <f>+M42/M43</f>
        <v>2.7878630705394194</v>
      </c>
      <c r="M44" s="100"/>
      <c r="N44" s="38"/>
      <c r="O44" s="99">
        <f>+P42/P43</f>
        <v>0.76219354001816064</v>
      </c>
      <c r="P44" s="100"/>
      <c r="Q44" s="38"/>
      <c r="R44" s="99">
        <f>+S42/S43</f>
        <v>0.72037805440295055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48</v>
      </c>
    </row>
    <row r="3" spans="1:16" ht="30" x14ac:dyDescent="0.5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3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1</v>
      </c>
      <c r="F13" s="17">
        <f t="shared" si="0"/>
        <v>4</v>
      </c>
      <c r="G13" s="17">
        <f t="shared" si="0"/>
        <v>4</v>
      </c>
      <c r="H13" s="17">
        <f t="shared" si="0"/>
        <v>4</v>
      </c>
      <c r="I13" s="17">
        <f t="shared" si="0"/>
        <v>9</v>
      </c>
      <c r="J13" s="17">
        <f t="shared" si="0"/>
        <v>9</v>
      </c>
      <c r="K13" s="17">
        <f t="shared" si="0"/>
        <v>9</v>
      </c>
      <c r="L13" s="17">
        <f t="shared" si="0"/>
        <v>9</v>
      </c>
      <c r="M13" s="73">
        <f t="shared" si="0"/>
        <v>10</v>
      </c>
      <c r="N13" s="17"/>
      <c r="O13" s="17"/>
    </row>
    <row r="14" spans="1:16" x14ac:dyDescent="0.3">
      <c r="A14" s="4" t="s">
        <v>1</v>
      </c>
      <c r="C14" s="17">
        <v>1</v>
      </c>
      <c r="D14" s="17">
        <v>0</v>
      </c>
      <c r="E14" s="17">
        <v>3</v>
      </c>
      <c r="F14" s="17">
        <v>0</v>
      </c>
      <c r="G14" s="17">
        <v>0</v>
      </c>
      <c r="H14" s="17">
        <v>5</v>
      </c>
      <c r="I14" s="17">
        <v>0</v>
      </c>
      <c r="J14" s="17">
        <v>0</v>
      </c>
      <c r="K14" s="17">
        <v>0</v>
      </c>
      <c r="L14" s="17">
        <v>1</v>
      </c>
      <c r="M14" s="73">
        <v>0</v>
      </c>
      <c r="N14" s="17"/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3">
        <v>1</v>
      </c>
      <c r="N15" s="17"/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1</v>
      </c>
      <c r="N16" s="17"/>
      <c r="O16" s="17"/>
      <c r="P16" s="66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1</v>
      </c>
      <c r="E17" s="18">
        <f t="shared" si="1"/>
        <v>4</v>
      </c>
      <c r="F17" s="18">
        <f t="shared" si="1"/>
        <v>4</v>
      </c>
      <c r="G17" s="18">
        <f t="shared" si="1"/>
        <v>4</v>
      </c>
      <c r="H17" s="18">
        <f t="shared" si="1"/>
        <v>9</v>
      </c>
      <c r="I17" s="18">
        <f t="shared" si="1"/>
        <v>9</v>
      </c>
      <c r="J17" s="18">
        <f t="shared" si="1"/>
        <v>9</v>
      </c>
      <c r="K17" s="18">
        <f t="shared" si="1"/>
        <v>9</v>
      </c>
      <c r="L17" s="18">
        <f t="shared" si="1"/>
        <v>10</v>
      </c>
      <c r="M17" s="74">
        <f t="shared" si="1"/>
        <v>8</v>
      </c>
      <c r="N17" s="18">
        <f t="shared" si="1"/>
        <v>0</v>
      </c>
      <c r="O17" s="18">
        <f t="shared" si="1"/>
        <v>0</v>
      </c>
      <c r="P17" s="66"/>
    </row>
    <row r="18" spans="1:19" ht="14.4" thickTop="1" x14ac:dyDescent="0.3">
      <c r="M18" s="75"/>
    </row>
    <row r="19" spans="1:19" hidden="1" x14ac:dyDescent="0.3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100.5</v>
      </c>
      <c r="D29" s="10">
        <f>+D27/E17</f>
        <v>28.7</v>
      </c>
      <c r="E29" s="10">
        <f>+E27/F17</f>
        <v>25.7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3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2.1000000000000001E-2</v>
      </c>
      <c r="G39" s="59">
        <v>2.1000000000000001E-2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2.1000000000000001E-2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0</v>
      </c>
      <c r="D40" s="9"/>
      <c r="E40" s="26"/>
      <c r="F40" s="64">
        <v>2E-3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2E-3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2</v>
      </c>
      <c r="J41" s="71">
        <v>0</v>
      </c>
      <c r="K41" s="69"/>
      <c r="L41" s="72">
        <v>4</v>
      </c>
      <c r="M41" s="71">
        <v>34</v>
      </c>
      <c r="N41" s="9"/>
      <c r="O41" s="28">
        <f>+L41+I41+E41+B41</f>
        <v>6</v>
      </c>
      <c r="P41" s="32">
        <f>+M41+J41+F41+C41</f>
        <v>34</v>
      </c>
      <c r="Q41" s="9"/>
      <c r="R41" s="28">
        <v>2</v>
      </c>
      <c r="S41" s="32">
        <v>4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</v>
      </c>
      <c r="F42" s="30">
        <f>SUM(F39:F41)</f>
        <v>2.3E-2</v>
      </c>
      <c r="G42" s="55"/>
      <c r="H42" s="11"/>
      <c r="I42" s="23">
        <f>SUM(I39:I41)</f>
        <v>2</v>
      </c>
      <c r="J42" s="30">
        <f>SUM(J39:J41)</f>
        <v>0</v>
      </c>
      <c r="K42" s="11"/>
      <c r="L42" s="23">
        <f>SUM(L39:L41)</f>
        <v>4</v>
      </c>
      <c r="M42" s="30">
        <f>SUM(M39:M41)</f>
        <v>34</v>
      </c>
      <c r="N42" s="11"/>
      <c r="O42" s="23">
        <f>SUM(O39:O41)</f>
        <v>7</v>
      </c>
      <c r="P42" s="30">
        <f>SUM(P39:P41)</f>
        <v>34.023000000000003</v>
      </c>
      <c r="Q42" s="11"/>
      <c r="R42" s="23">
        <f>SUM(R39:R41)</f>
        <v>2</v>
      </c>
      <c r="S42" s="30">
        <f>SUM(S39:S41)</f>
        <v>4</v>
      </c>
      <c r="T42" s="11"/>
    </row>
    <row r="43" spans="1:20" s="14" customFormat="1" x14ac:dyDescent="0.3">
      <c r="A43" s="46" t="s">
        <v>19</v>
      </c>
      <c r="B43" s="31"/>
      <c r="C43" s="30">
        <v>4.7</v>
      </c>
      <c r="D43" s="10"/>
      <c r="E43" s="31"/>
      <c r="F43" s="77">
        <f>+'[1]Hotlist - Completed'!$I$11/1000</f>
        <v>4.6559999999999997</v>
      </c>
      <c r="G43" s="55"/>
      <c r="H43" s="10"/>
      <c r="I43" s="31"/>
      <c r="J43" s="30">
        <f>+'[1]Hotlist - Identified '!$F$107/1000</f>
        <v>4.6559999999999997</v>
      </c>
      <c r="K43" s="10"/>
      <c r="L43" s="31"/>
      <c r="M43" s="30">
        <f>+'[1]Hotlist - Identified '!$I$107/1000</f>
        <v>4.6559999999999997</v>
      </c>
      <c r="N43" s="10"/>
      <c r="O43" s="31"/>
      <c r="P43" s="30">
        <f>+M43+J43+F43+C43</f>
        <v>18.667999999999999</v>
      </c>
      <c r="Q43" s="10"/>
      <c r="R43" s="31"/>
      <c r="S43" s="30">
        <f>+'[1]Hotlist - Identified '!$O$107/1000</f>
        <v>6.2856000000000005</v>
      </c>
      <c r="T43" s="10"/>
    </row>
    <row r="44" spans="1:20" s="5" customFormat="1" ht="18.600000000000001" thickBot="1" x14ac:dyDescent="0.4">
      <c r="A44" s="5" t="s">
        <v>31</v>
      </c>
      <c r="B44" s="99">
        <f>+C42/C43</f>
        <v>0</v>
      </c>
      <c r="C44" s="100"/>
      <c r="D44" s="38"/>
      <c r="E44" s="99">
        <f>+F42/F43</f>
        <v>4.9398625429553271E-3</v>
      </c>
      <c r="F44" s="100"/>
      <c r="G44" s="56"/>
      <c r="H44" s="38"/>
      <c r="I44" s="99">
        <f>+J42/J43</f>
        <v>0</v>
      </c>
      <c r="J44" s="100"/>
      <c r="K44" s="38"/>
      <c r="L44" s="99">
        <f>+M42/M43</f>
        <v>7.3024054982817876</v>
      </c>
      <c r="M44" s="100"/>
      <c r="N44" s="38"/>
      <c r="O44" s="99">
        <f>+P42/P43</f>
        <v>1.8225305335333193</v>
      </c>
      <c r="P44" s="100"/>
      <c r="Q44" s="38"/>
      <c r="R44" s="99">
        <f>+S42/S43</f>
        <v>0.63637520682194215</v>
      </c>
      <c r="S44" s="100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5" t="s">
        <v>40</v>
      </c>
      <c r="B46" s="95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 Upstream Originations</vt:lpstr>
      <vt:lpstr>HPL&amp;LRC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Havlíček Jan</cp:lastModifiedBy>
  <cp:lastPrinted>2000-06-16T17:21:10Z</cp:lastPrinted>
  <dcterms:created xsi:type="dcterms:W3CDTF">2000-05-01T16:06:07Z</dcterms:created>
  <dcterms:modified xsi:type="dcterms:W3CDTF">2023-09-10T15:24:33Z</dcterms:modified>
</cp:coreProperties>
</file>