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eekly Report" sheetId="9" r:id="rId1"/>
    <sheet name="Data" sheetId="7" state="hidden" r:id="rId2"/>
    <sheet name="EIM New Deals" sheetId="12" state="hidden" r:id="rId3"/>
    <sheet name="WE 2-22 EOL Data" sheetId="16" state="hidden" r:id="rId4"/>
    <sheet name="WE 2-28 EOL Data" sheetId="17" state="hidden" r:id="rId5"/>
    <sheet name="WE 3-7 EOL Data" sheetId="18" state="hidden" r:id="rId6"/>
    <sheet name="WE 2-15 EOL Data" sheetId="14" state="hidden" r:id="rId7"/>
    <sheet name="WE 2-8 EOL Data" sheetId="13" state="hidden" r:id="rId8"/>
    <sheet name="WE 3-14 EOL Data" sheetId="19" state="hidden" r:id="rId9"/>
    <sheet name="WE 3-21 EOL Data" sheetId="20" state="hidden" r:id="rId10"/>
    <sheet name="WE 3-28 EOL Data" sheetId="21" state="hidden" r:id="rId11"/>
    <sheet name="WE 2-1 EOL Data" sheetId="11" state="hidden" r:id="rId12"/>
    <sheet name="template from individuals" sheetId="3" state="hidden" r:id="rId13"/>
    <sheet name="template from eol" sheetId="10" state="hidden" r:id="rId14"/>
    <sheet name="Data People" sheetId="1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1" hidden="1">Data!$A$78:$G$102</definedName>
    <definedName name="DATARANGE">[3]DATA!$A$3:$Y$93</definedName>
    <definedName name="DATE">[3]DATA!$C$1</definedName>
    <definedName name="_xlnm.Print_Area" localSheetId="1">Data!$E$10:$T$70</definedName>
    <definedName name="_xlnm.Print_Area" localSheetId="2">'EIM New Deals'!$T$1:$AA$33</definedName>
    <definedName name="_xlnm.Print_Area" localSheetId="12">'template from individuals'!$A$1:$I$33</definedName>
    <definedName name="_xlnm.Print_Area" localSheetId="0">'Weekly Report'!$A$1:$W$87</definedName>
    <definedName name="_xlnm.Print_Titles" localSheetId="2">'EIM New Deals'!$A:$A</definedName>
    <definedName name="SUMM_ALLOC">[3]ALLOCATION!$A$6:$C$48</definedName>
  </definedNames>
  <calcPr calcId="92512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L12" i="7"/>
  <c r="M12" i="7"/>
  <c r="N12" i="7"/>
  <c r="O12" i="7"/>
  <c r="P12" i="7"/>
  <c r="Q12" i="7"/>
  <c r="R12" i="7"/>
  <c r="K13" i="7"/>
  <c r="L13" i="7"/>
  <c r="M13" i="7"/>
  <c r="N13" i="7"/>
  <c r="O13" i="7"/>
  <c r="P13" i="7"/>
  <c r="Q13" i="7"/>
  <c r="R13" i="7"/>
  <c r="K14" i="7"/>
  <c r="L14" i="7"/>
  <c r="M14" i="7"/>
  <c r="N14" i="7"/>
  <c r="O14" i="7"/>
  <c r="P14" i="7"/>
  <c r="Q14" i="7"/>
  <c r="R14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K16" i="7"/>
  <c r="L16" i="7"/>
  <c r="M16" i="7"/>
  <c r="N16" i="7"/>
  <c r="O16" i="7"/>
  <c r="P16" i="7"/>
  <c r="Q16" i="7"/>
  <c r="R16" i="7"/>
  <c r="K17" i="7"/>
  <c r="L17" i="7"/>
  <c r="M17" i="7"/>
  <c r="N17" i="7"/>
  <c r="O17" i="7"/>
  <c r="P17" i="7"/>
  <c r="Q17" i="7"/>
  <c r="R17" i="7"/>
  <c r="K18" i="7"/>
  <c r="L18" i="7"/>
  <c r="M18" i="7"/>
  <c r="N18" i="7"/>
  <c r="O18" i="7"/>
  <c r="P18" i="7"/>
  <c r="Q18" i="7"/>
  <c r="R18" i="7"/>
  <c r="K19" i="7"/>
  <c r="L19" i="7"/>
  <c r="M19" i="7"/>
  <c r="N19" i="7"/>
  <c r="O19" i="7"/>
  <c r="P19" i="7"/>
  <c r="Q19" i="7"/>
  <c r="R19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K21" i="7"/>
  <c r="L21" i="7"/>
  <c r="M21" i="7"/>
  <c r="N21" i="7"/>
  <c r="O21" i="7"/>
  <c r="P21" i="7"/>
  <c r="Q21" i="7"/>
  <c r="R21" i="7"/>
  <c r="K22" i="7"/>
  <c r="L22" i="7"/>
  <c r="M22" i="7"/>
  <c r="N22" i="7"/>
  <c r="O22" i="7"/>
  <c r="P22" i="7"/>
  <c r="Q22" i="7"/>
  <c r="R22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K24" i="7"/>
  <c r="L24" i="7"/>
  <c r="M24" i="7"/>
  <c r="N24" i="7"/>
  <c r="O24" i="7"/>
  <c r="P24" i="7"/>
  <c r="Q24" i="7"/>
  <c r="R24" i="7"/>
  <c r="K25" i="7"/>
  <c r="L25" i="7"/>
  <c r="M25" i="7"/>
  <c r="N25" i="7"/>
  <c r="O25" i="7"/>
  <c r="P25" i="7"/>
  <c r="Q25" i="7"/>
  <c r="R25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K27" i="7"/>
  <c r="L27" i="7"/>
  <c r="M27" i="7"/>
  <c r="N27" i="7"/>
  <c r="O27" i="7"/>
  <c r="P27" i="7"/>
  <c r="Q27" i="7"/>
  <c r="R27" i="7"/>
  <c r="K28" i="7"/>
  <c r="L28" i="7"/>
  <c r="M28" i="7"/>
  <c r="N28" i="7"/>
  <c r="O28" i="7"/>
  <c r="P28" i="7"/>
  <c r="Q28" i="7"/>
  <c r="R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K30" i="7"/>
  <c r="L30" i="7"/>
  <c r="M30" i="7"/>
  <c r="N30" i="7"/>
  <c r="O30" i="7"/>
  <c r="P30" i="7"/>
  <c r="Q30" i="7"/>
  <c r="R30" i="7"/>
  <c r="K31" i="7"/>
  <c r="L31" i="7"/>
  <c r="M31" i="7"/>
  <c r="N31" i="7"/>
  <c r="O31" i="7"/>
  <c r="P31" i="7"/>
  <c r="Q31" i="7"/>
  <c r="R31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K33" i="7"/>
  <c r="L33" i="7"/>
  <c r="M33" i="7"/>
  <c r="N33" i="7"/>
  <c r="O33" i="7"/>
  <c r="P33" i="7"/>
  <c r="Q33" i="7"/>
  <c r="R33" i="7"/>
  <c r="K34" i="7"/>
  <c r="L34" i="7"/>
  <c r="M34" i="7"/>
  <c r="N34" i="7"/>
  <c r="O34" i="7"/>
  <c r="P34" i="7"/>
  <c r="Q34" i="7"/>
  <c r="R34" i="7"/>
  <c r="K35" i="7"/>
  <c r="L35" i="7"/>
  <c r="M35" i="7"/>
  <c r="N35" i="7"/>
  <c r="O35" i="7"/>
  <c r="P35" i="7"/>
  <c r="Q35" i="7"/>
  <c r="R35" i="7"/>
  <c r="K36" i="7"/>
  <c r="L36" i="7"/>
  <c r="M36" i="7"/>
  <c r="N36" i="7"/>
  <c r="O36" i="7"/>
  <c r="P36" i="7"/>
  <c r="Q36" i="7"/>
  <c r="R36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K38" i="7"/>
  <c r="L38" i="7"/>
  <c r="M38" i="7"/>
  <c r="N38" i="7"/>
  <c r="O38" i="7"/>
  <c r="P38" i="7"/>
  <c r="Q38" i="7"/>
  <c r="R38" i="7"/>
  <c r="K39" i="7"/>
  <c r="L39" i="7"/>
  <c r="M39" i="7"/>
  <c r="N39" i="7"/>
  <c r="O39" i="7"/>
  <c r="P39" i="7"/>
  <c r="Q39" i="7"/>
  <c r="R39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K41" i="7"/>
  <c r="L41" i="7"/>
  <c r="M41" i="7"/>
  <c r="N41" i="7"/>
  <c r="O41" i="7"/>
  <c r="P41" i="7"/>
  <c r="Q41" i="7"/>
  <c r="R41" i="7"/>
  <c r="K42" i="7"/>
  <c r="L42" i="7"/>
  <c r="M42" i="7"/>
  <c r="N42" i="7"/>
  <c r="O42" i="7"/>
  <c r="P42" i="7"/>
  <c r="Q42" i="7"/>
  <c r="R42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K44" i="7"/>
  <c r="L44" i="7"/>
  <c r="M44" i="7"/>
  <c r="N44" i="7"/>
  <c r="O44" i="7"/>
  <c r="P44" i="7"/>
  <c r="Q44" i="7"/>
  <c r="R44" i="7"/>
  <c r="K45" i="7"/>
  <c r="L45" i="7"/>
  <c r="M45" i="7"/>
  <c r="N45" i="7"/>
  <c r="O45" i="7"/>
  <c r="P45" i="7"/>
  <c r="Q45" i="7"/>
  <c r="R45" i="7"/>
  <c r="F46" i="7"/>
  <c r="J46" i="7"/>
  <c r="K46" i="7"/>
  <c r="L46" i="7"/>
  <c r="M46" i="7"/>
  <c r="N46" i="7"/>
  <c r="O46" i="7"/>
  <c r="P46" i="7"/>
  <c r="Q46" i="7"/>
  <c r="R46" i="7"/>
  <c r="K47" i="7"/>
  <c r="L47" i="7"/>
  <c r="M47" i="7"/>
  <c r="N47" i="7"/>
  <c r="O47" i="7"/>
  <c r="P47" i="7"/>
  <c r="Q47" i="7"/>
  <c r="R47" i="7"/>
  <c r="K48" i="7"/>
  <c r="L48" i="7"/>
  <c r="M48" i="7"/>
  <c r="N48" i="7"/>
  <c r="O48" i="7"/>
  <c r="P48" i="7"/>
  <c r="Q48" i="7"/>
  <c r="R48" i="7"/>
  <c r="K49" i="7"/>
  <c r="L49" i="7"/>
  <c r="M49" i="7"/>
  <c r="N49" i="7"/>
  <c r="O49" i="7"/>
  <c r="P49" i="7"/>
  <c r="Q49" i="7"/>
  <c r="R49" i="7"/>
  <c r="K52" i="7"/>
  <c r="L52" i="7"/>
  <c r="M52" i="7"/>
  <c r="N52" i="7"/>
  <c r="O52" i="7"/>
  <c r="P52" i="7"/>
  <c r="Q52" i="7"/>
  <c r="R52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K55" i="7"/>
  <c r="L55" i="7"/>
  <c r="M55" i="7"/>
  <c r="N55" i="7"/>
  <c r="O55" i="7"/>
  <c r="P55" i="7"/>
  <c r="Q55" i="7"/>
  <c r="R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K61" i="7"/>
  <c r="L61" i="7"/>
  <c r="M61" i="7"/>
  <c r="N61" i="7"/>
  <c r="O61" i="7"/>
  <c r="P61" i="7"/>
  <c r="Q61" i="7"/>
  <c r="R61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H64" i="7"/>
  <c r="I64" i="7"/>
  <c r="J64" i="7"/>
  <c r="K64" i="7"/>
  <c r="L64" i="7"/>
  <c r="M64" i="7"/>
  <c r="N64" i="7"/>
  <c r="O64" i="7"/>
  <c r="P64" i="7"/>
  <c r="Q64" i="7"/>
  <c r="R64" i="7"/>
  <c r="J65" i="7"/>
  <c r="K65" i="7"/>
  <c r="L65" i="7"/>
  <c r="M65" i="7"/>
  <c r="N65" i="7"/>
  <c r="O65" i="7"/>
  <c r="P65" i="7"/>
  <c r="Q65" i="7"/>
  <c r="R65" i="7"/>
  <c r="J66" i="7"/>
  <c r="K66" i="7"/>
  <c r="L66" i="7"/>
  <c r="M66" i="7"/>
  <c r="N66" i="7"/>
  <c r="O66" i="7"/>
  <c r="P66" i="7"/>
  <c r="Q66" i="7"/>
  <c r="R66" i="7"/>
  <c r="E79" i="7"/>
  <c r="E87" i="7"/>
  <c r="E95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B6" i="14"/>
  <c r="C6" i="14"/>
  <c r="B7" i="14"/>
  <c r="C7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6" i="14"/>
  <c r="C16" i="14"/>
  <c r="B17" i="14"/>
  <c r="C17" i="14"/>
  <c r="B29" i="14"/>
  <c r="C29" i="14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C58" i="14"/>
  <c r="B25" i="16"/>
  <c r="B45" i="16"/>
  <c r="C55" i="16"/>
  <c r="C58" i="16"/>
  <c r="B6" i="13"/>
  <c r="C6" i="13"/>
  <c r="B7" i="13"/>
  <c r="C7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J14" i="9"/>
  <c r="K14" i="9"/>
  <c r="L14" i="9"/>
  <c r="M14" i="9"/>
  <c r="N14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J21" i="9"/>
  <c r="K21" i="9"/>
  <c r="L21" i="9"/>
  <c r="M21" i="9"/>
  <c r="N21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</calcChain>
</file>

<file path=xl/sharedStrings.xml><?xml version="1.0" encoding="utf-8"?>
<sst xmlns="http://schemas.openxmlformats.org/spreadsheetml/2006/main" count="1373" uniqueCount="202">
  <si>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</si>
  <si>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</si>
  <si>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</si>
  <si>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</si>
  <si>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</si>
  <si>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</si>
  <si>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</si>
  <si>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</si>
  <si>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</si>
  <si>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</si>
  <si>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</si>
  <si>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</si>
  <si>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</si>
  <si>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</si>
  <si>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</si>
  <si>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</si>
  <si>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</si>
  <si>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</si>
  <si>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</si>
  <si>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</si>
  <si>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</si>
  <si>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</si>
  <si>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</si>
  <si>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</si>
  <si>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</si>
  <si>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</si>
  <si>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</si>
  <si>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</si>
  <si>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</si>
  <si>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</si>
  <si>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</si>
  <si>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</si>
  <si>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</si>
  <si>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</si>
  <si>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</si>
  <si>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</si>
  <si>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</si>
  <si>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</si>
  <si>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</si>
  <si>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</si>
  <si>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</si>
  <si>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</si>
  <si>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</si>
  <si>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</si>
  <si>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</si>
  <si>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</si>
  <si>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</si>
  <si>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</si>
  <si>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</si>
  <si>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</si>
  <si>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</si>
  <si>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</si>
  <si>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</si>
  <si>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</si>
  <si>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</si>
  <si>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</si>
  <si>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</si>
  <si>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</si>
  <si>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</si>
  <si>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</si>
  <si>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</si>
  <si>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</si>
  <si>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</si>
  <si>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</si>
  <si>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</si>
  <si>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</si>
  <si>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</si>
  <si>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</si>
  <si>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</si>
  <si>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</si>
  <si>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</si>
  <si>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</si>
  <si>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</si>
  <si>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</si>
  <si>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</si>
  <si>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</si>
  <si>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</si>
  <si>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</si>
  <si>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</si>
  <si>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</si>
  <si>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</si>
  <si>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</si>
  <si>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</si>
  <si>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</si>
  <si>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</si>
  <si>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</si>
  <si>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</si>
  <si>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</si>
  <si>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</si>
  <si>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</si>
  <si>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</si>
  <si>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</si>
  <si>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</si>
  <si>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</si>
  <si>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</si>
  <si>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</si>
  <si>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</si>
  <si>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</si>
  <si>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</si>
  <si>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</si>
  <si>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</si>
  <si>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</si>
  <si>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</si>
  <si>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</si>
  <si>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</si>
  <si>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</si>
  <si>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</si>
  <si>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</si>
  <si>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</si>
  <si>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</si>
  <si>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</si>
  <si>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</si>
  <si>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</si>
  <si>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</si>
  <si>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</si>
  <si>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</si>
  <si>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</si>
  <si>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</si>
  <si>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</si>
  <si>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</si>
  <si>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</si>
  <si>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</si>
  <si>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</si>
  <si>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</si>
  <si>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</si>
  <si>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</si>
  <si>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</si>
  <si>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</si>
  <si>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</si>
  <si>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</si>
  <si>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</si>
  <si>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</si>
  <si>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</si>
  <si>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</si>
  <si>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</si>
  <si>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</si>
  <si>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</si>
  <si>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</si>
  <si>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</si>
  <si>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</si>
  <si>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</si>
  <si>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</si>
  <si>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</si>
  <si>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</si>
  <si>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</si>
  <si>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</si>
  <si>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</si>
  <si>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</si>
  <si>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</si>
  <si>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</si>
  <si>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</si>
  <si>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</si>
  <si>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</si>
  <si>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r>
      <t xml:space="preserve">2/23-2/28 </t>
    </r>
    <r>
      <rPr>
        <b/>
        <vertAlign val="superscript"/>
        <sz val="12"/>
        <rFont val="Arial"/>
        <family val="2"/>
      </rPr>
      <t>(1)</t>
    </r>
  </si>
  <si>
    <t>3/1 - 3/7</t>
  </si>
  <si>
    <t>3/1-3/7</t>
  </si>
  <si>
    <t>Week ending 3/07</t>
  </si>
  <si>
    <t>Operational Risk:</t>
  </si>
  <si>
    <t>Commercialization of Services: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</si>
  <si>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</si>
  <si>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</si>
  <si>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</si>
  <si>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</si>
  <si>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</si>
  <si>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</si>
  <si>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r>
      <t xml:space="preserve">EIM Total* </t>
    </r>
    <r>
      <rPr>
        <b/>
        <sz val="10"/>
        <rFont val="Arial"/>
        <family val="2"/>
      </rPr>
      <t>(Tonne)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</si>
  <si>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</si>
  <si>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</si>
  <si>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</si>
  <si>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</si>
  <si>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</si>
  <si>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</si>
  <si>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</si>
  <si>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</si>
  <si>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</si>
  <si>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3/8-3/14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</si>
  <si>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</si>
  <si>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</si>
  <si>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</si>
  <si>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</si>
  <si>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</si>
  <si>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</si>
  <si>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</si>
  <si>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</si>
  <si>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</si>
  <si>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</si>
  <si>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</si>
  <si>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</si>
  <si>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</si>
  <si>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3/15-3/21</t>
  </si>
  <si>
    <t>Week ending 3/21</t>
  </si>
  <si>
    <t>3/22 - 3/28</t>
  </si>
  <si>
    <t>3/22-3/28</t>
  </si>
  <si>
    <t xml:space="preserve">  transition protocol.</t>
  </si>
  <si>
    <t>-  Planning session with East Power commercial for volume</t>
  </si>
  <si>
    <t xml:space="preserve">  management system.</t>
  </si>
  <si>
    <t>-  Meeting with CMS re: Services.</t>
  </si>
  <si>
    <t xml:space="preserve">-  HPL Divestiture - work on cash account amendment and </t>
  </si>
  <si>
    <t xml:space="preserve">-  Continuing work on pricing desk, origination offsite, </t>
  </si>
  <si>
    <t xml:space="preserve">  revenue model, quantification of start up costs, quick</t>
  </si>
  <si>
    <t xml:space="preserve">  hit list and marketing tools / plan / staff.</t>
  </si>
  <si>
    <t>Week ending 3/28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</si>
</sst>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vertAlign val="superscript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165" fontId="6" fillId="0" borderId="6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7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6" xfId="0" applyFont="1" applyBorder="1" applyAlignment="1">
      <alignment horizontal="left"/>
    </xf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5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165" fontId="11" fillId="0" borderId="6" xfId="1" applyNumberFormat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0" fillId="0" borderId="7" xfId="0" applyBorder="1"/>
    <xf numFmtId="0" fontId="0" fillId="5" borderId="29" xfId="0" applyFill="1" applyBorder="1"/>
    <xf numFmtId="0" fontId="0" fillId="2" borderId="19" xfId="0" applyFill="1" applyBorder="1"/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165" fontId="11" fillId="0" borderId="6" xfId="1" quotePrefix="1" applyNumberFormat="1" applyFont="1" applyBorder="1"/>
    <xf numFmtId="165" fontId="11" fillId="0" borderId="6" xfId="1" quotePrefix="1" applyNumberFormat="1" applyFont="1" applyBorder="1" applyAlignment="1">
      <alignment horizontal="left" indent="2"/>
    </xf>
    <xf numFmtId="0" fontId="8" fillId="0" borderId="2" xfId="0" applyFont="1" applyBorder="1"/>
    <xf numFmtId="9" fontId="0" fillId="0" borderId="0" xfId="2" applyFont="1" applyAlignment="1">
      <alignment horizontal="right"/>
    </xf>
    <xf numFmtId="165" fontId="11" fillId="0" borderId="6" xfId="1" applyNumberFormat="1" applyFont="1" applyBorder="1" applyAlignment="1">
      <alignment horizontal="left" indent="3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165" fontId="11" fillId="0" borderId="10" xfId="1" applyNumberFormat="1" applyFont="1" applyBorder="1"/>
    <xf numFmtId="165" fontId="11" fillId="0" borderId="6" xfId="1" quotePrefix="1" applyNumberFormat="1" applyFont="1" applyBorder="1" applyAlignment="1">
      <alignment horizontal="left" indent="3"/>
    </xf>
    <xf numFmtId="43" fontId="0" fillId="0" borderId="0" xfId="0" applyNumberFormat="1" applyFill="1"/>
    <xf numFmtId="165" fontId="2" fillId="0" borderId="0" xfId="0" applyNumberFormat="1" applyFont="1" applyFill="1"/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8106283908561045"/>
          <c:y val="3.15091720906730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831511321190111E-2"/>
          <c:y val="0.1459372181041701"/>
          <c:w val="0.89607503978919312"/>
          <c:h val="0.7263693355639374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Data!$E$20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404189272374028"/>
                  <c:y val="0.80265469957293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C7-40D8-B71C-F3FE58A8B6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570491536612048"/>
                  <c:y val="0.794362812180652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C7-40D8-B71C-F3FE58A8B6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274899450443273"/>
                  <c:y val="0.76119526261152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C7-40D8-B71C-F3FE58A8B6B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672148889884692"/>
                  <c:y val="0.7860709247883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C7-40D8-B71C-F3FE58A8B6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722977566521012"/>
                  <c:y val="0.76451201756843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C7-40D8-B71C-F3FE58A8B6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Data!$N$20:$R$20</c:f>
              <c:numCache>
                <c:formatCode>#,##0</c:formatCode>
                <c:ptCount val="5"/>
                <c:pt idx="0">
                  <c:v>102</c:v>
                </c:pt>
                <c:pt idx="1">
                  <c:v>174</c:v>
                </c:pt>
                <c:pt idx="2">
                  <c:v>596</c:v>
                </c:pt>
                <c:pt idx="3">
                  <c:v>306</c:v>
                </c:pt>
                <c:pt idx="4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7-40D8-B71C-F3FE58A8B6B9}"/>
            </c:ext>
          </c:extLst>
        </c:ser>
        <c:ser>
          <c:idx val="1"/>
          <c:order val="1"/>
          <c:tx>
            <c:strRef>
              <c:f>Data!$E$23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8152486029908959"/>
                  <c:y val="0.4809294687523786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C7-40D8-B71C-F3FE58A8B6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485090558384997"/>
                  <c:y val="0.5058051309292258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C7-40D8-B71C-F3FE58A8B6B9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Data!$N$23:$R$23</c:f>
              <c:numCache>
                <c:formatCode>#,##0</c:formatCode>
                <c:ptCount val="5"/>
                <c:pt idx="0">
                  <c:v>2593</c:v>
                </c:pt>
                <c:pt idx="1">
                  <c:v>3101</c:v>
                </c:pt>
                <c:pt idx="2">
                  <c:v>3017</c:v>
                </c:pt>
                <c:pt idx="3">
                  <c:v>2897</c:v>
                </c:pt>
                <c:pt idx="4">
                  <c:v>2820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7-40D8-B71C-F3FE58A8B6B9}"/>
            </c:ext>
          </c:extLst>
        </c:ser>
        <c:ser>
          <c:idx val="2"/>
          <c:order val="2"/>
          <c:tx>
            <c:strRef>
              <c:f>Data!$E$26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750610035179128"/>
                  <c:y val="0.36484304526042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C7-40D8-B71C-F3FE58A8B6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032385887018853"/>
                  <c:y val="0.27694903890223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C7-40D8-B71C-F3FE58A8B6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852267388451761"/>
                  <c:y val="0.2122723172424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C7-40D8-B71C-F3FE58A8B6B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018569652689781"/>
                  <c:y val="0.29684956864370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C7-40D8-B71C-F3FE58A8B6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339607792944799"/>
                  <c:y val="0.26368201907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C7-40D8-B71C-F3FE58A8B6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Data!$N$26:$R$26</c:f>
              <c:numCache>
                <c:formatCode>#,##0</c:formatCode>
                <c:ptCount val="5"/>
                <c:pt idx="0">
                  <c:v>12</c:v>
                </c:pt>
                <c:pt idx="1">
                  <c:v>36</c:v>
                </c:pt>
                <c:pt idx="2">
                  <c:v>20</c:v>
                </c:pt>
                <c:pt idx="3">
                  <c:v>33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C7-40D8-B71C-F3FE58A8B6B9}"/>
            </c:ext>
          </c:extLst>
        </c:ser>
        <c:ser>
          <c:idx val="3"/>
          <c:order val="3"/>
          <c:tx>
            <c:strRef>
              <c:f>Data!$E$29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510409749398916"/>
                  <c:y val="0.37147655517425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C7-40D8-B71C-F3FE58A8B6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099344075628431"/>
                  <c:y val="0.27694903890223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C7-40D8-B71C-F3FE58A8B6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381119927468155"/>
                  <c:y val="0.22885609202699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C7-40D8-B71C-F3FE58A8B6B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0739107078494281"/>
                  <c:y val="0.293532813686796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4C7-40D8-B71C-F3FE58A8B6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482777280740789"/>
                  <c:y val="0.268657151509949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C7-40D8-B71C-F3FE58A8B6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Data!$N$29:$R$29</c:f>
              <c:numCache>
                <c:formatCode>#,##0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11</c:v>
                </c:pt>
                <c:pt idx="3">
                  <c:v>17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4C7-40D8-B71C-F3FE58A8B6B9}"/>
            </c:ext>
          </c:extLst>
        </c:ser>
        <c:ser>
          <c:idx val="4"/>
          <c:order val="4"/>
          <c:tx>
            <c:strRef>
              <c:f>Data!$E$32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54298593102627"/>
                  <c:y val="0.33333387316975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4C7-40D8-B71C-F3FE58A8B6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836074444942346"/>
                  <c:y val="0.230514469505450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C7-40D8-B71C-F3FE58A8B6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616693657959956"/>
                  <c:y val="0.17081288028101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4C7-40D8-B71C-F3FE58A8B6B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591311035409874"/>
                  <c:y val="0.25041499924692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C7-40D8-B71C-F3FE58A8B6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180245361639394"/>
                  <c:y val="0.213930694720885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C7-40D8-B71C-F3FE58A8B6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Data!$N$32:$R$32</c:f>
              <c:numCache>
                <c:formatCode>#,##0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16</c:v>
                </c:pt>
                <c:pt idx="3">
                  <c:v>16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4C7-40D8-B71C-F3FE58A8B6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920920"/>
        <c:axId val="1"/>
        <c:axId val="0"/>
      </c:bar3DChart>
      <c:catAx>
        <c:axId val="18092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0920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93560881517926"/>
          <c:y val="0.93698327532791015"/>
          <c:w val="0.6027721272808747"/>
          <c:h val="5.1409701832150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8423087488339136"/>
          <c:y val="3.1666679551871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22176680470782E-2"/>
          <c:y val="0.14166672431100438"/>
          <c:w val="0.88736055469812536"/>
          <c:h val="0.746666970486234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9426632268962"/>
                  <c:y val="0.6450002624512787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EC-4467-B9F0-D1E55E2F64F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14942376307753"/>
                  <c:y val="0.6233335869684191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EC-4467-B9F0-D1E55E2F64F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560775066695716"/>
                  <c:y val="0.6250002543132545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EC-4467-B9F0-D1E55E2F64F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956294483544008"/>
                  <c:y val="0.626666921658089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EC-4467-B9F0-D1E55E2F64F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476970537162141"/>
                  <c:y val="0.5933335747613829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EC-4467-B9F0-D1E55E2F64F3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Data!$N$11:$R$11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Data!$N$12:$R$12</c:f>
              <c:numCache>
                <c:formatCode>#,##0</c:formatCode>
                <c:ptCount val="5"/>
                <c:pt idx="0">
                  <c:v>15072</c:v>
                </c:pt>
                <c:pt idx="1">
                  <c:v>17309</c:v>
                </c:pt>
                <c:pt idx="2">
                  <c:v>17857</c:v>
                </c:pt>
                <c:pt idx="3">
                  <c:v>16695</c:v>
                </c:pt>
                <c:pt idx="4">
                  <c:v>20584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EC-4467-B9F0-D1E55E2F64F3}"/>
            </c:ext>
          </c:extLst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53066994550972"/>
                  <c:y val="0.2900001180013501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EC-4467-B9F0-D1E55E2F64F3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Data!$N$11:$R$11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Data!$N$15:$R$15</c:f>
              <c:numCache>
                <c:formatCode>#,##0</c:formatCode>
                <c:ptCount val="5"/>
                <c:pt idx="0">
                  <c:v>3771</c:v>
                </c:pt>
                <c:pt idx="1">
                  <c:v>4415</c:v>
                </c:pt>
                <c:pt idx="2">
                  <c:v>4929</c:v>
                </c:pt>
                <c:pt idx="3">
                  <c:v>4773</c:v>
                </c:pt>
                <c:pt idx="4">
                  <c:v>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EC-4467-B9F0-D1E55E2F64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128744"/>
        <c:axId val="1"/>
        <c:axId val="0"/>
      </c:bar3DChart>
      <c:catAx>
        <c:axId val="18012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28744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50123766346984"/>
          <c:y val="0.94166704983197025"/>
          <c:w val="0.19399278699324321"/>
          <c:h val="4.83333530002250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9213547687326122"/>
          <c:y val="2.8099241588427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303465101823263E-2"/>
          <c:y val="0.14876069076226134"/>
          <c:w val="0.93033860988842487"/>
          <c:h val="0.7355389709911811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966320059559437"/>
                  <c:y val="0.80826641980828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E6-4C3E-8537-431C9591E4E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112442030221915"/>
                  <c:y val="0.758679522887532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E6-4C3E-8537-431C9591E4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809125058909316"/>
                  <c:y val="0.806613523244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E6-4C3E-8537-431C9591E4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Data!$N$37:$R$37</c:f>
              <c:numCache>
                <c:formatCode>#,##0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46</c:v>
                </c:pt>
                <c:pt idx="3">
                  <c:v>25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6-4C3E-8537-431C9591E4E7}"/>
            </c:ext>
          </c:extLst>
        </c:ser>
        <c:ser>
          <c:idx val="1"/>
          <c:order val="1"/>
          <c:tx>
            <c:strRef>
              <c:f>Data!$E$40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528118737028295"/>
                  <c:y val="0.6826462809423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E6-4C3E-8537-431C9591E4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Data!$N$40:$R$40</c:f>
              <c:numCache>
                <c:formatCode>#,##0</c:formatCode>
                <c:ptCount val="5"/>
                <c:pt idx="0">
                  <c:v>57</c:v>
                </c:pt>
                <c:pt idx="1">
                  <c:v>32</c:v>
                </c:pt>
                <c:pt idx="2">
                  <c:v>26</c:v>
                </c:pt>
                <c:pt idx="3">
                  <c:v>40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E6-4C3E-8537-431C9591E4E7}"/>
            </c:ext>
          </c:extLst>
        </c:ser>
        <c:ser>
          <c:idx val="2"/>
          <c:order val="2"/>
          <c:tx>
            <c:strRef>
              <c:f>Data!$E$43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966320059559437"/>
                  <c:y val="0.43636469290263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E6-4C3E-8537-431C9591E4E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370841441650018"/>
                  <c:y val="0.505786348591688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E6-4C3E-8537-431C9591E4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Data!$N$43:$R$43</c:f>
              <c:numCache>
                <c:formatCode>#,##0</c:formatCode>
                <c:ptCount val="5"/>
                <c:pt idx="0">
                  <c:v>69</c:v>
                </c:pt>
                <c:pt idx="1">
                  <c:v>84</c:v>
                </c:pt>
                <c:pt idx="2">
                  <c:v>80</c:v>
                </c:pt>
                <c:pt idx="3">
                  <c:v>94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E6-4C3E-8537-431C9591E4E7}"/>
            </c:ext>
          </c:extLst>
        </c:ser>
        <c:ser>
          <c:idx val="3"/>
          <c:order val="3"/>
          <c:tx>
            <c:strRef>
              <c:f>Data!$E$46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550593975916172"/>
                  <c:y val="0.30082717465257297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E6-4C3E-8537-431C9591E4E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61803615152544"/>
                  <c:y val="0.3289264162410001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E6-4C3E-8537-431C9591E4E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134917269109793"/>
                  <c:y val="0.28429820901232167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E6-4C3E-8537-431C9591E4E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314719180212846"/>
                  <c:y val="0.2429757949116935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E6-4C3E-8537-431C9591E4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056319768784738"/>
                  <c:y val="0.176859932350688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E6-4C3E-8537-431C9591E4E7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Data!$N$46:$R$46</c:f>
              <c:numCache>
                <c:formatCode>#,##0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E6-4C3E-8537-431C9591E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131696"/>
        <c:axId val="1"/>
        <c:axId val="0"/>
      </c:bar3DChart>
      <c:catAx>
        <c:axId val="18013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1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71963557699851"/>
          <c:y val="0.94215104149432172"/>
          <c:w val="0.40224785306770061"/>
          <c:h val="4.7934000356728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88460010372157"/>
          <c:y val="1.9108328540247251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9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5320028218638697E-2"/>
          <c:y val="0.10031872483629807"/>
          <c:w val="0.90715265297170267"/>
          <c:h val="0.7961803558436353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Data!$E$53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Data!$N$52:$R$52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Data!$N$53:$R$53</c:f>
              <c:numCache>
                <c:formatCode>#,##0</c:formatCode>
                <c:ptCount val="5"/>
                <c:pt idx="0">
                  <c:v>3382.0786511900001</c:v>
                </c:pt>
                <c:pt idx="1">
                  <c:v>4310.0659028599994</c:v>
                </c:pt>
                <c:pt idx="2">
                  <c:v>3630.7007905600003</c:v>
                </c:pt>
                <c:pt idx="3">
                  <c:v>3471.9734751599999</c:v>
                </c:pt>
                <c:pt idx="4">
                  <c:v>4935.3578799200013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B-4F6D-93BA-D02E765B0284}"/>
            </c:ext>
          </c:extLst>
        </c:ser>
        <c:ser>
          <c:idx val="1"/>
          <c:order val="1"/>
          <c:tx>
            <c:strRef>
              <c:f>Data!$E$54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444182570793954"/>
                  <c:y val="0.29617909237383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AB-4F6D-93BA-D02E765B028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759129473988283"/>
                  <c:y val="0.160828431880414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AB-4F6D-93BA-D02E765B028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948605747449307"/>
                  <c:y val="0.26910896027514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AB-4F6D-93BA-D02E765B028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263552650643635"/>
                  <c:y val="0.29617909237383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AB-4F6D-93BA-D02E765B028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722795372902933"/>
                  <c:y val="0.106688167683047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AB-4F6D-93BA-D02E765B028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Data!$N$52:$R$52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Data!$N$54:$R$54</c:f>
              <c:numCache>
                <c:formatCode>#,##0</c:formatCode>
                <c:ptCount val="5"/>
                <c:pt idx="0">
                  <c:v>43.647636379999994</c:v>
                </c:pt>
                <c:pt idx="1">
                  <c:v>49.601260310000001</c:v>
                </c:pt>
                <c:pt idx="2">
                  <c:v>52.895417969999997</c:v>
                </c:pt>
                <c:pt idx="3">
                  <c:v>49.577375480000008</c:v>
                </c:pt>
                <c:pt idx="4">
                  <c:v>47.200591540000005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AB-4F6D-93BA-D02E765B02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133664"/>
        <c:axId val="1"/>
        <c:axId val="0"/>
      </c:bar3DChart>
      <c:catAx>
        <c:axId val="1801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3664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71422471189393"/>
          <c:y val="0.94745462345392606"/>
          <c:w val="0.4542036796345178"/>
          <c:h val="4.45860999272435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30414802149397741"/>
          <c:y val="3.987249368377258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68682550931048"/>
          <c:y val="0.12121238079866864"/>
          <c:w val="0.88825047186309314"/>
          <c:h val="0.7767161769598899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65930000985849"/>
                  <c:y val="0.634770099445659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B8-43B8-807C-2F76622D858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101444834173217"/>
                  <c:y val="0.61882110197215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B8-43B8-807C-2F76622D858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576129331763664"/>
                  <c:y val="0.593302706014535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B8-43B8-807C-2F76622D858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511644164951057"/>
                  <c:y val="0.54864551308871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B8-43B8-807C-2F76622D858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525498326944558"/>
                  <c:y val="0.5661894103095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B8-43B8-807C-2F76622D85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Data!$N$61:$R$61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Data!$N$62:$R$62</c:f>
              <c:numCache>
                <c:formatCode>#,##0</c:formatCode>
                <c:ptCount val="5"/>
                <c:pt idx="0">
                  <c:v>147313.01308</c:v>
                </c:pt>
                <c:pt idx="1">
                  <c:v>163597.30816000002</c:v>
                </c:pt>
                <c:pt idx="2">
                  <c:v>183852.27507000003</c:v>
                </c:pt>
                <c:pt idx="3">
                  <c:v>210839.72176999995</c:v>
                </c:pt>
                <c:pt idx="4">
                  <c:v>193742.82989000002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B8-43B8-807C-2F76622D8582}"/>
            </c:ext>
          </c:extLst>
        </c:ser>
        <c:ser>
          <c:idx val="1"/>
          <c:order val="1"/>
          <c:tx>
            <c:strRef>
              <c:f>Data!$E$63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995442887513827"/>
                  <c:y val="0.3987249368377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B8-43B8-807C-2F76622D858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318051546111935"/>
                  <c:y val="0.34928304466984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B8-43B8-807C-2F76622D858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562320875903907"/>
                  <c:y val="0.290271754017864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B8-43B8-807C-2F76622D858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152212957393595"/>
                  <c:y val="0.22009616513442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B8-43B8-807C-2F76622D858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511689871084801"/>
                  <c:y val="0.25837375907084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B8-43B8-807C-2F76622D85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Data!$N$61:$R$61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Data!$N$63:$R$63</c:f>
              <c:numCache>
                <c:formatCode>#,##0</c:formatCode>
                <c:ptCount val="5"/>
                <c:pt idx="0">
                  <c:v>818.5</c:v>
                </c:pt>
                <c:pt idx="1">
                  <c:v>2748.7000200000002</c:v>
                </c:pt>
                <c:pt idx="2">
                  <c:v>1955.00008</c:v>
                </c:pt>
                <c:pt idx="3">
                  <c:v>1257.95</c:v>
                </c:pt>
                <c:pt idx="4">
                  <c:v>3280.0030000000002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B8-43B8-807C-2F76622D8582}"/>
            </c:ext>
          </c:extLst>
        </c:ser>
        <c:ser>
          <c:idx val="2"/>
          <c:order val="2"/>
          <c:tx>
            <c:strRef>
              <c:f>Data!$E$64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198195437459033"/>
                  <c:y val="0.362042242648654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9B8-43B8-807C-2F76622D858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133710270646409"/>
                  <c:y val="0.307815651238724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B8-43B8-807C-2F76622D858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147564432639916"/>
                  <c:y val="0.25199416008144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B8-43B8-807C-2F76622D858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198286849726533"/>
                  <c:y val="0.183413470945353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B8-43B8-807C-2F76622D858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212141011720035"/>
                  <c:y val="0.228070663871179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B8-43B8-807C-2F76622D85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Data!$N$61:$R$61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Data!$N$64:$R$64</c:f>
              <c:numCache>
                <c:formatCode>#,##0</c:formatCode>
                <c:ptCount val="5"/>
                <c:pt idx="0">
                  <c:v>7.5</c:v>
                </c:pt>
                <c:pt idx="1">
                  <c:v>5.2</c:v>
                </c:pt>
                <c:pt idx="2">
                  <c:v>32.85</c:v>
                </c:pt>
                <c:pt idx="3">
                  <c:v>72.05</c:v>
                </c:pt>
                <c:pt idx="4">
                  <c:v>101.95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B8-43B8-807C-2F76622D85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131040"/>
        <c:axId val="1"/>
        <c:axId val="0"/>
      </c:bar3DChart>
      <c:catAx>
        <c:axId val="1801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1040"/>
        <c:crosses val="autoZero"/>
        <c:crossBetween val="between"/>
        <c:majorUnit val="30000"/>
        <c:minorUnit val="424.33944353999988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580686444249837"/>
          <c:y val="0.9441806504317346"/>
          <c:w val="0.6831809725224568"/>
          <c:h val="4.4657192925825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9798211724417198"/>
          <c:y val="4.3131066110550266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5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089687479429713"/>
          <c:y val="0.12779575143866748"/>
          <c:w val="0.89237680373622796"/>
          <c:h val="0.7651770617390213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Data!$E$56</c:f>
              <c:strCache>
                <c:ptCount val="1"/>
                <c:pt idx="0">
                  <c:v>Total EIM (Tonne)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713006908332163"/>
                  <c:y val="0.4185310859616359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59-4E4A-A11F-070E6D4DF1B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417045068721352"/>
                  <c:y val="0.5127804526476531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59-4E4A-A11F-070E6D4DF1B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793729061072524"/>
                  <c:y val="0.5830681159389202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59-4E4A-A11F-070E6D4DF1B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937229028160062"/>
                  <c:y val="0.1565497955123676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59-4E4A-A11F-070E6D4DF1B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304944272568272"/>
                  <c:y val="0.4025566170318025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59-4E4A-A11F-070E6D4DF1B0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Data!$N$55:$R$55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Data!$N$56:$R$56</c:f>
              <c:numCache>
                <c:formatCode>0</c:formatCode>
                <c:ptCount val="5"/>
                <c:pt idx="0">
                  <c:v>163303.196</c:v>
                </c:pt>
                <c:pt idx="1">
                  <c:v>120983.16</c:v>
                </c:pt>
                <c:pt idx="2">
                  <c:v>92583.55</c:v>
                </c:pt>
                <c:pt idx="3">
                  <c:v>275762.31</c:v>
                </c:pt>
                <c:pt idx="4">
                  <c:v>169228.08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9-4E4A-A11F-070E6D4DF1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1330576"/>
        <c:axId val="1"/>
        <c:axId val="0"/>
      </c:bar3DChart>
      <c:catAx>
        <c:axId val="18133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30576"/>
        <c:crosses val="autoZero"/>
        <c:crossBetween val="between"/>
        <c:minorUnit val="551.5246200000000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618840186811393"/>
          <c:y val="0.94728600753912262"/>
          <c:w val="0.25000003421253625"/>
          <c:h val="4.47285130035336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0876410854367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C99-49B7-A895-C27384EE22A1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C99-49B7-A895-C27384EE22A1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C99-49B7-A895-C27384EE22A1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C99-49B7-A895-C27384EE22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0255448"/>
        <c:axId val="1"/>
        <c:axId val="0"/>
      </c:bar3DChart>
      <c:catAx>
        <c:axId val="18025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55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88738666461953"/>
          <c:y val="0.89306484412375253"/>
          <c:w val="0.35357706377554299"/>
          <c:h val="8.09249696940617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22860</xdr:rowOff>
    </xdr:from>
    <xdr:to>
      <xdr:col>15</xdr:col>
      <xdr:colOff>7620</xdr:colOff>
      <xdr:row>57</xdr:row>
      <xdr:rowOff>91440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30480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7620</xdr:rowOff>
    </xdr:from>
    <xdr:to>
      <xdr:col>23</xdr:col>
      <xdr:colOff>7620</xdr:colOff>
      <xdr:row>57</xdr:row>
      <xdr:rowOff>91440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58</xdr:row>
      <xdr:rowOff>91440</xdr:rowOff>
    </xdr:from>
    <xdr:to>
      <xdr:col>6</xdr:col>
      <xdr:colOff>853440</xdr:colOff>
      <xdr:row>87</xdr:row>
      <xdr:rowOff>30480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167640</xdr:colOff>
      <xdr:row>58</xdr:row>
      <xdr:rowOff>91440</xdr:rowOff>
    </xdr:from>
    <xdr:to>
      <xdr:col>15</xdr:col>
      <xdr:colOff>22860</xdr:colOff>
      <xdr:row>87</xdr:row>
      <xdr:rowOff>22860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22860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716280</xdr:colOff>
      <xdr:row>0</xdr:row>
      <xdr:rowOff>68580</xdr:rowOff>
    </xdr:from>
    <xdr:to>
      <xdr:col>22</xdr:col>
      <xdr:colOff>716280</xdr:colOff>
      <xdr:row>5</xdr:row>
      <xdr:rowOff>76200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2360" y="68580"/>
          <a:ext cx="80010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42</xdr:row>
      <xdr:rowOff>22860</xdr:rowOff>
    </xdr:from>
    <xdr:to>
      <xdr:col>4</xdr:col>
      <xdr:colOff>243840</xdr:colOff>
      <xdr:row>57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41</xdr:row>
      <xdr:rowOff>160020</xdr:rowOff>
    </xdr:from>
    <xdr:to>
      <xdr:col>17</xdr:col>
      <xdr:colOff>236220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799320" y="7002780"/>
          <a:ext cx="5715000" cy="2560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E8" sqref="E8"/>
    </sheetView>
  </sheetViews>
  <sheetFormatPr defaultRowHeight="13.2" x14ac:dyDescent="0.25"/>
  <cols>
    <col min="1" max="1" width="13.109375" customWidth="1"/>
    <col min="2" max="2" width="12.6640625" customWidth="1"/>
    <col min="3" max="4" width="12.5546875" customWidth="1"/>
    <col min="5" max="6" width="12.6640625" customWidth="1"/>
    <col min="7" max="7" width="12.5546875" customWidth="1"/>
    <col min="8" max="8" width="2.109375" customWidth="1"/>
    <col min="9" max="9" width="24.109375" customWidth="1"/>
    <col min="10" max="10" width="13.88671875" customWidth="1"/>
    <col min="11" max="11" width="12.44140625" customWidth="1"/>
    <col min="12" max="12" width="12.109375" customWidth="1"/>
    <col min="13" max="13" width="12.33203125" customWidth="1"/>
    <col min="14" max="14" width="10.88671875" customWidth="1"/>
    <col min="15" max="15" width="10.33203125" bestFit="1" customWidth="1"/>
    <col min="16" max="16" width="2.33203125" customWidth="1"/>
    <col min="17" max="17" width="26.6640625" customWidth="1"/>
    <col min="18" max="18" width="13.6640625" customWidth="1"/>
    <col min="19" max="19" width="11.6640625" customWidth="1"/>
    <col min="20" max="20" width="11.88671875" customWidth="1"/>
    <col min="21" max="22" width="11.6640625" customWidth="1"/>
    <col min="23" max="23" width="11.5546875" bestFit="1" customWidth="1"/>
  </cols>
  <sheetData>
    <row r="7" spans="1:23" x14ac:dyDescent="0.25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6" x14ac:dyDescent="0.3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188" t="s">
        <v>63</v>
      </c>
      <c r="K8" s="188"/>
      <c r="L8" s="188"/>
      <c r="M8" s="188"/>
      <c r="N8" s="188"/>
      <c r="O8" s="189"/>
      <c r="P8" s="41"/>
      <c r="Q8" s="38"/>
      <c r="R8" s="188" t="s">
        <v>137</v>
      </c>
      <c r="S8" s="188"/>
      <c r="T8" s="188"/>
      <c r="U8" s="188"/>
      <c r="V8" s="188"/>
      <c r="W8" s="189"/>
    </row>
    <row r="9" spans="1:23" ht="15.6" x14ac:dyDescent="0.3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8" x14ac:dyDescent="0.3">
      <c r="A10" s="139" t="s">
        <v>157</v>
      </c>
      <c r="B10" s="140"/>
      <c r="C10" s="140"/>
      <c r="D10" s="140"/>
      <c r="E10" s="43"/>
      <c r="F10" s="43"/>
      <c r="G10" s="44"/>
      <c r="H10" s="45"/>
      <c r="I10" s="46"/>
      <c r="J10" s="132" t="s">
        <v>153</v>
      </c>
      <c r="K10" s="132" t="s">
        <v>155</v>
      </c>
      <c r="L10" s="132" t="s">
        <v>175</v>
      </c>
      <c r="M10" s="132" t="s">
        <v>189</v>
      </c>
      <c r="N10" s="132" t="s">
        <v>192</v>
      </c>
      <c r="O10" s="82" t="s">
        <v>31</v>
      </c>
      <c r="P10" s="47"/>
      <c r="Q10" s="46"/>
      <c r="R10" s="132" t="s">
        <v>153</v>
      </c>
      <c r="S10" s="132" t="s">
        <v>155</v>
      </c>
      <c r="T10" s="132" t="s">
        <v>175</v>
      </c>
      <c r="U10" s="132" t="s">
        <v>189</v>
      </c>
      <c r="V10" s="132" t="s">
        <v>192</v>
      </c>
      <c r="W10" s="82" t="s">
        <v>31</v>
      </c>
    </row>
    <row r="11" spans="1:23" ht="16.8" x14ac:dyDescent="0.3">
      <c r="A11" s="172" t="s">
        <v>197</v>
      </c>
      <c r="B11" s="141"/>
      <c r="C11" s="138"/>
      <c r="D11" s="138"/>
      <c r="E11" s="35"/>
      <c r="F11" s="35"/>
      <c r="G11" s="36"/>
      <c r="H11" s="41"/>
      <c r="I11" s="48" t="s">
        <v>95</v>
      </c>
      <c r="O11" s="36"/>
      <c r="P11" s="41"/>
      <c r="Q11" s="131" t="s">
        <v>135</v>
      </c>
      <c r="W11" s="36"/>
    </row>
    <row r="12" spans="1:23" s="16" customFormat="1" ht="16.8" x14ac:dyDescent="0.3">
      <c r="A12" s="184" t="s">
        <v>193</v>
      </c>
      <c r="B12" s="133"/>
      <c r="C12" s="133"/>
      <c r="D12" s="133"/>
      <c r="E12" s="49"/>
      <c r="F12" s="49"/>
      <c r="G12" s="50"/>
      <c r="H12" s="51"/>
      <c r="I12" s="52" t="s">
        <v>64</v>
      </c>
      <c r="J12" s="133">
        <f>Data!N12</f>
        <v>15072</v>
      </c>
      <c r="K12" s="133">
        <f>Data!O12</f>
        <v>17309</v>
      </c>
      <c r="L12" s="133">
        <f>Data!P12</f>
        <v>17857</v>
      </c>
      <c r="M12" s="133">
        <f>Data!Q12</f>
        <v>16695</v>
      </c>
      <c r="N12" s="133">
        <f>Data!R12</f>
        <v>20584</v>
      </c>
      <c r="O12" s="134">
        <f>SUM(J12:N12)</f>
        <v>87517</v>
      </c>
      <c r="P12" s="51"/>
      <c r="Q12" s="52" t="s">
        <v>162</v>
      </c>
      <c r="R12" s="136">
        <f>Data!N53</f>
        <v>3382.0786511900001</v>
      </c>
      <c r="S12" s="136">
        <f>Data!O53</f>
        <v>4310.0659028599994</v>
      </c>
      <c r="T12" s="136">
        <f>Data!P53</f>
        <v>3630.7007905600003</v>
      </c>
      <c r="U12" s="136">
        <f>Data!Q53</f>
        <v>3471.9734751599999</v>
      </c>
      <c r="V12" s="136">
        <f>Data!R53</f>
        <v>4935.3578799200013</v>
      </c>
      <c r="W12" s="134">
        <f>SUM(R12:V12)</f>
        <v>19730.176699690001</v>
      </c>
    </row>
    <row r="13" spans="1:23" s="16" customFormat="1" ht="16.8" x14ac:dyDescent="0.3">
      <c r="A13" s="172" t="s">
        <v>194</v>
      </c>
      <c r="B13" s="133"/>
      <c r="C13" s="133"/>
      <c r="D13" s="133"/>
      <c r="E13" s="49"/>
      <c r="F13" s="49"/>
      <c r="G13" s="50"/>
      <c r="H13" s="51"/>
      <c r="I13" s="52" t="s">
        <v>71</v>
      </c>
      <c r="J13" s="133">
        <f>Data!N15</f>
        <v>3771</v>
      </c>
      <c r="K13" s="133">
        <f>Data!O15</f>
        <v>4415</v>
      </c>
      <c r="L13" s="133">
        <f>Data!P15</f>
        <v>4929</v>
      </c>
      <c r="M13" s="133">
        <f>Data!Q15</f>
        <v>4773</v>
      </c>
      <c r="N13" s="133">
        <f>Data!R15</f>
        <v>4796</v>
      </c>
      <c r="O13" s="134">
        <f>SUM(J13:N13)</f>
        <v>22684</v>
      </c>
      <c r="P13" s="51"/>
      <c r="Q13" s="52" t="s">
        <v>163</v>
      </c>
      <c r="R13" s="136">
        <f>Data!N54</f>
        <v>43.647636379999994</v>
      </c>
      <c r="S13" s="136">
        <f>Data!O54</f>
        <v>49.601260310000001</v>
      </c>
      <c r="T13" s="136">
        <f>Data!P54</f>
        <v>52.895417969999997</v>
      </c>
      <c r="U13" s="136">
        <f>Data!Q54</f>
        <v>49.577375480000008</v>
      </c>
      <c r="V13" s="136">
        <f>Data!R54</f>
        <v>47.200591540000005</v>
      </c>
      <c r="W13" s="134">
        <f t="shared" ref="W13:W22" si="0">SUM(R13:V13)</f>
        <v>242.92228168</v>
      </c>
    </row>
    <row r="14" spans="1:23" s="16" customFormat="1" ht="16.8" x14ac:dyDescent="0.3">
      <c r="A14" s="175" t="s">
        <v>195</v>
      </c>
      <c r="B14" s="133"/>
      <c r="C14" s="140"/>
      <c r="D14" s="133"/>
      <c r="E14" s="49"/>
      <c r="F14" s="49"/>
      <c r="G14" s="50"/>
      <c r="H14" s="54"/>
      <c r="I14" s="52" t="s">
        <v>178</v>
      </c>
      <c r="J14" s="181">
        <f>+Data!N18</f>
        <v>0.73337578941782089</v>
      </c>
      <c r="K14" s="181">
        <f>+Data!O18</f>
        <v>0.75593813294052659</v>
      </c>
      <c r="L14" s="181">
        <f>+Data!P18</f>
        <v>0.77631001492144303</v>
      </c>
      <c r="M14" s="181">
        <f>+Data!Q18</f>
        <v>0.76341531581889321</v>
      </c>
      <c r="N14" s="181">
        <f>+Data!R18</f>
        <v>0.74708431836091416</v>
      </c>
      <c r="O14" s="135"/>
      <c r="P14" s="51"/>
      <c r="Q14" s="131" t="s">
        <v>136</v>
      </c>
      <c r="W14" s="134"/>
    </row>
    <row r="15" spans="1:23" s="16" customFormat="1" ht="16.8" x14ac:dyDescent="0.3">
      <c r="A15" s="172"/>
      <c r="B15" s="133"/>
      <c r="C15" s="138"/>
      <c r="D15" s="133"/>
      <c r="E15" s="49"/>
      <c r="F15" s="49"/>
      <c r="G15" s="50"/>
      <c r="H15" s="51"/>
      <c r="I15" s="56" t="s">
        <v>32</v>
      </c>
      <c r="O15" s="134"/>
      <c r="P15" s="51"/>
      <c r="Q15" s="52" t="s">
        <v>182</v>
      </c>
      <c r="R15" s="136">
        <f>+Data!N62</f>
        <v>147313.01308</v>
      </c>
      <c r="S15" s="136">
        <f>+Data!O62</f>
        <v>163597.30816000002</v>
      </c>
      <c r="T15" s="136">
        <f>+Data!P62</f>
        <v>183852.27507000003</v>
      </c>
      <c r="U15" s="136">
        <f>+Data!Q62</f>
        <v>210839.72176999995</v>
      </c>
      <c r="V15" s="136">
        <f>+Data!R62</f>
        <v>193742.82989000002</v>
      </c>
      <c r="W15" s="134">
        <f t="shared" si="0"/>
        <v>899345.14797000005</v>
      </c>
    </row>
    <row r="16" spans="1:23" s="16" customFormat="1" ht="16.8" x14ac:dyDescent="0.3">
      <c r="A16" s="175"/>
      <c r="B16" s="133"/>
      <c r="C16" s="133"/>
      <c r="D16" s="133"/>
      <c r="E16" s="49"/>
      <c r="F16" s="49"/>
      <c r="G16" s="50"/>
      <c r="H16" s="51"/>
      <c r="I16" s="52" t="s">
        <v>0</v>
      </c>
      <c r="J16" s="133">
        <f>Data!N20</f>
        <v>102</v>
      </c>
      <c r="K16" s="133">
        <f>Data!O20</f>
        <v>174</v>
      </c>
      <c r="L16" s="133">
        <f>Data!P20</f>
        <v>596</v>
      </c>
      <c r="M16" s="133">
        <f>Data!Q20</f>
        <v>306</v>
      </c>
      <c r="N16" s="133">
        <f>Data!R20</f>
        <v>552</v>
      </c>
      <c r="O16" s="134">
        <f>SUM(J16:N16)</f>
        <v>1730</v>
      </c>
      <c r="P16" s="51"/>
      <c r="Q16" s="52" t="s">
        <v>183</v>
      </c>
      <c r="R16" s="136">
        <f>+Data!N63</f>
        <v>818.5</v>
      </c>
      <c r="S16" s="136">
        <f>+Data!O63</f>
        <v>2748.7000200000002</v>
      </c>
      <c r="T16" s="136">
        <f>+Data!P63</f>
        <v>1955.00008</v>
      </c>
      <c r="U16" s="136">
        <f>+Data!Q63</f>
        <v>1257.95</v>
      </c>
      <c r="V16" s="136">
        <f>+Data!R63</f>
        <v>3280.0030000000002</v>
      </c>
      <c r="W16" s="134">
        <f t="shared" si="0"/>
        <v>10060.1531</v>
      </c>
    </row>
    <row r="17" spans="1:23" s="16" customFormat="1" ht="16.8" x14ac:dyDescent="0.3">
      <c r="A17" s="172"/>
      <c r="B17" s="133"/>
      <c r="C17" s="133"/>
      <c r="D17" s="133"/>
      <c r="E17" s="49"/>
      <c r="F17" s="49"/>
      <c r="G17" s="50"/>
      <c r="H17" s="51"/>
      <c r="I17" s="52" t="s">
        <v>5</v>
      </c>
      <c r="J17" s="133">
        <f>Data!N23</f>
        <v>2593</v>
      </c>
      <c r="K17" s="133">
        <f>Data!O23</f>
        <v>3101</v>
      </c>
      <c r="L17" s="133">
        <f>Data!P23</f>
        <v>3017</v>
      </c>
      <c r="M17" s="133">
        <f>Data!Q23</f>
        <v>2897</v>
      </c>
      <c r="N17" s="133">
        <f>Data!R23</f>
        <v>2820</v>
      </c>
      <c r="O17" s="134">
        <f>SUM(J17:N17)</f>
        <v>14428</v>
      </c>
      <c r="P17" s="51"/>
      <c r="Q17" s="52" t="s">
        <v>164</v>
      </c>
      <c r="R17" s="136">
        <f>+Data!N64</f>
        <v>7.5</v>
      </c>
      <c r="S17" s="136">
        <f>+Data!O64</f>
        <v>5.2</v>
      </c>
      <c r="T17" s="136">
        <f>+Data!P64</f>
        <v>32.85</v>
      </c>
      <c r="U17" s="136">
        <f>+Data!Q64</f>
        <v>72.05</v>
      </c>
      <c r="V17" s="136">
        <f>+Data!R64</f>
        <v>101.95</v>
      </c>
      <c r="W17" s="134">
        <f t="shared" si="0"/>
        <v>219.55</v>
      </c>
    </row>
    <row r="18" spans="1:23" s="16" customFormat="1" ht="16.8" x14ac:dyDescent="0.3">
      <c r="A18" s="142"/>
      <c r="B18" s="133"/>
      <c r="C18" s="133"/>
      <c r="D18" s="133"/>
      <c r="E18" s="49"/>
      <c r="F18" s="49"/>
      <c r="G18" s="50"/>
      <c r="H18" s="51"/>
      <c r="I18" s="52" t="s">
        <v>4</v>
      </c>
      <c r="J18" s="133">
        <f>Data!N26</f>
        <v>12</v>
      </c>
      <c r="K18" s="133">
        <f>Data!O26</f>
        <v>36</v>
      </c>
      <c r="L18" s="133">
        <f>Data!P26</f>
        <v>20</v>
      </c>
      <c r="M18" s="133">
        <f>Data!Q26</f>
        <v>33</v>
      </c>
      <c r="N18" s="133">
        <f>Data!R26</f>
        <v>25</v>
      </c>
      <c r="O18" s="134">
        <f>SUM(J18:N18)</f>
        <v>126</v>
      </c>
      <c r="P18" s="51"/>
      <c r="Q18" s="55" t="s">
        <v>165</v>
      </c>
      <c r="R18" s="133">
        <f>Data!N56</f>
        <v>163303.196</v>
      </c>
      <c r="S18" s="133">
        <f>Data!O56</f>
        <v>120983.16</v>
      </c>
      <c r="T18" s="133">
        <f>Data!P56</f>
        <v>92583.55</v>
      </c>
      <c r="U18" s="133">
        <f>Data!Q56</f>
        <v>275762.31</v>
      </c>
      <c r="V18" s="133">
        <f>Data!R56</f>
        <v>169228.08</v>
      </c>
      <c r="W18" s="134">
        <f t="shared" si="0"/>
        <v>821860.29599999997</v>
      </c>
    </row>
    <row r="19" spans="1:23" s="16" customFormat="1" ht="16.8" x14ac:dyDescent="0.3">
      <c r="A19" s="142" t="s">
        <v>158</v>
      </c>
      <c r="B19" s="140"/>
      <c r="C19" s="133"/>
      <c r="D19" s="133"/>
      <c r="E19" s="49"/>
      <c r="F19" s="49"/>
      <c r="G19" s="50"/>
      <c r="H19" s="51"/>
      <c r="I19" s="52" t="s">
        <v>3</v>
      </c>
      <c r="J19" s="133">
        <f>Data!N29</f>
        <v>18</v>
      </c>
      <c r="K19" s="133">
        <f>Data!O29</f>
        <v>22</v>
      </c>
      <c r="L19" s="133">
        <f>Data!P29</f>
        <v>11</v>
      </c>
      <c r="M19" s="133">
        <f>Data!Q29</f>
        <v>17</v>
      </c>
      <c r="N19" s="133">
        <f>Data!R29</f>
        <v>7</v>
      </c>
      <c r="O19" s="134">
        <f>SUM(J19:N19)</f>
        <v>75</v>
      </c>
      <c r="P19" s="51"/>
      <c r="Q19" s="52" t="s">
        <v>40</v>
      </c>
      <c r="R19" s="136">
        <f>Data!M57</f>
        <v>0</v>
      </c>
      <c r="S19" s="136">
        <f>Data!N57</f>
        <v>0</v>
      </c>
      <c r="T19" s="136">
        <f>Data!O57</f>
        <v>0</v>
      </c>
      <c r="U19" s="136">
        <f>Data!P57</f>
        <v>0</v>
      </c>
      <c r="V19" s="136">
        <f>Data!Q57</f>
        <v>0</v>
      </c>
      <c r="W19" s="134">
        <f t="shared" si="0"/>
        <v>0</v>
      </c>
    </row>
    <row r="20" spans="1:23" s="16" customFormat="1" ht="16.8" x14ac:dyDescent="0.3">
      <c r="A20" s="172" t="s">
        <v>196</v>
      </c>
      <c r="B20" s="141"/>
      <c r="C20" s="133"/>
      <c r="D20" s="133"/>
      <c r="E20" s="49"/>
      <c r="F20" s="49"/>
      <c r="G20" s="50"/>
      <c r="H20" s="51"/>
      <c r="I20" s="52" t="s">
        <v>13</v>
      </c>
      <c r="J20" s="133">
        <f>Data!N32</f>
        <v>3</v>
      </c>
      <c r="K20" s="133">
        <f>Data!O32</f>
        <v>3</v>
      </c>
      <c r="L20" s="133">
        <f>Data!P32</f>
        <v>16</v>
      </c>
      <c r="M20" s="133">
        <f>Data!Q32</f>
        <v>16</v>
      </c>
      <c r="N20" s="133">
        <f>Data!R32</f>
        <v>23</v>
      </c>
      <c r="O20" s="134">
        <f>SUM(J20:N20)</f>
        <v>61</v>
      </c>
      <c r="P20" s="51"/>
      <c r="Q20" s="52" t="s">
        <v>70</v>
      </c>
      <c r="R20" s="136">
        <f>Data!M58</f>
        <v>0</v>
      </c>
      <c r="S20" s="136">
        <f>Data!N58</f>
        <v>0</v>
      </c>
      <c r="T20" s="136">
        <f>Data!O58</f>
        <v>0</v>
      </c>
      <c r="U20" s="136">
        <f>Data!P58</f>
        <v>0</v>
      </c>
      <c r="V20" s="136">
        <f>Data!Q58</f>
        <v>0</v>
      </c>
      <c r="W20" s="134">
        <f t="shared" si="0"/>
        <v>0</v>
      </c>
    </row>
    <row r="21" spans="1:23" s="16" customFormat="1" ht="16.8" x14ac:dyDescent="0.3">
      <c r="A21" s="172" t="s">
        <v>198</v>
      </c>
      <c r="B21" s="133"/>
      <c r="C21" s="133"/>
      <c r="D21" s="133"/>
      <c r="E21" s="49"/>
      <c r="F21" s="49"/>
      <c r="G21" s="50"/>
      <c r="H21" s="51"/>
      <c r="I21" s="52" t="s">
        <v>179</v>
      </c>
      <c r="J21" s="181">
        <f>+Data!N35</f>
        <v>0.43658357771260997</v>
      </c>
      <c r="K21" s="181">
        <f>+Data!O35</f>
        <v>0.40737410071942448</v>
      </c>
      <c r="L21" s="181">
        <f>+Data!P35</f>
        <v>0.36612021857923499</v>
      </c>
      <c r="M21" s="181">
        <f>+Data!Q35</f>
        <v>0.40440501682471702</v>
      </c>
      <c r="N21" s="181">
        <f>+Data!R35</f>
        <v>0.31631164283629998</v>
      </c>
      <c r="O21" s="134"/>
      <c r="P21" s="51"/>
      <c r="Q21" s="52" t="s">
        <v>39</v>
      </c>
      <c r="R21" s="136">
        <f>Data!M59</f>
        <v>0</v>
      </c>
      <c r="S21" s="136">
        <f>Data!N59</f>
        <v>0</v>
      </c>
      <c r="T21" s="136">
        <f>Data!O59</f>
        <v>0</v>
      </c>
      <c r="U21" s="136">
        <f>Data!P59</f>
        <v>0</v>
      </c>
      <c r="V21" s="136">
        <f>Data!Q59</f>
        <v>0</v>
      </c>
      <c r="W21" s="134">
        <f t="shared" si="0"/>
        <v>0</v>
      </c>
    </row>
    <row r="22" spans="1:23" s="16" customFormat="1" ht="16.8" x14ac:dyDescent="0.3">
      <c r="A22" s="175" t="s">
        <v>199</v>
      </c>
      <c r="B22" s="133"/>
      <c r="C22" s="133"/>
      <c r="D22" s="133"/>
      <c r="E22" s="49"/>
      <c r="F22" s="49"/>
      <c r="G22" s="50"/>
      <c r="H22" s="51"/>
      <c r="I22" s="56" t="s">
        <v>33</v>
      </c>
      <c r="O22" s="134"/>
      <c r="P22" s="51"/>
      <c r="Q22" s="57" t="s">
        <v>41</v>
      </c>
      <c r="R22" s="137">
        <f>Data!M60</f>
        <v>0</v>
      </c>
      <c r="S22" s="137">
        <f>Data!N60</f>
        <v>0</v>
      </c>
      <c r="T22" s="137">
        <f>Data!O60</f>
        <v>0</v>
      </c>
      <c r="U22" s="137">
        <f>Data!P60</f>
        <v>0</v>
      </c>
      <c r="V22" s="137">
        <f>Data!Q60</f>
        <v>0</v>
      </c>
      <c r="W22" s="183">
        <f t="shared" si="0"/>
        <v>0</v>
      </c>
    </row>
    <row r="23" spans="1:23" s="16" customFormat="1" ht="16.8" x14ac:dyDescent="0.3">
      <c r="A23" s="175" t="s">
        <v>200</v>
      </c>
      <c r="B23" s="133"/>
      <c r="C23" s="133"/>
      <c r="D23" s="133"/>
      <c r="E23" s="49"/>
      <c r="F23" s="49"/>
      <c r="G23" s="50"/>
      <c r="H23" s="51"/>
      <c r="I23" s="52" t="s">
        <v>40</v>
      </c>
      <c r="J23" s="133">
        <f>Data!N37</f>
        <v>18</v>
      </c>
      <c r="K23" s="133">
        <f>Data!O37</f>
        <v>20</v>
      </c>
      <c r="L23" s="133">
        <f>Data!P37</f>
        <v>46</v>
      </c>
      <c r="M23" s="133">
        <f>Data!Q37</f>
        <v>25</v>
      </c>
      <c r="N23" s="133">
        <f>Data!R37</f>
        <v>19</v>
      </c>
      <c r="O23" s="134">
        <f>SUM(J23:N23)</f>
        <v>128</v>
      </c>
      <c r="P23" s="51"/>
      <c r="Q23" s="73" t="s">
        <v>105</v>
      </c>
      <c r="R23" s="49"/>
      <c r="S23" s="49"/>
      <c r="T23" s="49"/>
      <c r="U23" s="49"/>
      <c r="V23" s="49"/>
      <c r="W23" s="49"/>
    </row>
    <row r="24" spans="1:23" s="16" customFormat="1" ht="16.8" x14ac:dyDescent="0.3">
      <c r="A24" s="171"/>
      <c r="B24" s="133"/>
      <c r="C24" s="49"/>
      <c r="D24" s="49"/>
      <c r="E24" s="49"/>
      <c r="F24" s="49"/>
      <c r="G24" s="50"/>
      <c r="H24" s="51"/>
      <c r="I24" s="52" t="s">
        <v>70</v>
      </c>
      <c r="J24" s="133">
        <f>Data!N40</f>
        <v>57</v>
      </c>
      <c r="K24" s="133">
        <f>Data!O40</f>
        <v>32</v>
      </c>
      <c r="L24" s="133">
        <f>Data!P40</f>
        <v>26</v>
      </c>
      <c r="M24" s="133">
        <f>Data!Q40</f>
        <v>40</v>
      </c>
      <c r="N24" s="133">
        <f>Data!R40</f>
        <v>32</v>
      </c>
      <c r="O24" s="134">
        <f>SUM(J24:N24)</f>
        <v>187</v>
      </c>
      <c r="P24" s="51"/>
      <c r="Q24" s="58"/>
      <c r="R24" s="187" t="s">
        <v>19</v>
      </c>
      <c r="S24" s="187"/>
      <c r="T24" s="187"/>
      <c r="U24" s="187"/>
      <c r="V24" s="187"/>
      <c r="W24" s="59"/>
    </row>
    <row r="25" spans="1:23" ht="18" x14ac:dyDescent="0.3">
      <c r="A25" s="139"/>
      <c r="B25" s="133"/>
      <c r="C25" s="35"/>
      <c r="D25" s="35"/>
      <c r="E25" s="35"/>
      <c r="F25" s="35"/>
      <c r="G25" s="36"/>
      <c r="H25" s="41"/>
      <c r="I25" s="52" t="s">
        <v>39</v>
      </c>
      <c r="J25" s="133">
        <f>Data!N43</f>
        <v>69</v>
      </c>
      <c r="K25" s="133">
        <f>Data!O43</f>
        <v>84</v>
      </c>
      <c r="L25" s="133">
        <f>Data!P43</f>
        <v>80</v>
      </c>
      <c r="M25" s="133">
        <f>Data!Q43</f>
        <v>94</v>
      </c>
      <c r="N25" s="133">
        <f>Data!R43</f>
        <v>123</v>
      </c>
      <c r="O25" s="134">
        <f>SUM(J25:N25)</f>
        <v>450</v>
      </c>
      <c r="P25" s="41"/>
      <c r="Q25" s="46"/>
      <c r="R25" s="132" t="s">
        <v>153</v>
      </c>
      <c r="S25" s="132" t="s">
        <v>155</v>
      </c>
      <c r="T25" s="132" t="s">
        <v>175</v>
      </c>
      <c r="U25" s="132" t="s">
        <v>189</v>
      </c>
      <c r="V25" s="132" t="s">
        <v>192</v>
      </c>
      <c r="W25" s="159"/>
    </row>
    <row r="26" spans="1:23" ht="16.8" x14ac:dyDescent="0.3">
      <c r="A26" s="42"/>
      <c r="B26" s="53"/>
      <c r="C26" s="35"/>
      <c r="D26" s="35"/>
      <c r="E26" s="35"/>
      <c r="F26" s="35"/>
      <c r="G26" s="36"/>
      <c r="H26" s="41"/>
      <c r="I26" s="52" t="s">
        <v>41</v>
      </c>
      <c r="J26" s="133">
        <f>Data!N46</f>
        <v>1</v>
      </c>
      <c r="K26" s="133">
        <f>Data!O46</f>
        <v>0</v>
      </c>
      <c r="L26" s="133">
        <f>Data!P46</f>
        <v>0</v>
      </c>
      <c r="M26" s="133">
        <f>Data!Q46</f>
        <v>2</v>
      </c>
      <c r="N26" s="133">
        <f>Data!R46</f>
        <v>7</v>
      </c>
      <c r="O26" s="134">
        <f>SUM(J26:N26)</f>
        <v>10</v>
      </c>
      <c r="P26" s="41"/>
      <c r="Q26" s="131" t="s">
        <v>65</v>
      </c>
      <c r="R26" s="35">
        <v>8</v>
      </c>
      <c r="S26" s="35">
        <v>7</v>
      </c>
      <c r="T26" s="35">
        <v>4</v>
      </c>
      <c r="U26" s="35">
        <v>3</v>
      </c>
      <c r="V26" s="35">
        <v>5</v>
      </c>
      <c r="W26" s="159"/>
    </row>
    <row r="27" spans="1:23" ht="15.6" x14ac:dyDescent="0.3">
      <c r="A27" s="60"/>
      <c r="B27" s="35"/>
      <c r="C27" s="35"/>
      <c r="D27" s="35"/>
      <c r="E27" s="35"/>
      <c r="F27" s="35"/>
      <c r="G27" s="36"/>
      <c r="H27" s="41"/>
      <c r="I27" s="52" t="s">
        <v>180</v>
      </c>
      <c r="J27" s="182">
        <f>+Data!N49</f>
        <v>6.8965517241379309E-2</v>
      </c>
      <c r="K27" s="182">
        <f>+Data!O49</f>
        <v>8.0882352941176475E-2</v>
      </c>
      <c r="L27" s="182">
        <f>+Data!P49</f>
        <v>0.11842105263157894</v>
      </c>
      <c r="M27" s="182">
        <f>+Data!Q49</f>
        <v>4.9689440993788817E-2</v>
      </c>
      <c r="N27" s="182">
        <f>+Data!R49</f>
        <v>0.11602209944751381</v>
      </c>
      <c r="O27" s="63"/>
      <c r="P27" s="41"/>
      <c r="Q27" s="64"/>
      <c r="R27" s="35"/>
      <c r="S27" s="35"/>
      <c r="T27" s="35"/>
      <c r="U27" s="35"/>
      <c r="V27" s="35"/>
      <c r="W27" s="159"/>
    </row>
    <row r="28" spans="1:23" ht="15.6" x14ac:dyDescent="0.3">
      <c r="A28" s="60"/>
      <c r="B28" s="35"/>
      <c r="C28" s="35"/>
      <c r="D28" s="35"/>
      <c r="E28" s="35"/>
      <c r="F28" s="35"/>
      <c r="G28" s="36"/>
      <c r="H28" s="41"/>
      <c r="I28" s="62"/>
      <c r="J28" s="61"/>
      <c r="K28" s="61"/>
      <c r="L28" s="61"/>
      <c r="M28" s="61"/>
      <c r="N28" s="61"/>
      <c r="O28" s="63"/>
      <c r="P28" s="41"/>
      <c r="Q28" s="131" t="s">
        <v>80</v>
      </c>
      <c r="R28" s="35">
        <v>30</v>
      </c>
      <c r="S28" s="35">
        <v>80</v>
      </c>
      <c r="T28" s="35">
        <v>228</v>
      </c>
      <c r="U28" s="35">
        <v>167</v>
      </c>
      <c r="V28" s="35">
        <v>316</v>
      </c>
      <c r="W28" s="159"/>
    </row>
    <row r="29" spans="1:23" ht="15" x14ac:dyDescent="0.25">
      <c r="A29" s="65"/>
      <c r="B29" s="66"/>
      <c r="C29" s="66"/>
      <c r="D29" s="66"/>
      <c r="E29" s="66"/>
      <c r="F29" s="66"/>
      <c r="G29" s="67"/>
      <c r="H29" s="41"/>
      <c r="I29" s="68"/>
      <c r="J29" s="69"/>
      <c r="K29" s="69"/>
      <c r="L29" s="69"/>
      <c r="M29" s="69"/>
      <c r="N29" s="69"/>
      <c r="O29" s="70"/>
      <c r="P29" s="41"/>
      <c r="Q29" s="71"/>
      <c r="R29" s="72"/>
      <c r="S29" s="72"/>
      <c r="T29" s="66"/>
      <c r="U29" s="66"/>
      <c r="V29" s="66"/>
      <c r="W29" s="67"/>
    </row>
    <row r="30" spans="1:23" x14ac:dyDescent="0.25">
      <c r="A30" s="176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x14ac:dyDescent="0.25">
      <c r="A31" s="177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x14ac:dyDescent="0.25">
      <c r="A32" s="178"/>
    </row>
    <row r="33" spans="1:1" x14ac:dyDescent="0.25">
      <c r="A33" s="178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79"/>
    </row>
    <row r="47" spans="1:1" x14ac:dyDescent="0.25">
      <c r="A47" s="179"/>
    </row>
    <row r="48" spans="1:1" x14ac:dyDescent="0.25">
      <c r="A48" s="180"/>
    </row>
    <row r="49" spans="1:1" x14ac:dyDescent="0.25">
      <c r="A49" s="180"/>
    </row>
    <row r="50" spans="1:1" x14ac:dyDescent="0.25">
      <c r="A50" s="180"/>
    </row>
    <row r="51" spans="1:1" x14ac:dyDescent="0.25">
      <c r="A51" s="180"/>
    </row>
    <row r="52" spans="1:1" x14ac:dyDescent="0.25">
      <c r="A52" s="180"/>
    </row>
    <row r="53" spans="1:1" x14ac:dyDescent="0.25">
      <c r="A53" s="180"/>
    </row>
    <row r="54" spans="1:1" x14ac:dyDescent="0.25">
      <c r="A54" s="180"/>
    </row>
    <row r="55" spans="1:1" x14ac:dyDescent="0.25">
      <c r="A55" s="180"/>
    </row>
    <row r="56" spans="1:1" x14ac:dyDescent="0.25">
      <c r="A56" s="180"/>
    </row>
    <row r="57" spans="1:1" x14ac:dyDescent="0.25">
      <c r="A57" s="180"/>
    </row>
    <row r="58" spans="1:1" x14ac:dyDescent="0.25">
      <c r="A58" s="180"/>
    </row>
    <row r="59" spans="1:1" x14ac:dyDescent="0.25">
      <c r="A59" s="180"/>
    </row>
    <row r="60" spans="1:1" x14ac:dyDescent="0.25">
      <c r="A60" s="180"/>
    </row>
    <row r="61" spans="1:1" x14ac:dyDescent="0.25">
      <c r="A61" s="180"/>
    </row>
    <row r="62" spans="1:1" x14ac:dyDescent="0.25">
      <c r="A62" s="180"/>
    </row>
    <row r="63" spans="1:1" x14ac:dyDescent="0.25">
      <c r="A63" s="180"/>
    </row>
    <row r="64" spans="1:1" x14ac:dyDescent="0.25">
      <c r="A64" s="180"/>
    </row>
    <row r="65" spans="1:1" x14ac:dyDescent="0.25">
      <c r="A65" s="180"/>
    </row>
    <row r="66" spans="1:1" x14ac:dyDescent="0.25">
      <c r="A66" s="180"/>
    </row>
    <row r="67" spans="1:1" x14ac:dyDescent="0.25">
      <c r="A67" s="180"/>
    </row>
    <row r="68" spans="1:1" x14ac:dyDescent="0.25">
      <c r="A68" s="78"/>
    </row>
    <row r="69" spans="1:1" x14ac:dyDescent="0.25">
      <c r="A69" s="173"/>
    </row>
    <row r="70" spans="1:1" x14ac:dyDescent="0.25">
      <c r="A70" s="178"/>
    </row>
    <row r="71" spans="1:1" x14ac:dyDescent="0.25">
      <c r="A71" s="178"/>
    </row>
    <row r="72" spans="1:1" x14ac:dyDescent="0.25">
      <c r="A72" s="178"/>
    </row>
    <row r="73" spans="1:1" x14ac:dyDescent="0.25">
      <c r="A73" s="178"/>
    </row>
    <row r="74" spans="1:1" x14ac:dyDescent="0.25">
      <c r="A74" s="178"/>
    </row>
    <row r="75" spans="1:1" x14ac:dyDescent="0.25">
      <c r="A75" s="178"/>
    </row>
    <row r="76" spans="1:1" x14ac:dyDescent="0.25">
      <c r="A76" s="14"/>
    </row>
    <row r="77" spans="1:1" x14ac:dyDescent="0.25">
      <c r="A77" s="13"/>
    </row>
    <row r="78" spans="1:1" x14ac:dyDescent="0.25">
      <c r="A78" s="179"/>
    </row>
    <row r="79" spans="1:1" x14ac:dyDescent="0.25">
      <c r="A79" s="179"/>
    </row>
    <row r="80" spans="1:1" x14ac:dyDescent="0.25">
      <c r="A80" s="180"/>
    </row>
    <row r="81" spans="1:1" x14ac:dyDescent="0.25">
      <c r="A81" s="180"/>
    </row>
    <row r="82" spans="1:1" x14ac:dyDescent="0.25">
      <c r="A82" s="180"/>
    </row>
    <row r="83" spans="1:1" x14ac:dyDescent="0.25">
      <c r="A83" s="180"/>
    </row>
    <row r="84" spans="1:1" x14ac:dyDescent="0.25">
      <c r="A84" s="180"/>
    </row>
    <row r="85" spans="1:1" x14ac:dyDescent="0.25">
      <c r="A85" s="180"/>
    </row>
    <row r="86" spans="1:1" x14ac:dyDescent="0.25">
      <c r="A86" s="180"/>
    </row>
    <row r="87" spans="1:1" ht="12" customHeight="1" x14ac:dyDescent="0.25">
      <c r="A87" s="13"/>
    </row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March 22 - March 28</oddHeader>
    <oddFooter xml:space="preserve">&amp;L(1)  Note, due to change in reporting period, this period only includes six days (Friday through Wednesday).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16" workbookViewId="0">
      <selection activeCell="R66" sqref="R66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5" t="s">
        <v>35</v>
      </c>
    </row>
    <row r="2" spans="1:32" x14ac:dyDescent="0.25">
      <c r="B2" s="200" t="s">
        <v>190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6">
        <v>14137</v>
      </c>
      <c r="C6" s="149">
        <v>1754284573.9000001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6">
        <v>2252</v>
      </c>
      <c r="C7" s="149">
        <v>18605150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6">
        <v>1314</v>
      </c>
      <c r="C9" s="147">
        <v>44978000.00999999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6">
        <v>1</v>
      </c>
      <c r="C10" s="14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6">
        <v>0</v>
      </c>
      <c r="C11" s="147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6">
        <v>5</v>
      </c>
      <c r="C12" s="147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6">
        <v>2</v>
      </c>
      <c r="C14" s="14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0">
        <v>2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2"/>
      <c r="C24" s="152"/>
    </row>
    <row r="25" spans="1:32" x14ac:dyDescent="0.25">
      <c r="B25" s="202" t="s">
        <v>190</v>
      </c>
      <c r="C25" s="203"/>
      <c r="D25" s="76" t="s">
        <v>110</v>
      </c>
    </row>
    <row r="26" spans="1:32" x14ac:dyDescent="0.25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5">
      <c r="A27" s="2"/>
      <c r="B27" s="154"/>
      <c r="C27" s="154"/>
    </row>
    <row r="28" spans="1:32" x14ac:dyDescent="0.25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6">
        <v>2558</v>
      </c>
      <c r="C29" s="146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6">
        <v>2521</v>
      </c>
      <c r="C30" s="146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6">
        <v>1583</v>
      </c>
      <c r="C32" s="146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6">
        <v>27</v>
      </c>
      <c r="C33" s="146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6">
        <v>5</v>
      </c>
      <c r="C34" s="146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6">
        <v>12</v>
      </c>
      <c r="C35" s="146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6">
        <v>306</v>
      </c>
      <c r="C36" s="146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6">
        <v>14</v>
      </c>
      <c r="C37" s="146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6">
        <v>207</v>
      </c>
      <c r="C39" s="146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6">
        <v>14</v>
      </c>
      <c r="C40" s="146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5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5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2"/>
      <c r="C44" s="152"/>
    </row>
    <row r="45" spans="1:10" x14ac:dyDescent="0.25">
      <c r="B45" s="200" t="s">
        <v>190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5</v>
      </c>
      <c r="C49" s="83">
        <v>612000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3</v>
      </c>
      <c r="C51" s="83">
        <v>1420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v>612</v>
      </c>
    </row>
    <row r="58" spans="1:4" s="2" customFormat="1" x14ac:dyDescent="0.25">
      <c r="A58" s="5" t="s">
        <v>121</v>
      </c>
      <c r="C58" s="85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10" workbookViewId="0">
      <selection activeCell="R66" sqref="R66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5" t="s">
        <v>35</v>
      </c>
    </row>
    <row r="2" spans="1:32" x14ac:dyDescent="0.25">
      <c r="B2" s="200" t="s">
        <v>201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6">
        <v>16658</v>
      </c>
      <c r="C6" s="149">
        <v>2284624434.1600003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6">
        <v>2303</v>
      </c>
      <c r="C7" s="149">
        <v>19431220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6">
        <v>1074</v>
      </c>
      <c r="C9" s="147">
        <v>52381000.00999999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6">
        <v>0</v>
      </c>
      <c r="C10" s="14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6">
        <v>1</v>
      </c>
      <c r="C11" s="14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6">
        <v>1</v>
      </c>
      <c r="C12" s="147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6">
        <v>8</v>
      </c>
      <c r="C14" s="146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6">
        <v>3</v>
      </c>
      <c r="C17" s="146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0">
        <v>4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2"/>
      <c r="C24" s="152"/>
    </row>
    <row r="25" spans="1:32" x14ac:dyDescent="0.25">
      <c r="B25" s="202" t="s">
        <v>201</v>
      </c>
      <c r="C25" s="203"/>
      <c r="D25" s="76" t="s">
        <v>110</v>
      </c>
    </row>
    <row r="26" spans="1:32" x14ac:dyDescent="0.25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5">
      <c r="A27" s="2"/>
      <c r="B27" s="154"/>
      <c r="C27" s="154"/>
    </row>
    <row r="28" spans="1:32" x14ac:dyDescent="0.25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6">
        <v>3926</v>
      </c>
      <c r="C29" s="146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6">
        <v>2493</v>
      </c>
      <c r="C30" s="146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6">
        <v>1746</v>
      </c>
      <c r="C32" s="146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6">
        <v>14</v>
      </c>
      <c r="C33" s="146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6">
        <v>10</v>
      </c>
      <c r="C34" s="146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6">
        <v>6</v>
      </c>
      <c r="C35" s="146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6">
        <v>552</v>
      </c>
      <c r="C36" s="14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6">
        <v>15</v>
      </c>
      <c r="C37" s="146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6">
        <v>81</v>
      </c>
      <c r="C39" s="146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5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5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2"/>
      <c r="C44" s="152"/>
    </row>
    <row r="45" spans="1:10" x14ac:dyDescent="0.25">
      <c r="B45" s="200" t="s">
        <v>201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5" x14ac:dyDescent="0.25">
      <c r="A49" s="6" t="s">
        <v>39</v>
      </c>
      <c r="B49" s="149">
        <v>9</v>
      </c>
      <c r="C49" s="149">
        <v>1112000</v>
      </c>
      <c r="D49" s="152" t="s">
        <v>117</v>
      </c>
      <c r="E49" s="152"/>
    </row>
    <row r="50" spans="1:5" x14ac:dyDescent="0.25">
      <c r="A50" s="6" t="s">
        <v>40</v>
      </c>
      <c r="B50" s="149"/>
      <c r="C50" s="149"/>
      <c r="D50" s="152"/>
      <c r="E50" s="152"/>
    </row>
    <row r="51" spans="1:5" x14ac:dyDescent="0.25">
      <c r="A51" s="6" t="s">
        <v>42</v>
      </c>
      <c r="B51" s="149">
        <v>12</v>
      </c>
      <c r="C51" s="149">
        <v>53500</v>
      </c>
      <c r="D51" s="152" t="s">
        <v>118</v>
      </c>
      <c r="E51" s="152"/>
    </row>
    <row r="52" spans="1:5" x14ac:dyDescent="0.25">
      <c r="B52" s="152"/>
      <c r="C52" s="152"/>
      <c r="D52" s="152"/>
      <c r="E52" s="152"/>
    </row>
    <row r="53" spans="1:5" x14ac:dyDescent="0.25">
      <c r="A53" s="2" t="s">
        <v>119</v>
      </c>
      <c r="B53" s="154">
        <v>1</v>
      </c>
      <c r="C53" s="154"/>
      <c r="D53" s="152"/>
      <c r="E53" s="152"/>
    </row>
    <row r="54" spans="1:5" x14ac:dyDescent="0.25">
      <c r="B54" s="152"/>
      <c r="C54" s="152"/>
      <c r="D54" s="152"/>
      <c r="E54" s="152"/>
    </row>
    <row r="55" spans="1:5" x14ac:dyDescent="0.25">
      <c r="A55" s="4" t="s">
        <v>120</v>
      </c>
      <c r="B55" s="152"/>
      <c r="C55" s="185">
        <v>1112</v>
      </c>
      <c r="D55" s="152"/>
      <c r="E55" s="152"/>
    </row>
    <row r="56" spans="1:5" x14ac:dyDescent="0.25">
      <c r="B56" s="152"/>
      <c r="C56" s="152"/>
      <c r="D56" s="152"/>
      <c r="E56" s="152"/>
    </row>
    <row r="57" spans="1:5" x14ac:dyDescent="0.25">
      <c r="B57" s="152"/>
      <c r="C57" s="152"/>
      <c r="D57" s="152"/>
      <c r="E57" s="152"/>
    </row>
    <row r="58" spans="1:5" s="2" customFormat="1" x14ac:dyDescent="0.25">
      <c r="A58" s="5" t="s">
        <v>121</v>
      </c>
      <c r="B58" s="154"/>
      <c r="C58" s="186">
        <v>169228.08</v>
      </c>
      <c r="D58" s="154"/>
      <c r="E58" s="154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6" width="10.109375" bestFit="1" customWidth="1"/>
  </cols>
  <sheetData>
    <row r="1" spans="1:32" ht="22.8" x14ac:dyDescent="0.4">
      <c r="A1" s="75" t="s">
        <v>35</v>
      </c>
    </row>
    <row r="2" spans="1:32" x14ac:dyDescent="0.25">
      <c r="B2" s="200" t="s">
        <v>126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80"/>
      <c r="C8" s="128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33">
        <f>6109+469+36-4592-397-33</f>
        <v>1592</v>
      </c>
      <c r="C9" s="129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33">
        <f>110-91</f>
        <v>19</v>
      </c>
      <c r="C10" s="129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33">
        <f>29-24</f>
        <v>5</v>
      </c>
      <c r="C11" s="129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33">
        <f>64-56</f>
        <v>8</v>
      </c>
      <c r="C12" s="129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6" t="s">
        <v>0</v>
      </c>
      <c r="B13" s="33">
        <v>0</v>
      </c>
      <c r="C13" s="129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33">
        <f>26-18</f>
        <v>8</v>
      </c>
      <c r="C14" s="129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33">
        <v>5</v>
      </c>
      <c r="C16" s="129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33">
        <v>0</v>
      </c>
      <c r="C17" s="129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80">
        <v>8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</row>
    <row r="25" spans="1:32" x14ac:dyDescent="0.25">
      <c r="B25" s="200" t="s">
        <v>126</v>
      </c>
      <c r="C25" s="201"/>
      <c r="D25" s="76" t="s">
        <v>110</v>
      </c>
    </row>
    <row r="26" spans="1:32" x14ac:dyDescent="0.25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5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</row>
    <row r="45" spans="1:10" x14ac:dyDescent="0.25">
      <c r="B45" s="200" t="s">
        <v>126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5</v>
      </c>
      <c r="C49" s="83">
        <v>286000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2</v>
      </c>
      <c r="C51" s="83">
        <v>440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f>C49/1000</f>
        <v>286</v>
      </c>
    </row>
    <row r="58" spans="1:4" s="2" customFormat="1" x14ac:dyDescent="0.25">
      <c r="A58" s="5" t="s">
        <v>121</v>
      </c>
      <c r="C58" s="85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3.2" x14ac:dyDescent="0.25"/>
  <cols>
    <col min="1" max="1" width="22.6640625" customWidth="1"/>
    <col min="3" max="3" width="11.44140625" customWidth="1"/>
    <col min="5" max="5" width="12.33203125" customWidth="1"/>
  </cols>
  <sheetData>
    <row r="1" spans="1:9" x14ac:dyDescent="0.25">
      <c r="B1" s="204" t="s">
        <v>48</v>
      </c>
      <c r="C1" s="204"/>
      <c r="D1" s="204"/>
      <c r="E1" s="204"/>
      <c r="F1" s="204"/>
      <c r="G1" s="204"/>
      <c r="H1" s="204"/>
      <c r="I1" s="204"/>
    </row>
    <row r="2" spans="1:9" x14ac:dyDescent="0.25">
      <c r="B2" s="205" t="s">
        <v>47</v>
      </c>
      <c r="C2" s="205"/>
      <c r="D2" s="205" t="s">
        <v>46</v>
      </c>
      <c r="E2" s="205"/>
      <c r="F2" s="205" t="s">
        <v>44</v>
      </c>
      <c r="G2" s="205"/>
      <c r="H2" s="205" t="s">
        <v>45</v>
      </c>
      <c r="I2" s="205"/>
    </row>
    <row r="3" spans="1:9" x14ac:dyDescent="0.25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5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5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5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5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5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5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5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5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5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5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5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5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5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5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5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5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5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5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5">
      <c r="A33" s="6" t="s">
        <v>4</v>
      </c>
    </row>
    <row r="34" spans="1:10" x14ac:dyDescent="0.25">
      <c r="B34" s="205" t="s">
        <v>47</v>
      </c>
      <c r="C34" s="205"/>
      <c r="D34" s="205" t="s">
        <v>46</v>
      </c>
      <c r="E34" s="205"/>
      <c r="F34" s="205" t="s">
        <v>44</v>
      </c>
      <c r="G34" s="205"/>
      <c r="H34" s="205" t="s">
        <v>45</v>
      </c>
      <c r="I34" s="205"/>
    </row>
    <row r="35" spans="1:10" x14ac:dyDescent="0.25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5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5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5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5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5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5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5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5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5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5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5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5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5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5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5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5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5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5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5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5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81">
        <f>SUM(B55:I55)</f>
        <v>439</v>
      </c>
    </row>
    <row r="56" spans="1:10" x14ac:dyDescent="0.25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81">
        <f>SUM(B56:I56)</f>
        <v>55</v>
      </c>
    </row>
    <row r="57" spans="1:10" x14ac:dyDescent="0.25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81">
        <f>SUM(B57:I57)</f>
        <v>66</v>
      </c>
    </row>
    <row r="58" spans="1:10" x14ac:dyDescent="0.25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5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5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5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5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5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5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5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5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5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5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5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5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5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5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5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5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5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5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5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5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5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5" width="22.6640625" customWidth="1"/>
    <col min="6" max="6" width="20.109375" customWidth="1"/>
    <col min="7" max="7" width="22.6640625" customWidth="1"/>
    <col min="8" max="8" width="17.6640625" customWidth="1"/>
    <col min="9" max="10" width="15.6640625" customWidth="1"/>
    <col min="11" max="12" width="10.109375" customWidth="1"/>
  </cols>
  <sheetData>
    <row r="1" spans="1:38" ht="22.8" x14ac:dyDescent="0.4">
      <c r="A1" s="75" t="s">
        <v>35</v>
      </c>
      <c r="H1" s="74"/>
      <c r="I1" s="74"/>
    </row>
    <row r="2" spans="1:38" x14ac:dyDescent="0.25">
      <c r="B2" s="200" t="s">
        <v>106</v>
      </c>
      <c r="C2" s="201"/>
      <c r="D2" s="200" t="s">
        <v>107</v>
      </c>
      <c r="E2" s="201"/>
      <c r="F2" s="200" t="s">
        <v>108</v>
      </c>
      <c r="G2" s="201"/>
      <c r="H2" s="200" t="s">
        <v>109</v>
      </c>
      <c r="I2" s="206"/>
      <c r="J2" s="76" t="s">
        <v>110</v>
      </c>
    </row>
    <row r="3" spans="1:38" x14ac:dyDescent="0.25">
      <c r="A3" s="77" t="s">
        <v>111</v>
      </c>
      <c r="B3" s="78" t="s">
        <v>63</v>
      </c>
      <c r="C3" s="78" t="s">
        <v>112</v>
      </c>
      <c r="D3" s="78" t="s">
        <v>63</v>
      </c>
      <c r="E3" s="78" t="s">
        <v>112</v>
      </c>
      <c r="F3" s="78" t="s">
        <v>63</v>
      </c>
      <c r="G3" s="78" t="s">
        <v>112</v>
      </c>
      <c r="H3" s="78" t="s">
        <v>63</v>
      </c>
      <c r="I3" s="78" t="s">
        <v>112</v>
      </c>
      <c r="J3" s="79" t="s">
        <v>92</v>
      </c>
    </row>
    <row r="4" spans="1:38" x14ac:dyDescent="0.25">
      <c r="A4" s="2"/>
      <c r="B4" s="2"/>
      <c r="C4" s="2"/>
      <c r="D4" s="2"/>
      <c r="E4" s="2"/>
      <c r="F4" s="2"/>
      <c r="G4" s="2"/>
    </row>
    <row r="5" spans="1:38" x14ac:dyDescent="0.25">
      <c r="A5" s="5" t="s">
        <v>95</v>
      </c>
      <c r="B5" s="80"/>
      <c r="C5" s="80"/>
      <c r="D5" s="80"/>
      <c r="E5" s="80"/>
      <c r="F5" s="80"/>
      <c r="G5" s="8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5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5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5">
      <c r="A8" s="5" t="s">
        <v>32</v>
      </c>
      <c r="B8" s="80"/>
      <c r="C8" s="80"/>
      <c r="D8" s="80"/>
      <c r="E8" s="80"/>
      <c r="F8" s="80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5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5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5">
      <c r="A11" s="6" t="s">
        <v>113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5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5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5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5">
      <c r="A15" s="5" t="s">
        <v>33</v>
      </c>
      <c r="B15" s="80"/>
      <c r="C15" s="80"/>
      <c r="D15" s="80"/>
      <c r="E15" s="80"/>
      <c r="F15" s="80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5">
      <c r="A16" s="6" t="s">
        <v>114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5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5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5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5">
      <c r="A20" s="2" t="s">
        <v>115</v>
      </c>
      <c r="B20" s="80">
        <v>5</v>
      </c>
      <c r="C20" s="80"/>
      <c r="D20" s="80">
        <v>7</v>
      </c>
      <c r="E20" s="80"/>
      <c r="F20" s="80">
        <v>7</v>
      </c>
      <c r="G20" s="33"/>
      <c r="H20" s="80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2.8" x14ac:dyDescent="0.4">
      <c r="A24" s="75" t="s">
        <v>30</v>
      </c>
    </row>
    <row r="25" spans="1:38" x14ac:dyDescent="0.25">
      <c r="B25" s="200" t="s">
        <v>106</v>
      </c>
      <c r="C25" s="201"/>
      <c r="D25" s="200" t="s">
        <v>107</v>
      </c>
      <c r="E25" s="201"/>
      <c r="F25" s="200" t="s">
        <v>108</v>
      </c>
      <c r="G25" s="201"/>
      <c r="H25" s="200" t="s">
        <v>109</v>
      </c>
      <c r="I25" s="201"/>
      <c r="J25" s="76" t="s">
        <v>110</v>
      </c>
    </row>
    <row r="26" spans="1:38" x14ac:dyDescent="0.25">
      <c r="A26" s="77" t="s">
        <v>111</v>
      </c>
      <c r="B26" s="78" t="s">
        <v>63</v>
      </c>
      <c r="C26" s="78" t="s">
        <v>112</v>
      </c>
      <c r="D26" s="78" t="s">
        <v>63</v>
      </c>
      <c r="E26" s="78" t="s">
        <v>112</v>
      </c>
      <c r="F26" s="78" t="s">
        <v>63</v>
      </c>
      <c r="G26" s="78" t="s">
        <v>112</v>
      </c>
      <c r="H26" s="78" t="s">
        <v>63</v>
      </c>
      <c r="I26" s="78" t="s">
        <v>112</v>
      </c>
      <c r="J26" s="79" t="s">
        <v>92</v>
      </c>
    </row>
    <row r="27" spans="1:38" x14ac:dyDescent="0.25">
      <c r="A27" s="2"/>
      <c r="B27" s="2"/>
      <c r="C27" s="2"/>
      <c r="D27" s="2"/>
      <c r="E27" s="2"/>
      <c r="F27" s="2"/>
      <c r="G27" s="2"/>
    </row>
    <row r="28" spans="1:38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5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5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5">
      <c r="A31" s="5" t="s">
        <v>32</v>
      </c>
      <c r="B31" s="33"/>
      <c r="C31" s="33"/>
      <c r="D31" s="80"/>
      <c r="E31" s="80"/>
      <c r="F31" s="80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5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5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5">
      <c r="A34" s="6" t="s">
        <v>113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5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5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5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5">
      <c r="A38" s="5" t="s">
        <v>33</v>
      </c>
      <c r="B38" s="33"/>
      <c r="C38" s="33"/>
      <c r="D38" s="80"/>
      <c r="E38" s="80"/>
      <c r="F38" s="80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5">
      <c r="A39" s="6" t="s">
        <v>114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5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2.8" x14ac:dyDescent="0.4">
      <c r="A44" s="75" t="s">
        <v>116</v>
      </c>
    </row>
    <row r="45" spans="1:16" x14ac:dyDescent="0.25">
      <c r="B45" s="200" t="s">
        <v>106</v>
      </c>
      <c r="C45" s="201"/>
      <c r="D45" s="200" t="s">
        <v>107</v>
      </c>
      <c r="E45" s="201"/>
      <c r="F45" s="200" t="s">
        <v>108</v>
      </c>
      <c r="G45" s="201"/>
      <c r="H45" s="200" t="s">
        <v>109</v>
      </c>
      <c r="I45" s="201"/>
      <c r="J45" s="76" t="s">
        <v>110</v>
      </c>
    </row>
    <row r="46" spans="1:16" x14ac:dyDescent="0.25">
      <c r="A46" s="77" t="s">
        <v>111</v>
      </c>
      <c r="B46" s="78" t="s">
        <v>63</v>
      </c>
      <c r="C46" s="78" t="s">
        <v>112</v>
      </c>
      <c r="D46" s="78" t="s">
        <v>63</v>
      </c>
      <c r="E46" s="78" t="s">
        <v>112</v>
      </c>
      <c r="F46" s="78" t="s">
        <v>63</v>
      </c>
      <c r="G46" s="78" t="s">
        <v>112</v>
      </c>
      <c r="H46" s="78" t="s">
        <v>63</v>
      </c>
      <c r="I46" s="78" t="s">
        <v>112</v>
      </c>
      <c r="J46" s="79" t="s">
        <v>92</v>
      </c>
    </row>
    <row r="48" spans="1:16" x14ac:dyDescent="0.25">
      <c r="A48" s="5" t="s">
        <v>33</v>
      </c>
      <c r="B48" s="83"/>
      <c r="C48" s="83"/>
      <c r="D48" s="83"/>
      <c r="E48" s="83"/>
      <c r="F48" s="83"/>
      <c r="G48" s="83"/>
      <c r="H48" s="83"/>
      <c r="I48" s="83"/>
    </row>
    <row r="49" spans="1:10" x14ac:dyDescent="0.25">
      <c r="A49" s="6" t="s">
        <v>39</v>
      </c>
      <c r="B49" s="83">
        <v>4</v>
      </c>
      <c r="C49" s="83">
        <v>247000</v>
      </c>
      <c r="D49" s="83">
        <v>9</v>
      </c>
      <c r="E49" s="83">
        <v>492000</v>
      </c>
      <c r="F49" s="83">
        <v>4</v>
      </c>
      <c r="G49" s="83">
        <v>88000</v>
      </c>
      <c r="H49" s="83">
        <v>2</v>
      </c>
      <c r="I49" s="83">
        <v>220000</v>
      </c>
      <c r="J49" t="s">
        <v>117</v>
      </c>
    </row>
    <row r="50" spans="1:10" x14ac:dyDescent="0.25">
      <c r="A50" s="6" t="s">
        <v>40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</row>
    <row r="51" spans="1:10" x14ac:dyDescent="0.25">
      <c r="A51" s="6" t="s">
        <v>42</v>
      </c>
      <c r="B51" s="83">
        <v>4</v>
      </c>
      <c r="C51" s="83">
        <v>910</v>
      </c>
      <c r="D51" s="83">
        <v>4</v>
      </c>
      <c r="E51" s="83">
        <v>12450</v>
      </c>
      <c r="F51" s="83">
        <v>1</v>
      </c>
      <c r="G51" s="83">
        <v>20</v>
      </c>
      <c r="H51" s="83">
        <v>0</v>
      </c>
      <c r="I51" s="83">
        <v>0</v>
      </c>
      <c r="J51" t="s">
        <v>118</v>
      </c>
    </row>
    <row r="53" spans="1:10" x14ac:dyDescent="0.25">
      <c r="A53" s="2" t="s">
        <v>119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5">
      <c r="A55" s="4" t="s">
        <v>120</v>
      </c>
      <c r="C55" s="84">
        <f>C49*0.0022374</f>
        <v>552.63779999999997</v>
      </c>
      <c r="E55" s="84">
        <f>E49*0.0022374</f>
        <v>1100.8008</v>
      </c>
      <c r="G55" s="84">
        <f>G49*0.0022374</f>
        <v>196.8912</v>
      </c>
      <c r="I55" s="84">
        <f>I49*0.0022374</f>
        <v>492.22800000000001</v>
      </c>
    </row>
    <row r="58" spans="1:10" s="2" customFormat="1" x14ac:dyDescent="0.25">
      <c r="A58" s="5" t="s">
        <v>121</v>
      </c>
      <c r="C58" s="85">
        <f>C55+C51+C40+C39+C17+C16</f>
        <v>60842.591799999995</v>
      </c>
      <c r="E58" s="85">
        <f>E55+E51+E40+E39+E17+E16</f>
        <v>36861.769800000002</v>
      </c>
      <c r="G58" s="85">
        <f>G55+G51+G40+G39+G17+G16</f>
        <v>213594.89320000002</v>
      </c>
      <c r="I58" s="85">
        <f>I55+I51+I40+I39+I17+I16</f>
        <v>19607.182999999997</v>
      </c>
    </row>
    <row r="61" spans="1:10" ht="22.8" x14ac:dyDescent="0.4">
      <c r="A61" s="75" t="s">
        <v>35</v>
      </c>
      <c r="H61" s="74"/>
      <c r="I61" s="74"/>
    </row>
    <row r="62" spans="1:10" x14ac:dyDescent="0.25">
      <c r="B62" s="200" t="s">
        <v>106</v>
      </c>
      <c r="C62" s="201"/>
      <c r="D62" s="200" t="s">
        <v>107</v>
      </c>
      <c r="E62" s="201"/>
      <c r="F62" s="200" t="s">
        <v>108</v>
      </c>
      <c r="G62" s="201"/>
      <c r="H62" s="200" t="s">
        <v>109</v>
      </c>
      <c r="I62" s="206"/>
      <c r="J62" s="76" t="s">
        <v>110</v>
      </c>
    </row>
    <row r="63" spans="1:10" x14ac:dyDescent="0.25">
      <c r="A63" s="77" t="s">
        <v>111</v>
      </c>
      <c r="B63" s="78" t="s">
        <v>63</v>
      </c>
      <c r="C63" s="78" t="s">
        <v>112</v>
      </c>
      <c r="D63" s="78" t="s">
        <v>63</v>
      </c>
      <c r="E63" s="78" t="s">
        <v>112</v>
      </c>
      <c r="F63" s="78" t="s">
        <v>63</v>
      </c>
      <c r="G63" s="78" t="s">
        <v>112</v>
      </c>
      <c r="H63" s="78" t="s">
        <v>63</v>
      </c>
      <c r="I63" s="78" t="s">
        <v>112</v>
      </c>
      <c r="J63" s="79" t="s">
        <v>92</v>
      </c>
    </row>
    <row r="64" spans="1:10" x14ac:dyDescent="0.25">
      <c r="A64" s="2"/>
      <c r="B64" s="2"/>
      <c r="C64" s="2"/>
      <c r="D64" s="2"/>
      <c r="E64" s="2"/>
      <c r="F64" s="2"/>
      <c r="G64" s="2"/>
    </row>
    <row r="65" spans="1:38" x14ac:dyDescent="0.25">
      <c r="A65" s="5" t="s">
        <v>95</v>
      </c>
      <c r="B65" s="80"/>
      <c r="C65" s="80"/>
      <c r="D65" s="80"/>
      <c r="E65" s="80"/>
      <c r="F65" s="80"/>
      <c r="G65" s="80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5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5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5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5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5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5">
      <c r="A71" s="6" t="s">
        <v>113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5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5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5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5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5">
      <c r="A76" s="6" t="s">
        <v>114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5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5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3.2" x14ac:dyDescent="0.25"/>
  <cols>
    <col min="1" max="1" width="20.109375" customWidth="1"/>
    <col min="2" max="2" width="20.5546875" customWidth="1"/>
    <col min="3" max="3" width="19.33203125" customWidth="1"/>
    <col min="4" max="4" width="19.44140625" customWidth="1"/>
    <col min="5" max="5" width="21.44140625" customWidth="1"/>
    <col min="6" max="6" width="24.109375" customWidth="1"/>
  </cols>
  <sheetData>
    <row r="1" spans="1:6" x14ac:dyDescent="0.25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5">
      <c r="A2" s="2" t="s">
        <v>2</v>
      </c>
    </row>
    <row r="3" spans="1:6" x14ac:dyDescent="0.25">
      <c r="A3" s="1" t="s">
        <v>0</v>
      </c>
      <c r="B3" t="s">
        <v>1</v>
      </c>
      <c r="C3" t="s">
        <v>18</v>
      </c>
    </row>
    <row r="4" spans="1:6" x14ac:dyDescent="0.25">
      <c r="A4" s="1" t="s">
        <v>22</v>
      </c>
      <c r="B4" t="s">
        <v>23</v>
      </c>
      <c r="D4" s="3" t="s">
        <v>24</v>
      </c>
    </row>
    <row r="5" spans="1:6" x14ac:dyDescent="0.25">
      <c r="A5" s="1" t="s">
        <v>21</v>
      </c>
      <c r="B5" t="s">
        <v>8</v>
      </c>
      <c r="C5" t="s">
        <v>18</v>
      </c>
    </row>
    <row r="6" spans="1:6" x14ac:dyDescent="0.25">
      <c r="A6" s="1" t="s">
        <v>28</v>
      </c>
      <c r="B6" t="s">
        <v>8</v>
      </c>
      <c r="C6" t="s">
        <v>18</v>
      </c>
    </row>
    <row r="7" spans="1:6" x14ac:dyDescent="0.25">
      <c r="A7" s="1" t="s">
        <v>29</v>
      </c>
    </row>
    <row r="8" spans="1:6" x14ac:dyDescent="0.25">
      <c r="A8" s="1" t="s">
        <v>6</v>
      </c>
      <c r="B8" t="s">
        <v>8</v>
      </c>
      <c r="C8" t="s">
        <v>18</v>
      </c>
    </row>
    <row r="9" spans="1:6" x14ac:dyDescent="0.25">
      <c r="A9" s="1" t="s">
        <v>3</v>
      </c>
      <c r="B9" t="s">
        <v>12</v>
      </c>
      <c r="C9" t="s">
        <v>18</v>
      </c>
    </row>
    <row r="10" spans="1:6" ht="12" customHeight="1" x14ac:dyDescent="0.25">
      <c r="A10" s="1" t="s">
        <v>5</v>
      </c>
      <c r="B10" t="s">
        <v>12</v>
      </c>
      <c r="C10" t="s">
        <v>18</v>
      </c>
    </row>
    <row r="11" spans="1:6" ht="12" customHeight="1" x14ac:dyDescent="0.25">
      <c r="A11" s="1" t="s">
        <v>13</v>
      </c>
      <c r="B11" t="s">
        <v>12</v>
      </c>
      <c r="C11" t="s">
        <v>18</v>
      </c>
    </row>
    <row r="12" spans="1:6" x14ac:dyDescent="0.25">
      <c r="A12" s="2" t="s">
        <v>7</v>
      </c>
    </row>
    <row r="13" spans="1:6" x14ac:dyDescent="0.25">
      <c r="A13" s="1" t="s">
        <v>21</v>
      </c>
      <c r="B13" t="s">
        <v>9</v>
      </c>
      <c r="C13" t="s">
        <v>18</v>
      </c>
      <c r="D13" t="s">
        <v>15</v>
      </c>
    </row>
    <row r="14" spans="1:6" x14ac:dyDescent="0.25">
      <c r="A14" s="1" t="s">
        <v>22</v>
      </c>
      <c r="B14" t="s">
        <v>23</v>
      </c>
      <c r="D14" s="3" t="s">
        <v>24</v>
      </c>
    </row>
    <row r="15" spans="1:6" x14ac:dyDescent="0.25">
      <c r="A15" s="1" t="s">
        <v>28</v>
      </c>
      <c r="B15" t="s">
        <v>10</v>
      </c>
      <c r="C15" t="s">
        <v>18</v>
      </c>
    </row>
    <row r="16" spans="1:6" x14ac:dyDescent="0.25">
      <c r="A16" s="1" t="s">
        <v>29</v>
      </c>
    </row>
    <row r="17" spans="1:6" x14ac:dyDescent="0.25">
      <c r="A17" s="1" t="s">
        <v>6</v>
      </c>
      <c r="B17" t="s">
        <v>11</v>
      </c>
      <c r="C17" t="s">
        <v>18</v>
      </c>
    </row>
    <row r="18" spans="1:6" x14ac:dyDescent="0.25">
      <c r="A18" s="1" t="s">
        <v>5</v>
      </c>
      <c r="B18" t="s">
        <v>12</v>
      </c>
      <c r="C18" t="s">
        <v>18</v>
      </c>
    </row>
    <row r="19" spans="1:6" x14ac:dyDescent="0.25">
      <c r="A19" s="1" t="s">
        <v>4</v>
      </c>
      <c r="B19" t="s">
        <v>12</v>
      </c>
      <c r="C19" t="s">
        <v>18</v>
      </c>
    </row>
    <row r="21" spans="1:6" x14ac:dyDescent="0.25">
      <c r="A21" s="2" t="s">
        <v>25</v>
      </c>
      <c r="E21" t="s">
        <v>26</v>
      </c>
      <c r="F21" t="s">
        <v>27</v>
      </c>
    </row>
    <row r="44" spans="6:7" x14ac:dyDescent="0.25">
      <c r="F44" t="s">
        <v>20</v>
      </c>
    </row>
    <row r="46" spans="6:7" x14ac:dyDescent="0.25">
      <c r="F46" s="2" t="s">
        <v>64</v>
      </c>
      <c r="G46" s="2">
        <f>SUM(G47:G50)</f>
        <v>27</v>
      </c>
    </row>
    <row r="47" spans="6:7" x14ac:dyDescent="0.25">
      <c r="F47" t="s">
        <v>73</v>
      </c>
      <c r="G47">
        <v>8</v>
      </c>
    </row>
    <row r="48" spans="6:7" x14ac:dyDescent="0.25">
      <c r="F48" t="s">
        <v>74</v>
      </c>
      <c r="G48">
        <v>13</v>
      </c>
    </row>
    <row r="49" spans="6:7" x14ac:dyDescent="0.25">
      <c r="F49" t="s">
        <v>75</v>
      </c>
      <c r="G49">
        <v>6</v>
      </c>
    </row>
    <row r="50" spans="6:7" x14ac:dyDescent="0.25">
      <c r="F50" t="s">
        <v>76</v>
      </c>
      <c r="G50">
        <v>0</v>
      </c>
    </row>
    <row r="52" spans="6:7" x14ac:dyDescent="0.25">
      <c r="F52" s="2" t="s">
        <v>71</v>
      </c>
      <c r="G52">
        <f>SUM(G53:G55)</f>
        <v>5</v>
      </c>
    </row>
    <row r="53" spans="6:7" x14ac:dyDescent="0.25">
      <c r="F53" t="s">
        <v>73</v>
      </c>
      <c r="G53">
        <v>3</v>
      </c>
    </row>
    <row r="54" spans="6:7" x14ac:dyDescent="0.25">
      <c r="F54" t="s">
        <v>74</v>
      </c>
      <c r="G54">
        <v>2</v>
      </c>
    </row>
    <row r="55" spans="6:7" x14ac:dyDescent="0.25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opLeftCell="E36" workbookViewId="0">
      <pane xSplit="1" topLeftCell="L1" activePane="topRight" state="frozen"/>
      <selection activeCell="F2" sqref="F2"/>
      <selection pane="topRight" activeCell="R66" sqref="R66"/>
    </sheetView>
  </sheetViews>
  <sheetFormatPr defaultRowHeight="13.2" x14ac:dyDescent="0.25"/>
  <cols>
    <col min="1" max="1" width="34.109375" style="7" hidden="1" customWidth="1"/>
    <col min="2" max="2" width="0" hidden="1" customWidth="1"/>
    <col min="3" max="3" width="10.6640625" hidden="1" customWidth="1"/>
    <col min="4" max="4" width="0" hidden="1" customWidth="1"/>
    <col min="5" max="5" width="13.6640625" customWidth="1"/>
    <col min="6" max="6" width="11.5546875" customWidth="1"/>
    <col min="7" max="7" width="14.33203125" bestFit="1" customWidth="1"/>
    <col min="8" max="8" width="10.88671875" bestFit="1" customWidth="1"/>
    <col min="9" max="9" width="10.88671875" style="16" bestFit="1" customWidth="1"/>
    <col min="10" max="10" width="9.6640625" bestFit="1" customWidth="1"/>
    <col min="11" max="12" width="9.6640625" customWidth="1"/>
    <col min="13" max="14" width="10.5546875" customWidth="1"/>
    <col min="15" max="15" width="11.109375" bestFit="1" customWidth="1"/>
    <col min="16" max="18" width="11.109375" customWidth="1"/>
    <col min="19" max="19" width="3.33203125" customWidth="1"/>
    <col min="20" max="20" width="13.88671875" bestFit="1" customWidth="1"/>
  </cols>
  <sheetData>
    <row r="1" spans="1:20" hidden="1" x14ac:dyDescent="0.25">
      <c r="A1" s="7" t="s">
        <v>63</v>
      </c>
      <c r="E1" t="s">
        <v>77</v>
      </c>
    </row>
    <row r="2" spans="1:20" hidden="1" x14ac:dyDescent="0.25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20" hidden="1" x14ac:dyDescent="0.25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20" hidden="1" x14ac:dyDescent="0.25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20" hidden="1" x14ac:dyDescent="0.25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20" hidden="1" x14ac:dyDescent="0.25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20" hidden="1" x14ac:dyDescent="0.25">
      <c r="A7" s="7" t="s">
        <v>54</v>
      </c>
      <c r="B7">
        <v>5</v>
      </c>
    </row>
    <row r="8" spans="1:20" hidden="1" x14ac:dyDescent="0.25">
      <c r="A8" s="7" t="s">
        <v>56</v>
      </c>
      <c r="B8">
        <v>10</v>
      </c>
    </row>
    <row r="9" spans="1:20" hidden="1" x14ac:dyDescent="0.25">
      <c r="A9" s="7" t="s">
        <v>55</v>
      </c>
      <c r="B9">
        <v>20</v>
      </c>
    </row>
    <row r="10" spans="1:20" x14ac:dyDescent="0.25">
      <c r="E10" s="89" t="s">
        <v>63</v>
      </c>
    </row>
    <row r="11" spans="1:20" ht="13.8" x14ac:dyDescent="0.25">
      <c r="A11" s="7" t="s">
        <v>62</v>
      </c>
      <c r="B11">
        <v>50</v>
      </c>
      <c r="F11" s="86" t="s">
        <v>122</v>
      </c>
      <c r="G11" s="86" t="s">
        <v>123</v>
      </c>
      <c r="H11" s="86" t="s">
        <v>124</v>
      </c>
      <c r="I11" s="86" t="s">
        <v>125</v>
      </c>
      <c r="J11" s="86" t="s">
        <v>138</v>
      </c>
      <c r="K11" s="86" t="s">
        <v>139</v>
      </c>
      <c r="L11" s="86" t="s">
        <v>141</v>
      </c>
      <c r="M11" s="86" t="s">
        <v>145</v>
      </c>
      <c r="N11" s="86" t="s">
        <v>146</v>
      </c>
      <c r="O11" s="86" t="s">
        <v>154</v>
      </c>
      <c r="P11" s="86" t="s">
        <v>174</v>
      </c>
      <c r="Q11" s="86" t="s">
        <v>188</v>
      </c>
      <c r="R11" s="86" t="s">
        <v>191</v>
      </c>
    </row>
    <row r="12" spans="1:20" x14ac:dyDescent="0.25">
      <c r="A12" s="7" t="s">
        <v>0</v>
      </c>
      <c r="B12">
        <v>175</v>
      </c>
      <c r="E12" t="s">
        <v>172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>+Q13+Q14</f>
        <v>16695</v>
      </c>
      <c r="R12" s="33">
        <f>+R13+R14</f>
        <v>20584</v>
      </c>
      <c r="T12" s="87" t="s">
        <v>81</v>
      </c>
    </row>
    <row r="13" spans="1:20" x14ac:dyDescent="0.25">
      <c r="E13" s="1" t="s">
        <v>176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T13" s="87"/>
    </row>
    <row r="14" spans="1:20" x14ac:dyDescent="0.25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T14" s="87"/>
    </row>
    <row r="15" spans="1:20" x14ac:dyDescent="0.25">
      <c r="A15" s="7" t="s">
        <v>3</v>
      </c>
      <c r="B15">
        <v>2</v>
      </c>
      <c r="E15" t="s">
        <v>171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>+Q16+Q17</f>
        <v>4773</v>
      </c>
      <c r="R15" s="33">
        <f>+R16+R17</f>
        <v>4796</v>
      </c>
      <c r="T15" s="87" t="s">
        <v>82</v>
      </c>
    </row>
    <row r="16" spans="1:20" x14ac:dyDescent="0.25">
      <c r="E16" s="1" t="s">
        <v>176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T16" s="87"/>
    </row>
    <row r="17" spans="1:20" x14ac:dyDescent="0.25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T17" s="87"/>
    </row>
    <row r="18" spans="1:20" x14ac:dyDescent="0.25">
      <c r="E18" t="s">
        <v>177</v>
      </c>
      <c r="J18" s="33"/>
      <c r="K18" s="174">
        <f t="shared" ref="K18:R18" si="0">(+K17+K14)/(K15+K12)</f>
        <v>0.78658431237042159</v>
      </c>
      <c r="L18" s="174">
        <f t="shared" si="0"/>
        <v>0.76194406235671708</v>
      </c>
      <c r="M18" s="174">
        <f t="shared" si="0"/>
        <v>0.73590340769796514</v>
      </c>
      <c r="N18" s="174">
        <f t="shared" si="0"/>
        <v>0.73337578941782089</v>
      </c>
      <c r="O18" s="174">
        <f t="shared" si="0"/>
        <v>0.75593813294052659</v>
      </c>
      <c r="P18" s="174">
        <f t="shared" si="0"/>
        <v>0.77631001492144303</v>
      </c>
      <c r="Q18" s="174">
        <f t="shared" si="0"/>
        <v>0.76341531581889321</v>
      </c>
      <c r="R18" s="174">
        <f t="shared" si="0"/>
        <v>0.74708431836091416</v>
      </c>
      <c r="T18" s="87"/>
    </row>
    <row r="19" spans="1:20" ht="13.8" x14ac:dyDescent="0.25">
      <c r="A19" s="7" t="s">
        <v>57</v>
      </c>
      <c r="B19">
        <v>20</v>
      </c>
      <c r="F19" s="86" t="s">
        <v>122</v>
      </c>
      <c r="G19" s="86" t="s">
        <v>123</v>
      </c>
      <c r="H19" s="86" t="s">
        <v>124</v>
      </c>
      <c r="I19" s="86" t="s">
        <v>125</v>
      </c>
      <c r="J19" s="86" t="s">
        <v>138</v>
      </c>
      <c r="K19" s="86" t="str">
        <f t="shared" ref="K19:P19" si="1">+K11</f>
        <v>2/2 - 2/8</v>
      </c>
      <c r="L19" s="86" t="str">
        <f t="shared" si="1"/>
        <v>2/9 - 2/15</v>
      </c>
      <c r="M19" s="86" t="str">
        <f t="shared" si="1"/>
        <v>2/16 - 2/22</v>
      </c>
      <c r="N19" s="86" t="str">
        <f t="shared" si="1"/>
        <v>2/23 - 2/28</v>
      </c>
      <c r="O19" s="86" t="str">
        <f t="shared" si="1"/>
        <v>3/1 - 3/7</v>
      </c>
      <c r="P19" s="86" t="str">
        <f t="shared" si="1"/>
        <v>3/8 - 3/14</v>
      </c>
      <c r="Q19" s="86" t="str">
        <f>+Q11</f>
        <v>3/15 - 3/21</v>
      </c>
      <c r="R19" s="86" t="str">
        <f>+R11</f>
        <v>3/22 - 3/28</v>
      </c>
      <c r="T19" s="88"/>
    </row>
    <row r="20" spans="1:20" x14ac:dyDescent="0.25">
      <c r="A20" s="7" t="s">
        <v>58</v>
      </c>
      <c r="B20">
        <v>30</v>
      </c>
      <c r="E20" t="s">
        <v>170</v>
      </c>
      <c r="F20">
        <f>+'template from individuals'!B45+'template from individuals'!C45</f>
        <v>91</v>
      </c>
      <c r="G20">
        <f>+'template from individuals'!D45+'template from individuals'!E45</f>
        <v>130</v>
      </c>
      <c r="H20">
        <f>+'template from individuals'!F45+'template from individuals'!G45</f>
        <v>103</v>
      </c>
      <c r="I20" s="16">
        <f>+'template from individuals'!H45+'template from individuals'!I45</f>
        <v>169</v>
      </c>
      <c r="J20" s="33">
        <f>+'WE 2-1 EOL Data'!B13+'WE 2-1 EOL Data'!B36</f>
        <v>145</v>
      </c>
      <c r="K20" s="33">
        <f>+'WE 2-8 EOL Data'!B13+'WE 2-8 EOL Data'!B36</f>
        <v>153</v>
      </c>
      <c r="L20" s="33">
        <f>+'WE 2-15 EOL Data'!$B13+'WE 2-15 EOL Data'!$B36</f>
        <v>122</v>
      </c>
      <c r="M20" s="33">
        <f>+'WE 2-22 EOL Data'!$B13+'WE 2-22 EOL Data'!$B36</f>
        <v>142</v>
      </c>
      <c r="N20" s="33">
        <f>+'WE 2-28 EOL Data'!B13+'WE 2-28 EOL Data'!B36</f>
        <v>102</v>
      </c>
      <c r="O20" s="33">
        <f>+'WE 3-7 EOL Data'!B13+'WE 3-7 EOL Data'!B36</f>
        <v>174</v>
      </c>
      <c r="P20" s="33">
        <f>+'WE 3-14 EOL Data'!B13+'WE 3-14 EOL Data'!B36</f>
        <v>596</v>
      </c>
      <c r="Q20" s="33">
        <f>+Q21+Q22</f>
        <v>306</v>
      </c>
      <c r="R20" s="33">
        <f>+R21+R22</f>
        <v>552</v>
      </c>
      <c r="T20" s="87" t="s">
        <v>99</v>
      </c>
    </row>
    <row r="21" spans="1:20" x14ac:dyDescent="0.25">
      <c r="E21" s="1" t="s">
        <v>176</v>
      </c>
      <c r="J21" s="33"/>
      <c r="K21" s="33">
        <f>+'WE 2-8 EOL Data'!B36</f>
        <v>153</v>
      </c>
      <c r="L21" s="33">
        <f>+'WE 2-15 EOL Data'!B36</f>
        <v>122</v>
      </c>
      <c r="M21" s="33">
        <f>+'WE 2-22 EOL Data'!B36</f>
        <v>142</v>
      </c>
      <c r="N21" s="33">
        <f>+'WE 2-28 EOL Data'!B36</f>
        <v>102</v>
      </c>
      <c r="O21" s="33">
        <f>+'WE 3-7 EOL Data'!B36</f>
        <v>174</v>
      </c>
      <c r="P21" s="33">
        <f>+'WE 3-14 EOL Data'!B36</f>
        <v>596</v>
      </c>
      <c r="Q21" s="33">
        <f>+'WE 3-21 EOL Data'!B36</f>
        <v>306</v>
      </c>
      <c r="R21" s="33">
        <f>+'WE 3-28 EOL Data'!B36</f>
        <v>552</v>
      </c>
      <c r="T21" s="87"/>
    </row>
    <row r="22" spans="1:20" x14ac:dyDescent="0.25">
      <c r="E22" s="1" t="s">
        <v>35</v>
      </c>
      <c r="J22" s="33"/>
      <c r="K22" s="33">
        <f>+'WE 2-8 EOL Data'!B13</f>
        <v>0</v>
      </c>
      <c r="L22" s="33">
        <f>+'WE 2-15 EOL Data'!B13</f>
        <v>0</v>
      </c>
      <c r="M22" s="33">
        <f>+'WE 2-22 EOL Data'!B13</f>
        <v>0</v>
      </c>
      <c r="N22" s="33">
        <f>+'WE 2-28 EOL Data'!B13</f>
        <v>0</v>
      </c>
      <c r="O22" s="33">
        <f>+'WE 3-7 EOL Data'!B13</f>
        <v>0</v>
      </c>
      <c r="P22" s="33">
        <f>+'WE 3-14 EOL Data'!B13</f>
        <v>0</v>
      </c>
      <c r="Q22" s="33">
        <f>+'WE 3-21 EOL Data'!B13</f>
        <v>0</v>
      </c>
      <c r="R22" s="33">
        <f>+'WE 3-28 EOL Data'!B13</f>
        <v>0</v>
      </c>
      <c r="T22" s="87"/>
    </row>
    <row r="23" spans="1:20" x14ac:dyDescent="0.25">
      <c r="A23" s="7" t="s">
        <v>59</v>
      </c>
      <c r="B23">
        <v>1</v>
      </c>
      <c r="E23" t="s">
        <v>169</v>
      </c>
      <c r="F23">
        <f>+'template from individuals'!B47+'template from individuals'!C47</f>
        <v>1835</v>
      </c>
      <c r="G23">
        <f>+'template from individuals'!D47+'template from individuals'!E47</f>
        <v>3258</v>
      </c>
      <c r="H23">
        <f>+'template from individuals'!F47+'template from individuals'!G47</f>
        <v>2199</v>
      </c>
      <c r="I23" s="16">
        <f>+'template from individuals'!H47+'template from individuals'!I47</f>
        <v>3063</v>
      </c>
      <c r="J23" s="33">
        <f>+'WE 2-1 EOL Data'!B9+'WE 2-1 EOL Data'!B32</f>
        <v>3322</v>
      </c>
      <c r="K23" s="33">
        <f>+'WE 2-8 EOL Data'!B9+'WE 2-8 EOL Data'!B32</f>
        <v>3375</v>
      </c>
      <c r="L23" s="33">
        <f>+'WE 2-15 EOL Data'!$B9+'WE 2-15 EOL Data'!$B32</f>
        <v>3353</v>
      </c>
      <c r="M23" s="33">
        <f>+'WE 2-22 EOL Data'!$B9+'WE 2-22 EOL Data'!$B32</f>
        <v>3135</v>
      </c>
      <c r="N23" s="33">
        <f>+'WE 2-28 EOL Data'!B9+'WE 2-28 EOL Data'!B32</f>
        <v>2593</v>
      </c>
      <c r="O23" s="33">
        <f>+'WE 3-7 EOL Data'!B9+'WE 3-7 EOL Data'!B32</f>
        <v>3101</v>
      </c>
      <c r="P23" s="33">
        <f>+'WE 3-14 EOL Data'!B9+'WE 3-14 EOL Data'!B32</f>
        <v>3017</v>
      </c>
      <c r="Q23" s="33">
        <f>+Q24+Q25</f>
        <v>2897</v>
      </c>
      <c r="R23" s="33">
        <f>+R24+R25</f>
        <v>2820</v>
      </c>
      <c r="T23" s="87" t="s">
        <v>100</v>
      </c>
    </row>
    <row r="24" spans="1:20" x14ac:dyDescent="0.25">
      <c r="E24" s="1" t="s">
        <v>176</v>
      </c>
      <c r="J24" s="33"/>
      <c r="K24" s="33">
        <f>+'WE 2-8 EOL Data'!B32</f>
        <v>1617</v>
      </c>
      <c r="L24" s="33">
        <f>+'WE 2-15 EOL Data'!B32</f>
        <v>1786</v>
      </c>
      <c r="M24" s="33">
        <f>+'WE 2-22 EOL Data'!B32</f>
        <v>1587</v>
      </c>
      <c r="N24" s="33">
        <f>+'WE 2-28 EOL Data'!B32</f>
        <v>1409</v>
      </c>
      <c r="O24" s="33">
        <f>+'WE 3-7 EOL Data'!B32</f>
        <v>1753</v>
      </c>
      <c r="P24" s="33">
        <f>+'WE 3-14 EOL Data'!B32</f>
        <v>1693</v>
      </c>
      <c r="Q24" s="33">
        <f>+'WE 3-21 EOL Data'!B32</f>
        <v>1583</v>
      </c>
      <c r="R24" s="33">
        <f>+'WE 3-28 EOL Data'!B32</f>
        <v>1746</v>
      </c>
      <c r="T24" s="87"/>
    </row>
    <row r="25" spans="1:20" x14ac:dyDescent="0.25">
      <c r="E25" s="1" t="s">
        <v>35</v>
      </c>
      <c r="J25" s="33"/>
      <c r="K25" s="33">
        <f>+'WE 2-8 EOL Data'!B9</f>
        <v>1758</v>
      </c>
      <c r="L25" s="33">
        <f>+'WE 2-15 EOL Data'!B9</f>
        <v>1567</v>
      </c>
      <c r="M25" s="33">
        <f>+'WE 2-22 EOL Data'!B9</f>
        <v>1548</v>
      </c>
      <c r="N25" s="33">
        <f>+'WE 2-28 EOL Data'!B9</f>
        <v>1184</v>
      </c>
      <c r="O25" s="33">
        <f>+'WE 3-7 EOL Data'!B9</f>
        <v>1348</v>
      </c>
      <c r="P25" s="33">
        <f>+'WE 3-14 EOL Data'!B9</f>
        <v>1324</v>
      </c>
      <c r="Q25" s="33">
        <f>+'WE 3-21 EOL Data'!B9</f>
        <v>1314</v>
      </c>
      <c r="R25" s="33">
        <f>+'WE 3-28 EOL Data'!B9</f>
        <v>1074</v>
      </c>
      <c r="T25" s="87"/>
    </row>
    <row r="26" spans="1:20" x14ac:dyDescent="0.25">
      <c r="A26" s="7" t="s">
        <v>60</v>
      </c>
      <c r="B26">
        <v>3</v>
      </c>
      <c r="E26" t="s">
        <v>168</v>
      </c>
      <c r="F26">
        <f>+'template from individuals'!B49+'template from individuals'!C49</f>
        <v>52</v>
      </c>
      <c r="G26">
        <f>+'template from individuals'!D49+'template from individuals'!E49</f>
        <v>83</v>
      </c>
      <c r="H26">
        <f>+'template from individuals'!F49+'template from individuals'!G49</f>
        <v>84</v>
      </c>
      <c r="I26" s="16">
        <f>+'template from individuals'!H49+'template from individuals'!I49</f>
        <v>75</v>
      </c>
      <c r="J26" s="33">
        <f>+'WE 2-1 EOL Data'!B10+'WE 2-1 EOL Data'!B11+'WE 2-1 EOL Data'!B33+'WE 2-1 EOL Data'!B34</f>
        <v>83</v>
      </c>
      <c r="K26" s="33">
        <f>+'WE 2-8 EOL Data'!B10+'WE 2-8 EOL Data'!B33+'WE 2-8 EOL Data'!B11+'WE 2-8 EOL Data'!B34</f>
        <v>52</v>
      </c>
      <c r="L26" s="33">
        <f>+'WE 2-15 EOL Data'!$B10+'WE 2-15 EOL Data'!$B11+'WE 2-15 EOL Data'!$B33+'WE 2-15 EOL Data'!$B34</f>
        <v>58</v>
      </c>
      <c r="M26" s="33">
        <f>+'WE 2-22 EOL Data'!$B10+'WE 2-22 EOL Data'!$B11+'WE 2-22 EOL Data'!$B33+'WE 2-22 EOL Data'!$B34</f>
        <v>28</v>
      </c>
      <c r="N26" s="33">
        <f>+'WE 2-28 EOL Data'!B10+'WE 2-28 EOL Data'!B33+'WE 2-28 EOL Data'!B11+'WE 2-28 EOL Data'!B34</f>
        <v>12</v>
      </c>
      <c r="O26" s="33">
        <f>+'WE 3-7 EOL Data'!B10+'WE 3-7 EOL Data'!B11+'WE 3-7 EOL Data'!B33+'WE 3-7 EOL Data'!B34</f>
        <v>36</v>
      </c>
      <c r="P26" s="33">
        <f>+'WE 3-14 EOL Data'!B10+'WE 3-14 EOL Data'!B11+'WE 3-14 EOL Data'!B33+'WE 3-14 EOL Data'!B34</f>
        <v>20</v>
      </c>
      <c r="Q26" s="33">
        <f>+Q27+Q28</f>
        <v>33</v>
      </c>
      <c r="R26" s="33">
        <f>+R27+R28</f>
        <v>25</v>
      </c>
      <c r="T26" s="87" t="s">
        <v>101</v>
      </c>
    </row>
    <row r="27" spans="1:20" x14ac:dyDescent="0.25">
      <c r="E27" s="1" t="s">
        <v>176</v>
      </c>
      <c r="J27" s="33"/>
      <c r="K27" s="33">
        <f>+'WE 2-8 EOL Data'!B33+'WE 2-8 EOL Data'!B34</f>
        <v>44</v>
      </c>
      <c r="L27" s="33">
        <f>+'WE 2-15 EOL Data'!B33+'WE 2-15 EOL Data'!B34</f>
        <v>36</v>
      </c>
      <c r="M27" s="33">
        <f>+'WE 2-22 EOL Data'!B33+'WE 2-22 EOL Data'!B34</f>
        <v>24</v>
      </c>
      <c r="N27" s="33">
        <f>+'WE 2-28 EOL Data'!B33+'WE 2-28 EOL Data'!B34</f>
        <v>9</v>
      </c>
      <c r="O27" s="33">
        <f>+'WE 3-7 EOL Data'!B33+'WE 3-7 EOL Data'!B34</f>
        <v>32</v>
      </c>
      <c r="P27" s="33">
        <f>+'WE 3-14 EOL Data'!B33+'WE 3-14 EOL Data'!B34</f>
        <v>15</v>
      </c>
      <c r="Q27" s="33">
        <f>+'WE 3-21 EOL Data'!B33+'WE 3-21 EOL Data'!B34</f>
        <v>32</v>
      </c>
      <c r="R27" s="33">
        <f>+'WE 3-28 EOL Data'!B33+'WE 3-28 EOL Data'!B34</f>
        <v>24</v>
      </c>
      <c r="T27" s="87"/>
    </row>
    <row r="28" spans="1:20" x14ac:dyDescent="0.25">
      <c r="E28" s="1" t="s">
        <v>35</v>
      </c>
      <c r="J28" s="33"/>
      <c r="K28" s="33">
        <f>+'WE 2-8 EOL Data'!B10+'WE 2-8 EOL Data'!B11</f>
        <v>8</v>
      </c>
      <c r="L28" s="33">
        <f>+'WE 2-15 EOL Data'!B10+'WE 2-15 EOL Data'!B11</f>
        <v>22</v>
      </c>
      <c r="M28" s="33">
        <f>+'WE 2-22 EOL Data'!B10+'WE 2-22 EOL Data'!B11</f>
        <v>4</v>
      </c>
      <c r="N28" s="33">
        <f>+'WE 2-28 EOL Data'!B10+'WE 2-28 EOL Data'!B11</f>
        <v>3</v>
      </c>
      <c r="O28" s="33">
        <f>+'WE 3-7 EOL Data'!B10+'WE 3-7 EOL Data'!B11</f>
        <v>4</v>
      </c>
      <c r="P28" s="33">
        <f>+'WE 3-14 EOL Data'!B10+'WE 3-14 EOL Data'!B11</f>
        <v>5</v>
      </c>
      <c r="Q28" s="33">
        <f>+'WE 3-21 EOL Data'!B10+'WE 3-21 EOL Data'!B11</f>
        <v>1</v>
      </c>
      <c r="R28" s="33">
        <f>+'WE 3-28 EOL Data'!B10+'WE 3-28 EOL Data'!B11</f>
        <v>1</v>
      </c>
      <c r="T28" s="87"/>
    </row>
    <row r="29" spans="1:20" x14ac:dyDescent="0.25">
      <c r="A29" s="7" t="s">
        <v>4</v>
      </c>
      <c r="B29">
        <v>2</v>
      </c>
      <c r="E29" t="s">
        <v>167</v>
      </c>
      <c r="F29">
        <f>+'template from individuals'!B46+'template from individuals'!C46</f>
        <v>13</v>
      </c>
      <c r="G29">
        <f>+'template from individuals'!D46+'template from individuals'!E46</f>
        <v>27</v>
      </c>
      <c r="H29">
        <f>+'template from individuals'!F46+'template from individuals'!G46</f>
        <v>37</v>
      </c>
      <c r="I29" s="16">
        <f>+'template from individuals'!H46+'template from individuals'!I46</f>
        <v>36</v>
      </c>
      <c r="J29" s="33">
        <f>+'WE 2-1 EOL Data'!B12+'WE 2-1 EOL Data'!B35</f>
        <v>19</v>
      </c>
      <c r="K29" s="33">
        <f>+'WE 2-8 EOL Data'!B12+'WE 2-8 EOL Data'!B35</f>
        <v>24</v>
      </c>
      <c r="L29" s="33">
        <f>+'WE 2-15 EOL Data'!$B12+'WE 2-15 EOL Data'!$B35</f>
        <v>39</v>
      </c>
      <c r="M29" s="33">
        <f>+'WE 2-22 EOL Data'!$B12+'WE 2-22 EOL Data'!$B35</f>
        <v>24</v>
      </c>
      <c r="N29" s="33">
        <f>+'WE 2-28 EOL Data'!B12+'WE 2-28 EOL Data'!B35</f>
        <v>18</v>
      </c>
      <c r="O29" s="33">
        <f>+'WE 3-7 EOL Data'!B12+'WE 3-7 EOL Data'!B35</f>
        <v>22</v>
      </c>
      <c r="P29" s="33">
        <f>+'WE 3-14 EOL Data'!B12+'WE 3-14 EOL Data'!B35</f>
        <v>11</v>
      </c>
      <c r="Q29" s="33">
        <f>+Q30+Q31</f>
        <v>17</v>
      </c>
      <c r="R29" s="33">
        <f>+R30+R31</f>
        <v>7</v>
      </c>
      <c r="T29" s="87" t="s">
        <v>102</v>
      </c>
    </row>
    <row r="30" spans="1:20" x14ac:dyDescent="0.25">
      <c r="E30" s="1" t="s">
        <v>176</v>
      </c>
      <c r="J30" s="33"/>
      <c r="K30" s="33">
        <f>+'WE 2-8 EOL Data'!B35</f>
        <v>11</v>
      </c>
      <c r="L30" s="33">
        <f>+'WE 2-15 EOL Data'!B35</f>
        <v>29</v>
      </c>
      <c r="M30" s="33">
        <f>+'WE 2-22 EOL Data'!B35</f>
        <v>23</v>
      </c>
      <c r="N30" s="33">
        <f>+'WE 2-28 EOL Data'!B35</f>
        <v>14</v>
      </c>
      <c r="O30" s="33">
        <f>+'WE 3-7 EOL Data'!B35</f>
        <v>15</v>
      </c>
      <c r="P30" s="33">
        <f>+'WE 3-14 EOL Data'!B35</f>
        <v>9</v>
      </c>
      <c r="Q30" s="33">
        <f>+'WE 3-21 EOL Data'!B35</f>
        <v>12</v>
      </c>
      <c r="R30" s="33">
        <f>+'WE 3-28 EOL Data'!B35</f>
        <v>6</v>
      </c>
      <c r="T30" s="87"/>
    </row>
    <row r="31" spans="1:20" x14ac:dyDescent="0.25">
      <c r="E31" s="1" t="s">
        <v>35</v>
      </c>
      <c r="J31" s="33"/>
      <c r="K31" s="33">
        <f>+'WE 2-8 EOL Data'!B12</f>
        <v>13</v>
      </c>
      <c r="L31" s="33">
        <f>+'WE 2-15 EOL Data'!B12</f>
        <v>10</v>
      </c>
      <c r="M31" s="33">
        <f>+'WE 2-22 EOL Data'!B12</f>
        <v>1</v>
      </c>
      <c r="N31" s="33">
        <f>+'WE 2-28 EOL Data'!B12</f>
        <v>4</v>
      </c>
      <c r="O31" s="33">
        <f>+'WE 3-7 EOL Data'!B12</f>
        <v>7</v>
      </c>
      <c r="P31" s="33">
        <f>+'WE 3-14 EOL Data'!B12</f>
        <v>2</v>
      </c>
      <c r="Q31" s="33">
        <f>+'WE 3-21 EOL Data'!B12</f>
        <v>5</v>
      </c>
      <c r="R31" s="33">
        <f>+'WE 3-28 EOL Data'!B12</f>
        <v>1</v>
      </c>
      <c r="T31" s="87"/>
    </row>
    <row r="32" spans="1:20" x14ac:dyDescent="0.25">
      <c r="A32" s="7" t="s">
        <v>61</v>
      </c>
      <c r="B32">
        <v>65</v>
      </c>
      <c r="E32" t="s">
        <v>13</v>
      </c>
      <c r="F32">
        <f>+'template from individuals'!B48+'template from individuals'!C48</f>
        <v>2</v>
      </c>
      <c r="G32">
        <f>+'template from individuals'!D48+'template from individuals'!E48</f>
        <v>2</v>
      </c>
      <c r="H32">
        <f>+'template from individuals'!F48+'template from individuals'!G48</f>
        <v>14</v>
      </c>
      <c r="I32" s="16">
        <f>+'template from individuals'!H48+'template from individuals'!I48</f>
        <v>13</v>
      </c>
      <c r="J32" s="33">
        <f>+'WE 2-1 EOL Data'!B14+'WE 2-1 EOL Data'!B37</f>
        <v>14</v>
      </c>
      <c r="K32" s="33">
        <f>+'WE 2-8 EOL Data'!B14+'WE 2-8 EOL Data'!B37</f>
        <v>33</v>
      </c>
      <c r="L32" s="33">
        <f>+'WE 2-15 EOL Data'!$B14+'WE 2-15 EOL Data'!$B37</f>
        <v>20</v>
      </c>
      <c r="M32" s="33">
        <f>+'WE 2-22 EOL Data'!$B14+'WE 2-22 EOL Data'!$B37</f>
        <v>6</v>
      </c>
      <c r="N32" s="33">
        <f>+'WE 2-28 EOL Data'!B14+'WE 2-28 EOL Data'!B37</f>
        <v>3</v>
      </c>
      <c r="O32" s="33">
        <f>+'WE 3-7 EOL Data'!B14+'WE 3-7 EOL Data'!B37</f>
        <v>3</v>
      </c>
      <c r="P32" s="33">
        <f>+'WE 3-14 EOL Data'!B14+'WE 3-14 EOL Data'!B37</f>
        <v>16</v>
      </c>
      <c r="Q32" s="33">
        <f>+Q33+Q34</f>
        <v>16</v>
      </c>
      <c r="R32" s="33">
        <f>+R33+R34</f>
        <v>23</v>
      </c>
      <c r="T32" s="87" t="s">
        <v>103</v>
      </c>
    </row>
    <row r="33" spans="1:20" x14ac:dyDescent="0.25">
      <c r="E33" s="1" t="s">
        <v>176</v>
      </c>
      <c r="J33" s="33"/>
      <c r="K33" s="33">
        <f>+'WE 2-8 EOL Data'!B37</f>
        <v>17</v>
      </c>
      <c r="L33" s="33">
        <f>+'WE 2-15 EOL Data'!B37</f>
        <v>12</v>
      </c>
      <c r="M33" s="33">
        <f>+'WE 2-22 EOL Data'!B37</f>
        <v>6</v>
      </c>
      <c r="N33" s="33">
        <f>+'WE 2-28 EOL Data'!B37</f>
        <v>3</v>
      </c>
      <c r="O33" s="33">
        <f>+'WE 3-7 EOL Data'!B37</f>
        <v>3</v>
      </c>
      <c r="P33" s="33">
        <f>+'WE 3-14 EOL Data'!B37</f>
        <v>7</v>
      </c>
      <c r="Q33" s="33">
        <f>+'WE 3-21 EOL Data'!B37</f>
        <v>14</v>
      </c>
      <c r="R33" s="33">
        <f>+'WE 3-28 EOL Data'!B37</f>
        <v>15</v>
      </c>
      <c r="T33" s="87"/>
    </row>
    <row r="34" spans="1:20" x14ac:dyDescent="0.25">
      <c r="E34" s="1" t="s">
        <v>35</v>
      </c>
      <c r="J34" s="33"/>
      <c r="K34" s="33">
        <f>+'WE 2-8 EOL Data'!B14</f>
        <v>16</v>
      </c>
      <c r="L34" s="33">
        <f>+'WE 2-15 EOL Data'!B14</f>
        <v>8</v>
      </c>
      <c r="M34" s="33">
        <f>+'WE 2-22 EOL Data'!B14</f>
        <v>0</v>
      </c>
      <c r="N34" s="33">
        <f>+'WE 2-28 EOL Data'!B14</f>
        <v>0</v>
      </c>
      <c r="O34" s="33">
        <f>+'WE 3-7 EOL Data'!B14</f>
        <v>0</v>
      </c>
      <c r="P34" s="33">
        <f>+'WE 3-14 EOL Data'!B14</f>
        <v>9</v>
      </c>
      <c r="Q34" s="33">
        <f>+'WE 3-21 EOL Data'!B14</f>
        <v>2</v>
      </c>
      <c r="R34" s="33">
        <f>+'WE 3-28 EOL Data'!B14</f>
        <v>8</v>
      </c>
      <c r="T34" s="87"/>
    </row>
    <row r="35" spans="1:20" x14ac:dyDescent="0.25">
      <c r="E35" t="s">
        <v>177</v>
      </c>
      <c r="J35" s="33"/>
      <c r="K35" s="174">
        <f t="shared" ref="K35:R35" si="2">+(K34+K31+K28+K25+K22)/(K32+K29+K26+K23+K20)</f>
        <v>0.49353863073962057</v>
      </c>
      <c r="L35" s="174">
        <f t="shared" si="2"/>
        <v>0.44738307349665923</v>
      </c>
      <c r="M35" s="174">
        <f t="shared" si="2"/>
        <v>0.46566716641679162</v>
      </c>
      <c r="N35" s="174">
        <f t="shared" si="2"/>
        <v>0.43658357771260997</v>
      </c>
      <c r="O35" s="174">
        <f t="shared" si="2"/>
        <v>0.40737410071942448</v>
      </c>
      <c r="P35" s="174">
        <f t="shared" si="2"/>
        <v>0.36612021857923499</v>
      </c>
      <c r="Q35" s="174">
        <f t="shared" si="2"/>
        <v>0.40440501682471702</v>
      </c>
      <c r="R35" s="174">
        <f t="shared" si="2"/>
        <v>0.31631164283629998</v>
      </c>
      <c r="T35" s="87"/>
    </row>
    <row r="36" spans="1:20" ht="13.8" x14ac:dyDescent="0.25">
      <c r="A36" s="7" t="s">
        <v>13</v>
      </c>
      <c r="B36">
        <v>10</v>
      </c>
      <c r="F36" s="86" t="s">
        <v>122</v>
      </c>
      <c r="G36" s="86" t="s">
        <v>123</v>
      </c>
      <c r="H36" s="86" t="s">
        <v>124</v>
      </c>
      <c r="I36" s="86" t="s">
        <v>125</v>
      </c>
      <c r="J36" s="86" t="s">
        <v>138</v>
      </c>
      <c r="K36" s="86" t="str">
        <f t="shared" ref="K36:P36" si="3">+K19</f>
        <v>2/2 - 2/8</v>
      </c>
      <c r="L36" s="86" t="str">
        <f t="shared" si="3"/>
        <v>2/9 - 2/15</v>
      </c>
      <c r="M36" s="86" t="str">
        <f t="shared" si="3"/>
        <v>2/16 - 2/22</v>
      </c>
      <c r="N36" s="86" t="str">
        <f t="shared" si="3"/>
        <v>2/23 - 2/28</v>
      </c>
      <c r="O36" s="86" t="str">
        <f t="shared" si="3"/>
        <v>3/1 - 3/7</v>
      </c>
      <c r="P36" s="86" t="str">
        <f t="shared" si="3"/>
        <v>3/8 - 3/14</v>
      </c>
      <c r="Q36" s="86" t="str">
        <f>+Q19</f>
        <v>3/15 - 3/21</v>
      </c>
      <c r="R36" s="86" t="str">
        <f>+R19</f>
        <v>3/22 - 3/28</v>
      </c>
      <c r="T36" s="88"/>
    </row>
    <row r="37" spans="1:20" x14ac:dyDescent="0.25">
      <c r="E37" t="s">
        <v>166</v>
      </c>
      <c r="F37">
        <f>+'template from individuals'!B56+'template from individuals'!C56</f>
        <v>5</v>
      </c>
      <c r="G37">
        <f>+'template from individuals'!D56+'template from individuals'!E56</f>
        <v>17</v>
      </c>
      <c r="H37">
        <f>+'template from individuals'!F56+'template from individuals'!G56</f>
        <v>9</v>
      </c>
      <c r="I37" s="16">
        <f>+'template from individuals'!H56+'template from individuals'!I56</f>
        <v>24</v>
      </c>
      <c r="J37" s="33">
        <f>+'EIM New Deals'!J12+'EIM New Deals'!K12+'EIM New Deals'!J28+'EIM New Deals'!K28</f>
        <v>4</v>
      </c>
      <c r="K37" s="33">
        <f>+'EIM New Deals'!L12+'EIM New Deals'!M12+'EIM New Deals'!L28+'EIM New Deals'!M28</f>
        <v>12</v>
      </c>
      <c r="L37" s="33">
        <f>+'EIM New Deals'!N$12+'EIM New Deals'!O$12+'EIM New Deals'!N$28+'EIM New Deals'!O$28</f>
        <v>30</v>
      </c>
      <c r="M37" s="33">
        <f>+'EIM New Deals'!P$12+'EIM New Deals'!Q$12+'EIM New Deals'!P$28+'EIM New Deals'!Q$28</f>
        <v>17</v>
      </c>
      <c r="N37" s="33">
        <f>+'EIM New Deals'!S12+'EIM New Deals'!R12+'EIM New Deals'!R28+'EIM New Deals'!S28</f>
        <v>18</v>
      </c>
      <c r="O37" s="33">
        <f>+'EIM New Deals'!T12+'EIM New Deals'!U12+'EIM New Deals'!T28+'EIM New Deals'!U28</f>
        <v>20</v>
      </c>
      <c r="P37" s="33">
        <f>+'EIM New Deals'!V12+'EIM New Deals'!W12+'EIM New Deals'!V28+'EIM New Deals'!W28</f>
        <v>46</v>
      </c>
      <c r="Q37" s="33">
        <f>+Q38+Q39</f>
        <v>25</v>
      </c>
      <c r="R37" s="33">
        <f>+R38+R39</f>
        <v>19</v>
      </c>
      <c r="T37" s="87" t="s">
        <v>100</v>
      </c>
    </row>
    <row r="38" spans="1:20" x14ac:dyDescent="0.25">
      <c r="E38" s="1" t="s">
        <v>176</v>
      </c>
      <c r="J38" s="33"/>
      <c r="K38" s="33">
        <f>+'EIM New Deals'!M12+'EIM New Deals'!M28</f>
        <v>12</v>
      </c>
      <c r="L38" s="33">
        <f>+'EIM New Deals'!O12+'EIM New Deals'!O28</f>
        <v>30</v>
      </c>
      <c r="M38" s="33">
        <f>+'EIM New Deals'!Q12+'EIM New Deals'!Q28</f>
        <v>17</v>
      </c>
      <c r="N38" s="33">
        <f>+'EIM New Deals'!S12+'EIM New Deals'!S28</f>
        <v>18</v>
      </c>
      <c r="O38" s="33">
        <f>+'EIM New Deals'!U12+'EIM New Deals'!U28</f>
        <v>20</v>
      </c>
      <c r="P38" s="33">
        <f>+'EIM New Deals'!W12+'EIM New Deals'!W28</f>
        <v>44</v>
      </c>
      <c r="Q38" s="33">
        <f>+'EIM New Deals'!Y12+'EIM New Deals'!Y28</f>
        <v>24</v>
      </c>
      <c r="R38" s="33">
        <f>+'EIM New Deals'!AA12+'EIM New Deals'!AA28</f>
        <v>9</v>
      </c>
      <c r="T38" s="87"/>
    </row>
    <row r="39" spans="1:20" x14ac:dyDescent="0.25">
      <c r="E39" s="1" t="s">
        <v>35</v>
      </c>
      <c r="J39" s="33"/>
      <c r="K39" s="33">
        <f>+'EIM New Deals'!L12+'EIM New Deals'!L28</f>
        <v>0</v>
      </c>
      <c r="L39" s="33">
        <f>+'EIM New Deals'!N12+'EIM New Deals'!N28</f>
        <v>0</v>
      </c>
      <c r="M39" s="33">
        <f>+'EIM New Deals'!P12+'EIM New Deals'!P28</f>
        <v>0</v>
      </c>
      <c r="N39" s="33">
        <f>+'EIM New Deals'!R12+'EIM New Deals'!R28</f>
        <v>0</v>
      </c>
      <c r="O39" s="33">
        <f>+'EIM New Deals'!T12+'EIM New Deals'!T28</f>
        <v>0</v>
      </c>
      <c r="P39" s="33">
        <f>+'EIM New Deals'!V12+'EIM New Deals'!V28</f>
        <v>2</v>
      </c>
      <c r="Q39" s="33">
        <f>+'EIM New Deals'!X12+'EIM New Deals'!X28</f>
        <v>1</v>
      </c>
      <c r="R39" s="33">
        <f>+'EIM New Deals'!Z12+'EIM New Deals'!Z28</f>
        <v>10</v>
      </c>
      <c r="T39" s="87"/>
    </row>
    <row r="40" spans="1:20" x14ac:dyDescent="0.25">
      <c r="A40" s="7" t="s">
        <v>66</v>
      </c>
      <c r="B40">
        <v>0</v>
      </c>
      <c r="E40" t="s">
        <v>70</v>
      </c>
      <c r="F40">
        <f>+'template from individuals'!B57+'template from individuals'!C57</f>
        <v>6</v>
      </c>
      <c r="G40">
        <f>+'template from individuals'!D57+'template from individuals'!E57</f>
        <v>17</v>
      </c>
      <c r="H40">
        <f>+'template from individuals'!F57+'template from individuals'!G57</f>
        <v>24</v>
      </c>
      <c r="I40" s="16">
        <f>+'template from individuals'!H57+'template from individuals'!I57</f>
        <v>19</v>
      </c>
      <c r="J40" s="33">
        <f>+'EIM New Deals'!J13+'EIM New Deals'!K13+'EIM New Deals'!J29+'EIM New Deals'!K29</f>
        <v>29</v>
      </c>
      <c r="K40" s="33">
        <f>+'EIM New Deals'!L13+'EIM New Deals'!M13+'EIM New Deals'!L29+'EIM New Deals'!M29</f>
        <v>17</v>
      </c>
      <c r="L40" s="33">
        <f>+'EIM New Deals'!$N13+'EIM New Deals'!$O13+'EIM New Deals'!$N29+'EIM New Deals'!$O29</f>
        <v>15</v>
      </c>
      <c r="M40" s="33">
        <f>+'EIM New Deals'!P13+'EIM New Deals'!Q13+'EIM New Deals'!P29+'EIM New Deals'!Q29</f>
        <v>23</v>
      </c>
      <c r="N40" s="33">
        <f>+'EIM New Deals'!R13+'EIM New Deals'!S13+'EIM New Deals'!R29+'EIM New Deals'!S29</f>
        <v>57</v>
      </c>
      <c r="O40" s="33">
        <f>+'EIM New Deals'!T13+'EIM New Deals'!U13+'EIM New Deals'!T29+'EIM New Deals'!U29</f>
        <v>32</v>
      </c>
      <c r="P40" s="33">
        <f>+'EIM New Deals'!V13+'EIM New Deals'!W13+'EIM New Deals'!V29+'EIM New Deals'!W29</f>
        <v>26</v>
      </c>
      <c r="Q40" s="33">
        <f>+Q41+Q42</f>
        <v>40</v>
      </c>
      <c r="R40" s="33">
        <f>+R41+R42</f>
        <v>32</v>
      </c>
      <c r="T40" s="87" t="s">
        <v>100</v>
      </c>
    </row>
    <row r="41" spans="1:20" x14ac:dyDescent="0.25">
      <c r="E41" s="1" t="s">
        <v>176</v>
      </c>
      <c r="J41" s="33"/>
      <c r="K41" s="33">
        <f>+'EIM New Deals'!M13+'EIM New Deals'!M29</f>
        <v>13</v>
      </c>
      <c r="L41" s="33">
        <f>+'EIM New Deals'!O13+'EIM New Deals'!O29</f>
        <v>12</v>
      </c>
      <c r="M41" s="33">
        <f>+'EIM New Deals'!Q13+'EIM New Deals'!Q29</f>
        <v>20</v>
      </c>
      <c r="N41" s="33">
        <f>+'EIM New Deals'!S13+'EIM New Deals'!S29</f>
        <v>52</v>
      </c>
      <c r="O41" s="33">
        <f>+'EIM New Deals'!U13+'EIM New Deals'!U29</f>
        <v>28</v>
      </c>
      <c r="P41" s="33">
        <f>+'EIM New Deals'!W13+'EIM New Deals'!W29</f>
        <v>17</v>
      </c>
      <c r="Q41" s="33">
        <f>+'EIM New Deals'!Y13+'EIM New Deals'!Y29</f>
        <v>38</v>
      </c>
      <c r="R41" s="33">
        <f>+'EIM New Deals'!AA13+'EIM New Deals'!AA29</f>
        <v>30</v>
      </c>
      <c r="T41" s="87"/>
    </row>
    <row r="42" spans="1:20" x14ac:dyDescent="0.25">
      <c r="E42" s="1" t="s">
        <v>35</v>
      </c>
      <c r="J42" s="33"/>
      <c r="K42" s="33">
        <f>+'EIM New Deals'!L13+'EIM New Deals'!L29</f>
        <v>4</v>
      </c>
      <c r="L42" s="33">
        <f>+'EIM New Deals'!N13+'EIM New Deals'!N29</f>
        <v>3</v>
      </c>
      <c r="M42" s="33">
        <f>+'EIM New Deals'!P13+'EIM New Deals'!P29</f>
        <v>3</v>
      </c>
      <c r="N42" s="33">
        <f>+'EIM New Deals'!R13+'EIM New Deals'!R29</f>
        <v>5</v>
      </c>
      <c r="O42" s="33">
        <f>+'EIM New Deals'!T13+'EIM New Deals'!T29</f>
        <v>4</v>
      </c>
      <c r="P42" s="33">
        <f>+'EIM New Deals'!V13+'EIM New Deals'!V29</f>
        <v>9</v>
      </c>
      <c r="Q42" s="33">
        <f>+'EIM New Deals'!X13+'EIM New Deals'!X29</f>
        <v>2</v>
      </c>
      <c r="R42" s="33">
        <f>+'EIM New Deals'!Z13+'EIM New Deals'!Z29</f>
        <v>2</v>
      </c>
      <c r="T42" s="87"/>
    </row>
    <row r="43" spans="1:20" x14ac:dyDescent="0.25">
      <c r="A43" s="7" t="s">
        <v>67</v>
      </c>
      <c r="B43">
        <v>0</v>
      </c>
      <c r="E43" t="s">
        <v>39</v>
      </c>
      <c r="F43">
        <f>+'template from individuals'!B55+'template from individuals'!C55</f>
        <v>86</v>
      </c>
      <c r="G43">
        <f>+'template from individuals'!D55+'template from individuals'!E55</f>
        <v>126</v>
      </c>
      <c r="H43">
        <f>+'template from individuals'!F55+'template from individuals'!G55</f>
        <v>103</v>
      </c>
      <c r="I43" s="16">
        <f>+'template from individuals'!H55+'template from individuals'!I55</f>
        <v>124</v>
      </c>
      <c r="J43" s="33">
        <f>+'EIM New Deals'!J11+'EIM New Deals'!K11+'EIM New Deals'!J27+'EIM New Deals'!K27</f>
        <v>86</v>
      </c>
      <c r="K43" s="33">
        <f>+'EIM New Deals'!L11+'EIM New Deals'!M11+'EIM New Deals'!L27+'EIM New Deals'!M27</f>
        <v>69</v>
      </c>
      <c r="L43" s="33">
        <f>+'EIM New Deals'!$N11+'EIM New Deals'!$O11+'EIM New Deals'!$N27+'EIM New Deals'!$O27</f>
        <v>38</v>
      </c>
      <c r="M43" s="33">
        <f>+'EIM New Deals'!P11+'EIM New Deals'!Q11+'EIM New Deals'!P27+'EIM New Deals'!Q27</f>
        <v>41</v>
      </c>
      <c r="N43" s="33">
        <f>+'EIM New Deals'!R11+'EIM New Deals'!S11+'EIM New Deals'!R27+'EIM New Deals'!S27</f>
        <v>69</v>
      </c>
      <c r="O43" s="33">
        <f>+'EIM New Deals'!T11+'EIM New Deals'!U11+'EIM New Deals'!T27+'EIM New Deals'!U27</f>
        <v>84</v>
      </c>
      <c r="P43" s="33">
        <f>+'EIM New Deals'!V11+'EIM New Deals'!W11+'EIM New Deals'!V27+'EIM New Deals'!W27</f>
        <v>80</v>
      </c>
      <c r="Q43" s="33">
        <f>+Q44+Q45</f>
        <v>94</v>
      </c>
      <c r="R43" s="33">
        <f>+R44+R45</f>
        <v>123</v>
      </c>
      <c r="T43" s="87" t="s">
        <v>100</v>
      </c>
    </row>
    <row r="44" spans="1:20" x14ac:dyDescent="0.25">
      <c r="E44" s="1" t="s">
        <v>176</v>
      </c>
      <c r="J44" s="33"/>
      <c r="K44" s="33">
        <f>+'EIM New Deals'!M11+'EIM New Deals'!M27</f>
        <v>62</v>
      </c>
      <c r="L44" s="33">
        <f>+'EIM New Deals'!O11+'EIM New Deals'!O27</f>
        <v>34</v>
      </c>
      <c r="M44" s="33">
        <f>+'EIM New Deals'!Q11+'EIM New Deals'!Q27</f>
        <v>39</v>
      </c>
      <c r="N44" s="33">
        <f>+'EIM New Deals'!S11+'EIM New Deals'!S27</f>
        <v>64</v>
      </c>
      <c r="O44" s="33">
        <f>+'EIM New Deals'!U11+'EIM New Deals'!U27</f>
        <v>77</v>
      </c>
      <c r="P44" s="33">
        <f>+'EIM New Deals'!W11+'EIM New Deals'!W27</f>
        <v>73</v>
      </c>
      <c r="Q44" s="33">
        <f>+'EIM New Deals'!Y11+'EIM New Deals'!Y27</f>
        <v>89</v>
      </c>
      <c r="R44" s="33">
        <f>+'EIM New Deals'!AA11+'EIM New Deals'!AA27</f>
        <v>114</v>
      </c>
      <c r="T44" s="87"/>
    </row>
    <row r="45" spans="1:20" x14ac:dyDescent="0.25">
      <c r="E45" s="1" t="s">
        <v>35</v>
      </c>
      <c r="J45" s="33"/>
      <c r="K45" s="33">
        <f>+'EIM New Deals'!L11+'EIM New Deals'!L27</f>
        <v>7</v>
      </c>
      <c r="L45" s="33">
        <f>+'EIM New Deals'!N11+'EIM New Deals'!N27</f>
        <v>4</v>
      </c>
      <c r="M45" s="33">
        <f>+'EIM New Deals'!P11+'EIM New Deals'!P27</f>
        <v>2</v>
      </c>
      <c r="N45" s="33">
        <f>+'EIM New Deals'!R11+'EIM New Deals'!R27</f>
        <v>5</v>
      </c>
      <c r="O45" s="33">
        <f>+'EIM New Deals'!T11+'EIM New Deals'!T27</f>
        <v>7</v>
      </c>
      <c r="P45" s="33">
        <f>+'EIM New Deals'!V11+'EIM New Deals'!V27</f>
        <v>7</v>
      </c>
      <c r="Q45" s="33">
        <f>+'EIM New Deals'!X11+'EIM New Deals'!X27</f>
        <v>5</v>
      </c>
      <c r="R45" s="33">
        <f>+'EIM New Deals'!Z11+'EIM New Deals'!Z27</f>
        <v>9</v>
      </c>
      <c r="T45" s="87"/>
    </row>
    <row r="46" spans="1:20" x14ac:dyDescent="0.25">
      <c r="A46" s="7" t="s">
        <v>68</v>
      </c>
      <c r="B46">
        <v>0</v>
      </c>
      <c r="E46" t="s">
        <v>41</v>
      </c>
      <c r="F46">
        <f>+'template from individuals'!B58+'template from individuals'!C58</f>
        <v>0</v>
      </c>
      <c r="G46">
        <v>0</v>
      </c>
      <c r="H46">
        <v>0</v>
      </c>
      <c r="I46" s="16">
        <v>0</v>
      </c>
      <c r="J46" s="33">
        <f>+'EIM New Deals'!J14+'EIM New Deals'!K14+'EIM New Deals'!J30+'EIM New Deals'!K30</f>
        <v>1</v>
      </c>
      <c r="K46" s="33">
        <f>+'EIM New Deals'!L14+'EIM New Deals'!M14+'EIM New Deals'!L30+'EIM New Deals'!M30</f>
        <v>1</v>
      </c>
      <c r="L46" s="33">
        <f>+'EIM New Deals'!$N14+'EIM New Deals'!$O14+'EIM New Deals'!$N30+'EIM New Deals'!$O30</f>
        <v>2</v>
      </c>
      <c r="M46" s="33">
        <f>+'EIM New Deals'!P14+'EIM New Deals'!Q14+'EIM New Deals'!P30+'EIM New Deals'!Q30</f>
        <v>0</v>
      </c>
      <c r="N46" s="33">
        <f>+'EIM New Deals'!R14+'EIM New Deals'!S14+'EIM New Deals'!R30+'EIM New Deals'!S30</f>
        <v>1</v>
      </c>
      <c r="O46" s="33">
        <f>+'EIM New Deals'!T14+'EIM New Deals'!U14+'EIM New Deals'!T30+'EIM New Deals'!U30</f>
        <v>0</v>
      </c>
      <c r="P46" s="33">
        <f>+'EIM New Deals'!V14+'EIM New Deals'!W14+'EIM New Deals'!V30+'EIM New Deals'!W30</f>
        <v>0</v>
      </c>
      <c r="Q46" s="33">
        <f>+Q47+Q48</f>
        <v>2</v>
      </c>
      <c r="R46" s="33">
        <f>+R47+R48</f>
        <v>7</v>
      </c>
      <c r="T46" s="87" t="s">
        <v>100</v>
      </c>
    </row>
    <row r="47" spans="1:20" x14ac:dyDescent="0.25">
      <c r="E47" s="1" t="s">
        <v>176</v>
      </c>
      <c r="J47" s="33"/>
      <c r="K47" s="33">
        <f>+'EIM New Deals'!M14+'EIM New Deals'!M30</f>
        <v>1</v>
      </c>
      <c r="L47" s="33">
        <f>+'EIM New Deals'!O14+'EIM New Deals'!O30</f>
        <v>2</v>
      </c>
      <c r="M47" s="33">
        <f>+'EIM New Deals'!Q14+'EIM New Deals'!Q30</f>
        <v>0</v>
      </c>
      <c r="N47" s="33">
        <f>+'EIM New Deals'!S14+'EIM New Deals'!S30</f>
        <v>1</v>
      </c>
      <c r="O47" s="33">
        <f>+'EIM New Deals'!U14+'EIM New Deals'!U30</f>
        <v>0</v>
      </c>
      <c r="P47" s="33">
        <f>+'EIM New Deals'!W14+'EIM New Deals'!W30</f>
        <v>0</v>
      </c>
      <c r="Q47" s="33">
        <f>+'EIM New Deals'!Y14+'EIM New Deals'!Y30</f>
        <v>2</v>
      </c>
      <c r="R47" s="33">
        <f>+'EIM New Deals'!AA14+'EIM New Deals'!AA30</f>
        <v>7</v>
      </c>
      <c r="T47" s="87"/>
    </row>
    <row r="48" spans="1:20" x14ac:dyDescent="0.25">
      <c r="E48" s="1" t="s">
        <v>35</v>
      </c>
      <c r="J48" s="33"/>
      <c r="K48" s="33">
        <f>+'EIM New Deals'!L14+'EIM New Deals'!L30</f>
        <v>0</v>
      </c>
      <c r="L48" s="33">
        <f>+'EIM New Deals'!N14+'EIM New Deals'!N30</f>
        <v>0</v>
      </c>
      <c r="M48" s="33">
        <f>+'EIM New Deals'!P14+'EIM New Deals'!P30</f>
        <v>0</v>
      </c>
      <c r="N48" s="33">
        <f>+'EIM New Deals'!R14+'EIM New Deals'!R30</f>
        <v>0</v>
      </c>
      <c r="O48" s="33">
        <f>+'EIM New Deals'!T14+'EIM New Deals'!T30</f>
        <v>0</v>
      </c>
      <c r="P48" s="33">
        <f>+'EIM New Deals'!V14+'EIM New Deals'!V30</f>
        <v>0</v>
      </c>
      <c r="Q48" s="33">
        <f>+'EIM New Deals'!X14+'EIM New Deals'!X30</f>
        <v>0</v>
      </c>
      <c r="R48" s="33">
        <f>+'EIM New Deals'!Z14+'EIM New Deals'!Z30</f>
        <v>0</v>
      </c>
      <c r="T48" s="87"/>
    </row>
    <row r="49" spans="1:20" x14ac:dyDescent="0.25">
      <c r="E49" t="s">
        <v>177</v>
      </c>
      <c r="J49" s="33"/>
      <c r="K49" s="174">
        <f t="shared" ref="K49:R49" si="4">(K48+K45+K42+K39)/(K46+K43+K40+K37)</f>
        <v>0.1111111111111111</v>
      </c>
      <c r="L49" s="174">
        <f t="shared" si="4"/>
        <v>8.2352941176470587E-2</v>
      </c>
      <c r="M49" s="174">
        <f t="shared" si="4"/>
        <v>6.1728395061728392E-2</v>
      </c>
      <c r="N49" s="174">
        <f t="shared" si="4"/>
        <v>6.8965517241379309E-2</v>
      </c>
      <c r="O49" s="174">
        <f t="shared" si="4"/>
        <v>8.0882352941176475E-2</v>
      </c>
      <c r="P49" s="174">
        <f t="shared" si="4"/>
        <v>0.11842105263157894</v>
      </c>
      <c r="Q49" s="174">
        <f t="shared" si="4"/>
        <v>4.9689440993788817E-2</v>
      </c>
      <c r="R49" s="174">
        <f t="shared" si="4"/>
        <v>0.11602209944751381</v>
      </c>
      <c r="T49" s="87"/>
    </row>
    <row r="50" spans="1:20" x14ac:dyDescent="0.25">
      <c r="A50" s="7" t="s">
        <v>69</v>
      </c>
      <c r="B50">
        <v>1</v>
      </c>
      <c r="T50" s="88"/>
    </row>
    <row r="51" spans="1:20" x14ac:dyDescent="0.25">
      <c r="A51" s="7" t="s">
        <v>64</v>
      </c>
      <c r="B51">
        <v>1300</v>
      </c>
      <c r="E51" s="89" t="s">
        <v>94</v>
      </c>
      <c r="T51" s="88"/>
    </row>
    <row r="52" spans="1:20" ht="13.8" x14ac:dyDescent="0.25">
      <c r="A52" s="7" t="s">
        <v>71</v>
      </c>
      <c r="B52">
        <v>250</v>
      </c>
      <c r="F52" s="86" t="s">
        <v>122</v>
      </c>
      <c r="G52" s="86" t="s">
        <v>123</v>
      </c>
      <c r="H52" s="86" t="s">
        <v>124</v>
      </c>
      <c r="I52" s="86" t="s">
        <v>125</v>
      </c>
      <c r="J52" s="86" t="s">
        <v>138</v>
      </c>
      <c r="K52" s="86" t="str">
        <f t="shared" ref="K52:P52" si="5">+K36</f>
        <v>2/2 - 2/8</v>
      </c>
      <c r="L52" s="86" t="str">
        <f t="shared" si="5"/>
        <v>2/9 - 2/15</v>
      </c>
      <c r="M52" s="86" t="str">
        <f t="shared" si="5"/>
        <v>2/16 - 2/22</v>
      </c>
      <c r="N52" s="86" t="str">
        <f t="shared" si="5"/>
        <v>2/23 - 2/28</v>
      </c>
      <c r="O52" s="86" t="str">
        <f t="shared" si="5"/>
        <v>3/1 - 3/7</v>
      </c>
      <c r="P52" s="86" t="str">
        <f t="shared" si="5"/>
        <v>3/8 - 3/14</v>
      </c>
      <c r="Q52" s="86" t="str">
        <f>+Q36</f>
        <v>3/15 - 3/21</v>
      </c>
      <c r="R52" s="86" t="str">
        <f>+R36</f>
        <v>3/22 - 3/28</v>
      </c>
    </row>
    <row r="53" spans="1:20" x14ac:dyDescent="0.25">
      <c r="A53" s="7" t="s">
        <v>72</v>
      </c>
      <c r="B53">
        <v>50</v>
      </c>
      <c r="E53" s="4" t="s">
        <v>159</v>
      </c>
      <c r="F53" s="32">
        <f>1758331589/1000000</f>
        <v>1758.3315889999999</v>
      </c>
      <c r="G53" s="32">
        <f>3201106470/1000000</f>
        <v>3201.1064700000002</v>
      </c>
      <c r="H53" s="16">
        <f>1942345461/1000000</f>
        <v>1942.3454609999999</v>
      </c>
      <c r="I53" s="16">
        <f>4952206066/1000000</f>
        <v>4952.2060659999997</v>
      </c>
      <c r="J53" s="130">
        <f>(+'WE 2-1 EOL Data'!C6+'WE 2-1 EOL Data'!C29)/1000000</f>
        <v>4273.2712199999996</v>
      </c>
      <c r="K53" s="130">
        <f>(+'WE 2-8 EOL Data'!C6+'WE 2-8 EOL Data'!C29)/1000000</f>
        <v>3586.1783646399995</v>
      </c>
      <c r="L53" s="130">
        <f>(+'WE 2-15 EOL Data'!$C6+'WE 2-15 EOL Data'!$C29)/1000000</f>
        <v>4250.7380022099987</v>
      </c>
      <c r="M53" s="130">
        <f>(+'WE 2-22 EOL Data'!$C6+'WE 2-22 EOL Data'!$C29)/1000000</f>
        <v>2865.6876510000002</v>
      </c>
      <c r="N53" s="130">
        <f>(+'WE 2-28 EOL Data'!C6+'WE 2-28 EOL Data'!C29)/1000000</f>
        <v>3382.0786511900001</v>
      </c>
      <c r="O53" s="130">
        <f>(+'WE 3-7 EOL Data'!C6+'WE 3-7 EOL Data'!C29)/1000000</f>
        <v>4310.0659028599994</v>
      </c>
      <c r="P53" s="130">
        <f>(+'WE 3-14 EOL Data'!C6+'WE 3-14 EOL Data'!C29)/1000000</f>
        <v>3630.7007905600003</v>
      </c>
      <c r="Q53" s="130">
        <f>(+'WE 3-21 EOL Data'!C6+'WE 3-21 EOL Data'!C29)/1000000</f>
        <v>3471.9734751599999</v>
      </c>
      <c r="R53" s="130">
        <f>(+'WE 3-28 EOL Data'!C6+'WE 3-28 EOL Data'!C29)/1000000</f>
        <v>4935.3578799200013</v>
      </c>
    </row>
    <row r="54" spans="1:20" ht="13.5" customHeight="1" x14ac:dyDescent="0.25">
      <c r="A54" s="7" t="s">
        <v>39</v>
      </c>
      <c r="B54">
        <v>0</v>
      </c>
      <c r="E54" s="4" t="s">
        <v>160</v>
      </c>
      <c r="F54" s="32">
        <f>16046241/1000000</f>
        <v>16.046240999999998</v>
      </c>
      <c r="G54" s="32">
        <f>52662791/1000000</f>
        <v>52.662790999999999</v>
      </c>
      <c r="H54" s="16">
        <f>48150655/1000000</f>
        <v>48.150655</v>
      </c>
      <c r="I54" s="16">
        <f>37589241/1000000</f>
        <v>37.589241000000001</v>
      </c>
      <c r="J54" s="130">
        <f>(+'WE 2-1 EOL Data'!C7+'WE 2-1 EOL Data'!C30)/1000000</f>
        <v>53.945233000000002</v>
      </c>
      <c r="K54" s="130">
        <f>(+'WE 2-8 EOL Data'!C7+'WE 2-8 EOL Data'!C30)/1000000</f>
        <v>51.399965140000006</v>
      </c>
      <c r="L54" s="130">
        <f>(+'WE 2-15 EOL Data'!$C7+'WE 2-15 EOL Data'!$C30)/1000000</f>
        <v>49.091319190000029</v>
      </c>
      <c r="M54" s="130">
        <f>(+'WE 2-22 EOL Data'!$C7+'WE 2-22 EOL Data'!$C30)/1000000</f>
        <v>37.990490000000001</v>
      </c>
      <c r="N54" s="130">
        <f>(+'WE 2-28 EOL Data'!C7+'WE 2-28 EOL Data'!C30)/1000000</f>
        <v>43.647636379999994</v>
      </c>
      <c r="O54" s="130">
        <f>(+'WE 3-7 EOL Data'!C7+'WE 3-7 EOL Data'!C30)/1000000</f>
        <v>49.601260310000001</v>
      </c>
      <c r="P54" s="130">
        <f>(+'WE 3-14 EOL Data'!C7+'WE 3-14 EOL Data'!C30)/1000000</f>
        <v>52.895417969999997</v>
      </c>
      <c r="Q54" s="130">
        <f>(+'WE 3-21 EOL Data'!C7+'WE 3-21 EOL Data'!C30)/1000000</f>
        <v>49.577375480000008</v>
      </c>
      <c r="R54" s="130">
        <f>(+'WE 3-28 EOL Data'!C7+'WE 3-28 EOL Data'!C30)/1000000</f>
        <v>47.200591540000005</v>
      </c>
    </row>
    <row r="55" spans="1:20" ht="13.8" x14ac:dyDescent="0.25">
      <c r="A55" s="7" t="s">
        <v>71</v>
      </c>
      <c r="B55">
        <v>250</v>
      </c>
      <c r="F55" s="86" t="s">
        <v>122</v>
      </c>
      <c r="G55" s="86" t="s">
        <v>123</v>
      </c>
      <c r="H55" s="86" t="s">
        <v>124</v>
      </c>
      <c r="I55" s="86" t="s">
        <v>125</v>
      </c>
      <c r="J55" s="86" t="s">
        <v>138</v>
      </c>
      <c r="K55" s="86" t="str">
        <f t="shared" ref="K55:P55" si="6">+K52</f>
        <v>2/2 - 2/8</v>
      </c>
      <c r="L55" s="86" t="str">
        <f t="shared" si="6"/>
        <v>2/9 - 2/15</v>
      </c>
      <c r="M55" s="86" t="str">
        <f t="shared" si="6"/>
        <v>2/16 - 2/22</v>
      </c>
      <c r="N55" s="86" t="str">
        <f t="shared" si="6"/>
        <v>2/23 - 2/28</v>
      </c>
      <c r="O55" s="86" t="str">
        <f t="shared" si="6"/>
        <v>3/1 - 3/7</v>
      </c>
      <c r="P55" s="86" t="str">
        <f t="shared" si="6"/>
        <v>3/8 - 3/14</v>
      </c>
      <c r="Q55" s="86" t="str">
        <f>+Q52</f>
        <v>3/15 - 3/21</v>
      </c>
      <c r="R55" s="86" t="str">
        <f>+R52</f>
        <v>3/22 - 3/28</v>
      </c>
    </row>
    <row r="56" spans="1:20" x14ac:dyDescent="0.25">
      <c r="E56" t="s">
        <v>173</v>
      </c>
      <c r="F56" s="32">
        <f>'template from eol'!C58</f>
        <v>60842.591799999995</v>
      </c>
      <c r="G56" s="32">
        <f>'template from eol'!E58</f>
        <v>36861.769800000002</v>
      </c>
      <c r="H56" s="16">
        <f>'template from eol'!G58</f>
        <v>213594.89320000002</v>
      </c>
      <c r="I56" s="16">
        <f>'template from eol'!I58</f>
        <v>19607.182999999997</v>
      </c>
      <c r="J56">
        <f>+'WE 2-1 EOL Data'!C58</f>
        <v>25872</v>
      </c>
      <c r="K56" s="148">
        <f>+'WE 2-8 EOL Data'!C58</f>
        <v>106865.89999999997</v>
      </c>
      <c r="L56" s="148">
        <f>+'WE 2-15 EOL Data'!$C58</f>
        <v>11962.5</v>
      </c>
      <c r="M56" s="148">
        <f>+'WE 2-22 EOL Data'!$C58</f>
        <v>56612</v>
      </c>
      <c r="N56" s="148">
        <f>+'WE 2-28 EOL Data'!C58</f>
        <v>163303.196</v>
      </c>
      <c r="O56" s="148">
        <f>+'WE 3-7 EOL Data'!C58</f>
        <v>120983.16</v>
      </c>
      <c r="P56" s="148">
        <f>+'WE 3-14 EOL Data'!C58</f>
        <v>92583.55</v>
      </c>
      <c r="Q56" s="148">
        <f>+'WE 3-21 EOL Data'!C58</f>
        <v>275762.31</v>
      </c>
      <c r="R56" s="148">
        <f>+'WE 3-28 EOL Data'!C58</f>
        <v>169228.08</v>
      </c>
      <c r="T56" s="148"/>
    </row>
    <row r="57" spans="1:20" x14ac:dyDescent="0.25">
      <c r="A57" s="7" t="s">
        <v>40</v>
      </c>
      <c r="B57">
        <v>0</v>
      </c>
      <c r="E57" t="s">
        <v>40</v>
      </c>
      <c r="F57" s="32"/>
      <c r="G57" s="32"/>
      <c r="H57" s="16"/>
    </row>
    <row r="58" spans="1:20" x14ac:dyDescent="0.25">
      <c r="A58" s="7" t="s">
        <v>70</v>
      </c>
      <c r="B58">
        <v>5</v>
      </c>
      <c r="E58" t="s">
        <v>70</v>
      </c>
      <c r="F58" s="32"/>
      <c r="G58" s="32"/>
      <c r="H58" s="16"/>
    </row>
    <row r="59" spans="1:20" x14ac:dyDescent="0.25">
      <c r="A59" s="7" t="s">
        <v>41</v>
      </c>
      <c r="B59">
        <v>0</v>
      </c>
      <c r="E59" t="s">
        <v>39</v>
      </c>
      <c r="F59" s="32"/>
      <c r="G59" s="32"/>
      <c r="H59" s="16"/>
    </row>
    <row r="60" spans="1:20" x14ac:dyDescent="0.25">
      <c r="E60" t="s">
        <v>41</v>
      </c>
      <c r="F60" s="32"/>
      <c r="G60" s="32"/>
      <c r="H60" s="16"/>
    </row>
    <row r="61" spans="1:20" ht="13.8" x14ac:dyDescent="0.25">
      <c r="A61" s="7" t="s">
        <v>71</v>
      </c>
      <c r="B61">
        <v>250</v>
      </c>
      <c r="F61" s="86" t="s">
        <v>122</v>
      </c>
      <c r="G61" s="86" t="s">
        <v>123</v>
      </c>
      <c r="H61" s="86" t="s">
        <v>124</v>
      </c>
      <c r="I61" s="86" t="s">
        <v>125</v>
      </c>
      <c r="J61" s="86" t="s">
        <v>138</v>
      </c>
      <c r="K61" s="86" t="str">
        <f t="shared" ref="K61:P61" si="7">+K55</f>
        <v>2/2 - 2/8</v>
      </c>
      <c r="L61" s="86" t="str">
        <f t="shared" si="7"/>
        <v>2/9 - 2/15</v>
      </c>
      <c r="M61" s="86" t="str">
        <f t="shared" si="7"/>
        <v>2/16 - 2/22</v>
      </c>
      <c r="N61" s="86" t="str">
        <f t="shared" si="7"/>
        <v>2/23 - 2/28</v>
      </c>
      <c r="O61" s="86" t="str">
        <f t="shared" si="7"/>
        <v>3/1 - 3/7</v>
      </c>
      <c r="P61" s="86" t="str">
        <f t="shared" si="7"/>
        <v>3/8 - 3/14</v>
      </c>
      <c r="Q61" s="86" t="str">
        <f>+Q55</f>
        <v>3/15 - 3/21</v>
      </c>
      <c r="R61" s="86" t="str">
        <f>+R55</f>
        <v>3/22 - 3/28</v>
      </c>
    </row>
    <row r="62" spans="1:20" x14ac:dyDescent="0.25">
      <c r="E62" t="s">
        <v>184</v>
      </c>
      <c r="F62" s="32">
        <f>90430383/1000</f>
        <v>90430.383000000002</v>
      </c>
      <c r="G62" s="32">
        <f>172783348/1000</f>
        <v>172783.348</v>
      </c>
      <c r="H62" s="16">
        <f>107852720/1000</f>
        <v>107852.72</v>
      </c>
      <c r="I62" s="16">
        <f>150981588/1000</f>
        <v>150981.58799999999</v>
      </c>
      <c r="J62" s="130">
        <f>(+'WE 2-1 EOL Data'!C9+'WE 2-1 EOL Data'!C32)/1000</f>
        <v>171949.351</v>
      </c>
      <c r="K62" s="130">
        <f>(+'WE 2-8 EOL Data'!C9+'WE 2-8 EOL Data'!C32)/1000</f>
        <v>154397.51923000001</v>
      </c>
      <c r="L62" s="130">
        <f>(+'WE 2-15 EOL Data'!$C9+'WE 2-15 EOL Data'!$C32)/1000</f>
        <v>174794.27446999992</v>
      </c>
      <c r="M62" s="130">
        <f>(+'WE 2-22 EOL Data'!$C9+'WE 2-22 EOL Data'!$C32)/1000</f>
        <v>147649.834</v>
      </c>
      <c r="N62" s="130">
        <f>(+'WE 2-28 EOL Data'!C9+'WE 2-28 EOL Data'!C32)/1000</f>
        <v>147313.01308</v>
      </c>
      <c r="O62" s="130">
        <f>(+'WE 3-7 EOL Data'!C32+'WE 3-7 EOL Data'!C9)/1000</f>
        <v>163597.30816000002</v>
      </c>
      <c r="P62" s="130">
        <f>(+'WE 3-14 EOL Data'!C9+'WE 3-14 EOL Data'!C32)/1000</f>
        <v>183852.27507000003</v>
      </c>
      <c r="Q62" s="130">
        <f>(+'WE 3-21 EOL Data'!C9+'WE 3-21 EOL Data'!C32)/1000</f>
        <v>210839.72176999995</v>
      </c>
      <c r="R62" s="130">
        <f>(+'WE 3-28 EOL Data'!C9+'WE 3-28 EOL Data'!C32)/1000</f>
        <v>193742.82989000002</v>
      </c>
    </row>
    <row r="63" spans="1:20" x14ac:dyDescent="0.25">
      <c r="A63" s="2" t="s">
        <v>32</v>
      </c>
      <c r="B63" s="2"/>
      <c r="C63" s="2"/>
      <c r="D63" s="2"/>
      <c r="E63" t="s">
        <v>185</v>
      </c>
      <c r="F63" s="16">
        <f>(1745341+1242373)/1000</f>
        <v>2987.7139999999999</v>
      </c>
      <c r="G63" s="16">
        <f>(2854306+534627)/1000</f>
        <v>3388.933</v>
      </c>
      <c r="H63" s="16">
        <f>(3053119+1631000)/1000</f>
        <v>4684.1189999999997</v>
      </c>
      <c r="I63" s="16">
        <f>(1974010+1990000)/1000</f>
        <v>3964.01</v>
      </c>
      <c r="J63" s="130">
        <f>(+'WE 2-1 EOL Data'!C10+'WE 2-1 EOL Data'!C11+'WE 2-1 EOL Data'!C33+'WE 2-1 EOL Data'!C34)/1000</f>
        <v>6572.3270000000002</v>
      </c>
      <c r="K63" s="130">
        <f>(+'WE 2-8 EOL Data'!C10+'WE 2-8 EOL Data'!C11+'WE 2-8 EOL Data'!C33+'WE 2-8 EOL Data'!C34)/1000</f>
        <v>5662.4889999999996</v>
      </c>
      <c r="L63" s="130">
        <f>(+'WE 2-15 EOL Data'!$C10+'WE 2-15 EOL Data'!$C11+'WE 2-15 EOL Data'!$C33+'WE 2-15 EOL Data'!$C34)/1000</f>
        <v>4037.9499600000008</v>
      </c>
      <c r="M63" s="130">
        <f>(+'WE 2-22 EOL Data'!$C10+'WE 2-22 EOL Data'!$C11+'WE 2-22 EOL Data'!$C33+'WE 2-22 EOL Data'!$C34)/1000</f>
        <v>2425.5</v>
      </c>
      <c r="N63" s="130">
        <f>(+'WE 2-28 EOL Data'!C10+'WE 2-28 EOL Data'!C11+'WE 2-28 EOL Data'!C33+'WE 2-28 EOL Data'!C34)/1000</f>
        <v>818.5</v>
      </c>
      <c r="O63" s="130">
        <f>(+'WE 3-7 EOL Data'!C10+'WE 3-7 EOL Data'!C33)/1000</f>
        <v>2748.7000200000002</v>
      </c>
      <c r="P63" s="130">
        <f>(+'WE 3-14 EOL Data'!C10+'WE 3-14 EOL Data'!C11+'WE 3-14 EOL Data'!C33+'WE 3-14 EOL Data'!C34)/1000</f>
        <v>1955.00008</v>
      </c>
      <c r="Q63" s="130">
        <f>(+'WE 3-21 EOL Data'!C10+'WE 3-21 EOL Data'!C11+'WE 3-21 EOL Data'!C33+'WE 3-21 EOL Data'!C34)/1000</f>
        <v>1257.95</v>
      </c>
      <c r="R63" s="130">
        <f>(+'WE 3-28 EOL Data'!C10+'WE 3-28 EOL Data'!C11+'WE 3-28 EOL Data'!C33+'WE 3-28 EOL Data'!C34)/1000</f>
        <v>3280.0030000000002</v>
      </c>
    </row>
    <row r="64" spans="1:20" x14ac:dyDescent="0.25">
      <c r="A64" s="8" t="s">
        <v>5</v>
      </c>
      <c r="B64">
        <v>45</v>
      </c>
      <c r="C64">
        <v>40</v>
      </c>
      <c r="D64">
        <v>55</v>
      </c>
      <c r="E64" t="s">
        <v>161</v>
      </c>
      <c r="F64" s="16">
        <v>5</v>
      </c>
      <c r="G64" s="16">
        <v>5</v>
      </c>
      <c r="H64" s="16">
        <f>34100/1000</f>
        <v>34.1</v>
      </c>
      <c r="I64" s="16">
        <f>107570/1000</f>
        <v>107.57</v>
      </c>
      <c r="J64" s="130">
        <f>(+'WE 2-1 EOL Data'!C14+'WE 2-1 EOL Data'!C37)/1000</f>
        <v>46.35</v>
      </c>
      <c r="K64" s="130">
        <f>(+'WE 2-8 EOL Data'!C14+'WE 2-8 EOL Data'!C37)/1000</f>
        <v>100.1</v>
      </c>
      <c r="L64" s="130">
        <f>(+'WE 2-15 EOL Data'!$C14+'WE 2-15 EOL Data'!$C37)/1000</f>
        <v>40</v>
      </c>
      <c r="M64" s="130">
        <f>(+'WE 2-22 EOL Data'!$C14+'WE 2-22 EOL Data'!$C37)/1000</f>
        <v>37.5</v>
      </c>
      <c r="N64" s="130">
        <f>(+'WE 2-28 EOL Data'!C14+'WE 2-28 EOL Data'!C37)/1000</f>
        <v>7.5</v>
      </c>
      <c r="O64" s="130">
        <f>(+'WE 3-7 EOL Data'!C14+'WE 3-7 EOL Data'!C37)/1000</f>
        <v>5.2</v>
      </c>
      <c r="P64" s="130">
        <f>(+'WE 3-14 EOL Data'!C37+'WE 3-14 EOL Data'!C14)/1000</f>
        <v>32.85</v>
      </c>
      <c r="Q64" s="130">
        <f>(+'WE 3-21 EOL Data'!C14+'WE 3-21 EOL Data'!C37)/1000</f>
        <v>72.05</v>
      </c>
      <c r="R64" s="130">
        <f>(+'WE 3-28 EOL Data'!C14+'WE 3-28 EOL Data'!C37)/1000</f>
        <v>101.95</v>
      </c>
    </row>
    <row r="65" spans="1:20" x14ac:dyDescent="0.25">
      <c r="A65" s="8" t="s">
        <v>0</v>
      </c>
      <c r="B65">
        <v>150</v>
      </c>
      <c r="C65">
        <v>120</v>
      </c>
      <c r="D65">
        <v>125</v>
      </c>
      <c r="E65" t="s">
        <v>186</v>
      </c>
      <c r="F65" s="16">
        <v>49250</v>
      </c>
      <c r="G65" s="16">
        <v>45350</v>
      </c>
      <c r="H65" s="16">
        <v>120900</v>
      </c>
      <c r="I65" s="16">
        <v>115500</v>
      </c>
      <c r="J65" s="130">
        <f>+'WE 2-1 EOL Data'!C12+'WE 2-1 EOL Data'!C35</f>
        <v>56000</v>
      </c>
      <c r="K65" s="130">
        <f>+'WE 2-8 EOL Data'!C12+'WE 2-8 EOL Data'!C35</f>
        <v>103400</v>
      </c>
      <c r="L65" s="130">
        <f>+'WE 2-15 EOL Data'!$C12+'WE 2-15 EOL Data'!$C35</f>
        <v>143000</v>
      </c>
      <c r="M65" s="130">
        <f>+'WE 2-22 EOL Data'!$C12+'WE 2-22 EOL Data'!$C35</f>
        <v>377800</v>
      </c>
      <c r="N65" s="130">
        <f>+'WE 2-28 EOL Data'!C12+'WE 2-28 EOL Data'!C35</f>
        <v>69200</v>
      </c>
      <c r="O65" s="130">
        <f>+'WE 3-7 EOL Data'!C12+'WE 3-7 EOL Data'!C35</f>
        <v>99600</v>
      </c>
      <c r="P65" s="130">
        <f>+'WE 3-14 EOL Data'!C12+'WE 3-14 EOL Data'!C35</f>
        <v>45600</v>
      </c>
      <c r="Q65" s="130">
        <f>+'WE 3-21 EOL Data'!C12+'WE 3-21 EOL Data'!C35</f>
        <v>54000</v>
      </c>
      <c r="R65" s="130">
        <f>+'WE 3-28 EOL Data'!C12+'WE 3-28 EOL Data'!C35</f>
        <v>25800</v>
      </c>
      <c r="T65" s="130"/>
    </row>
    <row r="66" spans="1:20" x14ac:dyDescent="0.25">
      <c r="E66" t="s">
        <v>187</v>
      </c>
      <c r="F66" s="32">
        <v>6275000</v>
      </c>
      <c r="G66" s="32">
        <v>6398750</v>
      </c>
      <c r="H66" s="16">
        <v>3718000</v>
      </c>
      <c r="I66" s="16">
        <v>6618000</v>
      </c>
      <c r="J66" s="130">
        <f>+'WE 2-1 EOL Data'!C13+'WE 2-1 EOL Data'!C36</f>
        <v>5632500</v>
      </c>
      <c r="K66" s="130">
        <f>+'WE 2-8 EOL Data'!C13+'WE 2-8 EOL Data'!C36</f>
        <v>8754250</v>
      </c>
      <c r="L66" s="130">
        <f>+'WE 2-15 EOL Data'!$C13+'WE 2-15 EOL Data'!$C36</f>
        <v>4975000</v>
      </c>
      <c r="M66" s="130">
        <f>+'WE 2-22 EOL Data'!$C13+'WE 2-22 EOL Data'!$C36</f>
        <v>5786000</v>
      </c>
      <c r="N66" s="130">
        <f>+'WE 2-28 EOL Data'!C13+'WE 2-28 EOL Data'!C36</f>
        <v>4422278</v>
      </c>
      <c r="O66" s="130">
        <f>+'WE 3-7 EOL Data'!C13+'WE 3-7 EOL Data'!C36</f>
        <v>4982000</v>
      </c>
      <c r="P66" s="130">
        <f>+'WE 3-14 EOL Data'!C13+'WE 3-14 EOL Data'!C36</f>
        <v>17863222</v>
      </c>
      <c r="Q66" s="130">
        <f>+'WE 3-21 EOL Data'!C13+'WE 3-21 EOL Data'!C36</f>
        <v>8685000</v>
      </c>
      <c r="R66" s="130">
        <f>+'WE 3-28 EOL Data'!C13+'WE 3-28 EOL Data'!C36</f>
        <v>0</v>
      </c>
      <c r="T66" s="130"/>
    </row>
    <row r="67" spans="1:20" x14ac:dyDescent="0.25">
      <c r="A67" s="8" t="s">
        <v>3</v>
      </c>
      <c r="B67">
        <v>2</v>
      </c>
      <c r="C67">
        <v>5</v>
      </c>
      <c r="D67">
        <v>2</v>
      </c>
    </row>
    <row r="68" spans="1:20" x14ac:dyDescent="0.25">
      <c r="A68" s="8" t="s">
        <v>13</v>
      </c>
      <c r="B68">
        <v>2</v>
      </c>
      <c r="C68">
        <v>1</v>
      </c>
      <c r="D68">
        <v>10</v>
      </c>
      <c r="T68" s="16"/>
    </row>
    <row r="69" spans="1:20" x14ac:dyDescent="0.25">
      <c r="A69" s="2" t="s">
        <v>34</v>
      </c>
    </row>
    <row r="70" spans="1:20" x14ac:dyDescent="0.25">
      <c r="A70" s="8" t="s">
        <v>64</v>
      </c>
      <c r="B70">
        <v>11000</v>
      </c>
      <c r="C70">
        <v>12500</v>
      </c>
      <c r="D70">
        <v>12000</v>
      </c>
    </row>
    <row r="71" spans="1:20" x14ac:dyDescent="0.25">
      <c r="A71" s="8" t="s">
        <v>71</v>
      </c>
      <c r="B71">
        <v>5500</v>
      </c>
      <c r="C71">
        <v>5000</v>
      </c>
      <c r="D71">
        <v>4055</v>
      </c>
    </row>
    <row r="72" spans="1:20" x14ac:dyDescent="0.25">
      <c r="A72" s="2" t="s">
        <v>33</v>
      </c>
    </row>
    <row r="73" spans="1:20" x14ac:dyDescent="0.25">
      <c r="A73" s="8" t="s">
        <v>40</v>
      </c>
      <c r="B73">
        <v>25</v>
      </c>
      <c r="C73">
        <v>52</v>
      </c>
      <c r="D73">
        <v>30</v>
      </c>
    </row>
    <row r="74" spans="1:20" x14ac:dyDescent="0.25">
      <c r="A74" s="8" t="s">
        <v>70</v>
      </c>
      <c r="B74">
        <v>10</v>
      </c>
      <c r="C74">
        <v>42</v>
      </c>
      <c r="D74">
        <v>50</v>
      </c>
    </row>
    <row r="75" spans="1:20" x14ac:dyDescent="0.25">
      <c r="A75" s="8" t="s">
        <v>39</v>
      </c>
      <c r="B75">
        <v>8</v>
      </c>
      <c r="C75">
        <v>8</v>
      </c>
      <c r="D75">
        <v>8</v>
      </c>
    </row>
    <row r="76" spans="1:20" x14ac:dyDescent="0.25">
      <c r="A76" s="8" t="s">
        <v>41</v>
      </c>
      <c r="B76">
        <v>3</v>
      </c>
      <c r="C76">
        <v>1</v>
      </c>
      <c r="D76">
        <v>4</v>
      </c>
    </row>
    <row r="78" spans="1:20" x14ac:dyDescent="0.25">
      <c r="A78" t="s">
        <v>90</v>
      </c>
      <c r="B78" t="s">
        <v>91</v>
      </c>
      <c r="C78" t="s">
        <v>89</v>
      </c>
      <c r="D78" t="s">
        <v>92</v>
      </c>
      <c r="E78" s="9" t="s">
        <v>63</v>
      </c>
      <c r="F78" s="9"/>
    </row>
    <row r="79" spans="1:20" x14ac:dyDescent="0.25">
      <c r="A79" s="2" t="s">
        <v>36</v>
      </c>
      <c r="B79" s="4" t="s">
        <v>81</v>
      </c>
      <c r="C79" t="s">
        <v>64</v>
      </c>
      <c r="D79" s="4">
        <v>1350</v>
      </c>
      <c r="E79">
        <f>B70</f>
        <v>11000</v>
      </c>
    </row>
    <row r="80" spans="1:20" x14ac:dyDescent="0.25">
      <c r="A80" s="2" t="s">
        <v>36</v>
      </c>
      <c r="B80" s="4" t="s">
        <v>82</v>
      </c>
      <c r="C80" t="s">
        <v>71</v>
      </c>
      <c r="D80" s="4">
        <v>180</v>
      </c>
      <c r="E80">
        <v>5500</v>
      </c>
    </row>
    <row r="81" spans="1:5" x14ac:dyDescent="0.25">
      <c r="A81" s="2" t="s">
        <v>36</v>
      </c>
      <c r="B81" s="4" t="s">
        <v>83</v>
      </c>
      <c r="C81" t="s">
        <v>39</v>
      </c>
      <c r="D81" s="4">
        <v>8</v>
      </c>
      <c r="E81">
        <v>8</v>
      </c>
    </row>
    <row r="82" spans="1:5" x14ac:dyDescent="0.25">
      <c r="A82" s="2" t="s">
        <v>36</v>
      </c>
      <c r="B82" s="4" t="s">
        <v>84</v>
      </c>
      <c r="C82" t="s">
        <v>40</v>
      </c>
      <c r="D82" s="4">
        <v>15</v>
      </c>
      <c r="E82">
        <v>25</v>
      </c>
    </row>
    <row r="83" spans="1:5" x14ac:dyDescent="0.25">
      <c r="A83" s="2" t="s">
        <v>36</v>
      </c>
      <c r="B83" s="4" t="s">
        <v>85</v>
      </c>
      <c r="C83" t="s">
        <v>41</v>
      </c>
      <c r="D83" s="4">
        <v>5</v>
      </c>
      <c r="E83">
        <v>3</v>
      </c>
    </row>
    <row r="84" spans="1:5" x14ac:dyDescent="0.25">
      <c r="A84" s="2" t="s">
        <v>36</v>
      </c>
      <c r="B84" s="4" t="s">
        <v>86</v>
      </c>
      <c r="C84" t="s">
        <v>70</v>
      </c>
      <c r="D84" s="4">
        <v>10</v>
      </c>
      <c r="E84">
        <v>10</v>
      </c>
    </row>
    <row r="85" spans="1:5" x14ac:dyDescent="0.25">
      <c r="A85" s="2" t="s">
        <v>36</v>
      </c>
      <c r="B85" s="4" t="s">
        <v>87</v>
      </c>
      <c r="C85" t="s">
        <v>93</v>
      </c>
      <c r="D85" s="4">
        <v>45</v>
      </c>
      <c r="E85">
        <v>45</v>
      </c>
    </row>
    <row r="86" spans="1:5" x14ac:dyDescent="0.25">
      <c r="A86" s="2" t="s">
        <v>36</v>
      </c>
      <c r="B86" s="4" t="s">
        <v>88</v>
      </c>
      <c r="C86" t="s">
        <v>4</v>
      </c>
      <c r="D86" s="4">
        <v>2</v>
      </c>
      <c r="E86">
        <v>2</v>
      </c>
    </row>
    <row r="87" spans="1:5" x14ac:dyDescent="0.25">
      <c r="A87" s="7" t="s">
        <v>37</v>
      </c>
      <c r="B87" s="4" t="s">
        <v>81</v>
      </c>
      <c r="C87" t="s">
        <v>64</v>
      </c>
      <c r="D87" s="4">
        <v>1505</v>
      </c>
      <c r="E87">
        <f>C70</f>
        <v>12500</v>
      </c>
    </row>
    <row r="88" spans="1:5" x14ac:dyDescent="0.25">
      <c r="A88" s="7" t="s">
        <v>37</v>
      </c>
      <c r="B88" s="4" t="s">
        <v>82</v>
      </c>
      <c r="C88" t="s">
        <v>71</v>
      </c>
      <c r="D88" s="4">
        <v>175</v>
      </c>
      <c r="E88">
        <v>5000</v>
      </c>
    </row>
    <row r="89" spans="1:5" x14ac:dyDescent="0.25">
      <c r="A89" s="7" t="s">
        <v>37</v>
      </c>
      <c r="B89" s="4" t="s">
        <v>83</v>
      </c>
      <c r="C89" t="s">
        <v>39</v>
      </c>
      <c r="D89" s="4">
        <v>10</v>
      </c>
      <c r="E89">
        <v>8</v>
      </c>
    </row>
    <row r="90" spans="1:5" x14ac:dyDescent="0.25">
      <c r="A90" s="7" t="s">
        <v>37</v>
      </c>
      <c r="B90" s="4" t="s">
        <v>84</v>
      </c>
      <c r="C90" t="s">
        <v>40</v>
      </c>
      <c r="D90" s="4">
        <v>25</v>
      </c>
      <c r="E90">
        <v>52</v>
      </c>
    </row>
    <row r="91" spans="1:5" x14ac:dyDescent="0.25">
      <c r="A91" s="7" t="s">
        <v>37</v>
      </c>
      <c r="B91" s="4" t="s">
        <v>85</v>
      </c>
      <c r="C91" t="s">
        <v>41</v>
      </c>
      <c r="D91" s="4">
        <v>7</v>
      </c>
      <c r="E91">
        <v>1</v>
      </c>
    </row>
    <row r="92" spans="1:5" x14ac:dyDescent="0.25">
      <c r="A92" s="7" t="s">
        <v>37</v>
      </c>
      <c r="B92" s="4" t="s">
        <v>86</v>
      </c>
      <c r="C92" t="s">
        <v>70</v>
      </c>
      <c r="D92" s="4">
        <v>30</v>
      </c>
      <c r="E92">
        <v>42</v>
      </c>
    </row>
    <row r="93" spans="1:5" x14ac:dyDescent="0.25">
      <c r="A93" s="7" t="s">
        <v>37</v>
      </c>
      <c r="B93" s="4" t="s">
        <v>87</v>
      </c>
      <c r="C93" t="s">
        <v>93</v>
      </c>
      <c r="D93" s="4">
        <v>32</v>
      </c>
      <c r="E93">
        <v>40</v>
      </c>
    </row>
    <row r="94" spans="1:5" x14ac:dyDescent="0.25">
      <c r="A94" s="7" t="s">
        <v>37</v>
      </c>
      <c r="B94" s="4" t="s">
        <v>88</v>
      </c>
      <c r="C94" t="s">
        <v>4</v>
      </c>
      <c r="D94" s="4">
        <v>2</v>
      </c>
      <c r="E94">
        <v>1</v>
      </c>
    </row>
    <row r="95" spans="1:5" x14ac:dyDescent="0.25">
      <c r="A95" s="7" t="s">
        <v>38</v>
      </c>
      <c r="B95" s="4" t="s">
        <v>81</v>
      </c>
      <c r="C95" t="s">
        <v>64</v>
      </c>
      <c r="D95">
        <v>1600</v>
      </c>
      <c r="E95">
        <f>D70</f>
        <v>12000</v>
      </c>
    </row>
    <row r="96" spans="1:5" x14ac:dyDescent="0.25">
      <c r="A96" s="7" t="s">
        <v>38</v>
      </c>
      <c r="B96" s="4" t="s">
        <v>82</v>
      </c>
      <c r="C96" t="s">
        <v>71</v>
      </c>
      <c r="D96">
        <v>190</v>
      </c>
      <c r="E96">
        <v>4055</v>
      </c>
    </row>
    <row r="97" spans="1:5" x14ac:dyDescent="0.25">
      <c r="A97" s="7" t="s">
        <v>38</v>
      </c>
      <c r="B97" s="4" t="s">
        <v>83</v>
      </c>
      <c r="C97" t="s">
        <v>39</v>
      </c>
      <c r="D97">
        <v>10</v>
      </c>
      <c r="E97">
        <v>8</v>
      </c>
    </row>
    <row r="98" spans="1:5" x14ac:dyDescent="0.25">
      <c r="A98" s="7" t="s">
        <v>38</v>
      </c>
      <c r="B98" s="4" t="s">
        <v>84</v>
      </c>
      <c r="C98" t="s">
        <v>40</v>
      </c>
      <c r="D98">
        <v>25</v>
      </c>
      <c r="E98">
        <v>30</v>
      </c>
    </row>
    <row r="99" spans="1:5" x14ac:dyDescent="0.25">
      <c r="A99" s="7" t="s">
        <v>38</v>
      </c>
      <c r="B99" s="4" t="s">
        <v>85</v>
      </c>
      <c r="C99" t="s">
        <v>41</v>
      </c>
      <c r="D99">
        <v>8</v>
      </c>
      <c r="E99">
        <v>4</v>
      </c>
    </row>
    <row r="100" spans="1:5" x14ac:dyDescent="0.25">
      <c r="A100" s="7" t="s">
        <v>38</v>
      </c>
      <c r="B100" s="4" t="s">
        <v>86</v>
      </c>
      <c r="C100" t="s">
        <v>70</v>
      </c>
      <c r="D100">
        <v>40</v>
      </c>
      <c r="E100">
        <v>50</v>
      </c>
    </row>
    <row r="101" spans="1:5" x14ac:dyDescent="0.25">
      <c r="A101" s="7" t="s">
        <v>38</v>
      </c>
      <c r="B101" s="4" t="s">
        <v>87</v>
      </c>
      <c r="C101" t="s">
        <v>93</v>
      </c>
      <c r="D101">
        <v>37</v>
      </c>
      <c r="E101">
        <v>55</v>
      </c>
    </row>
    <row r="102" spans="1:5" x14ac:dyDescent="0.25">
      <c r="A102" s="7" t="s">
        <v>38</v>
      </c>
      <c r="B102" s="4" t="s">
        <v>88</v>
      </c>
      <c r="C102" t="s">
        <v>4</v>
      </c>
      <c r="D102">
        <v>2</v>
      </c>
      <c r="E102">
        <v>2</v>
      </c>
    </row>
  </sheetData>
  <phoneticPr fontId="0" type="noConversion"/>
  <pageMargins left="0" right="0" top="0.5" bottom="0.5" header="0.25" footer="0.25"/>
  <pageSetup scale="85" fitToHeight="2" orientation="landscape" r:id="rId1"/>
  <headerFooter alignWithMargins="0"/>
  <rowBreaks count="1" manualBreakCount="1">
    <brk id="50" min="4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pane xSplit="1" ySplit="3" topLeftCell="T4" activePane="bottomRight" state="frozen"/>
      <selection activeCell="R66" sqref="R66"/>
      <selection pane="topRight" activeCell="R66" sqref="R66"/>
      <selection pane="bottomLeft" activeCell="R66" sqref="R66"/>
      <selection pane="bottomRight" activeCell="R66" sqref="R66"/>
    </sheetView>
  </sheetViews>
  <sheetFormatPr defaultRowHeight="13.2" x14ac:dyDescent="0.25"/>
  <cols>
    <col min="1" max="1" width="23.88671875" customWidth="1"/>
    <col min="3" max="3" width="11.44140625" customWidth="1"/>
    <col min="5" max="5" width="12.33203125" customWidth="1"/>
  </cols>
  <sheetData>
    <row r="1" spans="1:27" ht="13.8" thickBot="1" x14ac:dyDescent="0.3">
      <c r="A1" s="195" t="s">
        <v>43</v>
      </c>
      <c r="B1" s="190" t="s">
        <v>48</v>
      </c>
      <c r="C1" s="191"/>
      <c r="D1" s="191"/>
      <c r="E1" s="191"/>
      <c r="F1" s="191"/>
      <c r="G1" s="191"/>
      <c r="H1" s="191"/>
      <c r="I1" s="192"/>
      <c r="J1" s="190" t="s">
        <v>127</v>
      </c>
      <c r="K1" s="191"/>
      <c r="L1" s="191"/>
      <c r="M1" s="191"/>
      <c r="N1" s="191"/>
      <c r="O1" s="191"/>
      <c r="P1" s="191"/>
      <c r="Q1" s="192"/>
      <c r="R1" s="157"/>
      <c r="S1" s="158"/>
      <c r="T1" s="190" t="s">
        <v>147</v>
      </c>
      <c r="U1" s="191"/>
      <c r="V1" s="191"/>
      <c r="W1" s="191"/>
      <c r="X1" s="191"/>
      <c r="Y1" s="191"/>
      <c r="Z1" s="191"/>
      <c r="AA1" s="192"/>
    </row>
    <row r="2" spans="1:27" x14ac:dyDescent="0.25">
      <c r="A2" s="196"/>
      <c r="B2" s="198" t="s">
        <v>128</v>
      </c>
      <c r="C2" s="194"/>
      <c r="D2" s="194" t="s">
        <v>129</v>
      </c>
      <c r="E2" s="194"/>
      <c r="F2" s="194" t="s">
        <v>130</v>
      </c>
      <c r="G2" s="194"/>
      <c r="H2" s="194" t="s">
        <v>131</v>
      </c>
      <c r="I2" s="199"/>
      <c r="J2" s="193" t="s">
        <v>132</v>
      </c>
      <c r="K2" s="194"/>
      <c r="L2" s="194" t="s">
        <v>133</v>
      </c>
      <c r="M2" s="194"/>
      <c r="N2" s="194" t="s">
        <v>134</v>
      </c>
      <c r="O2" s="194"/>
      <c r="P2" s="194" t="s">
        <v>144</v>
      </c>
      <c r="Q2" s="194"/>
      <c r="R2" s="194" t="s">
        <v>148</v>
      </c>
      <c r="S2" s="199"/>
      <c r="T2" s="198" t="s">
        <v>149</v>
      </c>
      <c r="U2" s="194"/>
      <c r="V2" s="194" t="s">
        <v>150</v>
      </c>
      <c r="W2" s="194"/>
      <c r="X2" s="194" t="s">
        <v>151</v>
      </c>
      <c r="Y2" s="194"/>
      <c r="Z2" s="194" t="s">
        <v>148</v>
      </c>
      <c r="AA2" s="199"/>
    </row>
    <row r="3" spans="1:27" ht="13.8" thickBot="1" x14ac:dyDescent="0.3">
      <c r="A3" s="197"/>
      <c r="B3" s="90" t="s">
        <v>35</v>
      </c>
      <c r="C3" s="91" t="s">
        <v>30</v>
      </c>
      <c r="D3" s="91" t="s">
        <v>35</v>
      </c>
      <c r="E3" s="91" t="s">
        <v>30</v>
      </c>
      <c r="F3" s="91" t="s">
        <v>35</v>
      </c>
      <c r="G3" s="91" t="s">
        <v>30</v>
      </c>
      <c r="H3" s="91" t="s">
        <v>35</v>
      </c>
      <c r="I3" s="92" t="s">
        <v>30</v>
      </c>
      <c r="J3" s="93" t="s">
        <v>35</v>
      </c>
      <c r="K3" s="91" t="s">
        <v>30</v>
      </c>
      <c r="L3" s="91" t="s">
        <v>35</v>
      </c>
      <c r="M3" s="91" t="s">
        <v>30</v>
      </c>
      <c r="N3" s="91" t="s">
        <v>35</v>
      </c>
      <c r="O3" s="91" t="s">
        <v>30</v>
      </c>
      <c r="P3" s="91" t="s">
        <v>35</v>
      </c>
      <c r="Q3" s="91" t="s">
        <v>30</v>
      </c>
      <c r="R3" s="91" t="s">
        <v>35</v>
      </c>
      <c r="S3" s="92" t="s">
        <v>30</v>
      </c>
      <c r="T3" s="90" t="s">
        <v>35</v>
      </c>
      <c r="U3" s="91" t="s">
        <v>30</v>
      </c>
      <c r="V3" s="91" t="s">
        <v>35</v>
      </c>
      <c r="W3" s="91" t="s">
        <v>30</v>
      </c>
      <c r="X3" s="91" t="s">
        <v>35</v>
      </c>
      <c r="Y3" s="91" t="s">
        <v>30</v>
      </c>
      <c r="Z3" s="91" t="s">
        <v>35</v>
      </c>
      <c r="AA3" s="92" t="s">
        <v>30</v>
      </c>
    </row>
    <row r="4" spans="1:27" ht="13.8" thickBot="1" x14ac:dyDescent="0.3">
      <c r="A4" s="94" t="s">
        <v>2</v>
      </c>
      <c r="B4" s="95"/>
      <c r="C4" s="95"/>
      <c r="D4" s="95"/>
      <c r="E4" s="95"/>
      <c r="F4" s="95"/>
      <c r="G4" s="95"/>
      <c r="H4" s="95"/>
      <c r="I4" s="96"/>
      <c r="J4" s="95"/>
      <c r="K4" s="95"/>
      <c r="L4" s="95"/>
      <c r="M4" s="95"/>
      <c r="N4" s="95"/>
      <c r="O4" s="95"/>
      <c r="P4" s="95"/>
      <c r="Q4" s="95"/>
      <c r="R4" s="95"/>
      <c r="S4" s="96"/>
      <c r="T4" s="160"/>
      <c r="U4" s="95"/>
      <c r="V4" s="95"/>
      <c r="W4" s="95"/>
      <c r="X4" s="95"/>
      <c r="Y4" s="95"/>
      <c r="Z4" s="95"/>
      <c r="AA4" s="96"/>
    </row>
    <row r="5" spans="1:27" ht="13.8" thickBot="1" x14ac:dyDescent="0.3">
      <c r="A5" s="97" t="s">
        <v>34</v>
      </c>
      <c r="B5" s="98"/>
      <c r="C5" s="98"/>
      <c r="D5" s="98"/>
      <c r="E5" s="98"/>
      <c r="F5" s="98"/>
      <c r="G5" s="98"/>
      <c r="H5" s="98"/>
      <c r="I5" s="99"/>
      <c r="J5" s="98"/>
      <c r="K5" s="98"/>
      <c r="L5" s="98"/>
      <c r="M5" s="98"/>
      <c r="N5" s="98"/>
      <c r="O5" s="98"/>
      <c r="P5" s="98"/>
      <c r="Q5" s="98"/>
      <c r="R5" s="98"/>
      <c r="S5" s="99"/>
      <c r="T5" s="161"/>
      <c r="U5" s="98"/>
      <c r="V5" s="98"/>
      <c r="W5" s="98"/>
      <c r="X5" s="98"/>
      <c r="Y5" s="98"/>
      <c r="Z5" s="98"/>
      <c r="AA5" s="99"/>
    </row>
    <row r="6" spans="1:27" x14ac:dyDescent="0.25">
      <c r="A6" s="100" t="s">
        <v>22</v>
      </c>
      <c r="B6" s="101"/>
      <c r="C6" s="101"/>
      <c r="D6" s="101"/>
      <c r="E6" s="101"/>
      <c r="F6" s="101"/>
      <c r="G6" s="101"/>
      <c r="H6" s="101"/>
      <c r="I6" s="102"/>
      <c r="J6" s="103"/>
      <c r="K6" s="101"/>
      <c r="L6" s="101"/>
      <c r="M6" s="101"/>
      <c r="N6" s="101"/>
      <c r="O6" s="101"/>
      <c r="P6" s="101"/>
      <c r="Q6" s="101"/>
      <c r="R6" s="103"/>
      <c r="S6" s="102"/>
      <c r="T6" s="162"/>
      <c r="U6" s="101"/>
      <c r="V6" s="101"/>
      <c r="W6" s="101"/>
      <c r="X6" s="101"/>
      <c r="Y6" s="101"/>
      <c r="Z6" s="101"/>
      <c r="AA6" s="102"/>
    </row>
    <row r="7" spans="1:27" x14ac:dyDescent="0.25">
      <c r="A7" s="104" t="s">
        <v>21</v>
      </c>
      <c r="B7" s="105"/>
      <c r="C7" s="105"/>
      <c r="D7" s="105"/>
      <c r="E7" s="105"/>
      <c r="F7" s="105"/>
      <c r="G7" s="105"/>
      <c r="H7" s="105"/>
      <c r="I7" s="106"/>
      <c r="J7" s="107"/>
      <c r="K7" s="105"/>
      <c r="L7" s="105"/>
      <c r="M7" s="105"/>
      <c r="N7" s="105"/>
      <c r="O7" s="105"/>
      <c r="P7" s="105"/>
      <c r="Q7" s="105"/>
      <c r="R7" s="107"/>
      <c r="S7" s="106"/>
      <c r="T7" s="163"/>
      <c r="U7" s="105"/>
      <c r="V7" s="105"/>
      <c r="W7" s="105"/>
      <c r="X7" s="105"/>
      <c r="Y7" s="105"/>
      <c r="Z7" s="105"/>
      <c r="AA7" s="106"/>
    </row>
    <row r="8" spans="1:27" x14ac:dyDescent="0.25">
      <c r="A8" s="104" t="s">
        <v>28</v>
      </c>
      <c r="B8" s="105"/>
      <c r="C8" s="105"/>
      <c r="D8" s="105"/>
      <c r="E8" s="105"/>
      <c r="F8" s="105"/>
      <c r="G8" s="105"/>
      <c r="H8" s="105"/>
      <c r="I8" s="106"/>
      <c r="J8" s="107"/>
      <c r="K8" s="105"/>
      <c r="L8" s="105"/>
      <c r="M8" s="105"/>
      <c r="N8" s="105"/>
      <c r="O8" s="105"/>
      <c r="P8" s="105"/>
      <c r="Q8" s="105"/>
      <c r="R8" s="107"/>
      <c r="S8" s="106"/>
      <c r="T8" s="163"/>
      <c r="U8" s="105"/>
      <c r="V8" s="105"/>
      <c r="W8" s="105"/>
      <c r="X8" s="105"/>
      <c r="Y8" s="105"/>
      <c r="Z8" s="105"/>
      <c r="AA8" s="106"/>
    </row>
    <row r="9" spans="1:27" ht="13.8" thickBot="1" x14ac:dyDescent="0.3">
      <c r="A9" s="108" t="s">
        <v>29</v>
      </c>
      <c r="B9" s="109"/>
      <c r="C9" s="109"/>
      <c r="D9" s="109"/>
      <c r="E9" s="109"/>
      <c r="F9" s="109"/>
      <c r="G9" s="109"/>
      <c r="H9" s="109"/>
      <c r="I9" s="110"/>
      <c r="J9" s="111"/>
      <c r="K9" s="109"/>
      <c r="L9" s="109"/>
      <c r="M9" s="109"/>
      <c r="N9" s="109"/>
      <c r="O9" s="109"/>
      <c r="P9" s="109"/>
      <c r="Q9" s="109"/>
      <c r="R9" s="111"/>
      <c r="S9" s="110"/>
      <c r="T9" s="164"/>
      <c r="U9" s="109"/>
      <c r="V9" s="109"/>
      <c r="W9" s="109"/>
      <c r="X9" s="109"/>
      <c r="Y9" s="109"/>
      <c r="Z9" s="109"/>
      <c r="AA9" s="110"/>
    </row>
    <row r="10" spans="1:27" ht="13.8" thickBot="1" x14ac:dyDescent="0.3">
      <c r="A10" s="112" t="s">
        <v>33</v>
      </c>
      <c r="B10" s="113"/>
      <c r="C10" s="113"/>
      <c r="D10" s="113"/>
      <c r="E10" s="113"/>
      <c r="F10" s="113"/>
      <c r="G10" s="113"/>
      <c r="H10" s="113"/>
      <c r="I10" s="114"/>
      <c r="J10" s="113"/>
      <c r="K10" s="113"/>
      <c r="L10" s="113"/>
      <c r="M10" s="113"/>
      <c r="N10" s="113"/>
      <c r="O10" s="113"/>
      <c r="P10" s="113"/>
      <c r="Q10" s="113"/>
      <c r="R10" s="113"/>
      <c r="S10" s="114"/>
      <c r="T10" s="165"/>
      <c r="U10" s="113"/>
      <c r="V10" s="113"/>
      <c r="W10" s="113"/>
      <c r="X10" s="113"/>
      <c r="Y10" s="113"/>
      <c r="Z10" s="113"/>
      <c r="AA10" s="114"/>
    </row>
    <row r="11" spans="1:27" x14ac:dyDescent="0.25">
      <c r="A11" s="100" t="s">
        <v>39</v>
      </c>
      <c r="B11" s="101">
        <v>0</v>
      </c>
      <c r="C11" s="101">
        <v>23</v>
      </c>
      <c r="D11" s="101">
        <v>0</v>
      </c>
      <c r="E11" s="101">
        <v>7</v>
      </c>
      <c r="F11" s="101">
        <v>0</v>
      </c>
      <c r="G11" s="101">
        <v>10</v>
      </c>
      <c r="H11" s="101">
        <v>0</v>
      </c>
      <c r="I11" s="102">
        <v>19</v>
      </c>
      <c r="J11" s="103">
        <v>0</v>
      </c>
      <c r="K11" s="101">
        <v>19</v>
      </c>
      <c r="L11" s="101">
        <v>0</v>
      </c>
      <c r="M11" s="101">
        <v>24</v>
      </c>
      <c r="N11" s="101">
        <v>0</v>
      </c>
      <c r="O11" s="101">
        <v>8</v>
      </c>
      <c r="P11" s="101">
        <v>0</v>
      </c>
      <c r="Q11" s="101">
        <v>9</v>
      </c>
      <c r="R11" s="103">
        <v>0</v>
      </c>
      <c r="S11" s="102">
        <v>14</v>
      </c>
      <c r="T11" s="162">
        <v>0</v>
      </c>
      <c r="U11" s="101">
        <v>22</v>
      </c>
      <c r="V11" s="101">
        <v>0</v>
      </c>
      <c r="W11" s="101">
        <v>28</v>
      </c>
      <c r="X11" s="101">
        <v>0</v>
      </c>
      <c r="Y11" s="101">
        <v>27</v>
      </c>
      <c r="Z11" s="101">
        <v>0</v>
      </c>
      <c r="AA11" s="102">
        <v>13</v>
      </c>
    </row>
    <row r="12" spans="1:27" x14ac:dyDescent="0.25">
      <c r="A12" s="104" t="s">
        <v>40</v>
      </c>
      <c r="B12" s="105">
        <v>0</v>
      </c>
      <c r="C12" s="105">
        <v>2</v>
      </c>
      <c r="D12" s="105">
        <v>2</v>
      </c>
      <c r="E12" s="105">
        <v>0</v>
      </c>
      <c r="F12" s="105">
        <v>0</v>
      </c>
      <c r="G12" s="105">
        <v>2</v>
      </c>
      <c r="H12" s="105">
        <v>0</v>
      </c>
      <c r="I12" s="106">
        <v>2</v>
      </c>
      <c r="J12" s="107">
        <v>0</v>
      </c>
      <c r="K12" s="105">
        <v>0</v>
      </c>
      <c r="L12" s="105">
        <v>0</v>
      </c>
      <c r="M12" s="105">
        <v>10</v>
      </c>
      <c r="N12" s="105">
        <v>0</v>
      </c>
      <c r="O12" s="105">
        <v>12</v>
      </c>
      <c r="P12" s="105">
        <v>0</v>
      </c>
      <c r="Q12" s="105">
        <v>0</v>
      </c>
      <c r="R12" s="107">
        <v>0</v>
      </c>
      <c r="S12" s="106">
        <v>0</v>
      </c>
      <c r="T12" s="163">
        <v>0</v>
      </c>
      <c r="U12" s="105">
        <v>0</v>
      </c>
      <c r="V12" s="105">
        <v>0</v>
      </c>
      <c r="W12" s="105">
        <v>1</v>
      </c>
      <c r="X12" s="105">
        <v>0</v>
      </c>
      <c r="Y12" s="105">
        <v>0</v>
      </c>
      <c r="Z12" s="105">
        <v>5</v>
      </c>
      <c r="AA12" s="106">
        <v>0</v>
      </c>
    </row>
    <row r="13" spans="1:27" x14ac:dyDescent="0.25">
      <c r="A13" s="104" t="s">
        <v>42</v>
      </c>
      <c r="B13" s="105">
        <v>0</v>
      </c>
      <c r="C13" s="105">
        <v>1</v>
      </c>
      <c r="D13" s="105">
        <v>0</v>
      </c>
      <c r="E13" s="105">
        <v>4</v>
      </c>
      <c r="F13" s="105">
        <v>0</v>
      </c>
      <c r="G13" s="105">
        <v>12</v>
      </c>
      <c r="H13" s="105">
        <v>0</v>
      </c>
      <c r="I13" s="106">
        <v>10</v>
      </c>
      <c r="J13" s="107">
        <v>0</v>
      </c>
      <c r="K13" s="105">
        <v>4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2</v>
      </c>
      <c r="R13" s="107">
        <v>0</v>
      </c>
      <c r="S13" s="106">
        <v>11</v>
      </c>
      <c r="T13" s="163">
        <v>0</v>
      </c>
      <c r="U13" s="105">
        <v>17</v>
      </c>
      <c r="V13" s="105">
        <v>0</v>
      </c>
      <c r="W13" s="105">
        <v>7</v>
      </c>
      <c r="X13" s="105">
        <v>0</v>
      </c>
      <c r="Y13" s="105">
        <v>3</v>
      </c>
      <c r="Z13" s="105">
        <v>2</v>
      </c>
      <c r="AA13" s="106">
        <v>1</v>
      </c>
    </row>
    <row r="14" spans="1:27" ht="13.8" thickBot="1" x14ac:dyDescent="0.3">
      <c r="A14" s="108" t="s">
        <v>41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10">
        <v>0</v>
      </c>
      <c r="J14" s="111">
        <v>0</v>
      </c>
      <c r="K14" s="109">
        <v>1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11">
        <v>0</v>
      </c>
      <c r="S14" s="110">
        <v>0</v>
      </c>
      <c r="T14" s="164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0">
        <v>0</v>
      </c>
    </row>
    <row r="15" spans="1:27" ht="13.8" thickBot="1" x14ac:dyDescent="0.3">
      <c r="A15" s="115" t="s">
        <v>32</v>
      </c>
      <c r="B15" s="116"/>
      <c r="C15" s="116"/>
      <c r="D15" s="116"/>
      <c r="E15" s="116"/>
      <c r="F15" s="116"/>
      <c r="G15" s="116"/>
      <c r="H15" s="116"/>
      <c r="I15" s="117"/>
      <c r="J15" s="116"/>
      <c r="K15" s="116"/>
      <c r="L15" s="116"/>
      <c r="M15" s="116"/>
      <c r="N15" s="116"/>
      <c r="O15" s="116"/>
      <c r="P15" s="116"/>
      <c r="Q15" s="116"/>
      <c r="R15" s="116"/>
      <c r="S15" s="117"/>
      <c r="T15" s="166"/>
      <c r="U15" s="116"/>
      <c r="V15" s="116"/>
      <c r="W15" s="116"/>
      <c r="X15" s="116"/>
      <c r="Y15" s="116"/>
      <c r="Z15" s="116"/>
      <c r="AA15" s="117"/>
    </row>
    <row r="16" spans="1:27" x14ac:dyDescent="0.25">
      <c r="A16" s="100" t="s">
        <v>0</v>
      </c>
      <c r="B16" s="101"/>
      <c r="C16" s="101"/>
      <c r="D16" s="101"/>
      <c r="E16" s="101"/>
      <c r="F16" s="101"/>
      <c r="G16" s="101"/>
      <c r="H16" s="101"/>
      <c r="I16" s="102"/>
      <c r="J16" s="103"/>
      <c r="K16" s="101"/>
      <c r="L16" s="101"/>
      <c r="M16" s="101"/>
      <c r="N16" s="101"/>
      <c r="O16" s="101"/>
      <c r="P16" s="101"/>
      <c r="Q16" s="101"/>
      <c r="R16" s="103"/>
      <c r="S16" s="102"/>
      <c r="T16" s="162"/>
      <c r="U16" s="101"/>
      <c r="V16" s="101"/>
      <c r="W16" s="101"/>
      <c r="X16" s="101"/>
      <c r="Y16" s="101"/>
      <c r="Z16" s="101"/>
      <c r="AA16" s="102"/>
    </row>
    <row r="17" spans="1:27" x14ac:dyDescent="0.25">
      <c r="A17" s="104" t="s">
        <v>3</v>
      </c>
      <c r="B17" s="105"/>
      <c r="C17" s="105"/>
      <c r="D17" s="105"/>
      <c r="E17" s="105"/>
      <c r="F17" s="105"/>
      <c r="G17" s="105"/>
      <c r="H17" s="105"/>
      <c r="I17" s="106"/>
      <c r="J17" s="107"/>
      <c r="K17" s="105"/>
      <c r="L17" s="105"/>
      <c r="M17" s="105"/>
      <c r="N17" s="105"/>
      <c r="O17" s="105"/>
      <c r="P17" s="105"/>
      <c r="Q17" s="105"/>
      <c r="R17" s="107"/>
      <c r="S17" s="106"/>
      <c r="T17" s="163"/>
      <c r="U17" s="105"/>
      <c r="V17" s="105"/>
      <c r="W17" s="105"/>
      <c r="X17" s="105"/>
      <c r="Y17" s="105"/>
      <c r="Z17" s="105"/>
      <c r="AA17" s="106"/>
    </row>
    <row r="18" spans="1:27" x14ac:dyDescent="0.25">
      <c r="A18" s="104" t="s">
        <v>5</v>
      </c>
      <c r="B18" s="105"/>
      <c r="C18" s="105"/>
      <c r="D18" s="105"/>
      <c r="E18" s="105"/>
      <c r="F18" s="105"/>
      <c r="G18" s="105"/>
      <c r="H18" s="105"/>
      <c r="I18" s="106"/>
      <c r="J18" s="107"/>
      <c r="K18" s="105"/>
      <c r="L18" s="105"/>
      <c r="M18" s="105"/>
      <c r="N18" s="105"/>
      <c r="O18" s="105"/>
      <c r="P18" s="105"/>
      <c r="Q18" s="105"/>
      <c r="R18" s="107"/>
      <c r="S18" s="106"/>
      <c r="T18" s="163"/>
      <c r="U18" s="105"/>
      <c r="V18" s="105"/>
      <c r="W18" s="105"/>
      <c r="X18" s="105"/>
      <c r="Y18" s="105"/>
      <c r="Z18" s="105"/>
      <c r="AA18" s="106"/>
    </row>
    <row r="19" spans="1:27" ht="13.8" thickBot="1" x14ac:dyDescent="0.3">
      <c r="A19" s="108" t="s">
        <v>13</v>
      </c>
      <c r="B19" s="109"/>
      <c r="C19" s="109"/>
      <c r="D19" s="109"/>
      <c r="E19" s="109"/>
      <c r="F19" s="109"/>
      <c r="G19" s="109"/>
      <c r="H19" s="109"/>
      <c r="I19" s="110"/>
      <c r="J19" s="111"/>
      <c r="K19" s="109"/>
      <c r="L19" s="109"/>
      <c r="M19" s="109"/>
      <c r="N19" s="109"/>
      <c r="O19" s="109"/>
      <c r="P19" s="109"/>
      <c r="Q19" s="109"/>
      <c r="R19" s="111"/>
      <c r="S19" s="110"/>
      <c r="T19" s="164"/>
      <c r="U19" s="109"/>
      <c r="V19" s="109"/>
      <c r="W19" s="109"/>
      <c r="X19" s="109"/>
      <c r="Y19" s="109"/>
      <c r="Z19" s="109"/>
      <c r="AA19" s="110"/>
    </row>
    <row r="20" spans="1:27" ht="13.8" thickBot="1" x14ac:dyDescent="0.3">
      <c r="A20" s="94" t="s">
        <v>7</v>
      </c>
      <c r="B20" s="118"/>
      <c r="C20" s="118"/>
      <c r="D20" s="118"/>
      <c r="E20" s="118"/>
      <c r="F20" s="118"/>
      <c r="G20" s="118"/>
      <c r="H20" s="118"/>
      <c r="I20" s="119"/>
      <c r="J20" s="118"/>
      <c r="K20" s="118"/>
      <c r="L20" s="118"/>
      <c r="M20" s="118"/>
      <c r="N20" s="118"/>
      <c r="O20" s="118"/>
      <c r="P20" s="118"/>
      <c r="Q20" s="118"/>
      <c r="R20" s="118"/>
      <c r="S20" s="119"/>
      <c r="T20" s="167"/>
      <c r="U20" s="118"/>
      <c r="V20" s="118"/>
      <c r="W20" s="118"/>
      <c r="X20" s="118"/>
      <c r="Y20" s="118"/>
      <c r="Z20" s="118"/>
      <c r="AA20" s="119"/>
    </row>
    <row r="21" spans="1:27" ht="13.8" thickBot="1" x14ac:dyDescent="0.3">
      <c r="A21" s="115" t="s">
        <v>34</v>
      </c>
      <c r="B21" s="116"/>
      <c r="C21" s="116"/>
      <c r="D21" s="116"/>
      <c r="E21" s="116"/>
      <c r="F21" s="116"/>
      <c r="G21" s="116"/>
      <c r="H21" s="116"/>
      <c r="I21" s="117"/>
      <c r="J21" s="116"/>
      <c r="K21" s="116"/>
      <c r="L21" s="116"/>
      <c r="M21" s="116"/>
      <c r="N21" s="116"/>
      <c r="O21" s="116"/>
      <c r="P21" s="116"/>
      <c r="Q21" s="116"/>
      <c r="R21" s="116"/>
      <c r="S21" s="117"/>
      <c r="T21" s="166"/>
      <c r="U21" s="116"/>
      <c r="V21" s="116"/>
      <c r="W21" s="116"/>
      <c r="X21" s="116"/>
      <c r="Y21" s="116"/>
      <c r="Z21" s="116"/>
      <c r="AA21" s="117"/>
    </row>
    <row r="22" spans="1:27" x14ac:dyDescent="0.25">
      <c r="A22" s="120" t="s">
        <v>21</v>
      </c>
      <c r="B22" s="121"/>
      <c r="C22" s="121"/>
      <c r="D22" s="121"/>
      <c r="E22" s="121"/>
      <c r="F22" s="121"/>
      <c r="G22" s="121"/>
      <c r="H22" s="121"/>
      <c r="I22" s="122"/>
      <c r="J22" s="123"/>
      <c r="K22" s="121"/>
      <c r="L22" s="121"/>
      <c r="M22" s="121"/>
      <c r="N22" s="121"/>
      <c r="O22" s="121"/>
      <c r="P22" s="121"/>
      <c r="Q22" s="121"/>
      <c r="R22" s="123"/>
      <c r="S22" s="122"/>
      <c r="T22" s="168"/>
      <c r="U22" s="121"/>
      <c r="V22" s="121"/>
      <c r="W22" s="121"/>
      <c r="X22" s="121"/>
      <c r="Y22" s="121"/>
      <c r="Z22" s="121"/>
      <c r="AA22" s="122"/>
    </row>
    <row r="23" spans="1:27" x14ac:dyDescent="0.25">
      <c r="A23" s="104" t="s">
        <v>22</v>
      </c>
      <c r="B23" s="105"/>
      <c r="C23" s="105"/>
      <c r="D23" s="105"/>
      <c r="E23" s="105"/>
      <c r="F23" s="105"/>
      <c r="G23" s="105"/>
      <c r="H23" s="105"/>
      <c r="I23" s="106"/>
      <c r="J23" s="107"/>
      <c r="K23" s="105"/>
      <c r="L23" s="105"/>
      <c r="M23" s="105"/>
      <c r="N23" s="105"/>
      <c r="O23" s="105"/>
      <c r="P23" s="105"/>
      <c r="Q23" s="105"/>
      <c r="R23" s="107"/>
      <c r="S23" s="106"/>
      <c r="T23" s="163"/>
      <c r="U23" s="105"/>
      <c r="V23" s="105"/>
      <c r="W23" s="105"/>
      <c r="X23" s="105"/>
      <c r="Y23" s="105"/>
      <c r="Z23" s="105"/>
      <c r="AA23" s="106"/>
    </row>
    <row r="24" spans="1:27" x14ac:dyDescent="0.25">
      <c r="A24" s="104" t="s">
        <v>28</v>
      </c>
      <c r="B24" s="105"/>
      <c r="C24" s="105"/>
      <c r="D24" s="105"/>
      <c r="E24" s="105"/>
      <c r="F24" s="105"/>
      <c r="G24" s="105"/>
      <c r="H24" s="105"/>
      <c r="I24" s="106"/>
      <c r="J24" s="107"/>
      <c r="K24" s="105"/>
      <c r="L24" s="105"/>
      <c r="M24" s="105"/>
      <c r="N24" s="105"/>
      <c r="O24" s="105"/>
      <c r="P24" s="105"/>
      <c r="Q24" s="105"/>
      <c r="R24" s="107"/>
      <c r="S24" s="106"/>
      <c r="T24" s="163"/>
      <c r="U24" s="105"/>
      <c r="V24" s="105"/>
      <c r="W24" s="105"/>
      <c r="X24" s="105"/>
      <c r="Y24" s="105"/>
      <c r="Z24" s="105"/>
      <c r="AA24" s="106"/>
    </row>
    <row r="25" spans="1:27" ht="13.8" thickBot="1" x14ac:dyDescent="0.3">
      <c r="A25" s="124" t="s">
        <v>29</v>
      </c>
      <c r="B25" s="125"/>
      <c r="C25" s="125"/>
      <c r="D25" s="125"/>
      <c r="E25" s="125"/>
      <c r="F25" s="125"/>
      <c r="G25" s="125"/>
      <c r="H25" s="125"/>
      <c r="I25" s="126"/>
      <c r="J25" s="127"/>
      <c r="K25" s="125"/>
      <c r="L25" s="125"/>
      <c r="M25" s="125"/>
      <c r="N25" s="125"/>
      <c r="O25" s="125"/>
      <c r="P25" s="125"/>
      <c r="Q25" s="125"/>
      <c r="R25" s="127"/>
      <c r="S25" s="126"/>
      <c r="T25" s="169"/>
      <c r="U25" s="125"/>
      <c r="V25" s="125"/>
      <c r="W25" s="125"/>
      <c r="X25" s="125"/>
      <c r="Y25" s="125"/>
      <c r="Z25" s="125"/>
      <c r="AA25" s="126"/>
    </row>
    <row r="26" spans="1:27" ht="13.8" thickBot="1" x14ac:dyDescent="0.3">
      <c r="A26" s="115" t="s">
        <v>33</v>
      </c>
      <c r="B26" s="116"/>
      <c r="C26" s="116"/>
      <c r="D26" s="116"/>
      <c r="E26" s="116"/>
      <c r="F26" s="116"/>
      <c r="G26" s="116"/>
      <c r="H26" s="116"/>
      <c r="I26" s="117"/>
      <c r="J26" s="116"/>
      <c r="K26" s="116"/>
      <c r="L26" s="116"/>
      <c r="M26" s="116"/>
      <c r="N26" s="116"/>
      <c r="O26" s="116"/>
      <c r="P26" s="116"/>
      <c r="Q26" s="116"/>
      <c r="R26" s="116"/>
      <c r="S26" s="117"/>
      <c r="T26" s="166"/>
      <c r="U26" s="116"/>
      <c r="V26" s="116"/>
      <c r="W26" s="116"/>
      <c r="X26" s="116"/>
      <c r="Y26" s="116"/>
      <c r="Z26" s="116"/>
      <c r="AA26" s="117"/>
    </row>
    <row r="27" spans="1:27" x14ac:dyDescent="0.25">
      <c r="A27" s="120" t="s">
        <v>39</v>
      </c>
      <c r="B27" s="121">
        <v>1</v>
      </c>
      <c r="C27" s="121">
        <v>62</v>
      </c>
      <c r="D27" s="121">
        <v>12</v>
      </c>
      <c r="E27" s="121">
        <v>107</v>
      </c>
      <c r="F27" s="121">
        <v>10</v>
      </c>
      <c r="G27" s="121">
        <v>83</v>
      </c>
      <c r="H27" s="121">
        <v>2</v>
      </c>
      <c r="I27" s="122">
        <v>103</v>
      </c>
      <c r="J27" s="123">
        <v>5</v>
      </c>
      <c r="K27" s="121">
        <v>62</v>
      </c>
      <c r="L27" s="121">
        <v>7</v>
      </c>
      <c r="M27" s="121">
        <v>38</v>
      </c>
      <c r="N27" s="121">
        <v>4</v>
      </c>
      <c r="O27" s="121">
        <v>26</v>
      </c>
      <c r="P27" s="121">
        <v>2</v>
      </c>
      <c r="Q27" s="121">
        <v>30</v>
      </c>
      <c r="R27" s="123">
        <v>5</v>
      </c>
      <c r="S27" s="122">
        <v>50</v>
      </c>
      <c r="T27" s="168">
        <v>7</v>
      </c>
      <c r="U27" s="121">
        <v>55</v>
      </c>
      <c r="V27" s="121">
        <v>7</v>
      </c>
      <c r="W27" s="121">
        <v>45</v>
      </c>
      <c r="X27" s="121">
        <v>5</v>
      </c>
      <c r="Y27" s="121">
        <v>62</v>
      </c>
      <c r="Z27" s="121">
        <v>9</v>
      </c>
      <c r="AA27" s="122">
        <v>101</v>
      </c>
    </row>
    <row r="28" spans="1:27" x14ac:dyDescent="0.25">
      <c r="A28" s="104" t="s">
        <v>40</v>
      </c>
      <c r="B28" s="105">
        <v>0</v>
      </c>
      <c r="C28" s="105">
        <v>3</v>
      </c>
      <c r="D28" s="105">
        <v>0</v>
      </c>
      <c r="E28" s="105">
        <v>15</v>
      </c>
      <c r="F28" s="105">
        <v>1</v>
      </c>
      <c r="G28" s="105">
        <v>6</v>
      </c>
      <c r="H28" s="105">
        <v>0</v>
      </c>
      <c r="I28" s="106">
        <v>22</v>
      </c>
      <c r="J28" s="107">
        <v>0</v>
      </c>
      <c r="K28" s="105">
        <v>4</v>
      </c>
      <c r="L28" s="105">
        <v>0</v>
      </c>
      <c r="M28" s="105">
        <v>2</v>
      </c>
      <c r="N28" s="105">
        <v>0</v>
      </c>
      <c r="O28" s="105">
        <v>18</v>
      </c>
      <c r="P28" s="105">
        <v>0</v>
      </c>
      <c r="Q28" s="105">
        <v>17</v>
      </c>
      <c r="R28" s="107">
        <v>0</v>
      </c>
      <c r="S28" s="106">
        <v>18</v>
      </c>
      <c r="T28" s="163">
        <v>0</v>
      </c>
      <c r="U28" s="105">
        <v>20</v>
      </c>
      <c r="V28" s="105">
        <v>2</v>
      </c>
      <c r="W28" s="105">
        <v>43</v>
      </c>
      <c r="X28" s="105">
        <v>1</v>
      </c>
      <c r="Y28" s="105">
        <v>24</v>
      </c>
      <c r="Z28" s="105">
        <v>5</v>
      </c>
      <c r="AA28" s="106">
        <v>9</v>
      </c>
    </row>
    <row r="29" spans="1:27" x14ac:dyDescent="0.25">
      <c r="A29" s="104" t="s">
        <v>42</v>
      </c>
      <c r="B29" s="105">
        <v>4</v>
      </c>
      <c r="C29" s="105">
        <v>1</v>
      </c>
      <c r="D29" s="105">
        <v>3</v>
      </c>
      <c r="E29" s="105">
        <v>10</v>
      </c>
      <c r="F29" s="105">
        <v>0</v>
      </c>
      <c r="G29" s="105">
        <v>12</v>
      </c>
      <c r="H29" s="105">
        <v>0</v>
      </c>
      <c r="I29" s="106">
        <v>9</v>
      </c>
      <c r="J29" s="107">
        <v>2</v>
      </c>
      <c r="K29" s="105">
        <v>23</v>
      </c>
      <c r="L29" s="105">
        <v>4</v>
      </c>
      <c r="M29" s="105">
        <v>13</v>
      </c>
      <c r="N29" s="105">
        <v>3</v>
      </c>
      <c r="O29" s="105">
        <v>12</v>
      </c>
      <c r="P29" s="105">
        <v>3</v>
      </c>
      <c r="Q29" s="105">
        <v>18</v>
      </c>
      <c r="R29" s="107">
        <v>5</v>
      </c>
      <c r="S29" s="106">
        <v>41</v>
      </c>
      <c r="T29" s="163">
        <v>4</v>
      </c>
      <c r="U29" s="105">
        <v>11</v>
      </c>
      <c r="V29" s="105">
        <v>9</v>
      </c>
      <c r="W29" s="105">
        <v>10</v>
      </c>
      <c r="X29" s="105">
        <v>2</v>
      </c>
      <c r="Y29" s="105">
        <v>35</v>
      </c>
      <c r="Z29" s="105">
        <v>0</v>
      </c>
      <c r="AA29" s="106">
        <v>29</v>
      </c>
    </row>
    <row r="30" spans="1:27" ht="13.8" thickBot="1" x14ac:dyDescent="0.3">
      <c r="A30" s="124" t="s">
        <v>41</v>
      </c>
      <c r="B30" s="125">
        <v>0</v>
      </c>
      <c r="C30" s="125">
        <v>0</v>
      </c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6">
        <v>0</v>
      </c>
      <c r="J30" s="127">
        <v>0</v>
      </c>
      <c r="K30" s="125">
        <v>0</v>
      </c>
      <c r="L30" s="125">
        <v>0</v>
      </c>
      <c r="M30" s="125">
        <v>1</v>
      </c>
      <c r="N30" s="125">
        <v>0</v>
      </c>
      <c r="O30" s="125">
        <v>2</v>
      </c>
      <c r="P30" s="125">
        <v>0</v>
      </c>
      <c r="Q30" s="125">
        <v>0</v>
      </c>
      <c r="R30" s="127">
        <v>0</v>
      </c>
      <c r="S30" s="126">
        <v>1</v>
      </c>
      <c r="T30" s="169">
        <v>0</v>
      </c>
      <c r="U30" s="125">
        <v>0</v>
      </c>
      <c r="V30" s="125">
        <v>0</v>
      </c>
      <c r="W30" s="125">
        <v>0</v>
      </c>
      <c r="X30" s="125">
        <v>0</v>
      </c>
      <c r="Y30" s="125">
        <v>2</v>
      </c>
      <c r="Z30" s="125">
        <v>0</v>
      </c>
      <c r="AA30" s="126">
        <v>7</v>
      </c>
    </row>
    <row r="31" spans="1:27" ht="13.8" thickBot="1" x14ac:dyDescent="0.3">
      <c r="A31" s="115" t="s">
        <v>32</v>
      </c>
      <c r="B31" s="116"/>
      <c r="C31" s="116"/>
      <c r="D31" s="116"/>
      <c r="E31" s="116"/>
      <c r="F31" s="116"/>
      <c r="G31" s="116"/>
      <c r="H31" s="116"/>
      <c r="I31" s="117"/>
      <c r="J31" s="116"/>
      <c r="K31" s="116"/>
      <c r="L31" s="116"/>
      <c r="M31" s="116"/>
      <c r="N31" s="116"/>
      <c r="O31" s="116"/>
      <c r="P31" s="116"/>
      <c r="Q31" s="116"/>
      <c r="R31" s="116"/>
      <c r="S31" s="117"/>
      <c r="T31" s="166"/>
      <c r="U31" s="116"/>
      <c r="V31" s="116"/>
      <c r="W31" s="116"/>
      <c r="X31" s="116"/>
      <c r="Y31" s="116"/>
      <c r="Z31" s="116"/>
      <c r="AA31" s="117"/>
    </row>
    <row r="32" spans="1:27" x14ac:dyDescent="0.25">
      <c r="A32" s="100" t="s">
        <v>5</v>
      </c>
      <c r="B32" s="101"/>
      <c r="C32" s="101"/>
      <c r="D32" s="101"/>
      <c r="E32" s="101"/>
      <c r="F32" s="101"/>
      <c r="G32" s="101"/>
      <c r="H32" s="101"/>
      <c r="I32" s="102"/>
      <c r="J32" s="103"/>
      <c r="K32" s="101"/>
      <c r="L32" s="101"/>
      <c r="M32" s="101"/>
      <c r="N32" s="101"/>
      <c r="O32" s="101"/>
      <c r="P32" s="101"/>
      <c r="Q32" s="101"/>
      <c r="R32" s="103"/>
      <c r="S32" s="102"/>
      <c r="T32" s="162"/>
      <c r="U32" s="101"/>
      <c r="V32" s="101"/>
      <c r="W32" s="101"/>
      <c r="X32" s="101"/>
      <c r="Y32" s="101"/>
      <c r="Z32" s="101"/>
      <c r="AA32" s="102"/>
    </row>
    <row r="33" spans="1:27" ht="13.8" thickBot="1" x14ac:dyDescent="0.3">
      <c r="A33" s="108" t="s">
        <v>4</v>
      </c>
      <c r="B33" s="109"/>
      <c r="C33" s="109"/>
      <c r="D33" s="109"/>
      <c r="E33" s="109"/>
      <c r="F33" s="109"/>
      <c r="G33" s="109"/>
      <c r="H33" s="109"/>
      <c r="I33" s="110"/>
      <c r="J33" s="111"/>
      <c r="K33" s="109"/>
      <c r="L33" s="109"/>
      <c r="M33" s="109"/>
      <c r="N33" s="109"/>
      <c r="O33" s="109"/>
      <c r="P33" s="109"/>
      <c r="Q33" s="109"/>
      <c r="R33" s="111"/>
      <c r="S33" s="110"/>
      <c r="T33" s="164"/>
      <c r="U33" s="109"/>
      <c r="V33" s="109"/>
      <c r="W33" s="109"/>
      <c r="X33" s="109"/>
      <c r="Y33" s="109"/>
      <c r="Z33" s="109"/>
      <c r="AA33" s="110"/>
    </row>
  </sheetData>
  <mergeCells count="17">
    <mergeCell ref="H2:I2"/>
    <mergeCell ref="T1:AA1"/>
    <mergeCell ref="R2:S2"/>
    <mergeCell ref="T2:U2"/>
    <mergeCell ref="V2:W2"/>
    <mergeCell ref="X2:Y2"/>
    <mergeCell ref="Z2:AA2"/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</mergeCells>
  <phoneticPr fontId="0" type="noConversion"/>
  <printOptions horizontalCentered="1"/>
  <pageMargins left="0.25" right="0.2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6" workbookViewId="0">
      <selection activeCell="C36" sqref="C36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5" t="s">
        <v>35</v>
      </c>
    </row>
    <row r="2" spans="1:32" x14ac:dyDescent="0.25">
      <c r="B2" s="200" t="s">
        <v>143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6">
        <v>10211</v>
      </c>
      <c r="C6" s="155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6">
        <v>1796</v>
      </c>
      <c r="C7" s="155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0"/>
      <c r="C8" s="151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6">
        <v>1548</v>
      </c>
      <c r="C9" s="156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6">
        <v>1</v>
      </c>
      <c r="C10" s="156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6">
        <v>3</v>
      </c>
      <c r="C11" s="156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6">
        <v>1</v>
      </c>
      <c r="C12" s="156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6">
        <v>0</v>
      </c>
      <c r="C14" s="14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0">
        <v>6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2"/>
      <c r="C24" s="152"/>
    </row>
    <row r="25" spans="1:32" x14ac:dyDescent="0.25">
      <c r="B25" s="202" t="str">
        <f>B2</f>
        <v>Week ending 2/22</v>
      </c>
      <c r="C25" s="203"/>
      <c r="D25" s="76" t="s">
        <v>110</v>
      </c>
    </row>
    <row r="26" spans="1:32" x14ac:dyDescent="0.25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5">
      <c r="A27" s="2"/>
      <c r="B27" s="154"/>
      <c r="C27" s="154"/>
    </row>
    <row r="28" spans="1:32" x14ac:dyDescent="0.25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6">
        <v>2449</v>
      </c>
      <c r="C29" s="146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6">
        <v>1860</v>
      </c>
      <c r="C30" s="146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6">
        <v>1587</v>
      </c>
      <c r="C32" s="146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6">
        <v>14</v>
      </c>
      <c r="C33" s="146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6">
        <v>10</v>
      </c>
      <c r="C34" s="146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6">
        <v>23</v>
      </c>
      <c r="C35" s="146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6">
        <v>142</v>
      </c>
      <c r="C36" s="146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6">
        <v>6</v>
      </c>
      <c r="C37" s="146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6">
        <v>72</v>
      </c>
      <c r="C39" s="146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5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5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2"/>
      <c r="C44" s="152"/>
    </row>
    <row r="45" spans="1:10" x14ac:dyDescent="0.25">
      <c r="B45" s="200" t="str">
        <f>B2</f>
        <v>Week ending 2/22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4</v>
      </c>
      <c r="C49" s="83">
        <v>176000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/>
      <c r="C51" s="83"/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f>C49/1000</f>
        <v>176</v>
      </c>
    </row>
    <row r="58" spans="1:4" s="2" customFormat="1" x14ac:dyDescent="0.25">
      <c r="A58" s="5" t="s">
        <v>121</v>
      </c>
      <c r="C58" s="85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45.109375" customWidth="1"/>
  </cols>
  <sheetData>
    <row r="1" spans="1:32" ht="22.8" x14ac:dyDescent="0.4">
      <c r="A1" s="75" t="s">
        <v>35</v>
      </c>
    </row>
    <row r="2" spans="1:32" x14ac:dyDescent="0.25">
      <c r="B2" s="200" t="s">
        <v>152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6">
        <v>12043</v>
      </c>
      <c r="C6" s="149">
        <v>1626706705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6">
        <v>1776</v>
      </c>
      <c r="C7" s="149">
        <v>19123325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6">
        <v>1184</v>
      </c>
      <c r="C9" s="147">
        <v>33587500.009999998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6">
        <v>1</v>
      </c>
      <c r="C10" s="14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6">
        <v>2</v>
      </c>
      <c r="C11" s="147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6">
        <v>4</v>
      </c>
      <c r="C12" s="147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6">
        <v>0</v>
      </c>
      <c r="C14" s="14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0">
        <v>7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2"/>
      <c r="C24" s="152"/>
    </row>
    <row r="25" spans="1:32" x14ac:dyDescent="0.25">
      <c r="B25" s="202" t="s">
        <v>152</v>
      </c>
      <c r="C25" s="203"/>
      <c r="D25" s="76" t="s">
        <v>110</v>
      </c>
    </row>
    <row r="26" spans="1:32" x14ac:dyDescent="0.25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5">
      <c r="A27" s="2"/>
      <c r="B27" s="154"/>
      <c r="C27" s="154"/>
    </row>
    <row r="28" spans="1:32" x14ac:dyDescent="0.25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6">
        <v>3029</v>
      </c>
      <c r="C29" s="146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6">
        <v>1995</v>
      </c>
      <c r="C30" s="146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6">
        <v>1409</v>
      </c>
      <c r="C32" s="146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6">
        <v>9</v>
      </c>
      <c r="C33" s="146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6">
        <v>0</v>
      </c>
      <c r="C34" s="146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6">
        <v>14</v>
      </c>
      <c r="C35" s="146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6">
        <v>102</v>
      </c>
      <c r="C36" s="146">
        <v>4422278</v>
      </c>
      <c r="D36" s="33" t="s">
        <v>102</v>
      </c>
      <c r="E36" s="33"/>
      <c r="F36" s="170"/>
      <c r="G36" s="33"/>
      <c r="H36" s="33"/>
      <c r="I36" s="33"/>
      <c r="J36" s="33"/>
    </row>
    <row r="37" spans="1:10" x14ac:dyDescent="0.25">
      <c r="A37" s="6" t="s">
        <v>13</v>
      </c>
      <c r="B37" s="146">
        <v>3</v>
      </c>
      <c r="C37" s="146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6">
        <v>107</v>
      </c>
      <c r="C39" s="146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5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5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2"/>
      <c r="C44" s="152"/>
    </row>
    <row r="45" spans="1:10" x14ac:dyDescent="0.25">
      <c r="B45" s="200" t="s">
        <v>152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5</v>
      </c>
      <c r="C49" s="83">
        <v>401000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5</v>
      </c>
      <c r="C51" s="83">
        <v>947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v>401</v>
      </c>
    </row>
    <row r="58" spans="1:4" s="2" customFormat="1" x14ac:dyDescent="0.25">
      <c r="A58" s="5" t="s">
        <v>121</v>
      </c>
      <c r="C58" s="85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41" workbookViewId="0">
      <selection activeCell="H3" sqref="H3"/>
    </sheetView>
  </sheetViews>
  <sheetFormatPr defaultRowHeight="13.2" x14ac:dyDescent="0.25"/>
  <cols>
    <col min="1" max="1" width="33" customWidth="1"/>
    <col min="2" max="2" width="19" customWidth="1"/>
    <col min="3" max="3" width="20.109375" customWidth="1"/>
    <col min="4" max="4" width="15.6640625" customWidth="1"/>
    <col min="5" max="5" width="17" customWidth="1"/>
    <col min="6" max="6" width="10.109375" customWidth="1"/>
  </cols>
  <sheetData>
    <row r="1" spans="1:32" ht="22.8" x14ac:dyDescent="0.4">
      <c r="A1" s="75" t="s">
        <v>35</v>
      </c>
    </row>
    <row r="2" spans="1:32" x14ac:dyDescent="0.25">
      <c r="B2" s="200" t="s">
        <v>156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6">
        <v>14417</v>
      </c>
      <c r="C6" s="149">
        <v>1693251006.4300001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6">
        <v>2005</v>
      </c>
      <c r="C7" s="149">
        <v>15858405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6">
        <v>1348</v>
      </c>
      <c r="C9" s="147">
        <v>37581000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6">
        <v>1</v>
      </c>
      <c r="C10" s="147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6">
        <v>3</v>
      </c>
      <c r="C11" s="14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6">
        <v>7</v>
      </c>
      <c r="C12" s="147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6">
        <v>0</v>
      </c>
      <c r="C14" s="14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0">
        <v>6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2"/>
      <c r="C24" s="152"/>
    </row>
    <row r="25" spans="1:32" x14ac:dyDescent="0.25">
      <c r="B25" s="202" t="s">
        <v>156</v>
      </c>
      <c r="C25" s="203"/>
      <c r="D25" s="76" t="s">
        <v>110</v>
      </c>
    </row>
    <row r="26" spans="1:32" x14ac:dyDescent="0.25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5">
      <c r="A27" s="2"/>
      <c r="B27" s="154"/>
      <c r="C27" s="154"/>
    </row>
    <row r="28" spans="1:32" x14ac:dyDescent="0.25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6">
        <v>2892</v>
      </c>
      <c r="C29" s="146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6">
        <v>2410</v>
      </c>
      <c r="C30" s="146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6">
        <v>1753</v>
      </c>
      <c r="C32" s="146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6">
        <v>31</v>
      </c>
      <c r="C33" s="146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6">
        <v>1</v>
      </c>
      <c r="C34" s="146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6">
        <v>15</v>
      </c>
      <c r="C35" s="146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5">
      <c r="A36" s="6" t="s">
        <v>0</v>
      </c>
      <c r="B36" s="146">
        <v>174</v>
      </c>
      <c r="C36" s="146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6">
        <v>3</v>
      </c>
      <c r="C37" s="146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6">
        <v>117</v>
      </c>
      <c r="C39" s="146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5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5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2"/>
      <c r="C44" s="152"/>
    </row>
    <row r="45" spans="1:10" x14ac:dyDescent="0.25">
      <c r="B45" s="200" t="s">
        <v>156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7</v>
      </c>
      <c r="C49" s="83">
        <v>646000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4</v>
      </c>
      <c r="C51" s="83">
        <v>683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v>646</v>
      </c>
    </row>
    <row r="58" spans="1:4" s="2" customFormat="1" x14ac:dyDescent="0.25">
      <c r="A58" s="5" t="s">
        <v>121</v>
      </c>
      <c r="C58" s="85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5" t="s">
        <v>35</v>
      </c>
    </row>
    <row r="2" spans="1:32" x14ac:dyDescent="0.25">
      <c r="B2" s="200" t="s">
        <v>142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6">
        <f>'[2]Thrusday 02-15-01'!S9+'[2]Thrusday 02-15-01'!S10+-'[2]Thursday 02-08-01'!S9-'[2]Thursday 02-08-01'!S10</f>
        <v>14423</v>
      </c>
      <c r="C6" s="149">
        <f>'[2]Thrusday 02-15-01'!S67+'[2]Thrusday 02-15-01'!S68-'[2]Thursday 02-08-01'!S67-'[2]Thursday 02-08-01'!S68</f>
        <v>1547814272.2600002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6">
        <f>'[2]Thrusday 02-15-01'!S17+'[2]Thrusday 02-15-01'!S18-'[2]Thursday 02-08-01'!S17-'[2]Thursday 02-08-01'!S18</f>
        <v>2195</v>
      </c>
      <c r="C7" s="149">
        <f>'[2]Thrusday 02-15-01'!S75+'[2]Thrusday 02-15-01'!S76-'[2]Thursday 02-08-01'!S75-'[2]Thursday 02-08-01'!S76</f>
        <v>19115360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6">
        <f>'[2]Thrusday 02-15-01'!S30+'[2]Thrusday 02-15-01'!S31+'[2]Thrusday 02-15-01'!S33-'[2]Thursday 02-08-01'!S30-'[2]Thursday 02-08-01'!S31-'[2]Thursday 02-08-01'!S33</f>
        <v>1567</v>
      </c>
      <c r="C9" s="147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6">
        <f>'[2]Thrusday 02-15-01'!S34-'[2]Thursday 02-08-01'!S34</f>
        <v>3</v>
      </c>
      <c r="C10" s="147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6">
        <f>'[2]Thrusday 02-15-01'!S35-'[2]Thursday 02-08-01'!S35</f>
        <v>19</v>
      </c>
      <c r="C11" s="147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6">
        <f>'[2]Thrusday 02-15-01'!S39-'[2]Thursday 02-08-01'!S39</f>
        <v>10</v>
      </c>
      <c r="C12" s="147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5" t="s">
        <v>0</v>
      </c>
      <c r="B13" s="146">
        <f>'[2]Thrusday 02-15-01'!S48-'[2]Thursday 02-08-01'!S47</f>
        <v>0</v>
      </c>
      <c r="C13" s="147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6">
        <f>'[2]Thrusday 02-15-01'!S37-'[2]Thursday 02-08-01'!S37</f>
        <v>8</v>
      </c>
      <c r="C14" s="147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6">
        <f>'[2]Thrusday 02-15-01'!S38-'[2]Thursday 02-08-01'!S38</f>
        <v>0</v>
      </c>
      <c r="C16" s="147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6">
        <f>'[2]Thrusday 02-15-01'!S44-'[2]Thursday 02-08-01'!S44</f>
        <v>0</v>
      </c>
      <c r="C17" s="147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0">
        <v>4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2"/>
      <c r="C24" s="152"/>
    </row>
    <row r="25" spans="1:32" x14ac:dyDescent="0.25">
      <c r="B25" s="202" t="s">
        <v>142</v>
      </c>
      <c r="C25" s="203"/>
      <c r="D25" s="76" t="s">
        <v>110</v>
      </c>
    </row>
    <row r="26" spans="1:32" x14ac:dyDescent="0.25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5">
      <c r="A27" s="2"/>
      <c r="B27" s="154"/>
      <c r="C27" s="154"/>
    </row>
    <row r="28" spans="1:32" x14ac:dyDescent="0.25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6">
        <f>'[2]Thrusday 02-15-01'!T9+'[2]Thrusday 02-15-01'!T10-'[2]Thursday 02-08-01'!T9-'[2]Thursday 02-08-01'!T10</f>
        <v>2800</v>
      </c>
      <c r="C29" s="146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6">
        <f>'[2]Thrusday 02-15-01'!T17+'[2]Thrusday 02-15-01'!T18-'[2]Thursday 02-08-01'!T17-'[2]Thursday 02-08-01'!T18</f>
        <v>2392</v>
      </c>
      <c r="C30" s="146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6">
        <f>'[2]Thrusday 02-15-01'!T30+'[2]Thrusday 02-15-01'!T31+'[2]Thrusday 02-15-01'!T33-'[2]Thursday 02-08-01'!T30-'[2]Thursday 02-08-01'!T31-'[2]Thursday 02-08-01'!T33</f>
        <v>1786</v>
      </c>
      <c r="C32" s="146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6">
        <f>'[2]Thrusday 02-15-01'!T34-'[2]Thursday 02-08-01'!T34</f>
        <v>13</v>
      </c>
      <c r="C33" s="146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6">
        <f>'[2]Thrusday 02-15-01'!T35-'[2]Thursday 02-08-01'!T35</f>
        <v>23</v>
      </c>
      <c r="C34" s="146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6">
        <f>'[2]Thrusday 02-15-01'!T39-'[2]Thursday 02-08-01'!T39</f>
        <v>29</v>
      </c>
      <c r="C35" s="146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6">
        <f>'[2]Thrusday 02-15-01'!T48-'[2]Thursday 02-08-01'!T47</f>
        <v>122</v>
      </c>
      <c r="C36" s="146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6">
        <f>'[2]Thrusday 02-15-01'!T37-'[2]Thursday 02-08-01'!T37</f>
        <v>12</v>
      </c>
      <c r="C37" s="146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6">
        <f>'[2]Thrusday 02-15-01'!T38-'[2]Thursday 02-08-01'!T38+34</f>
        <v>82</v>
      </c>
      <c r="C39" s="146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6">
        <f>'[2]Thrusday 02-15-01'!T44-'[2]Thursday 02-08-01'!T43</f>
        <v>1</v>
      </c>
      <c r="C40" s="146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5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5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2"/>
      <c r="C44" s="152"/>
    </row>
    <row r="45" spans="1:10" x14ac:dyDescent="0.25">
      <c r="B45" s="200" t="s">
        <v>142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4</v>
      </c>
      <c r="C49" s="83">
        <v>374000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3</v>
      </c>
      <c r="C51" s="83">
        <v>680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f>C49/1000</f>
        <v>374</v>
      </c>
    </row>
    <row r="58" spans="1:4" s="2" customFormat="1" x14ac:dyDescent="0.25">
      <c r="A58" s="5" t="s">
        <v>121</v>
      </c>
      <c r="C58" s="85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5" t="s">
        <v>35</v>
      </c>
    </row>
    <row r="2" spans="1:32" x14ac:dyDescent="0.25">
      <c r="B2" s="200" t="s">
        <v>140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33">
        <f>'[1]Thrusday 02-08-01'!S9+'[1]Thrusday 02-08-01'!S10+-'[1]Thursday 02-01-01'!S9-'[1]Thursday 02-01-01'!S10</f>
        <v>15960</v>
      </c>
      <c r="C6" s="83">
        <f>'[1]Thrusday 02-08-01'!S67+'[1]Thrusday 02-08-01'!S68-'[1]Thursday 02-01-01'!S67-'[1]Thursday 02-01-01'!S68</f>
        <v>1917251550.2199991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33">
        <f>'[1]Thrusday 02-08-01'!S17+'[1]Thrusday 02-08-01'!S18-'[1]Thursday 02-01-01'!S17-'[1]Thursday 02-01-01'!S18</f>
        <v>2251</v>
      </c>
      <c r="C7" s="83">
        <f>'[1]Thrusday 02-08-01'!S75+'[1]Thrusday 02-08-01'!S76-'[1]Thursday 02-01-01'!S75-'[1]Thursday 02-01-01'!S76</f>
        <v>23577055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80"/>
      <c r="C8" s="128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44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33">
        <f>'[1]Thrusday 02-08-01'!S34-'[1]Thursday 02-01-01'!S34</f>
        <v>6</v>
      </c>
      <c r="C10" s="144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33">
        <f>'[1]Thrusday 02-08-01'!S35-'[1]Thursday 02-01-01'!S35</f>
        <v>2</v>
      </c>
      <c r="C11" s="144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33">
        <f>'[1]Thrusday 02-08-01'!S39-'[1]Thursday 02-01-01'!S39</f>
        <v>13</v>
      </c>
      <c r="C12" s="144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5" t="s">
        <v>0</v>
      </c>
      <c r="B13" s="146">
        <f>'[1]Thrusday 02-08-01'!S47-'[1]Thursday 02-01-01'!S47</f>
        <v>0</v>
      </c>
      <c r="C13" s="144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33">
        <f>'[1]Thrusday 02-08-01'!S37-'[1]Thursday 02-01-01'!S37</f>
        <v>16</v>
      </c>
      <c r="C14" s="144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6">
        <f>'[1]Thrusday 02-08-01'!S38-'[1]Thursday 02-01-01'!S38+11</f>
        <v>11</v>
      </c>
      <c r="C16" s="147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33">
        <f>'[1]Thrusday 02-08-01'!S43-'[1]Thursday 02-01-01'!S43</f>
        <v>0</v>
      </c>
      <c r="C17" s="144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80">
        <v>12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</row>
    <row r="25" spans="1:32" x14ac:dyDescent="0.25">
      <c r="B25" s="200" t="s">
        <v>140</v>
      </c>
      <c r="C25" s="201"/>
      <c r="D25" s="76" t="s">
        <v>110</v>
      </c>
    </row>
    <row r="26" spans="1:32" x14ac:dyDescent="0.25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5">
      <c r="A27" s="2"/>
      <c r="B27" s="2"/>
      <c r="C27" s="2"/>
    </row>
    <row r="28" spans="1:32" x14ac:dyDescent="0.25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80"/>
      <c r="C31" s="33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6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80"/>
      <c r="C38" s="33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6">
        <f>'[1]Thrusday 02-08-01'!T38-'[1]Thursday 02-01-01'!T38+25</f>
        <v>88</v>
      </c>
      <c r="C39" s="146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5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5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</row>
    <row r="45" spans="1:10" x14ac:dyDescent="0.25">
      <c r="B45" s="200" t="s">
        <v>140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7</v>
      </c>
      <c r="C49" s="83">
        <v>668000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5</v>
      </c>
      <c r="C51" s="83">
        <v>1130</v>
      </c>
      <c r="D51" t="s">
        <v>118</v>
      </c>
    </row>
    <row r="53" spans="1:4" x14ac:dyDescent="0.25">
      <c r="A53" s="2" t="s">
        <v>119</v>
      </c>
      <c r="B53" s="2">
        <v>1</v>
      </c>
      <c r="C53" s="2"/>
    </row>
    <row r="55" spans="1:4" x14ac:dyDescent="0.25">
      <c r="A55" s="4" t="s">
        <v>120</v>
      </c>
      <c r="C55" s="84">
        <f>C49/1000</f>
        <v>668</v>
      </c>
    </row>
    <row r="58" spans="1:4" s="2" customFormat="1" x14ac:dyDescent="0.25">
      <c r="A58" s="5" t="s">
        <v>121</v>
      </c>
      <c r="C58" s="85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3.2" x14ac:dyDescent="0.25"/>
  <cols>
    <col min="1" max="1" width="33" bestFit="1" customWidth="1"/>
    <col min="2" max="2" width="19" customWidth="1"/>
    <col min="3" max="3" width="20.109375" customWidth="1"/>
    <col min="4" max="4" width="15.6640625" customWidth="1"/>
    <col min="5" max="5" width="17" bestFit="1" customWidth="1"/>
    <col min="6" max="6" width="10.109375" bestFit="1" customWidth="1"/>
  </cols>
  <sheetData>
    <row r="1" spans="1:32" ht="22.8" x14ac:dyDescent="0.4">
      <c r="A1" s="75" t="s">
        <v>35</v>
      </c>
    </row>
    <row r="2" spans="1:32" x14ac:dyDescent="0.25">
      <c r="B2" s="200" t="s">
        <v>181</v>
      </c>
      <c r="C2" s="201"/>
      <c r="D2" s="76" t="s">
        <v>110</v>
      </c>
    </row>
    <row r="3" spans="1:32" x14ac:dyDescent="0.25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5">
      <c r="A4" s="2"/>
      <c r="B4" s="2"/>
      <c r="C4" s="2"/>
    </row>
    <row r="5" spans="1:32" x14ac:dyDescent="0.25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6" t="s">
        <v>64</v>
      </c>
      <c r="B6" s="146">
        <v>15177</v>
      </c>
      <c r="C6" s="149">
        <v>1871114782.54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5">
      <c r="A7" s="6" t="s">
        <v>71</v>
      </c>
      <c r="B7" s="146">
        <v>2512</v>
      </c>
      <c r="C7" s="149">
        <v>26007420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5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5">
      <c r="A9" s="6" t="s">
        <v>5</v>
      </c>
      <c r="B9" s="146">
        <v>1324</v>
      </c>
      <c r="C9" s="147">
        <v>37574000.020000011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5">
      <c r="A10" s="6" t="s">
        <v>4</v>
      </c>
      <c r="B10" s="146">
        <v>1</v>
      </c>
      <c r="C10" s="14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5">
      <c r="A11" s="6" t="s">
        <v>113</v>
      </c>
      <c r="B11" s="146">
        <v>4</v>
      </c>
      <c r="C11" s="14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5">
      <c r="A12" s="6" t="s">
        <v>3</v>
      </c>
      <c r="B12" s="146">
        <v>2</v>
      </c>
      <c r="C12" s="147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5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5">
      <c r="A14" s="6" t="s">
        <v>13</v>
      </c>
      <c r="B14" s="146">
        <v>9</v>
      </c>
      <c r="C14" s="146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5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5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5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5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5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5">
      <c r="A20" s="2" t="s">
        <v>115</v>
      </c>
      <c r="B20" s="150">
        <v>2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5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5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5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2.8" x14ac:dyDescent="0.4">
      <c r="A24" s="75" t="s">
        <v>30</v>
      </c>
      <c r="B24" s="152"/>
      <c r="C24" s="152"/>
    </row>
    <row r="25" spans="1:32" x14ac:dyDescent="0.25">
      <c r="B25" s="202" t="s">
        <v>181</v>
      </c>
      <c r="C25" s="203"/>
      <c r="D25" s="76" t="s">
        <v>110</v>
      </c>
    </row>
    <row r="26" spans="1:32" x14ac:dyDescent="0.25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5">
      <c r="A27" s="2"/>
      <c r="B27" s="154"/>
      <c r="C27" s="154"/>
    </row>
    <row r="28" spans="1:32" x14ac:dyDescent="0.25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5">
      <c r="A29" s="6" t="s">
        <v>64</v>
      </c>
      <c r="B29" s="146">
        <v>2680</v>
      </c>
      <c r="C29" s="146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5">
      <c r="A30" s="6" t="s">
        <v>71</v>
      </c>
      <c r="B30" s="146">
        <v>2417</v>
      </c>
      <c r="C30" s="146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5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5">
      <c r="A32" s="6" t="s">
        <v>5</v>
      </c>
      <c r="B32" s="146">
        <v>1693</v>
      </c>
      <c r="C32" s="146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5">
      <c r="A33" s="6" t="s">
        <v>4</v>
      </c>
      <c r="B33" s="146">
        <v>11</v>
      </c>
      <c r="C33" s="146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5">
      <c r="A34" s="6" t="s">
        <v>113</v>
      </c>
      <c r="B34" s="146">
        <v>4</v>
      </c>
      <c r="C34" s="146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5">
      <c r="A35" s="6" t="s">
        <v>3</v>
      </c>
      <c r="B35" s="146">
        <v>9</v>
      </c>
      <c r="C35" s="146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5">
      <c r="A36" s="6" t="s">
        <v>0</v>
      </c>
      <c r="B36" s="146">
        <v>596</v>
      </c>
      <c r="C36" s="146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5">
      <c r="A37" s="6" t="s">
        <v>13</v>
      </c>
      <c r="B37" s="146">
        <v>7</v>
      </c>
      <c r="C37" s="146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5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5">
      <c r="A39" s="6" t="s">
        <v>114</v>
      </c>
      <c r="B39" s="146">
        <v>155</v>
      </c>
      <c r="C39" s="146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5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5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5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5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2.8" x14ac:dyDescent="0.4">
      <c r="A44" s="75" t="s">
        <v>116</v>
      </c>
      <c r="B44" s="152"/>
      <c r="C44" s="152"/>
    </row>
    <row r="45" spans="1:10" x14ac:dyDescent="0.25">
      <c r="B45" s="200" t="s">
        <v>181</v>
      </c>
      <c r="C45" s="201"/>
      <c r="D45" s="76" t="s">
        <v>110</v>
      </c>
    </row>
    <row r="46" spans="1:10" x14ac:dyDescent="0.25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5">
      <c r="A48" s="5" t="s">
        <v>33</v>
      </c>
      <c r="B48" s="83"/>
      <c r="C48" s="83"/>
    </row>
    <row r="49" spans="1:4" x14ac:dyDescent="0.25">
      <c r="A49" s="6" t="s">
        <v>39</v>
      </c>
      <c r="B49" s="83">
        <v>7</v>
      </c>
      <c r="C49" s="83">
        <v>792000</v>
      </c>
      <c r="D49" t="s">
        <v>117</v>
      </c>
    </row>
    <row r="50" spans="1:4" x14ac:dyDescent="0.25">
      <c r="A50" s="6" t="s">
        <v>40</v>
      </c>
      <c r="B50" s="83"/>
      <c r="C50" s="83"/>
    </row>
    <row r="51" spans="1:4" x14ac:dyDescent="0.25">
      <c r="A51" s="6" t="s">
        <v>42</v>
      </c>
      <c r="B51" s="83">
        <v>11</v>
      </c>
      <c r="C51" s="83">
        <v>4480</v>
      </c>
      <c r="D51" t="s">
        <v>118</v>
      </c>
    </row>
    <row r="53" spans="1:4" x14ac:dyDescent="0.25">
      <c r="A53" s="2" t="s">
        <v>119</v>
      </c>
      <c r="B53" s="2">
        <v>2</v>
      </c>
      <c r="C53" s="2"/>
    </row>
    <row r="55" spans="1:4" x14ac:dyDescent="0.25">
      <c r="A55" s="4" t="s">
        <v>120</v>
      </c>
      <c r="C55" s="84">
        <v>792</v>
      </c>
    </row>
    <row r="58" spans="1:4" s="2" customFormat="1" x14ac:dyDescent="0.25">
      <c r="A58" s="5" t="s">
        <v>121</v>
      </c>
      <c r="C58" s="85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Weekly Report</vt:lpstr>
      <vt:lpstr>Data</vt:lpstr>
      <vt:lpstr>EIM New Deals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Havlíček Jan</cp:lastModifiedBy>
  <cp:lastPrinted>2001-03-30T00:52:29Z</cp:lastPrinted>
  <dcterms:created xsi:type="dcterms:W3CDTF">2001-01-24T16:52:27Z</dcterms:created>
  <dcterms:modified xsi:type="dcterms:W3CDTF">2023-09-10T15:24:41Z</dcterms:modified>
</cp:coreProperties>
</file>