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Summary'!$A$1:$M$36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Summary'!$A$1:$V$38</definedName>
    <definedName name="_xlnm.Print_Area" localSheetId="1">'QTD Mgmt Summary'!$A$1:$Q$36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92512" fullCalcOnLoad="1" calcOnSave="0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M16" i="4"/>
  <c r="F17" i="4"/>
  <c r="K17" i="4"/>
  <c r="L17" i="4"/>
  <c r="M17" i="4"/>
  <c r="D18" i="4"/>
  <c r="F18" i="4"/>
  <c r="K18" i="4"/>
  <c r="M18" i="4"/>
  <c r="D19" i="4"/>
  <c r="F19" i="4"/>
  <c r="K19" i="4"/>
  <c r="M19" i="4"/>
  <c r="D20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0" i="19"/>
  <c r="D20" i="19"/>
  <c r="E20" i="19"/>
  <c r="C21" i="19"/>
  <c r="D21" i="19"/>
  <c r="E21" i="19"/>
  <c r="C23" i="19"/>
  <c r="D23" i="19"/>
  <c r="E23" i="19"/>
  <c r="C25" i="19"/>
  <c r="D25" i="19"/>
  <c r="E25" i="19"/>
  <c r="C26" i="19"/>
  <c r="D26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F10" i="3"/>
  <c r="D11" i="3"/>
  <c r="F11" i="3"/>
  <c r="D12" i="3"/>
  <c r="E12" i="3"/>
  <c r="F12" i="3"/>
  <c r="D13" i="3"/>
  <c r="E13" i="3"/>
  <c r="F13" i="3"/>
  <c r="D14" i="3"/>
  <c r="F14" i="3"/>
  <c r="D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F30" i="9"/>
  <c r="H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I11" i="2"/>
  <c r="L11" i="2"/>
  <c r="M11" i="2"/>
  <c r="N11" i="2"/>
  <c r="I12" i="2"/>
  <c r="L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E21" i="1"/>
  <c r="J21" i="1"/>
  <c r="O21" i="1"/>
  <c r="Q21" i="1"/>
  <c r="T21" i="1"/>
  <c r="U21" i="1"/>
  <c r="V21" i="1"/>
  <c r="C23" i="1"/>
  <c r="D23" i="1"/>
  <c r="E23" i="1"/>
  <c r="G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D25" i="1"/>
  <c r="E25" i="1"/>
  <c r="J25" i="1"/>
  <c r="L25" i="1"/>
  <c r="M25" i="1"/>
  <c r="O25" i="1"/>
  <c r="Q25" i="1"/>
  <c r="T25" i="1"/>
  <c r="V25" i="1"/>
  <c r="D26" i="1"/>
  <c r="E26" i="1"/>
  <c r="J26" i="1"/>
  <c r="N26" i="1"/>
  <c r="O26" i="1"/>
  <c r="Q26" i="1"/>
  <c r="T26" i="1"/>
  <c r="U26" i="1"/>
  <c r="V26" i="1"/>
  <c r="C27" i="1"/>
  <c r="E27" i="1"/>
  <c r="G27" i="1"/>
  <c r="H27" i="1"/>
  <c r="I27" i="1"/>
  <c r="J27" i="1"/>
  <c r="O27" i="1"/>
  <c r="Q27" i="1"/>
  <c r="T27" i="1"/>
  <c r="V27" i="1"/>
  <c r="D28" i="1"/>
  <c r="E28" i="1"/>
  <c r="J28" i="1"/>
  <c r="L28" i="1"/>
  <c r="O28" i="1"/>
  <c r="Q28" i="1"/>
  <c r="S28" i="1"/>
  <c r="V28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E32" i="1"/>
  <c r="G32" i="1"/>
  <c r="H32" i="1"/>
  <c r="I32" i="1"/>
  <c r="J32" i="1"/>
  <c r="O32" i="1"/>
  <c r="Q32" i="1"/>
  <c r="T32" i="1"/>
  <c r="V32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G36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E40" i="37"/>
  <c r="I40" i="37"/>
  <c r="E41" i="37"/>
  <c r="I41" i="37"/>
  <c r="E42" i="37"/>
  <c r="I42" i="37"/>
  <c r="E44" i="37"/>
  <c r="I44" i="37"/>
  <c r="E47" i="37"/>
  <c r="I47" i="37"/>
  <c r="E48" i="37"/>
  <c r="I48" i="37"/>
  <c r="E50" i="37"/>
  <c r="I50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R19" i="36"/>
  <c r="S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R20" i="36"/>
  <c r="S20" i="36"/>
  <c r="T20" i="36"/>
  <c r="U20" i="36"/>
  <c r="V20" i="36"/>
  <c r="C21" i="36"/>
  <c r="D21" i="36"/>
  <c r="E21" i="36"/>
  <c r="G21" i="36"/>
  <c r="H21" i="36"/>
  <c r="I21" i="36"/>
  <c r="J21" i="36"/>
  <c r="M21" i="36"/>
  <c r="N21" i="36"/>
  <c r="O21" i="36"/>
  <c r="Q21" i="36"/>
  <c r="R21" i="36"/>
  <c r="S21" i="36"/>
  <c r="T21" i="36"/>
  <c r="U21" i="36"/>
  <c r="V21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Q23" i="36"/>
  <c r="R23" i="36"/>
  <c r="S23" i="36"/>
  <c r="T23" i="36"/>
  <c r="U23" i="36"/>
  <c r="V23" i="36"/>
  <c r="C25" i="36"/>
  <c r="D25" i="36"/>
  <c r="E25" i="36"/>
  <c r="G25" i="36"/>
  <c r="H25" i="36"/>
  <c r="I25" i="36"/>
  <c r="J25" i="36"/>
  <c r="M25" i="36"/>
  <c r="N25" i="36"/>
  <c r="O25" i="36"/>
  <c r="Q25" i="36"/>
  <c r="R25" i="36"/>
  <c r="S25" i="36"/>
  <c r="T25" i="36"/>
  <c r="U25" i="36"/>
  <c r="V25" i="36"/>
  <c r="C26" i="36"/>
  <c r="D26" i="36"/>
  <c r="E26" i="36"/>
  <c r="G26" i="36"/>
  <c r="H26" i="36"/>
  <c r="I26" i="36"/>
  <c r="J26" i="36"/>
  <c r="M26" i="36"/>
  <c r="N26" i="36"/>
  <c r="O26" i="36"/>
  <c r="Q26" i="36"/>
  <c r="R26" i="36"/>
  <c r="S26" i="36"/>
  <c r="T26" i="36"/>
  <c r="U26" i="36"/>
  <c r="V26" i="36"/>
  <c r="C27" i="36"/>
  <c r="D27" i="36"/>
  <c r="E27" i="36"/>
  <c r="G27" i="36"/>
  <c r="H27" i="36"/>
  <c r="I27" i="36"/>
  <c r="J27" i="36"/>
  <c r="M27" i="36"/>
  <c r="N27" i="36"/>
  <c r="O27" i="36"/>
  <c r="Q27" i="36"/>
  <c r="R27" i="36"/>
  <c r="S27" i="36"/>
  <c r="T27" i="36"/>
  <c r="U27" i="36"/>
  <c r="V27" i="36"/>
  <c r="E28" i="36"/>
  <c r="J28" i="36"/>
  <c r="O28" i="36"/>
  <c r="V29" i="36"/>
  <c r="C30" i="36"/>
  <c r="D30" i="36"/>
  <c r="E30" i="36"/>
  <c r="G30" i="36"/>
  <c r="H30" i="36"/>
  <c r="I30" i="36"/>
  <c r="J30" i="36"/>
  <c r="K30" i="36"/>
  <c r="L30" i="36"/>
  <c r="M30" i="36"/>
  <c r="N30" i="36"/>
  <c r="O30" i="36"/>
  <c r="Q30" i="36"/>
  <c r="R30" i="36"/>
  <c r="S30" i="36"/>
  <c r="T30" i="36"/>
  <c r="U30" i="36"/>
  <c r="V30" i="36"/>
  <c r="C32" i="36"/>
  <c r="D32" i="36"/>
  <c r="E32" i="36"/>
  <c r="G32" i="36"/>
  <c r="H32" i="36"/>
  <c r="I32" i="36"/>
  <c r="J32" i="36"/>
  <c r="M32" i="36"/>
  <c r="N32" i="36"/>
  <c r="O32" i="36"/>
  <c r="Q32" i="36"/>
  <c r="R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G36" i="36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<sst xmlns="http://schemas.openxmlformats.org/spreadsheetml/2006/main" count="430" uniqueCount="133">
  <si>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</si>
  <si>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</si>
  <si>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</si>
  <si>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</si>
  <si>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</si>
  <si>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</si>
  <si>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</si>
  <si>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</si>
  <si>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</si>
  <si>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</si>
  <si>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</si>
  <si>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</si>
  <si>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</si>
  <si>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</si>
  <si>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</si>
  <si>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</si>
  <si>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</si>
  <si>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</si>
  <si>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</si>
  <si>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</si>
  <si>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</si>
  <si>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</si>
  <si>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</si>
  <si>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</si>
  <si>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</si>
  <si>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</si>
  <si>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</si>
  <si>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</si>
  <si>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</si>
  <si>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</si>
  <si>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</si>
  <si>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</si>
  <si>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</si>
  <si>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</si>
  <si>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</si>
  <si>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</si>
  <si>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</si>
  <si>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</si>
  <si>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</si>
  <si>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</si>
  <si>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</si>
  <si>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</si>
  <si>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</si>
  <si>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</si>
  <si>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</si>
  <si>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</si>
  <si>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</si>
  <si>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</si>
  <si>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</si>
  <si>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</si>
  <si>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</si>
  <si>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</si>
  <si>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</si>
  <si>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</si>
  <si>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</si>
  <si>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</si>
  <si>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</si>
  <si>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</si>
  <si>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</si>
  <si>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</si>
  <si>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</si>
  <si>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</si>
  <si>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</si>
  <si>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</si>
  <si>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</si>
  <si>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</si>
  <si>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</si>
  <si>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</si>
  <si>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</si>
  <si>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</si>
  <si>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</si>
  <si>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</si>
  <si>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</si>
  <si>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</si>
  <si>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</si>
  <si>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</si>
  <si>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</si>
  <si>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</si>
  <si>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</si>
  <si>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</si>
  <si>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</si>
  <si>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</si>
  <si>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</si>
  <si>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</si>
  <si>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</si>
  <si>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</si>
  <si>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</si>
  <si>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</si>
  <si>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</si>
  <si>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</si>
  <si>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</si>
  <si>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</si>
  <si>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</si>
  <si>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</si>
  <si>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</si>
  <si>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</si>
  <si>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</si>
  <si>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</si>
  <si>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</si>
  <si>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</si>
  <si>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</si>
  <si>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</si>
  <si>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</si>
  <si>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</si>
  <si>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</si>
  <si>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</si>
  <si>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</si>
  <si>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</si>
  <si>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</si>
  <si>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</si>
  <si>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</si>
  <si>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</si>
  <si>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</si>
  <si>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</si>
  <si>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</si>
  <si>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</si>
  <si>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</si>
  <si>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</si>
  <si>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</si>
  <si>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</si>
  <si>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</si>
  <si>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</si>
  <si>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</si>
  <si>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</si>
  <si>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</si>
  <si>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</si>
  <si>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</si>
  <si>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</si>
  <si>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</si>
  <si>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Overview</t>
  </si>
  <si>
    <t>Donation to Wharton School of Business</t>
  </si>
  <si>
    <t>Freight</t>
  </si>
  <si>
    <t>Results based on activity through April 20,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</si>
</sst>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345680" y="7620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7620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6812280" y="76200"/>
          <a:ext cx="21717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4</xdr:row>
      <xdr:rowOff>106680</xdr:rowOff>
    </xdr:from>
    <xdr:to>
      <xdr:col>16</xdr:col>
      <xdr:colOff>327660</xdr:colOff>
      <xdr:row>4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99060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6" name="Text Box 8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7" name="Line 9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4</xdr:row>
      <xdr:rowOff>106680</xdr:rowOff>
    </xdr:from>
    <xdr:to>
      <xdr:col>16</xdr:col>
      <xdr:colOff>327660</xdr:colOff>
      <xdr:row>4</xdr:row>
      <xdr:rowOff>106680</xdr:rowOff>
    </xdr:to>
    <xdr:sp macro="" textlink="">
      <xdr:nvSpPr>
        <xdr:cNvPr id="53258" name="Line 10"/>
        <xdr:cNvSpPr>
          <a:spLocks noChangeShapeType="1"/>
        </xdr:cNvSpPr>
      </xdr:nvSpPr>
      <xdr:spPr bwMode="auto">
        <a:xfrm flipH="1">
          <a:off x="2743200" y="99060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9" name="Text Box 1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60" name="Line 12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464820</xdr:colOff>
      <xdr:row>0</xdr:row>
      <xdr:rowOff>30480</xdr:rowOff>
    </xdr:from>
    <xdr:to>
      <xdr:col>21</xdr:col>
      <xdr:colOff>533400</xdr:colOff>
      <xdr:row>2</xdr:row>
      <xdr:rowOff>144780</xdr:rowOff>
    </xdr:to>
    <xdr:sp macro="" textlink="">
      <xdr:nvSpPr>
        <xdr:cNvPr id="3166" name="Text Box 94"/>
        <xdr:cNvSpPr txBox="1">
          <a:spLocks noChangeArrowheads="1"/>
        </xdr:cNvSpPr>
      </xdr:nvSpPr>
      <xdr:spPr bwMode="auto">
        <a:xfrm>
          <a:off x="7955280" y="30480"/>
          <a:ext cx="11201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2004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5326380" y="76200"/>
          <a:ext cx="998220" cy="449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975860" y="236220"/>
          <a:ext cx="16383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1</xdr:row>
      <xdr:rowOff>91440</xdr:rowOff>
    </xdr:from>
    <xdr:to>
      <xdr:col>15</xdr:col>
      <xdr:colOff>876300</xdr:colOff>
      <xdr:row>3</xdr:row>
      <xdr:rowOff>76200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486400" y="91440"/>
          <a:ext cx="16611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2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26">
          <cell r="D26">
            <v>0</v>
          </cell>
          <cell r="E26">
            <v>0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62019.822790000006</v>
          </cell>
          <cell r="I9">
            <v>0</v>
          </cell>
          <cell r="M9">
            <v>7100</v>
          </cell>
          <cell r="N9">
            <v>9982.4419999999991</v>
          </cell>
          <cell r="Q9">
            <v>22019.822790000006</v>
          </cell>
          <cell r="T9">
            <v>-332.22999999999956</v>
          </cell>
          <cell r="U9">
            <v>0</v>
          </cell>
        </row>
        <row r="10">
          <cell r="C10">
            <v>11250</v>
          </cell>
          <cell r="D10">
            <v>7412.7459999999992</v>
          </cell>
          <cell r="G10">
            <v>15699.687989999999</v>
          </cell>
          <cell r="I10">
            <v>0</v>
          </cell>
          <cell r="M10">
            <v>3584.9830000000002</v>
          </cell>
          <cell r="N10">
            <v>3399.6529999999998</v>
          </cell>
          <cell r="Q10">
            <v>4449.6879899999985</v>
          </cell>
          <cell r="T10">
            <v>428.10999999999967</v>
          </cell>
          <cell r="U10">
            <v>0</v>
          </cell>
        </row>
        <row r="11">
          <cell r="C11">
            <v>2500</v>
          </cell>
          <cell r="D11">
            <v>0</v>
          </cell>
          <cell r="G11">
            <v>4613.0200000000004</v>
          </cell>
          <cell r="I11">
            <v>0</v>
          </cell>
          <cell r="M11">
            <v>0</v>
          </cell>
          <cell r="N11">
            <v>0</v>
          </cell>
          <cell r="Q11">
            <v>2113.0200000000004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-6231.0020000000004</v>
          </cell>
          <cell r="I12">
            <v>0</v>
          </cell>
          <cell r="M12">
            <v>570.50299999999993</v>
          </cell>
          <cell r="N12">
            <v>870.75699999999995</v>
          </cell>
          <cell r="Q12">
            <v>-11231.002</v>
          </cell>
          <cell r="T12">
            <v>643.11500000000001</v>
          </cell>
          <cell r="U12">
            <v>0</v>
          </cell>
        </row>
        <row r="13">
          <cell r="C13">
            <v>8509.2510000000002</v>
          </cell>
          <cell r="D13">
            <v>4048.2690000000002</v>
          </cell>
          <cell r="G13">
            <v>8725.7240000000002</v>
          </cell>
          <cell r="I13">
            <v>0</v>
          </cell>
          <cell r="M13">
            <v>1808.5229999999999</v>
          </cell>
          <cell r="N13">
            <v>2239.7460000000001</v>
          </cell>
          <cell r="Q13">
            <v>216.47299999999996</v>
          </cell>
          <cell r="T13">
            <v>0</v>
          </cell>
          <cell r="U13">
            <v>0</v>
          </cell>
        </row>
        <row r="14">
          <cell r="C14">
            <v>4875</v>
          </cell>
          <cell r="D14">
            <v>2615.9789999999998</v>
          </cell>
          <cell r="G14">
            <v>1658.8319999999999</v>
          </cell>
          <cell r="I14">
            <v>0</v>
          </cell>
          <cell r="M14">
            <v>800.13799999999992</v>
          </cell>
          <cell r="N14">
            <v>813.33100000000002</v>
          </cell>
          <cell r="Q14">
            <v>-3216.1680000000001</v>
          </cell>
          <cell r="T14">
            <v>1002.51</v>
          </cell>
          <cell r="U14">
            <v>0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2967.386</v>
          </cell>
          <cell r="N15">
            <v>2078.0079999999998</v>
          </cell>
          <cell r="Q15">
            <v>-6718.2430000000004</v>
          </cell>
          <cell r="T15">
            <v>500</v>
          </cell>
          <cell r="U15">
            <v>0</v>
          </cell>
        </row>
        <row r="16">
          <cell r="C16">
            <v>500</v>
          </cell>
          <cell r="D16">
            <v>633.803</v>
          </cell>
          <cell r="G16">
            <v>41.21</v>
          </cell>
          <cell r="I16">
            <v>0</v>
          </cell>
          <cell r="M16">
            <v>1630.8179999999998</v>
          </cell>
          <cell r="N16">
            <v>172.096</v>
          </cell>
          <cell r="Q16">
            <v>-458.79</v>
          </cell>
          <cell r="T16">
            <v>-1169.1109999999999</v>
          </cell>
          <cell r="U16">
            <v>0</v>
          </cell>
        </row>
        <row r="17">
          <cell r="C17">
            <v>3000</v>
          </cell>
          <cell r="D17">
            <v>2634.0640000000003</v>
          </cell>
          <cell r="G17">
            <v>1679.3910000000001</v>
          </cell>
          <cell r="I17">
            <v>0</v>
          </cell>
          <cell r="M17">
            <v>2430.25</v>
          </cell>
          <cell r="N17">
            <v>1203.8140000000001</v>
          </cell>
          <cell r="Q17">
            <v>-1320.6089999999999</v>
          </cell>
          <cell r="T17">
            <v>-1000</v>
          </cell>
          <cell r="U17">
            <v>0</v>
          </cell>
        </row>
        <row r="18">
          <cell r="C18">
            <v>1413</v>
          </cell>
          <cell r="D18">
            <v>1600.923</v>
          </cell>
          <cell r="G18">
            <v>165</v>
          </cell>
          <cell r="I18">
            <v>0</v>
          </cell>
          <cell r="M18">
            <v>1488.5</v>
          </cell>
          <cell r="N18">
            <v>791.423</v>
          </cell>
          <cell r="Q18">
            <v>-1248</v>
          </cell>
          <cell r="T18">
            <v>-679</v>
          </cell>
          <cell r="U18">
            <v>0</v>
          </cell>
        </row>
        <row r="19">
          <cell r="C19">
            <v>-858.5010000000002</v>
          </cell>
          <cell r="D19">
            <v>842.06600000000003</v>
          </cell>
          <cell r="G19">
            <v>-1476</v>
          </cell>
          <cell r="I19">
            <v>0</v>
          </cell>
          <cell r="M19">
            <v>362.54199999999997</v>
          </cell>
          <cell r="N19">
            <v>569.524</v>
          </cell>
          <cell r="Q19">
            <v>-617.4989999999998</v>
          </cell>
          <cell r="T19">
            <v>-90</v>
          </cell>
          <cell r="U19">
            <v>0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327</v>
          </cell>
          <cell r="N20">
            <v>71.608999999999995</v>
          </cell>
          <cell r="Q20">
            <v>47.173999999999999</v>
          </cell>
          <cell r="T20">
            <v>385.16999999999996</v>
          </cell>
          <cell r="U20">
            <v>0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475.267</v>
          </cell>
          <cell r="Q21">
            <v>0</v>
          </cell>
          <cell r="T21">
            <v>11.294999999999959</v>
          </cell>
          <cell r="U21">
            <v>0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27406.815999999999</v>
          </cell>
          <cell r="N25">
            <v>0</v>
          </cell>
          <cell r="Q25">
            <v>0</v>
          </cell>
          <cell r="T25">
            <v>0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-22667.67</v>
          </cell>
          <cell r="Q26">
            <v>0</v>
          </cell>
          <cell r="T26">
            <v>0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MgmtSum-Q201-Global-0412"/>
    </sheetNames>
    <sheetDataSet>
      <sheetData sheetId="0"/>
      <sheetData sheetId="1">
        <row r="9">
          <cell r="C9">
            <v>-11164</v>
          </cell>
          <cell r="G9">
            <v>16998.016</v>
          </cell>
        </row>
        <row r="10">
          <cell r="C10">
            <v>2180</v>
          </cell>
          <cell r="G10">
            <v>7479.1939999999995</v>
          </cell>
        </row>
        <row r="11">
          <cell r="C11">
            <v>-1498</v>
          </cell>
          <cell r="G11">
            <v>0</v>
          </cell>
        </row>
        <row r="12">
          <cell r="C12">
            <v>211</v>
          </cell>
          <cell r="G12">
            <v>2158.2820000000002</v>
          </cell>
        </row>
        <row r="13">
          <cell r="C13">
            <v>616</v>
          </cell>
          <cell r="G13">
            <v>3409.2690000000002</v>
          </cell>
        </row>
        <row r="14">
          <cell r="C14">
            <v>0</v>
          </cell>
          <cell r="G14">
            <v>3118.5820000000003</v>
          </cell>
        </row>
        <row r="15">
          <cell r="C15">
            <v>483</v>
          </cell>
          <cell r="G15">
            <v>5883.7790000000005</v>
          </cell>
        </row>
        <row r="16">
          <cell r="C16">
            <v>17</v>
          </cell>
          <cell r="G16">
            <v>748.399</v>
          </cell>
        </row>
        <row r="17">
          <cell r="C17">
            <v>3</v>
          </cell>
          <cell r="G17">
            <v>2637.2529999999997</v>
          </cell>
        </row>
        <row r="18">
          <cell r="C18">
            <v>-1445</v>
          </cell>
          <cell r="G18">
            <v>875.346</v>
          </cell>
        </row>
        <row r="19">
          <cell r="C19">
            <v>0</v>
          </cell>
          <cell r="G19">
            <v>766.23199999999997</v>
          </cell>
        </row>
        <row r="20">
          <cell r="C20">
            <v>0</v>
          </cell>
          <cell r="G20">
            <v>1011.224</v>
          </cell>
        </row>
        <row r="24">
          <cell r="C24">
            <v>0</v>
          </cell>
        </row>
        <row r="25">
          <cell r="C25">
            <v>0</v>
          </cell>
          <cell r="G25">
            <v>-21994.538000000004</v>
          </cell>
        </row>
        <row r="26">
          <cell r="C26">
            <v>-500</v>
          </cell>
          <cell r="G26">
            <v>0</v>
          </cell>
        </row>
        <row r="27">
          <cell r="C27">
            <v>0</v>
          </cell>
          <cell r="G27">
            <v>0</v>
          </cell>
        </row>
      </sheetData>
      <sheetData sheetId="2"/>
      <sheetData sheetId="3"/>
      <sheetData sheetId="4">
        <row r="10">
          <cell r="D10">
            <v>-11164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2180</v>
          </cell>
          <cell r="E11">
            <v>0</v>
          </cell>
          <cell r="G11">
            <v>0</v>
          </cell>
          <cell r="K11">
            <v>0</v>
          </cell>
        </row>
        <row r="12">
          <cell r="D12">
            <v>-1498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211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616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326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1440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-1225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-55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-3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17</v>
          </cell>
          <cell r="E23">
            <v>0</v>
          </cell>
          <cell r="G23">
            <v>0</v>
          </cell>
          <cell r="K23">
            <v>0</v>
          </cell>
        </row>
        <row r="24">
          <cell r="D24">
            <v>3</v>
          </cell>
          <cell r="E24">
            <v>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-1445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31">
          <cell r="D31">
            <v>0</v>
          </cell>
          <cell r="E31">
            <v>0</v>
          </cell>
          <cell r="G31">
            <v>-500</v>
          </cell>
          <cell r="K31">
            <v>0</v>
          </cell>
        </row>
      </sheetData>
      <sheetData sheetId="5">
        <row r="9">
          <cell r="D9">
            <v>6994.3119999999999</v>
          </cell>
          <cell r="E9">
            <v>6994.3119999999999</v>
          </cell>
        </row>
        <row r="10">
          <cell r="D10">
            <v>4077.2150000000001</v>
          </cell>
          <cell r="E10">
            <v>4077.2150000000001</v>
          </cell>
        </row>
        <row r="11">
          <cell r="D11">
            <v>0</v>
          </cell>
          <cell r="E11">
            <v>0</v>
          </cell>
        </row>
        <row r="12">
          <cell r="D12">
            <v>1283.7809999999999</v>
          </cell>
          <cell r="E12">
            <v>1283.7809999999999</v>
          </cell>
        </row>
        <row r="13">
          <cell r="D13">
            <v>1463.0070000000001</v>
          </cell>
          <cell r="E13">
            <v>1463.0070000000001</v>
          </cell>
        </row>
        <row r="14">
          <cell r="D14">
            <v>2304.1210000000001</v>
          </cell>
          <cell r="E14">
            <v>2304.1210000000001</v>
          </cell>
        </row>
        <row r="15">
          <cell r="D15">
            <v>3742.614</v>
          </cell>
          <cell r="E15">
            <v>3742.614</v>
          </cell>
        </row>
        <row r="16">
          <cell r="D16">
            <v>578.553</v>
          </cell>
          <cell r="E16">
            <v>578.553</v>
          </cell>
        </row>
        <row r="17">
          <cell r="D17">
            <v>1430.25</v>
          </cell>
          <cell r="E17">
            <v>1430.25</v>
          </cell>
        </row>
        <row r="18">
          <cell r="D18">
            <v>302.28100000000001</v>
          </cell>
          <cell r="E18">
            <v>302.28100000000001</v>
          </cell>
        </row>
        <row r="19">
          <cell r="D19">
            <v>695.86599999999999</v>
          </cell>
          <cell r="E19">
            <v>695.86599999999999</v>
          </cell>
        </row>
        <row r="20">
          <cell r="D20">
            <v>537.20000000000005</v>
          </cell>
          <cell r="E20">
            <v>537.20000000000005</v>
          </cell>
        </row>
        <row r="25">
          <cell r="D25">
            <v>0</v>
          </cell>
          <cell r="E2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DailyChnge"/>
      <sheetName val="GrossMargin"/>
      <sheetName val="Expenses"/>
      <sheetName val="Expense Daily Change"/>
      <sheetName val="AllocExp"/>
      <sheetName val="Headco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DailyChnge"/>
      <sheetName val="GrossMargin"/>
      <sheetName val="Expenses"/>
      <sheetName val="Expense Daily Change"/>
      <sheetName val="AllocExp"/>
      <sheetName val="Headcount"/>
      <sheetName val="GlobalMgmtSum-Q101-0328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N39" sqref="N39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2" width="7.6640625" style="14" hidden="1" customWidth="1"/>
    <col min="13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5.6">
      <c r="A2" s="181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6">
      <c r="A3" s="181" t="s">
        <v>115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09" t="s">
        <v>8</v>
      </c>
      <c r="D5" s="310"/>
      <c r="E5" s="311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09" t="s">
        <v>35</v>
      </c>
      <c r="R5" s="310"/>
      <c r="S5" s="310"/>
      <c r="T5" s="310"/>
      <c r="U5" s="310"/>
      <c r="V5" s="311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+'Mgmt Summary'!C9+'[3]Mgmt Summary'!C9</f>
        <v>72500</v>
      </c>
      <c r="D9" s="36">
        <f>+'Mgmt Summary'!D9+'[3]Mgmt Summary'!D9</f>
        <v>33748.228000000003</v>
      </c>
      <c r="E9" s="134">
        <f t="shared" ref="E9:E21" si="0">C9-D9</f>
        <v>38751.771999999997</v>
      </c>
      <c r="F9" s="36"/>
      <c r="G9" s="132">
        <f>+'Mgmt Summary'!G9+'[3]Mgmt Summary'!G9</f>
        <v>45189.822790000006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45189.822790000006</v>
      </c>
      <c r="K9" s="136"/>
      <c r="L9" s="132"/>
      <c r="M9" s="139">
        <f>+'Mgmt Summary'!M9+'[3]Mgmt Summary'!M9</f>
        <v>14094.312</v>
      </c>
      <c r="N9" s="139">
        <f>+'Mgmt Summary'!N9+'[3]Mgmt Summary'!N9</f>
        <v>19986.146000000001</v>
      </c>
      <c r="O9" s="135">
        <f t="shared" ref="O9:O21" si="2">J9-K9-M9-N9-L9</f>
        <v>11109.364790000007</v>
      </c>
      <c r="P9" s="37"/>
      <c r="Q9" s="132">
        <f>+'Mgmt Summary'!Q9+'[3]Mgmt Summary'!Q9</f>
        <v>-27310.177209999994</v>
      </c>
      <c r="R9" s="36"/>
      <c r="S9" s="139"/>
      <c r="T9" s="139">
        <f>+'Mgmt Summary'!T9+'[3]Mgmt Summary'!T9</f>
        <v>-332.22999999999956</v>
      </c>
      <c r="U9" s="139">
        <f>+'Mgmt Summary'!U9+'[3]Mgmt Summary'!U9</f>
        <v>0</v>
      </c>
      <c r="V9" s="134">
        <f>ROUND(SUM(Q9:U9),0)</f>
        <v>-27642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22500</v>
      </c>
      <c r="D10" s="36">
        <f>+'Mgmt Summary'!D10+'[3]Mgmt Summary'!D10</f>
        <v>14891.939999999999</v>
      </c>
      <c r="E10" s="134">
        <f t="shared" si="0"/>
        <v>7608.0600000000013</v>
      </c>
      <c r="F10" s="36"/>
      <c r="G10" s="132">
        <f>+'Mgmt Summary'!G10+'[3]Mgmt Summary'!G10</f>
        <v>18094.687989999999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18094.687989999999</v>
      </c>
      <c r="K10" s="136"/>
      <c r="L10" s="132"/>
      <c r="M10" s="139">
        <f>+'Mgmt Summary'!M10+'[3]Mgmt Summary'!M10</f>
        <v>7662.1980000000003</v>
      </c>
      <c r="N10" s="139">
        <f>+'Mgmt Summary'!N10+'[3]Mgmt Summary'!N10</f>
        <v>6801.6319999999996</v>
      </c>
      <c r="O10" s="135">
        <f t="shared" si="2"/>
        <v>3630.8579899999986</v>
      </c>
      <c r="P10" s="37"/>
      <c r="Q10" s="132">
        <f>+'Mgmt Summary'!Q10+'[3]Mgmt Summary'!Q10</f>
        <v>-4405.3120100000015</v>
      </c>
      <c r="R10" s="36"/>
      <c r="S10" s="139"/>
      <c r="T10" s="139">
        <f>+'Mgmt Summary'!T10+'[3]Mgmt Summary'!T10</f>
        <v>428.10999999999967</v>
      </c>
      <c r="U10" s="139">
        <f>+'Mgmt Summary'!U10+'[3]Mgmt Summary'!U10</f>
        <v>0</v>
      </c>
      <c r="V10" s="134">
        <f t="shared" ref="V10:V19" si="3">ROUND(SUM(Q10:U10),0)</f>
        <v>-3977</v>
      </c>
      <c r="W10" s="32"/>
    </row>
    <row r="11" spans="1:24" ht="13.5" customHeight="1">
      <c r="A11" s="106" t="s">
        <v>122</v>
      </c>
      <c r="B11" s="35"/>
      <c r="C11" s="132">
        <f>+'Mgmt Summary'!C11+'[3]Mgmt Summary'!C11</f>
        <v>5000</v>
      </c>
      <c r="D11" s="36">
        <f>+'Mgmt Summary'!D11+'[3]Mgmt Summary'!D11</f>
        <v>0</v>
      </c>
      <c r="E11" s="134">
        <f t="shared" si="0"/>
        <v>5000</v>
      </c>
      <c r="F11" s="36"/>
      <c r="G11" s="132">
        <f>+'Mgmt Summary'!G11+'[3]Mgmt Summary'!G11</f>
        <v>1408.0200000000004</v>
      </c>
      <c r="H11" s="36">
        <f>GrossMargin!J12</f>
        <v>0</v>
      </c>
      <c r="I11" s="137">
        <f>+'Mgmt Summary'!I11+'[3]Mgmt Summary'!I11</f>
        <v>0</v>
      </c>
      <c r="J11" s="135">
        <f t="shared" si="1"/>
        <v>1408.0200000000004</v>
      </c>
      <c r="K11" s="136"/>
      <c r="L11" s="132"/>
      <c r="M11" s="139">
        <f>+'Mgmt Summary'!M11+'[3]Mgmt Summary'!M11</f>
        <v>0</v>
      </c>
      <c r="N11" s="139">
        <f>+'Mgmt Summary'!N11+'[3]Mgmt Summary'!N11</f>
        <v>0</v>
      </c>
      <c r="O11" s="135">
        <f t="shared" si="2"/>
        <v>1408.0200000000004</v>
      </c>
      <c r="P11" s="37"/>
      <c r="Q11" s="132">
        <f>+'Mgmt Summary'!Q11+'[3]Mgmt Summary'!Q11</f>
        <v>-3591.9799999999996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-3592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10000</v>
      </c>
      <c r="D12" s="36">
        <f>+'Mgmt Summary'!D12+'[3]Mgmt Summary'!D12</f>
        <v>4242.6570000000002</v>
      </c>
      <c r="E12" s="134">
        <f t="shared" si="0"/>
        <v>5757.3429999999998</v>
      </c>
      <c r="F12" s="36"/>
      <c r="G12" s="132">
        <f>+'Mgmt Summary'!G12+'[3]Mgmt Summary'!G12</f>
        <v>-5461.0020000000004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-5461.0020000000004</v>
      </c>
      <c r="K12" s="136"/>
      <c r="L12" s="132"/>
      <c r="M12" s="139">
        <f>+'Mgmt Summary'!M12+'[3]Mgmt Summary'!M12</f>
        <v>1854.2839999999999</v>
      </c>
      <c r="N12" s="139">
        <f>+'Mgmt Summary'!N12+'[3]Mgmt Summary'!N12</f>
        <v>1745.2579999999998</v>
      </c>
      <c r="O12" s="135">
        <f t="shared" si="2"/>
        <v>-9060.5439999999999</v>
      </c>
      <c r="P12" s="37"/>
      <c r="Q12" s="132">
        <f>+'Mgmt Summary'!Q12+'[3]Mgmt Summary'!Q12</f>
        <v>-15461.002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0</v>
      </c>
      <c r="V12" s="134">
        <f t="shared" si="3"/>
        <v>-14818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7457.5380000000005</v>
      </c>
      <c r="E13" s="134">
        <f t="shared" si="0"/>
        <v>8130.5319999999992</v>
      </c>
      <c r="F13" s="36"/>
      <c r="G13" s="132">
        <f>+'Mgmt Summary'!G13+'[3]Mgmt Summary'!G13</f>
        <v>9320.7240000000002</v>
      </c>
      <c r="H13" s="36">
        <f>GrossMargin!J14</f>
        <v>0</v>
      </c>
      <c r="I13" s="137">
        <f>+'Mgmt Summary'!I13+'[3]Mgmt Summary'!I13</f>
        <v>0</v>
      </c>
      <c r="J13" s="135">
        <f t="shared" si="1"/>
        <v>9320.7240000000002</v>
      </c>
      <c r="K13" s="136"/>
      <c r="L13" s="132"/>
      <c r="M13" s="139">
        <f>+'Mgmt Summary'!M13+'[3]Mgmt Summary'!M13</f>
        <v>3271.5299999999997</v>
      </c>
      <c r="N13" s="139">
        <f>+'Mgmt Summary'!N13+'[3]Mgmt Summary'!N13</f>
        <v>4186.0079999999998</v>
      </c>
      <c r="O13" s="135">
        <f t="shared" si="2"/>
        <v>1863.1860000000006</v>
      </c>
      <c r="P13" s="37"/>
      <c r="Q13" s="132">
        <f>+'Mgmt Summary'!Q13+'[3]Mgmt Summary'!Q13</f>
        <v>-6267.3459999999995</v>
      </c>
      <c r="R13" s="36"/>
      <c r="S13" s="139"/>
      <c r="T13" s="139">
        <f>+'Mgmt Summary'!T13+'[3]Mgmt Summary'!T13</f>
        <v>0</v>
      </c>
      <c r="U13" s="139">
        <f>+'Mgmt Summary'!U13+'[3]Mgmt Summary'!U13</f>
        <v>0</v>
      </c>
      <c r="V13" s="134">
        <f t="shared" si="3"/>
        <v>-6267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5734.5609999999997</v>
      </c>
      <c r="E14" s="134">
        <f t="shared" si="0"/>
        <v>11015.439</v>
      </c>
      <c r="F14" s="36"/>
      <c r="G14" s="132">
        <f>+'Mgmt Summary'!G14+'[3]Mgmt Summary'!G14</f>
        <v>1658.8319999999999</v>
      </c>
      <c r="H14" s="36">
        <f>GrossMargin!J15</f>
        <v>0</v>
      </c>
      <c r="I14" s="137">
        <f>+'Mgmt Summary'!I14+'[3]Mgmt Summary'!I14</f>
        <v>0</v>
      </c>
      <c r="J14" s="135">
        <f t="shared" si="1"/>
        <v>1658.8319999999999</v>
      </c>
      <c r="K14" s="136"/>
      <c r="L14" s="132"/>
      <c r="M14" s="139">
        <f>+'Mgmt Summary'!M14+'[3]Mgmt Summary'!M14</f>
        <v>3104.259</v>
      </c>
      <c r="N14" s="139">
        <f>+'Mgmt Summary'!N14+'[3]Mgmt Summary'!N14</f>
        <v>1627.7919999999999</v>
      </c>
      <c r="O14" s="135">
        <f t="shared" si="2"/>
        <v>-3073.2190000000001</v>
      </c>
      <c r="P14" s="37"/>
      <c r="Q14" s="132">
        <f>+'Mgmt Summary'!Q14+'[3]Mgmt Summary'!Q14</f>
        <v>-15091.168</v>
      </c>
      <c r="R14" s="36"/>
      <c r="S14" s="139"/>
      <c r="T14" s="139">
        <f>+'Mgmt Summary'!T14+'[3]Mgmt Summary'!T14</f>
        <v>1002.51</v>
      </c>
      <c r="U14" s="139">
        <f>+'Mgmt Summary'!U14+'[3]Mgmt Summary'!U14</f>
        <v>0</v>
      </c>
      <c r="V14" s="134">
        <f t="shared" si="3"/>
        <v>-14089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11429.173000000001</v>
      </c>
      <c r="E15" s="134">
        <f t="shared" si="0"/>
        <v>36070.826999999997</v>
      </c>
      <c r="F15" s="36"/>
      <c r="G15" s="132">
        <f>+'Mgmt Summary'!G15+'[3]Mgmt Summary'!G15</f>
        <v>13725.757</v>
      </c>
      <c r="H15" s="36">
        <f>GrossMargin!J16</f>
        <v>0</v>
      </c>
      <c r="I15" s="137">
        <f>+'Mgmt Summary'!I15+'[3]Mgmt Summary'!I15</f>
        <v>0</v>
      </c>
      <c r="J15" s="135">
        <f t="shared" si="1"/>
        <v>13725.757</v>
      </c>
      <c r="K15" s="136"/>
      <c r="L15" s="132"/>
      <c r="M15" s="139">
        <f>+'Mgmt Summary'!M15+'[3]Mgmt Summary'!M15</f>
        <v>6710</v>
      </c>
      <c r="N15" s="139">
        <f>+'Mgmt Summary'!N15+'[3]Mgmt Summary'!N15</f>
        <v>4219.1729999999998</v>
      </c>
      <c r="O15" s="135">
        <f t="shared" si="2"/>
        <v>2796.5839999999998</v>
      </c>
      <c r="P15" s="37"/>
      <c r="Q15" s="132">
        <f>+'Mgmt Summary'!Q15+'[3]Mgmt Summary'!Q15</f>
        <v>-33774.243000000002</v>
      </c>
      <c r="R15" s="36"/>
      <c r="S15" s="139"/>
      <c r="T15" s="139">
        <f>+'Mgmt Summary'!T15+'[3]Mgmt Summary'!T15</f>
        <v>500</v>
      </c>
      <c r="U15" s="139">
        <f>+'Mgmt Summary'!U15+'[3]Mgmt Summary'!U15</f>
        <v>0</v>
      </c>
      <c r="V15" s="134">
        <f t="shared" si="3"/>
        <v>-33274</v>
      </c>
      <c r="W15" s="63"/>
      <c r="X15" s="168"/>
    </row>
    <row r="16" spans="1:24" s="64" customFormat="1" ht="13.5" customHeight="1">
      <c r="A16" s="166" t="s">
        <v>127</v>
      </c>
      <c r="B16" s="177"/>
      <c r="C16" s="132">
        <f>+'Mgmt Summary'!C16+'[3]Mgmt Summary'!C16</f>
        <v>1811</v>
      </c>
      <c r="D16" s="36">
        <f>+'Mgmt Summary'!D16+'[3]Mgmt Summary'!D16</f>
        <v>5596.7629999999999</v>
      </c>
      <c r="E16" s="134">
        <f t="shared" si="0"/>
        <v>-3785.7629999999999</v>
      </c>
      <c r="F16" s="36"/>
      <c r="G16" s="132">
        <f>+'Mgmt Summary'!G16+'[3]Mgmt Summary'!G16</f>
        <v>70.210000000000008</v>
      </c>
      <c r="H16" s="36">
        <f>GrossMargin!J17</f>
        <v>0</v>
      </c>
      <c r="I16" s="137">
        <f>+'Mgmt Summary'!I16+'[3]Mgmt Summary'!I16</f>
        <v>0</v>
      </c>
      <c r="J16" s="135">
        <f t="shared" si="1"/>
        <v>70.210000000000008</v>
      </c>
      <c r="K16" s="136"/>
      <c r="L16" s="132"/>
      <c r="M16" s="139">
        <f>+'Mgmt Summary'!M16+'[3]Mgmt Summary'!M16</f>
        <v>5988.110999999999</v>
      </c>
      <c r="N16" s="139">
        <f>+'Mgmt Summary'!N16+'[3]Mgmt Summary'!N16</f>
        <v>777.76300000000003</v>
      </c>
      <c r="O16" s="135">
        <f t="shared" si="2"/>
        <v>-6695.6639999999989</v>
      </c>
      <c r="P16" s="37"/>
      <c r="Q16" s="132">
        <f>+'Mgmt Summary'!Q16+'[3]Mgmt Summary'!Q16</f>
        <v>-1740.79</v>
      </c>
      <c r="R16" s="36"/>
      <c r="S16" s="139"/>
      <c r="T16" s="139">
        <f>+'Mgmt Summary'!T16+'[3]Mgmt Summary'!T16</f>
        <v>-1169.1109999999999</v>
      </c>
      <c r="U16" s="139">
        <f>+'Mgmt Summary'!U16+'[3]Mgmt Summary'!U16</f>
        <v>0</v>
      </c>
      <c r="V16" s="134">
        <f t="shared" si="3"/>
        <v>-2910</v>
      </c>
      <c r="W16" s="63"/>
      <c r="X16" s="168"/>
    </row>
    <row r="17" spans="1:24" s="64" customFormat="1" ht="13.5" customHeight="1">
      <c r="A17" s="166" t="s">
        <v>87</v>
      </c>
      <c r="B17" s="177"/>
      <c r="C17" s="132">
        <f>+'Mgmt Summary'!C17+'[3]Mgmt Summary'!C17</f>
        <v>8000</v>
      </c>
      <c r="D17" s="36">
        <f>+'Mgmt Summary'!D17+'[3]Mgmt Summary'!D17</f>
        <v>5271.317</v>
      </c>
      <c r="E17" s="134">
        <f t="shared" si="0"/>
        <v>2728.683</v>
      </c>
      <c r="F17" s="36"/>
      <c r="G17" s="132">
        <f>+'Mgmt Summary'!G17+'[3]Mgmt Summary'!G17</f>
        <v>1809.3910000000001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1809.3910000000001</v>
      </c>
      <c r="K17" s="136"/>
      <c r="L17" s="132"/>
      <c r="M17" s="139">
        <f>+'Mgmt Summary'!M17+'[3]Mgmt Summary'!M17</f>
        <v>3860.5</v>
      </c>
      <c r="N17" s="139">
        <f>+'Mgmt Summary'!N17+'[3]Mgmt Summary'!N17</f>
        <v>2410.817</v>
      </c>
      <c r="O17" s="135">
        <f t="shared" si="2"/>
        <v>-4461.9259999999995</v>
      </c>
      <c r="P17" s="37"/>
      <c r="Q17" s="132">
        <f>+'Mgmt Summary'!Q17+'[3]Mgmt Summary'!Q17</f>
        <v>-6190.6090000000004</v>
      </c>
      <c r="R17" s="36"/>
      <c r="S17" s="139"/>
      <c r="T17" s="139">
        <f>+'Mgmt Summary'!T17+'[3]Mgmt Summary'!T17</f>
        <v>-1000</v>
      </c>
      <c r="U17" s="139">
        <f>+'Mgmt Summary'!U17+'[3]Mgmt Summary'!U17</f>
        <v>0</v>
      </c>
      <c r="V17" s="134">
        <f t="shared" si="3"/>
        <v>-7191</v>
      </c>
      <c r="W17" s="63"/>
      <c r="X17" s="168"/>
    </row>
    <row r="18" spans="1:24" s="64" customFormat="1" ht="13.5" customHeight="1">
      <c r="A18" s="166" t="s">
        <v>125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165</v>
      </c>
      <c r="H18" s="36">
        <f>GrossMargin!J19</f>
        <v>0</v>
      </c>
      <c r="I18" s="137">
        <f>+'[3]Mgmt Summary'!I18</f>
        <v>0</v>
      </c>
      <c r="J18" s="135">
        <f t="shared" si="1"/>
        <v>165</v>
      </c>
      <c r="K18" s="136"/>
      <c r="L18" s="132"/>
      <c r="M18" s="139">
        <f>+'[3]Mgmt Summary'!M18</f>
        <v>1488.5</v>
      </c>
      <c r="N18" s="139">
        <f>+'[3]Mgmt Summary'!N18</f>
        <v>791.423</v>
      </c>
      <c r="O18" s="135">
        <f t="shared" si="2"/>
        <v>-2114.9229999999998</v>
      </c>
      <c r="P18" s="37"/>
      <c r="Q18" s="132">
        <f>+'[3]Mgmt Summary'!Q18</f>
        <v>-1248</v>
      </c>
      <c r="R18" s="36"/>
      <c r="S18" s="139"/>
      <c r="T18" s="139">
        <f>+'[3]Mgmt Summary'!T18</f>
        <v>-679</v>
      </c>
      <c r="U18" s="139">
        <f>+'[3]Mgmt Summary'!U18</f>
        <v>0</v>
      </c>
      <c r="V18" s="134">
        <f t="shared" si="3"/>
        <v>-1927</v>
      </c>
      <c r="W18" s="63"/>
      <c r="X18" s="168"/>
    </row>
    <row r="19" spans="1:24" s="64" customFormat="1" ht="13.5" customHeight="1">
      <c r="A19" s="166" t="s">
        <v>89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-2921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-2921</v>
      </c>
      <c r="K19" s="136"/>
      <c r="L19" s="132"/>
      <c r="M19" s="139">
        <f>+'Mgmt Summary'!M18+'[3]Mgmt Summary'!M19</f>
        <v>664.82299999999998</v>
      </c>
      <c r="N19" s="139">
        <f>+'Mgmt Summary'!N18+'[3]Mgmt Summary'!N19</f>
        <v>1142.5889999999999</v>
      </c>
      <c r="O19" s="135">
        <f t="shared" si="2"/>
        <v>-4728.4120000000003</v>
      </c>
      <c r="P19" s="37"/>
      <c r="Q19" s="132">
        <f>+'Mgmt Summary'!Q18+'[3]Mgmt Summary'!Q19</f>
        <v>-3434.9979999999996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-90</v>
      </c>
      <c r="U19" s="139">
        <f>+'Mgmt Summary'!U18+'[3]Mgmt Summary'!U19</f>
        <v>0</v>
      </c>
      <c r="V19" s="134">
        <f t="shared" si="3"/>
        <v>-3525</v>
      </c>
      <c r="W19" s="63"/>
      <c r="X19" s="168"/>
    </row>
    <row r="20" spans="1:24" ht="13.5" customHeight="1">
      <c r="A20" s="106" t="s">
        <v>118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GrossMargin!J27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1022.866</v>
      </c>
      <c r="N20" s="139">
        <f>+'Mgmt Summary'!N19+'[3]Mgmt Summary'!N20</f>
        <v>141.97499999999999</v>
      </c>
      <c r="O20" s="135">
        <f t="shared" si="2"/>
        <v>-1117.6669999999999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385.16999999999996</v>
      </c>
      <c r="U20" s="139">
        <f>+'Mgmt Summary'!U19+'[3]Mgmt Summary'!U20</f>
        <v>0</v>
      </c>
      <c r="V20" s="134">
        <f>ROUND(SUM(Q20:U20),0)</f>
        <v>432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GrossMargin!J28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1309.2740000000001</v>
      </c>
      <c r="N21" s="139">
        <f>+'Mgmt Summary'!N20+'[3]Mgmt Summary'!N21</f>
        <v>949.29099999999994</v>
      </c>
      <c r="O21" s="135">
        <f t="shared" si="2"/>
        <v>-2258.5650000000001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-238.70500000000004</v>
      </c>
      <c r="U21" s="139">
        <f>+'Mgmt Summary'!U20+'[3]Mgmt Summary'!U21</f>
        <v>0</v>
      </c>
      <c r="V21" s="134">
        <f>ROUND(SUM(Q21:U21),0)</f>
        <v>-239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201576.068</v>
      </c>
      <c r="D23" s="44">
        <f>SUM(D9:D22)</f>
        <v>95260.382999999987</v>
      </c>
      <c r="E23" s="45">
        <f>SUM(E9:E22)</f>
        <v>106315.685</v>
      </c>
      <c r="F23" s="36" t="e">
        <f>SUM(#REF!)</f>
        <v>#REF!</v>
      </c>
      <c r="G23" s="43">
        <f t="shared" ref="G23:O23" si="4">SUM(G9:G22)</f>
        <v>83107.616779999997</v>
      </c>
      <c r="H23" s="44">
        <f t="shared" si="4"/>
        <v>0</v>
      </c>
      <c r="I23" s="44">
        <f t="shared" si="4"/>
        <v>0</v>
      </c>
      <c r="J23" s="46">
        <f t="shared" si="4"/>
        <v>83107.616779999997</v>
      </c>
      <c r="K23" s="44">
        <f t="shared" si="4"/>
        <v>0</v>
      </c>
      <c r="L23" s="43">
        <f t="shared" si="4"/>
        <v>0</v>
      </c>
      <c r="M23" s="44">
        <f t="shared" si="4"/>
        <v>51030.656999999992</v>
      </c>
      <c r="N23" s="44">
        <f t="shared" si="4"/>
        <v>44779.867000000006</v>
      </c>
      <c r="O23" s="46">
        <f t="shared" si="4"/>
        <v>-12702.90721999999</v>
      </c>
      <c r="P23" s="37"/>
      <c r="Q23" s="43">
        <f t="shared" ref="Q23:V23" si="5">SUM(Q9:Q22)</f>
        <v>-118468.45121999999</v>
      </c>
      <c r="R23" s="44">
        <f t="shared" si="5"/>
        <v>0</v>
      </c>
      <c r="S23" s="44">
        <f t="shared" si="5"/>
        <v>0</v>
      </c>
      <c r="T23" s="44">
        <f t="shared" si="5"/>
        <v>-550.14099999999985</v>
      </c>
      <c r="U23" s="44">
        <f t="shared" si="5"/>
        <v>0</v>
      </c>
      <c r="V23" s="45">
        <f t="shared" si="5"/>
        <v>-119019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f>+'Mgmt Summary'!C25+'[3]Mgmt Summary'!C25</f>
        <v>0</v>
      </c>
      <c r="D25" s="36">
        <f>+'Mgmt Summary'!D25+'[3]Mgmt Summary'!D25</f>
        <v>56277.557000000001</v>
      </c>
      <c r="E25" s="134">
        <f>C25-D25</f>
        <v>-56277.557000000001</v>
      </c>
      <c r="F25" s="36"/>
      <c r="G25" s="132">
        <f>+'Mgmt Summary'!G25+'[3]Mgmt Summary'!G25</f>
        <v>0</v>
      </c>
      <c r="H25" s="36">
        <f>GrossMargin!J32</f>
        <v>0</v>
      </c>
      <c r="I25" s="137">
        <f>+'Mgmt Summary'!I25+'[3]Mgmt Summary'!I25</f>
        <v>0</v>
      </c>
      <c r="J25" s="135">
        <f>SUM(G25:I25)</f>
        <v>0</v>
      </c>
      <c r="K25" s="136"/>
      <c r="L25" s="132"/>
      <c r="M25" s="139">
        <f>+'Mgmt Summary'!M25+'[3]Mgmt Summary'!M25</f>
        <v>56277.557000000001</v>
      </c>
      <c r="N25" s="139">
        <f>+'Mgmt Summary'!N25+'[3]Mgmt Summary'!N25</f>
        <v>0</v>
      </c>
      <c r="O25" s="135">
        <f>J25-K25-M25-N25-L25</f>
        <v>-56277.557000000001</v>
      </c>
      <c r="P25" s="37"/>
      <c r="Q25" s="132">
        <f>+'Mgmt Summary'!Q25+'[3]Mgmt Summary'!Q25</f>
        <v>0</v>
      </c>
      <c r="R25" s="36">
        <f>+'Mgmt Summary'!R25+'[2]YTD Mgmt Summary'!R25</f>
        <v>0</v>
      </c>
      <c r="S25" s="139">
        <f>+'Mgmt Summary'!S25+'[2]YTD Mgmt Summary'!S25</f>
        <v>0</v>
      </c>
      <c r="T25" s="139">
        <f>+'Mgmt Summary'!T25+'[3]Mgmt Summary'!T25</f>
        <v>0</v>
      </c>
      <c r="U25" s="139">
        <f>+'Mgmt Summary'!U25+'[3]Mgmt Summary'!U25</f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f>+'Mgmt Summary'!C26+'[3]Mgmt Summary'!C26</f>
        <v>0</v>
      </c>
      <c r="D26" s="36">
        <f>+'Mgmt Summary'!D26+'[3]Mgmt Summary'!D26</f>
        <v>-44779.866999999998</v>
      </c>
      <c r="E26" s="134">
        <f>C26-D26</f>
        <v>44779.866999999998</v>
      </c>
      <c r="F26" s="36"/>
      <c r="G26" s="132">
        <f>+'Mgmt Summary'!G26+'[3]Mgmt Summary'!G26</f>
        <v>0</v>
      </c>
      <c r="H26" s="36">
        <f>GrossMargin!J33</f>
        <v>0</v>
      </c>
      <c r="I26" s="137">
        <f>+'Mgmt Summary'!I26+'[3]Mgmt Summary'!I26</f>
        <v>0</v>
      </c>
      <c r="J26" s="135">
        <f>SUM(G26:I26)</f>
        <v>0</v>
      </c>
      <c r="K26" s="136"/>
      <c r="L26" s="132"/>
      <c r="M26" s="139">
        <f>+'Mgmt Summary'!M26+'[3]Mgmt Summary'!M26</f>
        <v>0</v>
      </c>
      <c r="N26" s="139">
        <f>+'Mgmt Summary'!N26+'[3]Mgmt Summary'!N26</f>
        <v>-44779.866999999998</v>
      </c>
      <c r="O26" s="135">
        <f>J26-K26-M26-N26-L26</f>
        <v>44779.866999999998</v>
      </c>
      <c r="P26" s="37"/>
      <c r="Q26" s="132">
        <f>+'Mgmt Summary'!Q26+'[3]Mgmt Summary'!Q26</f>
        <v>0</v>
      </c>
      <c r="R26" s="36">
        <f>+'Mgmt Summary'!R26+'[2]YTD Mgmt Summary'!R26</f>
        <v>0</v>
      </c>
      <c r="S26" s="139">
        <f>+'Mgmt Summary'!S26+'[2]YTD Mgmt Summary'!S26</f>
        <v>0</v>
      </c>
      <c r="T26" s="139">
        <f>+'Mgmt Summary'!T26+'[3]Mgmt Summary'!T26</f>
        <v>0</v>
      </c>
      <c r="U26" s="139">
        <f>+'Mgmt Summary'!U26+'[3]Mgmt Summary'!U26</f>
        <v>0</v>
      </c>
      <c r="V26" s="134">
        <f>ROUND(SUM(Q26:U26),0)</f>
        <v>0</v>
      </c>
      <c r="W26" s="32"/>
    </row>
    <row r="27" spans="1:24" ht="13.5" customHeight="1">
      <c r="A27" s="106" t="s">
        <v>10</v>
      </c>
      <c r="B27" s="35"/>
      <c r="C27" s="132">
        <f>+'Mgmt Summary'!C27+'[3]Mgmt Summary'!C27</f>
        <v>-1000</v>
      </c>
      <c r="D27" s="36">
        <f>+'Mgmt Summary'!D27+'[3]Mgmt Summary'!D27</f>
        <v>0</v>
      </c>
      <c r="E27" s="134">
        <f>C27-D27</f>
        <v>-1000</v>
      </c>
      <c r="F27" s="36"/>
      <c r="G27" s="132">
        <f>+'Mgmt Summary'!G27+'[3]Mgmt Summary'!G27</f>
        <v>-781.11799999999994</v>
      </c>
      <c r="H27" s="36">
        <f>GrossMargin!J34</f>
        <v>0</v>
      </c>
      <c r="I27" s="137">
        <f>+'Mgmt Summary'!I27+'[3]Mgmt Summary'!I27</f>
        <v>0</v>
      </c>
      <c r="J27" s="135">
        <f>SUM(G27:I27)</f>
        <v>-781.11799999999994</v>
      </c>
      <c r="K27" s="136"/>
      <c r="L27" s="132"/>
      <c r="M27" s="139">
        <f>+'Mgmt Summary'!M27+'[3]Mgmt Summary'!M27</f>
        <v>0</v>
      </c>
      <c r="N27" s="139">
        <f>+'Mgmt Summary'!N27+'[3]Mgmt Summary'!N27</f>
        <v>0</v>
      </c>
      <c r="O27" s="135">
        <f>J27-K27-M27-N27-L27</f>
        <v>-781.11799999999994</v>
      </c>
      <c r="P27" s="37"/>
      <c r="Q27" s="132">
        <f>+'Mgmt Summary'!Q27+'[3]Mgmt Summary'!Q27</f>
        <v>218.88200000000001</v>
      </c>
      <c r="R27" s="36">
        <f>+'Mgmt Summary'!R27+'[2]YTD Mgmt Summary'!R27</f>
        <v>0</v>
      </c>
      <c r="S27" s="139">
        <f>+'Mgmt Summary'!S27+'[2]YTD Mgmt Summary'!S27</f>
        <v>0</v>
      </c>
      <c r="T27" s="139">
        <f>+'Mgmt Summary'!T27+'[3]Mgmt Summary'!T27</f>
        <v>0</v>
      </c>
      <c r="U27" s="139">
        <f>+'Mgmt Summary'!U27+'[3]Mgmt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200576.068</v>
      </c>
      <c r="D30" s="44">
        <f>SUM(D23:D29)</f>
        <v>106758.073</v>
      </c>
      <c r="E30" s="45">
        <f>SUM(E23:E29)</f>
        <v>93817.994999999995</v>
      </c>
      <c r="F30" s="36"/>
      <c r="G30" s="43">
        <f t="shared" ref="G30:N30" si="6">SUM(G23:G29)</f>
        <v>82326.498779999994</v>
      </c>
      <c r="H30" s="44">
        <f t="shared" si="6"/>
        <v>0</v>
      </c>
      <c r="I30" s="44">
        <f t="shared" si="6"/>
        <v>0</v>
      </c>
      <c r="J30" s="46">
        <f t="shared" si="6"/>
        <v>82326.498779999994</v>
      </c>
      <c r="K30" s="44">
        <f t="shared" si="6"/>
        <v>0</v>
      </c>
      <c r="L30" s="43">
        <f t="shared" si="6"/>
        <v>0</v>
      </c>
      <c r="M30" s="44">
        <f t="shared" si="6"/>
        <v>107308.21399999999</v>
      </c>
      <c r="N30" s="44">
        <f t="shared" si="6"/>
        <v>7.2759576141834259E-12</v>
      </c>
      <c r="O30" s="46">
        <f>J30-K30-M30-N30-L30</f>
        <v>-24981.715220000006</v>
      </c>
      <c r="P30" s="37"/>
      <c r="Q30" s="43">
        <f t="shared" ref="Q30:V30" si="7">SUM(Q23:Q29)</f>
        <v>-118249.56921999999</v>
      </c>
      <c r="R30" s="44">
        <f t="shared" si="7"/>
        <v>0</v>
      </c>
      <c r="S30" s="44">
        <f t="shared" si="7"/>
        <v>0</v>
      </c>
      <c r="T30" s="44">
        <f t="shared" si="7"/>
        <v>-550.14099999999985</v>
      </c>
      <c r="U30" s="44">
        <f t="shared" si="7"/>
        <v>0</v>
      </c>
      <c r="V30" s="45">
        <f t="shared" si="7"/>
        <v>-118800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Summary'!C32+'[2]YTD Mgmt Summary'!C32</f>
        <v>0</v>
      </c>
      <c r="D32" s="36">
        <f>+'Mgmt Summary'!D32+'[2]YTD Mgmt Summary'!D32</f>
        <v>616</v>
      </c>
      <c r="E32" s="134">
        <f>C32-D32</f>
        <v>-616</v>
      </c>
      <c r="F32" s="36"/>
      <c r="G32" s="132">
        <f>+'Mgmt Summary'!G32+'[2]YTD Mgmt Summary'!G32</f>
        <v>0</v>
      </c>
      <c r="H32" s="36">
        <f>GrossMargin!J39</f>
        <v>0</v>
      </c>
      <c r="I32" s="137">
        <f>+'Mgmt Summary'!I32+'[2]YTD Mgmt Summary'!I32</f>
        <v>0</v>
      </c>
      <c r="J32" s="135">
        <f>SUM(G32:I32)</f>
        <v>0</v>
      </c>
      <c r="K32" s="136"/>
      <c r="L32" s="132"/>
      <c r="M32" s="139">
        <f>+'Mgmt Summary'!M32+'[2]YTD Mgmt Summary'!M32</f>
        <v>616</v>
      </c>
      <c r="N32" s="139">
        <f>+'Mgmt Summary'!N32+'[2]YTD Mgmt Summary'!N32</f>
        <v>0</v>
      </c>
      <c r="O32" s="135">
        <f>J32-K32-M32-N32-L32</f>
        <v>-616</v>
      </c>
      <c r="P32" s="37"/>
      <c r="Q32" s="132">
        <f>+'Mgmt Summary'!Q32+'[2]YTD Mgmt Summary'!Q32</f>
        <v>0</v>
      </c>
      <c r="R32" s="36">
        <f>+'Mgmt Summary'!R32+'[2]YTD Mgmt Summary'!R32</f>
        <v>0</v>
      </c>
      <c r="S32" s="139">
        <f>+'Mgmt Summary'!S32+'[2]YTD Mgmt Summary'!S32</f>
        <v>0</v>
      </c>
      <c r="T32" s="139">
        <f>+'Mgmt Summary'!T32+'[2]YTD Mgmt Summary'!T32</f>
        <v>0</v>
      </c>
      <c r="U32" s="139">
        <f>+'Mgmt Summary'!U32+'[2]YTD Mgmt Summary'!U32</f>
        <v>0</v>
      </c>
      <c r="V32" s="134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200576.068</v>
      </c>
      <c r="D34" s="40">
        <f>SUM(D30:D32)</f>
        <v>107374.073</v>
      </c>
      <c r="E34" s="41">
        <f>SUM(E30:E32)</f>
        <v>93201.994999999995</v>
      </c>
      <c r="F34" s="36"/>
      <c r="G34" s="39">
        <f t="shared" ref="G34:V34" si="8">SUM(G30:G32)</f>
        <v>82326.498779999994</v>
      </c>
      <c r="H34" s="40">
        <f t="shared" si="8"/>
        <v>0</v>
      </c>
      <c r="I34" s="40">
        <f t="shared" si="8"/>
        <v>0</v>
      </c>
      <c r="J34" s="42">
        <f t="shared" si="8"/>
        <v>82326.498779999994</v>
      </c>
      <c r="K34" s="40">
        <f t="shared" si="8"/>
        <v>0</v>
      </c>
      <c r="L34" s="39">
        <f t="shared" si="8"/>
        <v>0</v>
      </c>
      <c r="M34" s="40">
        <f t="shared" si="8"/>
        <v>107924.21399999999</v>
      </c>
      <c r="N34" s="40">
        <f t="shared" si="8"/>
        <v>7.2759576141834259E-12</v>
      </c>
      <c r="O34" s="42">
        <f>J34-K34-M34-N34-L34</f>
        <v>-25597.715220000006</v>
      </c>
      <c r="P34" s="37"/>
      <c r="Q34" s="39">
        <f t="shared" si="8"/>
        <v>-118249.56921999999</v>
      </c>
      <c r="R34" s="40">
        <f t="shared" si="8"/>
        <v>0</v>
      </c>
      <c r="S34" s="40">
        <f t="shared" si="8"/>
        <v>0</v>
      </c>
      <c r="T34" s="40">
        <f t="shared" si="8"/>
        <v>-550.14099999999985</v>
      </c>
      <c r="U34" s="40">
        <f t="shared" si="8"/>
        <v>0</v>
      </c>
      <c r="V34" s="41">
        <f t="shared" si="8"/>
        <v>-118800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8" hidden="1">
      <c r="A36" s="66"/>
      <c r="C36" s="67"/>
      <c r="D36" s="23"/>
      <c r="E36" s="66" t="s">
        <v>52</v>
      </c>
      <c r="F36" s="23"/>
      <c r="G36" s="68">
        <f>+'GM-WeeklyChnge'!C38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78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1"/>
  <sheetViews>
    <sheetView tabSelected="1" zoomScale="95" workbookViewId="0">
      <selection activeCell="P20" sqref="P19:P20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89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123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112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April 20,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86</v>
      </c>
      <c r="H6" s="229"/>
      <c r="I6" s="230"/>
      <c r="J6" s="200"/>
      <c r="K6" s="312" t="s">
        <v>85</v>
      </c>
      <c r="L6" s="313"/>
      <c r="M6" s="314"/>
      <c r="N6" s="284"/>
      <c r="O6" s="312" t="s">
        <v>110</v>
      </c>
      <c r="P6" s="313"/>
      <c r="Q6" s="314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108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119</v>
      </c>
      <c r="B9" s="221"/>
      <c r="C9" s="222">
        <f>+'Mgmt Summary'!J9</f>
        <v>-16830</v>
      </c>
      <c r="D9" s="223">
        <f>+'Mgmt Summary'!C9</f>
        <v>32500</v>
      </c>
      <c r="E9" s="224">
        <f t="shared" ref="E9:E20" si="0">-D9+C9</f>
        <v>-49330</v>
      </c>
      <c r="F9" s="225"/>
      <c r="G9" s="222">
        <f>+'Mgmt Summary'!M9+'Mgmt Summary'!N9</f>
        <v>16998.016</v>
      </c>
      <c r="H9" s="223">
        <f>+'Mgmt Summary'!D9</f>
        <v>16998.016</v>
      </c>
      <c r="I9" s="224">
        <f t="shared" ref="I9:I16" si="1">+H9-G9</f>
        <v>0</v>
      </c>
      <c r="J9" s="225"/>
      <c r="K9" s="222">
        <f>+C9-G9</f>
        <v>-33828.016000000003</v>
      </c>
      <c r="L9" s="223">
        <f t="shared" ref="K9:L20" si="2">D9-H9</f>
        <v>15501.984</v>
      </c>
      <c r="M9" s="224">
        <f t="shared" ref="M9:M20" si="3">K9-L9</f>
        <v>-49330</v>
      </c>
      <c r="N9" s="286"/>
      <c r="O9" s="222">
        <f>+C9-'[4]QTD Mgmt Summary'!C9</f>
        <v>-5666</v>
      </c>
      <c r="P9" s="223">
        <f>-G9+'[4]QTD Mgmt Summary'!G9</f>
        <v>0</v>
      </c>
      <c r="Q9" s="224">
        <f t="shared" ref="Q9:Q14" si="4">+O9+P9</f>
        <v>-5666</v>
      </c>
    </row>
    <row r="10" spans="1:22" s="32" customFormat="1" ht="13.5" customHeight="1">
      <c r="A10" s="220" t="s">
        <v>1</v>
      </c>
      <c r="B10" s="221"/>
      <c r="C10" s="222">
        <f>+'Mgmt Summary'!J10</f>
        <v>2395</v>
      </c>
      <c r="D10" s="223">
        <f>+'Mgmt Summary'!C10</f>
        <v>11250</v>
      </c>
      <c r="E10" s="224">
        <f t="shared" si="0"/>
        <v>-8855</v>
      </c>
      <c r="F10" s="225"/>
      <c r="G10" s="222">
        <f>+'Mgmt Summary'!M10+'Mgmt Summary'!N10</f>
        <v>7479.1939999999995</v>
      </c>
      <c r="H10" s="223">
        <f>+'Mgmt Summary'!D10</f>
        <v>7479.1939999999995</v>
      </c>
      <c r="I10" s="224">
        <f t="shared" si="1"/>
        <v>0</v>
      </c>
      <c r="J10" s="225"/>
      <c r="K10" s="222">
        <f t="shared" si="2"/>
        <v>-5084.1939999999995</v>
      </c>
      <c r="L10" s="223">
        <f t="shared" si="2"/>
        <v>3770.8060000000005</v>
      </c>
      <c r="M10" s="224">
        <f t="shared" si="3"/>
        <v>-8855</v>
      </c>
      <c r="N10" s="286"/>
      <c r="O10" s="222">
        <f>+C10-'[4]QTD Mgmt Summary'!C10</f>
        <v>215</v>
      </c>
      <c r="P10" s="223">
        <f>-G10+'[4]QTD Mgmt Summary'!G10</f>
        <v>0</v>
      </c>
      <c r="Q10" s="224">
        <f t="shared" si="4"/>
        <v>215</v>
      </c>
    </row>
    <row r="11" spans="1:22" s="32" customFormat="1" ht="13.5" customHeight="1">
      <c r="A11" s="220" t="s">
        <v>122</v>
      </c>
      <c r="B11" s="221"/>
      <c r="C11" s="222">
        <f>+'Mgmt Summary'!J11</f>
        <v>-3205</v>
      </c>
      <c r="D11" s="223">
        <f>+'Mgmt Summary'!C11</f>
        <v>2500</v>
      </c>
      <c r="E11" s="224">
        <f t="shared" si="0"/>
        <v>-5705</v>
      </c>
      <c r="F11" s="225"/>
      <c r="G11" s="222">
        <f>+'Mgmt Summary'!M11+'Mgmt Summary'!N11</f>
        <v>0</v>
      </c>
      <c r="H11" s="223">
        <f>+'Mgmt Summary'!D11</f>
        <v>0</v>
      </c>
      <c r="I11" s="224">
        <f t="shared" si="1"/>
        <v>0</v>
      </c>
      <c r="J11" s="225"/>
      <c r="K11" s="222">
        <f>C11-G11</f>
        <v>-3205</v>
      </c>
      <c r="L11" s="223">
        <f>D11-H11</f>
        <v>2500</v>
      </c>
      <c r="M11" s="224">
        <f t="shared" si="3"/>
        <v>-5705</v>
      </c>
      <c r="N11" s="286"/>
      <c r="O11" s="222">
        <f>+C11-'[4]QTD Mgmt Summary'!C11</f>
        <v>-1707</v>
      </c>
      <c r="P11" s="223">
        <f>-G11+'[4]QTD Mgmt Summary'!G11</f>
        <v>0</v>
      </c>
      <c r="Q11" s="224">
        <f t="shared" si="4"/>
        <v>-1707</v>
      </c>
    </row>
    <row r="12" spans="1:22" s="32" customFormat="1" ht="13.5" customHeight="1">
      <c r="A12" s="220" t="s">
        <v>43</v>
      </c>
      <c r="B12" s="221"/>
      <c r="C12" s="222">
        <f>+'Mgmt Summary'!J12</f>
        <v>770</v>
      </c>
      <c r="D12" s="223">
        <f>+'Mgmt Summary'!C12</f>
        <v>5000</v>
      </c>
      <c r="E12" s="224">
        <f t="shared" si="0"/>
        <v>-4230</v>
      </c>
      <c r="F12" s="225"/>
      <c r="G12" s="222">
        <f>+'Mgmt Summary'!M12+'Mgmt Summary'!N12</f>
        <v>2158.2820000000002</v>
      </c>
      <c r="H12" s="223">
        <f>+'Mgmt Summary'!D12</f>
        <v>2158.2820000000002</v>
      </c>
      <c r="I12" s="224">
        <f t="shared" si="1"/>
        <v>0</v>
      </c>
      <c r="J12" s="225"/>
      <c r="K12" s="222">
        <f t="shared" si="2"/>
        <v>-1388.2820000000002</v>
      </c>
      <c r="L12" s="223">
        <f t="shared" si="2"/>
        <v>2841.7179999999998</v>
      </c>
      <c r="M12" s="224">
        <f t="shared" si="3"/>
        <v>-4230</v>
      </c>
      <c r="N12" s="286"/>
      <c r="O12" s="222">
        <f>+C12-'[4]QTD Mgmt Summary'!C12</f>
        <v>559</v>
      </c>
      <c r="P12" s="223">
        <f>-G12+'[4]QTD Mgmt Summary'!G12</f>
        <v>0</v>
      </c>
      <c r="Q12" s="224">
        <f t="shared" si="4"/>
        <v>559</v>
      </c>
    </row>
    <row r="13" spans="1:22" s="32" customFormat="1" ht="13.5" customHeight="1">
      <c r="A13" s="220" t="s">
        <v>63</v>
      </c>
      <c r="B13" s="221"/>
      <c r="C13" s="222">
        <f>+'Mgmt Summary'!J13</f>
        <v>595</v>
      </c>
      <c r="D13" s="223">
        <f>+'Mgmt Summary'!C13</f>
        <v>7078.8189999999995</v>
      </c>
      <c r="E13" s="224">
        <f t="shared" si="0"/>
        <v>-6483.8189999999995</v>
      </c>
      <c r="F13" s="225"/>
      <c r="G13" s="222">
        <f>+'Mgmt Summary'!M13+'Mgmt Summary'!N13</f>
        <v>3409.2690000000002</v>
      </c>
      <c r="H13" s="223">
        <f>+'Mgmt Summary'!D13</f>
        <v>3409.2690000000002</v>
      </c>
      <c r="I13" s="224">
        <f t="shared" si="1"/>
        <v>0</v>
      </c>
      <c r="J13" s="225"/>
      <c r="K13" s="222">
        <f t="shared" si="2"/>
        <v>-2814.2690000000002</v>
      </c>
      <c r="L13" s="223">
        <f t="shared" si="2"/>
        <v>3669.5499999999993</v>
      </c>
      <c r="M13" s="224">
        <f t="shared" si="3"/>
        <v>-6483.8189999999995</v>
      </c>
      <c r="N13" s="286"/>
      <c r="O13" s="222">
        <f>+C13-'[4]QTD Mgmt Summary'!C13</f>
        <v>-21</v>
      </c>
      <c r="P13" s="223">
        <f>(-G13+'[4]QTD Mgmt Summary'!G13)*0</f>
        <v>0</v>
      </c>
      <c r="Q13" s="224">
        <f t="shared" si="4"/>
        <v>-21</v>
      </c>
    </row>
    <row r="14" spans="1:22" s="32" customFormat="1" ht="13.5" customHeight="1">
      <c r="A14" s="220" t="s">
        <v>70</v>
      </c>
      <c r="B14" s="221"/>
      <c r="C14" s="222">
        <f>+'Mgmt Summary'!J14</f>
        <v>0</v>
      </c>
      <c r="D14" s="223">
        <f>+'Mgmt Summary'!C14</f>
        <v>11875</v>
      </c>
      <c r="E14" s="224">
        <f t="shared" si="0"/>
        <v>-11875</v>
      </c>
      <c r="F14" s="225"/>
      <c r="G14" s="222">
        <f>+'Mgmt Summary'!M14+'Mgmt Summary'!N14</f>
        <v>3118.5820000000003</v>
      </c>
      <c r="H14" s="223">
        <f>+'Mgmt Summary'!D14</f>
        <v>3118.5820000000003</v>
      </c>
      <c r="I14" s="224">
        <f t="shared" si="1"/>
        <v>0</v>
      </c>
      <c r="J14" s="225"/>
      <c r="K14" s="222">
        <f t="shared" si="2"/>
        <v>-3118.5820000000003</v>
      </c>
      <c r="L14" s="223">
        <f t="shared" si="2"/>
        <v>8756.4179999999997</v>
      </c>
      <c r="M14" s="224">
        <f t="shared" si="3"/>
        <v>-11875</v>
      </c>
      <c r="N14" s="286"/>
      <c r="O14" s="222">
        <f>+C14-'[4]QTD Mgmt Summary'!C14</f>
        <v>0</v>
      </c>
      <c r="P14" s="223">
        <f>-G14+'[4]QTD Mgmt Summary'!G14</f>
        <v>0</v>
      </c>
      <c r="Q14" s="224">
        <f t="shared" si="4"/>
        <v>0</v>
      </c>
    </row>
    <row r="15" spans="1:22" s="32" customFormat="1" ht="13.5" customHeight="1">
      <c r="A15" s="220" t="s">
        <v>49</v>
      </c>
      <c r="B15" s="221"/>
      <c r="C15" s="222">
        <f>+'Mgmt Summary'!J15</f>
        <v>444</v>
      </c>
      <c r="D15" s="223">
        <f>+'Mgmt Summary'!C15</f>
        <v>27500</v>
      </c>
      <c r="E15" s="224">
        <f t="shared" si="0"/>
        <v>-27056</v>
      </c>
      <c r="F15" s="225"/>
      <c r="G15" s="222">
        <f>+'Mgmt Summary'!M15+'Mgmt Summary'!N15</f>
        <v>5883.7790000000005</v>
      </c>
      <c r="H15" s="223">
        <f>+'Mgmt Summary'!D15</f>
        <v>5883.7790000000005</v>
      </c>
      <c r="I15" s="224">
        <f t="shared" si="1"/>
        <v>0</v>
      </c>
      <c r="J15" s="225"/>
      <c r="K15" s="222">
        <f t="shared" si="2"/>
        <v>-5439.7790000000005</v>
      </c>
      <c r="L15" s="223">
        <f t="shared" si="2"/>
        <v>21616.220999999998</v>
      </c>
      <c r="M15" s="224">
        <f t="shared" si="3"/>
        <v>-27056</v>
      </c>
      <c r="N15" s="286"/>
      <c r="O15" s="222">
        <f>+C15-'[4]QTD Mgmt Summary'!C15</f>
        <v>-39</v>
      </c>
      <c r="P15" s="223">
        <f>-G15+'[4]QTD Mgmt Summary'!G15</f>
        <v>0</v>
      </c>
      <c r="Q15" s="224">
        <f t="shared" ref="Q15:Q20" si="5">+O15+P15</f>
        <v>-39</v>
      </c>
    </row>
    <row r="16" spans="1:22" s="32" customFormat="1" ht="13.5" customHeight="1">
      <c r="A16" s="220" t="s">
        <v>127</v>
      </c>
      <c r="B16" s="221"/>
      <c r="C16" s="222">
        <f>+'Mgmt Summary'!J16</f>
        <v>29</v>
      </c>
      <c r="D16" s="223">
        <f>+'Mgmt Summary'!C16</f>
        <v>1311</v>
      </c>
      <c r="E16" s="224">
        <f t="shared" si="0"/>
        <v>-1282</v>
      </c>
      <c r="F16" s="225"/>
      <c r="G16" s="222">
        <f>+'Mgmt Summary'!M16+'Mgmt Summary'!N16</f>
        <v>4962.96</v>
      </c>
      <c r="H16" s="223">
        <f>+'Mgmt Summary'!D16</f>
        <v>4962.96</v>
      </c>
      <c r="I16" s="224">
        <f t="shared" si="1"/>
        <v>0</v>
      </c>
      <c r="J16" s="225"/>
      <c r="K16" s="222">
        <f t="shared" si="2"/>
        <v>-4933.96</v>
      </c>
      <c r="L16" s="223">
        <f t="shared" si="2"/>
        <v>-3651.96</v>
      </c>
      <c r="M16" s="224">
        <f t="shared" si="3"/>
        <v>-1282</v>
      </c>
      <c r="N16" s="286"/>
      <c r="O16" s="222">
        <f>+C16-'[4]QTD Mgmt Summary'!C16</f>
        <v>12</v>
      </c>
      <c r="P16" s="223">
        <f>(-G16+'[4]QTD Mgmt Summary'!G16)*0</f>
        <v>0</v>
      </c>
      <c r="Q16" s="224">
        <f t="shared" si="5"/>
        <v>12</v>
      </c>
    </row>
    <row r="17" spans="1:19" s="32" customFormat="1" ht="13.5" customHeight="1">
      <c r="A17" s="220" t="s">
        <v>87</v>
      </c>
      <c r="B17" s="221"/>
      <c r="C17" s="222">
        <f>+'Mgmt Summary'!J17</f>
        <v>130</v>
      </c>
      <c r="D17" s="223">
        <f>+'Mgmt Summary'!C17</f>
        <v>5000</v>
      </c>
      <c r="E17" s="224">
        <f t="shared" si="0"/>
        <v>-4870</v>
      </c>
      <c r="F17" s="225"/>
      <c r="G17" s="222">
        <f>+'Mgmt Summary'!M17+'Mgmt Summary'!N17</f>
        <v>2637.2529999999997</v>
      </c>
      <c r="H17" s="223">
        <f>+'Mgmt Summary'!D17</f>
        <v>2637.2529999999997</v>
      </c>
      <c r="I17" s="224">
        <f>+H17-G17</f>
        <v>0</v>
      </c>
      <c r="J17" s="225"/>
      <c r="K17" s="222">
        <f t="shared" si="2"/>
        <v>-2507.2529999999997</v>
      </c>
      <c r="L17" s="223">
        <f t="shared" si="2"/>
        <v>2362.7470000000003</v>
      </c>
      <c r="M17" s="224">
        <f t="shared" si="3"/>
        <v>-4870</v>
      </c>
      <c r="N17" s="286"/>
      <c r="O17" s="222">
        <f>+C17-'[4]QTD Mgmt Summary'!C17</f>
        <v>127</v>
      </c>
      <c r="P17" s="223">
        <f>-G17+'[4]QTD Mgmt Summary'!G17</f>
        <v>0</v>
      </c>
      <c r="Q17" s="224">
        <f t="shared" si="5"/>
        <v>127</v>
      </c>
      <c r="S17" s="289"/>
    </row>
    <row r="18" spans="1:19" s="32" customFormat="1" ht="13.5" customHeight="1">
      <c r="A18" s="220" t="s">
        <v>89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0</v>
      </c>
      <c r="P18" s="223">
        <f>-G18+'[4]QTD Mgmt Summary'!G18</f>
        <v>0</v>
      </c>
      <c r="Q18" s="224">
        <f t="shared" si="5"/>
        <v>0</v>
      </c>
    </row>
    <row r="19" spans="1:19" s="32" customFormat="1" ht="13.5" customHeight="1">
      <c r="A19" s="220" t="s">
        <v>118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-G19+'[4]QTD Mgmt Summary'!G19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1261.2240000000002</v>
      </c>
      <c r="H20" s="223">
        <f>+'Mgmt Summary'!D20</f>
        <v>1011.224</v>
      </c>
      <c r="I20" s="224">
        <f>+H20-G20</f>
        <v>-250.00000000000011</v>
      </c>
      <c r="J20" s="225"/>
      <c r="K20" s="222">
        <f t="shared" si="2"/>
        <v>-1261.2240000000002</v>
      </c>
      <c r="L20" s="223">
        <f t="shared" si="2"/>
        <v>-1011.224</v>
      </c>
      <c r="M20" s="224">
        <f t="shared" si="3"/>
        <v>-250.00000000000011</v>
      </c>
      <c r="N20" s="286"/>
      <c r="O20" s="222">
        <f>+C20-'[4]QTD Mgmt Summary'!C20</f>
        <v>0</v>
      </c>
      <c r="P20" s="223">
        <f>-G20+'[4]QTD Mgmt Summary'!G20</f>
        <v>-250.00000000000011</v>
      </c>
      <c r="Q20" s="224">
        <f t="shared" si="5"/>
        <v>-250.00000000000011</v>
      </c>
    </row>
    <row r="21" spans="1:19" s="32" customFormat="1" ht="13.5" customHeight="1">
      <c r="A21" s="220" t="s">
        <v>129</v>
      </c>
      <c r="B21" s="221"/>
      <c r="C21" s="222">
        <f>+'Mgmt Summary'!J21</f>
        <v>0</v>
      </c>
      <c r="D21" s="223">
        <f>+'Mgmt Summary'!C21</f>
        <v>3903</v>
      </c>
      <c r="E21" s="224">
        <f>-D21+C21</f>
        <v>-3903</v>
      </c>
      <c r="F21" s="225"/>
      <c r="G21" s="222">
        <f>+'Mgmt Summary'!L21+'Mgmt Summary'!M21+'Mgmt Summary'!N21</f>
        <v>0</v>
      </c>
      <c r="H21" s="223">
        <f>+'Mgmt Summary'!D21</f>
        <v>0</v>
      </c>
      <c r="I21" s="224">
        <f>+H21-G21</f>
        <v>0</v>
      </c>
      <c r="J21" s="225"/>
      <c r="K21" s="222">
        <f>C21-G21</f>
        <v>0</v>
      </c>
      <c r="L21" s="223">
        <f>D21-H21</f>
        <v>3903</v>
      </c>
      <c r="M21" s="224">
        <f>K21-L21</f>
        <v>-3903</v>
      </c>
      <c r="N21" s="286"/>
      <c r="O21" s="222">
        <f>(+C21-'[4]QTD Mgmt Summary'!C26)*0</f>
        <v>0</v>
      </c>
      <c r="P21" s="223">
        <f>-G21+'[4]QTD Mgmt Summary'!G21</f>
        <v>0</v>
      </c>
      <c r="Q21" s="224">
        <f>+O21+P21</f>
        <v>0</v>
      </c>
    </row>
    <row r="22" spans="1:19" ht="4.5" customHeight="1">
      <c r="A22" s="208"/>
      <c r="B22" s="203"/>
      <c r="C22" s="212"/>
      <c r="D22" s="213"/>
      <c r="E22" s="214"/>
      <c r="F22" s="215"/>
      <c r="G22" s="218"/>
      <c r="H22" s="213"/>
      <c r="I22" s="214"/>
      <c r="J22" s="215"/>
      <c r="K22" s="212"/>
      <c r="L22" s="213"/>
      <c r="M22" s="214"/>
      <c r="N22" s="285"/>
      <c r="O22" s="212"/>
      <c r="P22" s="213"/>
      <c r="Q22" s="214"/>
    </row>
    <row r="23" spans="1:19" s="217" customFormat="1" ht="13.8">
      <c r="A23" s="226" t="s">
        <v>3</v>
      </c>
      <c r="B23" s="216"/>
      <c r="C23" s="231">
        <f>SUM(C9:C22)</f>
        <v>-17117</v>
      </c>
      <c r="D23" s="232">
        <f>SUM(D9:D22)</f>
        <v>109290.318</v>
      </c>
      <c r="E23" s="233">
        <f>SUM(E9:E22)</f>
        <v>-126407.318</v>
      </c>
      <c r="F23" s="234"/>
      <c r="G23" s="231">
        <f>SUM(G9:G22)</f>
        <v>49550.137000000002</v>
      </c>
      <c r="H23" s="232">
        <f>SUM(H9:H22)</f>
        <v>49300.137000000002</v>
      </c>
      <c r="I23" s="233">
        <f>SUM(I9:I22)</f>
        <v>-250.00000000000011</v>
      </c>
      <c r="J23" s="234"/>
      <c r="K23" s="231">
        <f>SUM(K9:K22)</f>
        <v>-66667.137000000002</v>
      </c>
      <c r="L23" s="232">
        <f>SUM(L9:L22)</f>
        <v>59990.180999999997</v>
      </c>
      <c r="M23" s="233">
        <f>SUM(M9:M22)</f>
        <v>-126657.318</v>
      </c>
      <c r="N23" s="287"/>
      <c r="O23" s="231">
        <f>SUM(O9:O22)</f>
        <v>-6520</v>
      </c>
      <c r="P23" s="232">
        <f>SUM(P9:P22)</f>
        <v>-250.00000000000011</v>
      </c>
      <c r="Q23" s="233">
        <f>SUM(Q9:Q22)</f>
        <v>-6770</v>
      </c>
    </row>
    <row r="24" spans="1:19" ht="4.5" customHeight="1">
      <c r="A24" s="208"/>
      <c r="B24" s="203"/>
      <c r="C24" s="212"/>
      <c r="D24" s="213"/>
      <c r="E24" s="214"/>
      <c r="F24" s="215"/>
      <c r="G24" s="218"/>
      <c r="H24" s="213"/>
      <c r="I24" s="214"/>
      <c r="J24" s="215"/>
      <c r="K24" s="212"/>
      <c r="L24" s="213"/>
      <c r="M24" s="214"/>
      <c r="N24" s="285"/>
      <c r="O24" s="212"/>
      <c r="P24" s="213"/>
      <c r="Q24" s="214"/>
    </row>
    <row r="25" spans="1:19" s="32" customFormat="1" ht="13.5" customHeight="1">
      <c r="A25" s="220" t="s">
        <v>94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28870.740999999998</v>
      </c>
      <c r="H25" s="223">
        <f>+'Mgmt Summary'!D25</f>
        <v>28870.740999999998</v>
      </c>
      <c r="I25" s="224">
        <f>+H25-G25</f>
        <v>0</v>
      </c>
      <c r="J25" s="225"/>
      <c r="K25" s="222">
        <f>C25-G25</f>
        <v>-28870.740999999998</v>
      </c>
      <c r="L25" s="223">
        <f>D25-H25</f>
        <v>-28870.740999999998</v>
      </c>
      <c r="M25" s="224">
        <f>K25-L25</f>
        <v>0</v>
      </c>
      <c r="N25" s="286"/>
      <c r="O25" s="222">
        <f>+C25-'[4]QTD Mgmt Summary'!C24</f>
        <v>0</v>
      </c>
      <c r="P25" s="223">
        <f>(-G25+'[4]QTD Mgmt Summary'!G25)*0</f>
        <v>0</v>
      </c>
      <c r="Q25" s="224">
        <f>+O25+P25</f>
        <v>0</v>
      </c>
    </row>
    <row r="26" spans="1:19" s="32" customFormat="1" ht="13.5" customHeight="1">
      <c r="A26" s="220" t="s">
        <v>91</v>
      </c>
      <c r="B26" s="221"/>
      <c r="C26" s="222">
        <f>+'Mgmt Summary'!J26</f>
        <v>0</v>
      </c>
      <c r="D26" s="223">
        <f>+'Mgmt Summary'!C26</f>
        <v>0</v>
      </c>
      <c r="E26" s="224">
        <f>-D26+C26</f>
        <v>0</v>
      </c>
      <c r="F26" s="225"/>
      <c r="G26" s="222">
        <f>+'Mgmt Summary'!L26+'Mgmt Summary'!M26+'Mgmt Summary'!N26</f>
        <v>-22112.197000000004</v>
      </c>
      <c r="H26" s="223">
        <f>+'Mgmt Summary'!D26</f>
        <v>-22112.197000000004</v>
      </c>
      <c r="I26" s="224">
        <f>+H26-G26</f>
        <v>0</v>
      </c>
      <c r="J26" s="225"/>
      <c r="K26" s="222">
        <f t="shared" ref="K26:L28" si="6">C26-G26</f>
        <v>22112.197000000004</v>
      </c>
      <c r="L26" s="223">
        <f t="shared" si="6"/>
        <v>22112.197000000004</v>
      </c>
      <c r="M26" s="224">
        <f>K26-L26</f>
        <v>0</v>
      </c>
      <c r="N26" s="286"/>
      <c r="O26" s="222">
        <f>+C26-'[4]QTD Mgmt Summary'!C25</f>
        <v>0</v>
      </c>
      <c r="P26" s="223">
        <f>(-G26+'[4]QTD Mgmt Summary'!G26)*0</f>
        <v>0</v>
      </c>
      <c r="Q26" s="224">
        <f>+O26+P26</f>
        <v>0</v>
      </c>
    </row>
    <row r="27" spans="1:19" s="32" customFormat="1" ht="13.5" customHeight="1">
      <c r="A27" s="220" t="s">
        <v>10</v>
      </c>
      <c r="B27" s="221"/>
      <c r="C27" s="222">
        <f>+'Mgmt Summary'!J27</f>
        <v>-500</v>
      </c>
      <c r="D27" s="223">
        <f>+'Mgmt Summary'!C27</f>
        <v>-500</v>
      </c>
      <c r="E27" s="224">
        <f>-D27+C27</f>
        <v>0</v>
      </c>
      <c r="F27" s="225"/>
      <c r="G27" s="222">
        <f>+[2]Expenses!D26</f>
        <v>0</v>
      </c>
      <c r="H27" s="223">
        <f>+[2]Expenses!E26</f>
        <v>0</v>
      </c>
      <c r="I27" s="224">
        <f>+H27-G27</f>
        <v>0</v>
      </c>
      <c r="J27" s="225"/>
      <c r="K27" s="222">
        <f>C27-G27</f>
        <v>-500</v>
      </c>
      <c r="L27" s="223">
        <f>D27-H27</f>
        <v>-500</v>
      </c>
      <c r="M27" s="224">
        <f>K27-L27</f>
        <v>0</v>
      </c>
      <c r="N27" s="286"/>
      <c r="O27" s="222">
        <f>(+C27-'[4]QTD Mgmt Summary'!C27)*0</f>
        <v>0</v>
      </c>
      <c r="P27" s="223">
        <f>(-G27+'[4]QTD Mgmt Summary'!G27)</f>
        <v>0</v>
      </c>
      <c r="Q27" s="224">
        <f>+O27+P27</f>
        <v>0</v>
      </c>
    </row>
    <row r="28" spans="1:19" s="32" customFormat="1" ht="13.5" hidden="1" customHeight="1">
      <c r="A28" s="220" t="s">
        <v>34</v>
      </c>
      <c r="B28" s="221"/>
      <c r="C28" s="222">
        <f>+'Mgmt Summary'!J28</f>
        <v>0</v>
      </c>
      <c r="D28" s="223">
        <f>+'Mgmt Summary'!C28</f>
        <v>0</v>
      </c>
      <c r="E28" s="224">
        <f>-D28+C28</f>
        <v>0</v>
      </c>
      <c r="F28" s="225"/>
      <c r="G28" s="222">
        <f>+'[2]Alloc Exp'!D26</f>
        <v>0</v>
      </c>
      <c r="H28" s="223">
        <f>+'[2]Alloc Exp'!E26</f>
        <v>0</v>
      </c>
      <c r="I28" s="224">
        <f>+H28-G28</f>
        <v>0</v>
      </c>
      <c r="J28" s="225"/>
      <c r="K28" s="222">
        <f t="shared" si="6"/>
        <v>0</v>
      </c>
      <c r="L28" s="223">
        <f t="shared" si="6"/>
        <v>0</v>
      </c>
      <c r="M28" s="224">
        <f>K28-L28</f>
        <v>0</v>
      </c>
      <c r="N28" s="286"/>
      <c r="O28" s="222">
        <f>+C28-'[2]QTD Mgmt Summary'!C27</f>
        <v>0</v>
      </c>
      <c r="P28" s="223">
        <f>-G28+'[2]QTD Mgmt Summary'!G27</f>
        <v>0</v>
      </c>
      <c r="Q28" s="224">
        <f>+O28+P28</f>
        <v>0</v>
      </c>
    </row>
    <row r="29" spans="1:19" ht="4.5" customHeight="1">
      <c r="A29" s="208"/>
      <c r="B29" s="203"/>
      <c r="C29" s="212"/>
      <c r="D29" s="213"/>
      <c r="E29" s="214"/>
      <c r="F29" s="215"/>
      <c r="G29" s="218"/>
      <c r="H29" s="213"/>
      <c r="I29" s="214"/>
      <c r="J29" s="215"/>
      <c r="K29" s="212"/>
      <c r="L29" s="213"/>
      <c r="M29" s="214"/>
      <c r="N29" s="285"/>
      <c r="O29" s="212"/>
      <c r="P29" s="213"/>
      <c r="Q29" s="214"/>
    </row>
    <row r="30" spans="1:19" s="217" customFormat="1" ht="13.8">
      <c r="A30" s="226" t="s">
        <v>73</v>
      </c>
      <c r="B30" s="216"/>
      <c r="C30" s="231">
        <f>SUM(C23:C28)</f>
        <v>-17617</v>
      </c>
      <c r="D30" s="232">
        <f>SUM(D23:D28)</f>
        <v>108790.318</v>
      </c>
      <c r="E30" s="233">
        <f>SUM(E23:E28)</f>
        <v>-126407.318</v>
      </c>
      <c r="F30" s="234"/>
      <c r="G30" s="231">
        <f>SUM(G23:G28)</f>
        <v>56308.680999999997</v>
      </c>
      <c r="H30" s="232">
        <f>SUM(H23:H28)</f>
        <v>56058.680999999997</v>
      </c>
      <c r="I30" s="233">
        <f>SUM(I23:I28)</f>
        <v>-250.00000000000011</v>
      </c>
      <c r="J30" s="234"/>
      <c r="K30" s="231">
        <f>SUM(K23:K28)</f>
        <v>-73925.680999999997</v>
      </c>
      <c r="L30" s="232">
        <f>SUM(L23:L28)</f>
        <v>52731.637000000002</v>
      </c>
      <c r="M30" s="233">
        <f>SUM(M23:M28)</f>
        <v>-126657.318</v>
      </c>
      <c r="N30" s="287"/>
      <c r="O30" s="231">
        <f>SUM(O23:O28)</f>
        <v>-6520</v>
      </c>
      <c r="P30" s="232">
        <f>SUM(P23:P28)</f>
        <v>-250.00000000000011</v>
      </c>
      <c r="Q30" s="233">
        <f>SUM(Q23:Q28)</f>
        <v>-6770</v>
      </c>
    </row>
    <row r="31" spans="1:19" ht="4.5" customHeight="1">
      <c r="A31" s="208"/>
      <c r="B31" s="203"/>
      <c r="C31" s="222"/>
      <c r="D31" s="223"/>
      <c r="E31" s="224"/>
      <c r="F31" s="225"/>
      <c r="G31" s="235"/>
      <c r="H31" s="223"/>
      <c r="I31" s="224"/>
      <c r="J31" s="225"/>
      <c r="K31" s="222"/>
      <c r="L31" s="223"/>
      <c r="M31" s="224"/>
      <c r="N31" s="285"/>
      <c r="O31" s="222"/>
      <c r="P31" s="223"/>
      <c r="Q31" s="224"/>
    </row>
    <row r="32" spans="1:19" s="32" customFormat="1" ht="13.5" customHeight="1">
      <c r="A32" s="220" t="s">
        <v>56</v>
      </c>
      <c r="B32" s="221"/>
      <c r="C32" s="222">
        <f>+'Mgmt Summary'!J32</f>
        <v>0</v>
      </c>
      <c r="D32" s="223">
        <f>+'Mgmt Summary'!C32</f>
        <v>0</v>
      </c>
      <c r="E32" s="224">
        <f>D32-C32</f>
        <v>0</v>
      </c>
      <c r="F32" s="225"/>
      <c r="G32" s="222">
        <f>+'Mgmt Summary'!M32</f>
        <v>308</v>
      </c>
      <c r="H32" s="223">
        <f>+'Mgmt Summary'!D32</f>
        <v>308</v>
      </c>
      <c r="I32" s="224">
        <f>+H32-G32</f>
        <v>0</v>
      </c>
      <c r="J32" s="225"/>
      <c r="K32" s="222">
        <f>C32-G32</f>
        <v>-308</v>
      </c>
      <c r="L32" s="223">
        <f>D32-H32</f>
        <v>-308</v>
      </c>
      <c r="M32" s="224">
        <f>K32-L32</f>
        <v>0</v>
      </c>
      <c r="N32" s="286"/>
      <c r="O32" s="222">
        <f>(+C32-'[4]QTD Mgmt Summary'!C32)*0</f>
        <v>0</v>
      </c>
      <c r="P32" s="223">
        <f>(-G32+'[4]QTD Mgmt Summary'!G32)*0</f>
        <v>0</v>
      </c>
      <c r="Q32" s="224">
        <f>+O32+P32</f>
        <v>0</v>
      </c>
    </row>
    <row r="33" spans="1:17" ht="4.5" customHeight="1" thickBot="1">
      <c r="A33" s="208"/>
      <c r="B33" s="203"/>
      <c r="C33" s="222"/>
      <c r="D33" s="223"/>
      <c r="E33" s="224"/>
      <c r="F33" s="225"/>
      <c r="G33" s="235"/>
      <c r="H33" s="223"/>
      <c r="I33" s="224"/>
      <c r="J33" s="225"/>
      <c r="K33" s="222"/>
      <c r="L33" s="223"/>
      <c r="M33" s="224"/>
      <c r="N33" s="285"/>
      <c r="O33" s="222"/>
      <c r="P33" s="223"/>
      <c r="Q33" s="224"/>
    </row>
    <row r="34" spans="1:17" s="217" customFormat="1" ht="14.4" thickBot="1">
      <c r="A34" s="227" t="s">
        <v>74</v>
      </c>
      <c r="B34" s="219"/>
      <c r="C34" s="236">
        <f>+C30-C32</f>
        <v>-17617</v>
      </c>
      <c r="D34" s="237">
        <f>+D30-D32</f>
        <v>108790.318</v>
      </c>
      <c r="E34" s="260">
        <f>+E30-E32</f>
        <v>-126407.318</v>
      </c>
      <c r="F34" s="238"/>
      <c r="G34" s="236">
        <f>SUM(G30:G32)</f>
        <v>56616.680999999997</v>
      </c>
      <c r="H34" s="237">
        <f>SUM(H30:H32)</f>
        <v>56366.680999999997</v>
      </c>
      <c r="I34" s="260">
        <f>SUM(I30:I32)</f>
        <v>-250.00000000000011</v>
      </c>
      <c r="J34" s="238"/>
      <c r="K34" s="236">
        <f>SUM(K30:K32)</f>
        <v>-74233.680999999997</v>
      </c>
      <c r="L34" s="237">
        <f>SUM(L30:L32)</f>
        <v>52423.637000000002</v>
      </c>
      <c r="M34" s="260">
        <f>SUM(M30:M32)</f>
        <v>-126657.318</v>
      </c>
      <c r="N34" s="287"/>
      <c r="O34" s="236">
        <f>SUM(O30:O32)</f>
        <v>-6520</v>
      </c>
      <c r="P34" s="237">
        <f>SUM(P30:P32)</f>
        <v>-250.00000000000011</v>
      </c>
      <c r="Q34" s="260">
        <f>SUM(Q30:Q32)</f>
        <v>-6770</v>
      </c>
    </row>
    <row r="35" spans="1:17" ht="3" customHeight="1">
      <c r="A35" s="66"/>
      <c r="C35" s="67"/>
      <c r="D35" s="22"/>
      <c r="E35" s="66"/>
      <c r="F35" s="23"/>
      <c r="I35" s="66"/>
    </row>
    <row r="36" spans="1:17">
      <c r="A36" s="246" t="s">
        <v>121</v>
      </c>
      <c r="C36" s="23"/>
      <c r="D36" s="22"/>
      <c r="E36" s="23"/>
      <c r="F36" s="23"/>
      <c r="I36" s="23"/>
    </row>
    <row r="37" spans="1:17">
      <c r="M37" s="184"/>
      <c r="Q37" s="184"/>
    </row>
    <row r="38" spans="1:17">
      <c r="L38" s="165"/>
    </row>
    <row r="39" spans="1:17" ht="13.8" hidden="1">
      <c r="C39" s="278" t="s">
        <v>106</v>
      </c>
      <c r="D39" s="279"/>
      <c r="E39" s="280"/>
      <c r="G39" s="278" t="s">
        <v>107</v>
      </c>
      <c r="H39" s="279"/>
      <c r="I39" s="279"/>
      <c r="J39" s="280"/>
    </row>
    <row r="40" spans="1:17" hidden="1">
      <c r="C40" s="265" t="s">
        <v>95</v>
      </c>
      <c r="D40" s="266"/>
      <c r="E40" s="267">
        <f>+'[2]GM-WeeklyChnge'!C38</f>
        <v>-4872.4930000000004</v>
      </c>
      <c r="G40" s="265" t="s">
        <v>96</v>
      </c>
      <c r="H40" s="266"/>
      <c r="I40" s="268">
        <f>+'[2]Expense Weekly Change'!E22+'[2]Expense Weekly Change'!E21</f>
        <v>488</v>
      </c>
      <c r="J40" s="283"/>
    </row>
    <row r="41" spans="1:17" hidden="1">
      <c r="C41" s="265" t="s">
        <v>97</v>
      </c>
      <c r="D41" s="266"/>
      <c r="E41" s="267">
        <f>+'[2]GM-WeeklyChnge'!D38</f>
        <v>-132.97831000000002</v>
      </c>
      <c r="G41" s="265" t="s">
        <v>98</v>
      </c>
      <c r="H41" s="266"/>
      <c r="I41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1" s="269"/>
    </row>
    <row r="42" spans="1:17" hidden="1">
      <c r="C42" s="265" t="s">
        <v>99</v>
      </c>
      <c r="D42" s="266"/>
      <c r="E42" s="267">
        <f>+'[2]GM-WeeklyChnge'!E38+'[2]GM-WeeklyChnge'!F38+'[2]GM-WeeklyChnge'!G38</f>
        <v>3440.893</v>
      </c>
      <c r="G42" s="265" t="s">
        <v>27</v>
      </c>
      <c r="H42" s="266"/>
      <c r="I42" s="268">
        <f>-G32+'[2]QTD Mgmt Summary'!$G$37</f>
        <v>-308</v>
      </c>
      <c r="J42" s="269"/>
    </row>
    <row r="43" spans="1:17" hidden="1">
      <c r="C43" s="270"/>
      <c r="D43" s="271"/>
      <c r="E43" s="272"/>
      <c r="G43" s="270"/>
      <c r="H43" s="271"/>
      <c r="I43" s="273"/>
      <c r="J43" s="274"/>
    </row>
    <row r="44" spans="1:17" ht="13.8" hidden="1">
      <c r="C44" s="275" t="s">
        <v>100</v>
      </c>
      <c r="D44" s="276"/>
      <c r="E44" s="277">
        <f>SUM(E40:E43)</f>
        <v>-1564.5783100000008</v>
      </c>
      <c r="G44" s="275" t="s">
        <v>100</v>
      </c>
      <c r="H44" s="276"/>
      <c r="I44" s="281">
        <f>SUM(I40:I43)</f>
        <v>5133</v>
      </c>
      <c r="J44" s="282"/>
    </row>
    <row r="45" spans="1:17" hidden="1"/>
    <row r="46" spans="1:17" ht="13.8" hidden="1">
      <c r="C46" s="278" t="s">
        <v>104</v>
      </c>
      <c r="D46" s="279"/>
      <c r="E46" s="280"/>
      <c r="G46" s="278" t="s">
        <v>105</v>
      </c>
      <c r="H46" s="279"/>
      <c r="I46" s="279"/>
      <c r="J46" s="280"/>
    </row>
    <row r="47" spans="1:17" hidden="1">
      <c r="C47" s="265" t="s">
        <v>101</v>
      </c>
      <c r="D47" s="266"/>
      <c r="E47" s="267">
        <f>+[2]GrossMargin!$I$40</f>
        <v>0</v>
      </c>
      <c r="G47" s="265" t="s">
        <v>101</v>
      </c>
      <c r="H47" s="266"/>
      <c r="I47" s="268" t="str">
        <f>+'[2]QTD Mgmt Summary'!$G$39</f>
        <v>Operating Expense</v>
      </c>
      <c r="J47" s="283"/>
    </row>
    <row r="48" spans="1:17" hidden="1">
      <c r="C48" s="265" t="s">
        <v>102</v>
      </c>
      <c r="D48" s="266"/>
      <c r="E48" s="267">
        <f>+GrossMargin!I33</f>
        <v>-17617</v>
      </c>
      <c r="G48" s="265" t="s">
        <v>102</v>
      </c>
      <c r="H48" s="266"/>
      <c r="I48" s="268">
        <f>+G34</f>
        <v>56616.680999999997</v>
      </c>
      <c r="J48" s="269"/>
    </row>
    <row r="49" spans="3:10" hidden="1">
      <c r="C49" s="265"/>
      <c r="D49" s="266"/>
      <c r="E49" s="267"/>
      <c r="G49" s="265"/>
      <c r="H49" s="266"/>
      <c r="I49" s="268"/>
      <c r="J49" s="269"/>
    </row>
    <row r="50" spans="3:10" ht="13.8" hidden="1">
      <c r="C50" s="275" t="s">
        <v>103</v>
      </c>
      <c r="D50" s="276"/>
      <c r="E50" s="277">
        <f>+E48-E47</f>
        <v>-17617</v>
      </c>
      <c r="G50" s="275" t="s">
        <v>103</v>
      </c>
      <c r="H50" s="276"/>
      <c r="I50" s="281" t="e">
        <f>+I48-I47</f>
        <v>#VALUE!</v>
      </c>
      <c r="J50" s="282"/>
    </row>
    <row r="51" spans="3:10">
      <c r="I51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topLeftCell="A3" zoomScaleNormal="100" workbookViewId="0">
      <selection activeCell="P20" sqref="P19:P20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2" width="7.6640625" style="14" hidden="1" customWidth="1"/>
    <col min="13" max="14" width="7.6640625" style="14" customWidth="1"/>
    <col min="15" max="15" width="8.33203125" style="14" bestFit="1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15" t="s">
        <v>69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60"/>
    </row>
    <row r="2" spans="1:24" ht="13.8">
      <c r="A2" s="316" t="s">
        <v>111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61"/>
    </row>
    <row r="3" spans="1:24" ht="13.8">
      <c r="A3" s="317" t="s">
        <v>132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62"/>
    </row>
    <row r="4" spans="1:24" ht="3" customHeight="1"/>
    <row r="5" spans="1:24" s="34" customFormat="1" ht="15" customHeight="1">
      <c r="A5" s="105"/>
      <c r="C5" s="309" t="s">
        <v>8</v>
      </c>
      <c r="D5" s="310"/>
      <c r="E5" s="311"/>
      <c r="G5" s="309" t="s">
        <v>40</v>
      </c>
      <c r="H5" s="310"/>
      <c r="I5" s="310"/>
      <c r="J5" s="310"/>
      <c r="K5" s="310"/>
      <c r="L5" s="310"/>
      <c r="M5" s="310"/>
      <c r="N5" s="310"/>
      <c r="O5" s="311"/>
      <c r="Q5" s="309" t="s">
        <v>35</v>
      </c>
      <c r="R5" s="310"/>
      <c r="S5" s="310"/>
      <c r="T5" s="310"/>
      <c r="U5" s="310"/>
      <c r="V5" s="311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119</v>
      </c>
      <c r="B9" s="35"/>
      <c r="C9" s="132">
        <f>+GrossMargin!M10</f>
        <v>32500</v>
      </c>
      <c r="D9" s="36">
        <f>+Expenses!E9+AllocExp!L10</f>
        <v>16998.016</v>
      </c>
      <c r="E9" s="134">
        <f t="shared" ref="E9:E16" si="0">C9-D9</f>
        <v>15501.984</v>
      </c>
      <c r="F9" s="36"/>
      <c r="G9" s="132">
        <f>+GrossMargin!I10</f>
        <v>-16830</v>
      </c>
      <c r="H9" s="36">
        <f>GrossMargin!J10</f>
        <v>0</v>
      </c>
      <c r="I9" s="36">
        <f>GrossMargin!K10</f>
        <v>0</v>
      </c>
      <c r="J9" s="135">
        <f>SUM(G9:I9)</f>
        <v>-16830</v>
      </c>
      <c r="K9" s="136"/>
      <c r="L9" s="138">
        <f>'[2]Alloc Exp'!D10</f>
        <v>0</v>
      </c>
      <c r="M9" s="139">
        <f>+Expenses!D9</f>
        <v>6994.3119999999999</v>
      </c>
      <c r="N9" s="139">
        <f>+AllocExp!K10</f>
        <v>10003.704</v>
      </c>
      <c r="O9" s="135">
        <f>J9-K9-M9-N9-L9</f>
        <v>-33828.015999999996</v>
      </c>
      <c r="P9" s="37"/>
      <c r="Q9" s="132">
        <f t="shared" ref="Q9:Q16" si="1">+J9-C9</f>
        <v>-49330</v>
      </c>
      <c r="R9" s="36"/>
      <c r="S9" s="36">
        <f>'[2]Alloc Exp'!F10</f>
        <v>0</v>
      </c>
      <c r="T9" s="36">
        <f>+Expenses!F9</f>
        <v>0</v>
      </c>
      <c r="U9" s="36">
        <f>+AllocExp!M10</f>
        <v>0</v>
      </c>
      <c r="V9" s="134">
        <f t="shared" ref="V9:V16" si="2">ROUND(SUM(Q9:U9),0)</f>
        <v>-49330</v>
      </c>
      <c r="W9" s="32"/>
      <c r="X9" s="165"/>
    </row>
    <row r="10" spans="1:24" ht="13.5" customHeight="1">
      <c r="A10" s="106" t="s">
        <v>1</v>
      </c>
      <c r="B10" s="35"/>
      <c r="C10" s="132">
        <f>+GrossMargin!M11</f>
        <v>11250</v>
      </c>
      <c r="D10" s="36">
        <f>+Expenses!E10+AllocExp!L11</f>
        <v>7479.1939999999995</v>
      </c>
      <c r="E10" s="134">
        <f t="shared" si="0"/>
        <v>3770.8060000000005</v>
      </c>
      <c r="F10" s="36"/>
      <c r="G10" s="132">
        <f>GrossMargin!I11</f>
        <v>2395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2395</v>
      </c>
      <c r="K10" s="136"/>
      <c r="L10" s="138">
        <f>'[2]Alloc Exp'!D11</f>
        <v>0</v>
      </c>
      <c r="M10" s="139">
        <f>+Expenses!D10</f>
        <v>4077.2150000000001</v>
      </c>
      <c r="N10" s="139">
        <f>+AllocExp!K11</f>
        <v>3401.9789999999998</v>
      </c>
      <c r="O10" s="135">
        <f t="shared" ref="O10:O20" si="4">J10-K10-M10-N10-L10</f>
        <v>-5084.1939999999995</v>
      </c>
      <c r="P10" s="37"/>
      <c r="Q10" s="132">
        <f t="shared" si="1"/>
        <v>-8855</v>
      </c>
      <c r="R10" s="36"/>
      <c r="S10" s="36">
        <f>'[2]Alloc Exp'!F11</f>
        <v>0</v>
      </c>
      <c r="T10" s="36">
        <f>+Expenses!F10</f>
        <v>0</v>
      </c>
      <c r="U10" s="36">
        <f>+AllocExp!M11</f>
        <v>0</v>
      </c>
      <c r="V10" s="134">
        <f t="shared" si="2"/>
        <v>-8855</v>
      </c>
      <c r="W10" s="32"/>
    </row>
    <row r="11" spans="1:24" ht="13.5" customHeight="1">
      <c r="A11" s="106" t="s">
        <v>122</v>
      </c>
      <c r="B11" s="35"/>
      <c r="C11" s="132">
        <f>+GrossMargin!M12</f>
        <v>2500</v>
      </c>
      <c r="D11" s="36">
        <f>+Expenses!E11+AllocExp!L12</f>
        <v>0</v>
      </c>
      <c r="E11" s="134">
        <f>C11-D11</f>
        <v>2500</v>
      </c>
      <c r="F11" s="36"/>
      <c r="G11" s="132">
        <f>GrossMargin!I12</f>
        <v>-3205</v>
      </c>
      <c r="H11" s="36">
        <f>GrossMargin!J12</f>
        <v>0</v>
      </c>
      <c r="I11" s="36">
        <f>GrossMargin!K12</f>
        <v>0</v>
      </c>
      <c r="J11" s="135">
        <f t="shared" si="3"/>
        <v>-3205</v>
      </c>
      <c r="K11" s="136"/>
      <c r="L11" s="138">
        <f>'[2]Alloc Exp'!D13</f>
        <v>0</v>
      </c>
      <c r="M11" s="139">
        <f>+Expenses!D11</f>
        <v>0</v>
      </c>
      <c r="N11" s="139">
        <f>+AllocExp!K12</f>
        <v>0</v>
      </c>
      <c r="O11" s="135">
        <f t="shared" si="4"/>
        <v>-3205</v>
      </c>
      <c r="P11" s="37"/>
      <c r="Q11" s="132">
        <f>+J11-C11</f>
        <v>-5705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-5705</v>
      </c>
      <c r="W11" s="32"/>
    </row>
    <row r="12" spans="1:24" ht="13.5" customHeight="1">
      <c r="A12" s="106" t="s">
        <v>43</v>
      </c>
      <c r="B12" s="35"/>
      <c r="C12" s="132">
        <f>+GrossMargin!M13</f>
        <v>5000</v>
      </c>
      <c r="D12" s="36">
        <f>+Expenses!E12+AllocExp!L13</f>
        <v>2158.2820000000002</v>
      </c>
      <c r="E12" s="134">
        <f t="shared" si="0"/>
        <v>2841.7179999999998</v>
      </c>
      <c r="F12" s="36"/>
      <c r="G12" s="132">
        <f>GrossMargin!I13</f>
        <v>770</v>
      </c>
      <c r="H12" s="36">
        <f>GrossMargin!J13</f>
        <v>0</v>
      </c>
      <c r="I12" s="36">
        <f>GrossMargin!K13</f>
        <v>0</v>
      </c>
      <c r="J12" s="135">
        <f t="shared" si="3"/>
        <v>770</v>
      </c>
      <c r="K12" s="136"/>
      <c r="L12" s="138">
        <f>'[2]Alloc Exp'!D14</f>
        <v>0</v>
      </c>
      <c r="M12" s="139">
        <f>+Expenses!D12</f>
        <v>1283.7809999999999</v>
      </c>
      <c r="N12" s="139">
        <f>+AllocExp!K13</f>
        <v>874.50099999999998</v>
      </c>
      <c r="O12" s="135">
        <f t="shared" si="4"/>
        <v>-1388.2819999999999</v>
      </c>
      <c r="P12" s="37"/>
      <c r="Q12" s="132">
        <f t="shared" si="1"/>
        <v>-4230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-4230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3409.2690000000002</v>
      </c>
      <c r="E13" s="134">
        <f t="shared" si="0"/>
        <v>3669.5499999999993</v>
      </c>
      <c r="F13" s="36"/>
      <c r="G13" s="132">
        <f>GrossMargin!I14</f>
        <v>595</v>
      </c>
      <c r="H13" s="36">
        <f>GrossMargin!J14</f>
        <v>0</v>
      </c>
      <c r="I13" s="36">
        <f>GrossMargin!K14</f>
        <v>0</v>
      </c>
      <c r="J13" s="135">
        <f t="shared" si="3"/>
        <v>595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1946.2619999999999</v>
      </c>
      <c r="O13" s="135">
        <f t="shared" si="4"/>
        <v>-2814.2690000000002</v>
      </c>
      <c r="P13" s="37"/>
      <c r="Q13" s="132">
        <f t="shared" si="1"/>
        <v>-6483.8189999999995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-6484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3118.5820000000003</v>
      </c>
      <c r="E14" s="134">
        <f t="shared" si="0"/>
        <v>8756.4179999999997</v>
      </c>
      <c r="F14" s="36"/>
      <c r="G14" s="132">
        <f>GrossMargin!I15</f>
        <v>0</v>
      </c>
      <c r="H14" s="36">
        <f>GrossMargin!J15</f>
        <v>0</v>
      </c>
      <c r="I14" s="36">
        <f>GrossMargin!K15</f>
        <v>0</v>
      </c>
      <c r="J14" s="135">
        <f t="shared" si="3"/>
        <v>0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814.46100000000001</v>
      </c>
      <c r="O14" s="135">
        <f t="shared" si="4"/>
        <v>-3118.5820000000003</v>
      </c>
      <c r="P14" s="37"/>
      <c r="Q14" s="132">
        <f t="shared" si="1"/>
        <v>-11875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-11875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5883.7790000000005</v>
      </c>
      <c r="E15" s="163">
        <f t="shared" si="0"/>
        <v>21616.220999999998</v>
      </c>
      <c r="F15" s="139"/>
      <c r="G15" s="132">
        <f>+GrossMargin!I22</f>
        <v>444</v>
      </c>
      <c r="H15" s="36">
        <f>GrossMargin!J16</f>
        <v>0</v>
      </c>
      <c r="I15" s="36">
        <f>GrossMargin!K16</f>
        <v>0</v>
      </c>
      <c r="J15" s="135">
        <f t="shared" si="3"/>
        <v>444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2141.165</v>
      </c>
      <c r="O15" s="135">
        <f t="shared" si="4"/>
        <v>-5439.7790000000005</v>
      </c>
      <c r="P15" s="178"/>
      <c r="Q15" s="138">
        <f t="shared" si="1"/>
        <v>-27056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-27056</v>
      </c>
      <c r="W15" s="63"/>
      <c r="X15" s="168"/>
    </row>
    <row r="16" spans="1:24" s="64" customFormat="1" ht="13.5" customHeight="1">
      <c r="A16" s="166" t="s">
        <v>127</v>
      </c>
      <c r="B16" s="177"/>
      <c r="C16" s="138">
        <f>+GrossMargin!M23</f>
        <v>1311</v>
      </c>
      <c r="D16" s="36">
        <f>+Expenses!E16+AllocExp!L17</f>
        <v>4962.96</v>
      </c>
      <c r="E16" s="163">
        <f t="shared" si="0"/>
        <v>-3651.96</v>
      </c>
      <c r="F16" s="139"/>
      <c r="G16" s="132">
        <f>+GrossMargin!I23</f>
        <v>29</v>
      </c>
      <c r="H16" s="36">
        <f>GrossMargin!J17</f>
        <v>0</v>
      </c>
      <c r="I16" s="36">
        <f>GrossMargin!K17</f>
        <v>0</v>
      </c>
      <c r="J16" s="135">
        <f t="shared" si="3"/>
        <v>29</v>
      </c>
      <c r="K16" s="136"/>
      <c r="L16" s="138">
        <f>'[2]Alloc Exp'!D18</f>
        <v>0</v>
      </c>
      <c r="M16" s="139">
        <f>+Expenses!D16</f>
        <v>4357.2929999999997</v>
      </c>
      <c r="N16" s="139">
        <f>+AllocExp!K17</f>
        <v>605.66700000000003</v>
      </c>
      <c r="O16" s="135">
        <f t="shared" si="4"/>
        <v>-4933.96</v>
      </c>
      <c r="P16" s="178"/>
      <c r="Q16" s="138">
        <f t="shared" si="1"/>
        <v>-1282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-1282</v>
      </c>
      <c r="W16" s="63"/>
      <c r="X16" s="168"/>
    </row>
    <row r="17" spans="1:24" s="64" customFormat="1" ht="13.5" customHeight="1">
      <c r="A17" s="166" t="s">
        <v>87</v>
      </c>
      <c r="B17" s="177"/>
      <c r="C17" s="138">
        <f>+GrossMargin!M24</f>
        <v>5000</v>
      </c>
      <c r="D17" s="36">
        <f>+Expenses!E17+AllocExp!L18</f>
        <v>2637.2529999999997</v>
      </c>
      <c r="E17" s="163">
        <f>C17-D17</f>
        <v>2362.7470000000003</v>
      </c>
      <c r="F17" s="139"/>
      <c r="G17" s="132">
        <f>+GrossMargin!I24</f>
        <v>130</v>
      </c>
      <c r="H17" s="36">
        <f>GrossMargin!J18</f>
        <v>0</v>
      </c>
      <c r="I17" s="36">
        <f>GrossMargin!K18</f>
        <v>0</v>
      </c>
      <c r="J17" s="135">
        <f t="shared" si="3"/>
        <v>130</v>
      </c>
      <c r="K17" s="136"/>
      <c r="L17" s="138">
        <f>'[2]Alloc Exp'!D19</f>
        <v>0</v>
      </c>
      <c r="M17" s="139">
        <f>+Expenses!D17</f>
        <v>1430.25</v>
      </c>
      <c r="N17" s="139">
        <f>+AllocExp!K18</f>
        <v>1207.0029999999999</v>
      </c>
      <c r="O17" s="135">
        <f t="shared" si="4"/>
        <v>-2507.2529999999997</v>
      </c>
      <c r="P17" s="178"/>
      <c r="Q17" s="138">
        <f>+J17-C17</f>
        <v>-4870</v>
      </c>
      <c r="R17" s="139"/>
      <c r="S17" s="139">
        <f>+'[2]Alloc Exp'!F18</f>
        <v>0</v>
      </c>
      <c r="T17" s="36">
        <f>+Expenses!F17</f>
        <v>0</v>
      </c>
      <c r="U17" s="36">
        <f>+AllocExp!M18</f>
        <v>0</v>
      </c>
      <c r="V17" s="163">
        <f>ROUND(SUM(Q17:U17),0)</f>
        <v>-4870</v>
      </c>
      <c r="W17" s="63"/>
      <c r="X17" s="168"/>
    </row>
    <row r="18" spans="1:24" s="64" customFormat="1" ht="13.5" customHeight="1">
      <c r="A18" s="166" t="s">
        <v>89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118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787.2</v>
      </c>
      <c r="N20" s="139">
        <f>+AllocExp!K21</f>
        <v>474.024</v>
      </c>
      <c r="O20" s="135">
        <f t="shared" si="4"/>
        <v>-1261.2240000000002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-250</v>
      </c>
      <c r="U20" s="36">
        <f>+AllocExp!M21</f>
        <v>0</v>
      </c>
      <c r="V20" s="134">
        <f>ROUND(SUM(Q20:U20),0)</f>
        <v>-250</v>
      </c>
      <c r="W20" s="32"/>
    </row>
    <row r="21" spans="1:24" ht="13.5" customHeight="1">
      <c r="A21" s="106" t="s">
        <v>129</v>
      </c>
      <c r="B21" s="35"/>
      <c r="C21" s="132">
        <v>3903</v>
      </c>
      <c r="D21" s="36">
        <v>0</v>
      </c>
      <c r="E21" s="134">
        <f>C21-D21</f>
        <v>3903</v>
      </c>
      <c r="F21" s="36"/>
      <c r="G21" s="132">
        <v>0</v>
      </c>
      <c r="H21" s="36"/>
      <c r="I21" s="36">
        <v>0</v>
      </c>
      <c r="J21" s="135">
        <f>SUM(G21:I21)</f>
        <v>0</v>
      </c>
      <c r="K21" s="136"/>
      <c r="L21" s="132"/>
      <c r="M21" s="36">
        <v>0</v>
      </c>
      <c r="N21" s="36">
        <v>0</v>
      </c>
      <c r="O21" s="135">
        <f>J21-K21-M21-N21-L21</f>
        <v>0</v>
      </c>
      <c r="P21" s="37"/>
      <c r="Q21" s="132">
        <f>+J21-C21</f>
        <v>-3903</v>
      </c>
      <c r="R21" s="36"/>
      <c r="S21" s="36">
        <v>0</v>
      </c>
      <c r="T21" s="36">
        <f>-T26</f>
        <v>0</v>
      </c>
      <c r="U21" s="36">
        <f>+AllocExp!M27</f>
        <v>0</v>
      </c>
      <c r="V21" s="134">
        <f>ROUND(SUM(Q21:U21),0)</f>
        <v>-3903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109290.318</v>
      </c>
      <c r="D23" s="44">
        <f>SUM(D9:D22)</f>
        <v>49300.137000000002</v>
      </c>
      <c r="E23" s="45">
        <f>SUM(E9:E22)</f>
        <v>59990.180999999997</v>
      </c>
      <c r="F23" s="36"/>
      <c r="G23" s="43">
        <f t="shared" ref="G23:N23" si="5">SUM(G9:G22)</f>
        <v>-17117</v>
      </c>
      <c r="H23" s="44">
        <f t="shared" si="5"/>
        <v>0</v>
      </c>
      <c r="I23" s="44">
        <f t="shared" si="5"/>
        <v>0</v>
      </c>
      <c r="J23" s="46">
        <f t="shared" si="5"/>
        <v>-17117</v>
      </c>
      <c r="K23" s="44">
        <f t="shared" si="5"/>
        <v>0</v>
      </c>
      <c r="L23" s="43">
        <f t="shared" si="5"/>
        <v>0</v>
      </c>
      <c r="M23" s="44">
        <f t="shared" si="5"/>
        <v>27437.94</v>
      </c>
      <c r="N23" s="44">
        <f t="shared" si="5"/>
        <v>22112.197000000004</v>
      </c>
      <c r="O23" s="46">
        <f>SUM(O9:O22)</f>
        <v>-66667.136999999988</v>
      </c>
      <c r="P23" s="37"/>
      <c r="Q23" s="43">
        <f t="shared" ref="Q23:V23" si="6">SUM(Q9:Q22)</f>
        <v>-126407.318</v>
      </c>
      <c r="R23" s="44">
        <f t="shared" si="6"/>
        <v>0</v>
      </c>
      <c r="S23" s="44">
        <f t="shared" si="6"/>
        <v>0</v>
      </c>
      <c r="T23" s="44">
        <f t="shared" si="6"/>
        <v>-250</v>
      </c>
      <c r="U23" s="44">
        <f t="shared" si="6"/>
        <v>0</v>
      </c>
      <c r="V23" s="45">
        <f t="shared" si="6"/>
        <v>-126657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94</v>
      </c>
      <c r="B25" s="35"/>
      <c r="C25" s="132">
        <v>0</v>
      </c>
      <c r="D25" s="36">
        <f>+Expenses!E24</f>
        <v>28870.740999999998</v>
      </c>
      <c r="E25" s="134">
        <f>C25-D25</f>
        <v>-28870.740999999998</v>
      </c>
      <c r="F25" s="36"/>
      <c r="G25" s="132">
        <v>0</v>
      </c>
      <c r="H25" s="36">
        <v>0</v>
      </c>
      <c r="I25" s="36">
        <v>0</v>
      </c>
      <c r="J25" s="135">
        <f>SUM(G25:I25)</f>
        <v>0</v>
      </c>
      <c r="K25" s="136"/>
      <c r="L25" s="132">
        <f>'[2]Alloc Exp'!D27</f>
        <v>0</v>
      </c>
      <c r="M25" s="36">
        <f>+Expenses!D24</f>
        <v>28870.740999999998</v>
      </c>
      <c r="N25" s="36">
        <v>0</v>
      </c>
      <c r="O25" s="135">
        <f>J25-K25-M25-N25-L25</f>
        <v>-28870.740999999998</v>
      </c>
      <c r="P25" s="37"/>
      <c r="Q25" s="132">
        <f>+J25-C25</f>
        <v>0</v>
      </c>
      <c r="R25" s="36"/>
      <c r="S25" s="36">
        <v>0</v>
      </c>
      <c r="T25" s="36">
        <f>+Expenses!F24</f>
        <v>0</v>
      </c>
      <c r="U25" s="36">
        <v>0</v>
      </c>
      <c r="V25" s="134">
        <f>ROUND(SUM(Q25:U25),0)</f>
        <v>0</v>
      </c>
      <c r="W25" s="32"/>
    </row>
    <row r="26" spans="1:24" ht="13.5" customHeight="1">
      <c r="A26" s="106" t="s">
        <v>91</v>
      </c>
      <c r="B26" s="35"/>
      <c r="C26" s="132">
        <v>0</v>
      </c>
      <c r="D26" s="36">
        <f>+AllocExp!L26</f>
        <v>-22112.197000000004</v>
      </c>
      <c r="E26" s="134">
        <f>C26-D26</f>
        <v>22112.197000000004</v>
      </c>
      <c r="F26" s="36"/>
      <c r="G26" s="132">
        <v>0</v>
      </c>
      <c r="H26" s="36"/>
      <c r="I26" s="36">
        <v>0</v>
      </c>
      <c r="J26" s="135">
        <f>SUM(G26:I26)</f>
        <v>0</v>
      </c>
      <c r="K26" s="136"/>
      <c r="L26" s="132">
        <v>0</v>
      </c>
      <c r="M26" s="36">
        <v>0</v>
      </c>
      <c r="N26" s="36">
        <f>+AllocExp!K26</f>
        <v>-22112.197000000004</v>
      </c>
      <c r="O26" s="135">
        <f>J26-K26-M26-N26-L26</f>
        <v>22112.197000000004</v>
      </c>
      <c r="P26" s="37"/>
      <c r="Q26" s="132">
        <f>+J26-C26</f>
        <v>0</v>
      </c>
      <c r="R26" s="36"/>
      <c r="S26" s="36">
        <v>0</v>
      </c>
      <c r="T26" s="36">
        <f>-T25</f>
        <v>0</v>
      </c>
      <c r="U26" s="36">
        <f>+AllocExp!M26</f>
        <v>0</v>
      </c>
      <c r="V26" s="134">
        <f>ROUND(SUM(Q26:U26),0)</f>
        <v>0</v>
      </c>
      <c r="W26" s="32"/>
    </row>
    <row r="27" spans="1:24" ht="13.5" customHeight="1">
      <c r="A27" s="106" t="s">
        <v>10</v>
      </c>
      <c r="B27" s="35"/>
      <c r="C27" s="138">
        <f>GrossMargin!M31</f>
        <v>-500</v>
      </c>
      <c r="D27" s="36">
        <v>0</v>
      </c>
      <c r="E27" s="134">
        <f>C27-D27</f>
        <v>-500</v>
      </c>
      <c r="F27" s="136"/>
      <c r="G27" s="132">
        <f>+GrossMargin!I31</f>
        <v>-500</v>
      </c>
      <c r="H27" s="36">
        <f>GrossMargin!J31</f>
        <v>0</v>
      </c>
      <c r="I27" s="36">
        <f>GrossMargin!K31</f>
        <v>0</v>
      </c>
      <c r="J27" s="135">
        <f>SUM(G27:I27)</f>
        <v>-500</v>
      </c>
      <c r="K27" s="136"/>
      <c r="L27" s="132">
        <v>0</v>
      </c>
      <c r="M27" s="36">
        <v>0</v>
      </c>
      <c r="N27" s="36">
        <v>0</v>
      </c>
      <c r="O27" s="135">
        <f>J27-K27-M27-N27-L27</f>
        <v>-500</v>
      </c>
      <c r="P27" s="37"/>
      <c r="Q27" s="132">
        <f>+J27-C27</f>
        <v>0</v>
      </c>
      <c r="R27" s="36"/>
      <c r="S27" s="36">
        <v>0</v>
      </c>
      <c r="T27" s="36">
        <f>+Expenses!F25</f>
        <v>0</v>
      </c>
      <c r="U27" s="36">
        <v>0</v>
      </c>
      <c r="V27" s="134">
        <f>ROUND(SUM(Q27:U27),0)</f>
        <v>0</v>
      </c>
      <c r="W27" s="32"/>
    </row>
    <row r="28" spans="1:24" ht="13.5" hidden="1" customHeight="1">
      <c r="A28" s="106" t="s">
        <v>34</v>
      </c>
      <c r="B28" s="35"/>
      <c r="C28" s="132">
        <v>0</v>
      </c>
      <c r="D28" s="139">
        <f>'[2]Alloc Exp'!E26</f>
        <v>0</v>
      </c>
      <c r="E28" s="134">
        <f>C28-D28</f>
        <v>0</v>
      </c>
      <c r="F28" s="36"/>
      <c r="G28" s="132">
        <v>0</v>
      </c>
      <c r="H28" s="36">
        <v>0</v>
      </c>
      <c r="I28" s="36">
        <v>0</v>
      </c>
      <c r="J28" s="135">
        <f>SUM(G28:I28)</f>
        <v>0</v>
      </c>
      <c r="K28" s="136"/>
      <c r="L28" s="138">
        <f>'[2]Alloc Exp'!D26</f>
        <v>0</v>
      </c>
      <c r="M28" s="36">
        <v>0</v>
      </c>
      <c r="N28" s="36">
        <v>0</v>
      </c>
      <c r="O28" s="135">
        <f>J28-K28-M28-N28-L28</f>
        <v>0</v>
      </c>
      <c r="P28" s="37"/>
      <c r="Q28" s="132">
        <f>+J28-C28</f>
        <v>0</v>
      </c>
      <c r="R28" s="36"/>
      <c r="S28" s="36">
        <f>'[2]Alloc Exp'!F26</f>
        <v>0</v>
      </c>
      <c r="T28" s="36">
        <v>0</v>
      </c>
      <c r="U28" s="36">
        <v>0</v>
      </c>
      <c r="V28" s="134">
        <f>ROUND(SUM(Q28:U28),0)</f>
        <v>0</v>
      </c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108790.318</v>
      </c>
      <c r="D30" s="44">
        <f>SUM(D23:D29)</f>
        <v>56058.680999999997</v>
      </c>
      <c r="E30" s="45">
        <f>SUM(E23:E29)</f>
        <v>52731.637000000002</v>
      </c>
      <c r="F30" s="36"/>
      <c r="G30" s="43">
        <f t="shared" ref="G30:N30" si="7">SUM(G23:G29)</f>
        <v>-17617</v>
      </c>
      <c r="H30" s="44">
        <f t="shared" si="7"/>
        <v>0</v>
      </c>
      <c r="I30" s="44">
        <f t="shared" si="7"/>
        <v>0</v>
      </c>
      <c r="J30" s="46">
        <f t="shared" si="7"/>
        <v>-17617</v>
      </c>
      <c r="K30" s="44">
        <f t="shared" si="7"/>
        <v>0</v>
      </c>
      <c r="L30" s="43">
        <f t="shared" si="7"/>
        <v>0</v>
      </c>
      <c r="M30" s="44">
        <f t="shared" si="7"/>
        <v>56308.680999999997</v>
      </c>
      <c r="N30" s="44">
        <f t="shared" si="7"/>
        <v>0</v>
      </c>
      <c r="O30" s="46">
        <f>J30-K30-M30-N30-L30</f>
        <v>-73925.680999999997</v>
      </c>
      <c r="P30" s="37"/>
      <c r="Q30" s="43">
        <f t="shared" ref="Q30:V30" si="8">SUM(Q23:Q29)</f>
        <v>-126407.318</v>
      </c>
      <c r="R30" s="44">
        <f t="shared" si="8"/>
        <v>0</v>
      </c>
      <c r="S30" s="44">
        <f t="shared" si="8"/>
        <v>0</v>
      </c>
      <c r="T30" s="44">
        <f t="shared" si="8"/>
        <v>-250</v>
      </c>
      <c r="U30" s="44">
        <f t="shared" si="8"/>
        <v>0</v>
      </c>
      <c r="V30" s="45">
        <f t="shared" si="8"/>
        <v>-126657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v>0</v>
      </c>
      <c r="D32" s="139">
        <v>308</v>
      </c>
      <c r="E32" s="134">
        <f>C32-D32</f>
        <v>-308</v>
      </c>
      <c r="F32" s="36"/>
      <c r="G32" s="132">
        <f>GrossMargin!I43</f>
        <v>0</v>
      </c>
      <c r="H32" s="36">
        <f>GrossMargin!J43</f>
        <v>0</v>
      </c>
      <c r="I32" s="36">
        <f>GrossMargin!K43</f>
        <v>0</v>
      </c>
      <c r="J32" s="135">
        <f>SUM(G32:I32)</f>
        <v>0</v>
      </c>
      <c r="K32" s="136"/>
      <c r="L32" s="133">
        <v>0</v>
      </c>
      <c r="M32" s="139">
        <v>308</v>
      </c>
      <c r="N32" s="36">
        <v>0</v>
      </c>
      <c r="O32" s="135">
        <f>J32-K32-M32-N32-L32</f>
        <v>-308</v>
      </c>
      <c r="P32" s="37"/>
      <c r="Q32" s="132">
        <f>+J32-C32</f>
        <v>0</v>
      </c>
      <c r="R32" s="36"/>
      <c r="S32" s="36">
        <v>0</v>
      </c>
      <c r="T32" s="36">
        <f>D32-M32</f>
        <v>0</v>
      </c>
      <c r="U32" s="36">
        <v>0</v>
      </c>
      <c r="V32" s="134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108790.318</v>
      </c>
      <c r="D34" s="40">
        <f>SUM(D30:D32)</f>
        <v>56366.680999999997</v>
      </c>
      <c r="E34" s="41">
        <f>SUM(E30:E32)</f>
        <v>52423.637000000002</v>
      </c>
      <c r="F34" s="36"/>
      <c r="G34" s="39">
        <f t="shared" ref="G34:V34" si="9">SUM(G30:G32)</f>
        <v>-17617</v>
      </c>
      <c r="H34" s="40">
        <f t="shared" si="9"/>
        <v>0</v>
      </c>
      <c r="I34" s="40">
        <f t="shared" si="9"/>
        <v>0</v>
      </c>
      <c r="J34" s="42">
        <f t="shared" si="9"/>
        <v>-17617</v>
      </c>
      <c r="K34" s="40">
        <f t="shared" si="9"/>
        <v>0</v>
      </c>
      <c r="L34" s="39">
        <f t="shared" si="9"/>
        <v>0</v>
      </c>
      <c r="M34" s="40">
        <f t="shared" si="9"/>
        <v>56616.680999999997</v>
      </c>
      <c r="N34" s="40">
        <f t="shared" si="9"/>
        <v>0</v>
      </c>
      <c r="O34" s="42">
        <f>J34-K34-M34-N34-L34</f>
        <v>-74233.680999999997</v>
      </c>
      <c r="P34" s="37"/>
      <c r="Q34" s="39">
        <f t="shared" si="9"/>
        <v>-126407.318</v>
      </c>
      <c r="R34" s="40">
        <f t="shared" si="9"/>
        <v>0</v>
      </c>
      <c r="S34" s="40">
        <f t="shared" si="9"/>
        <v>0</v>
      </c>
      <c r="T34" s="40">
        <f t="shared" si="9"/>
        <v>-250</v>
      </c>
      <c r="U34" s="40">
        <f t="shared" si="9"/>
        <v>0</v>
      </c>
      <c r="V34" s="41">
        <f t="shared" si="9"/>
        <v>-126657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8" hidden="1">
      <c r="A36" s="66"/>
      <c r="C36" s="67"/>
      <c r="D36" s="23"/>
      <c r="E36" s="66" t="s">
        <v>52</v>
      </c>
      <c r="F36" s="23"/>
      <c r="G36" s="68">
        <f>+'[2]GM-WeeklyChnge'!C44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121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F39" sqref="F39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4" width="10.88671875" style="14" customWidth="1"/>
    <col min="5" max="5" width="10.88671875" style="14" hidden="1" customWidth="1"/>
    <col min="6" max="6" width="10.88671875" style="14" customWidth="1"/>
    <col min="7" max="7" width="8.6640625" style="14" hidden="1" customWidth="1"/>
    <col min="8" max="8" width="10.6640625" style="14" customWidth="1"/>
    <col min="9" max="9" width="8.6640625" style="14" hidden="1" customWidth="1"/>
    <col min="10" max="11" width="10.88671875" style="14" customWidth="1"/>
    <col min="12" max="16384" width="9.109375" style="14"/>
  </cols>
  <sheetData>
    <row r="1" spans="1:11" ht="15.6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3.8">
      <c r="A2" s="182" t="s">
        <v>116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8">
      <c r="A3" s="183" t="str">
        <f>+'Mgmt Summary'!A3:V3</f>
        <v>Results based on activity through April 20,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2">
      <c r="A6" s="106"/>
      <c r="C6" s="112"/>
      <c r="D6" s="35"/>
      <c r="E6" s="118"/>
      <c r="F6" s="118" t="s">
        <v>124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4.4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119</v>
      </c>
      <c r="B9" s="34"/>
      <c r="C9" s="138">
        <f>+GrossMargin!D10-[4]GrossMargin!D10</f>
        <v>-5666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-5666</v>
      </c>
      <c r="I9" s="132">
        <v>0</v>
      </c>
      <c r="J9" s="36">
        <f>+GrossMargin!K10-[4]GrossMargin!K10</f>
        <v>0</v>
      </c>
      <c r="K9" s="134">
        <f t="shared" ref="K9:K20" si="1">SUM(H9:J9)</f>
        <v>-5666</v>
      </c>
    </row>
    <row r="10" spans="1:11" s="187" customFormat="1" ht="13.5" customHeight="1">
      <c r="A10" s="106" t="s">
        <v>1</v>
      </c>
      <c r="B10" s="34"/>
      <c r="C10" s="138">
        <f>+GrossMargin!D11-[4]GrossMargin!D11</f>
        <v>215</v>
      </c>
      <c r="D10" s="36">
        <f>+GrossMargin!E11-[4]GrossMargin!E11</f>
        <v>0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215</v>
      </c>
      <c r="I10" s="132">
        <v>0</v>
      </c>
      <c r="J10" s="36">
        <f>+GrossMargin!K11-[4]GrossMargin!K11</f>
        <v>0</v>
      </c>
      <c r="K10" s="134">
        <f t="shared" si="1"/>
        <v>215</v>
      </c>
    </row>
    <row r="11" spans="1:11" s="187" customFormat="1" ht="13.5" customHeight="1">
      <c r="A11" s="106" t="s">
        <v>122</v>
      </c>
      <c r="B11" s="34"/>
      <c r="C11" s="138">
        <f>+GrossMargin!D12-[4]GrossMargin!D12</f>
        <v>-1707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-1707</v>
      </c>
      <c r="I11" s="132">
        <v>0</v>
      </c>
      <c r="J11" s="36">
        <f>+GrossMargin!K12-[4]GrossMargin!K12</f>
        <v>0</v>
      </c>
      <c r="K11" s="134">
        <f t="shared" si="1"/>
        <v>-1707</v>
      </c>
    </row>
    <row r="12" spans="1:11" s="187" customFormat="1" ht="13.5" customHeight="1">
      <c r="A12" s="106" t="s">
        <v>43</v>
      </c>
      <c r="B12" s="34"/>
      <c r="C12" s="138">
        <f>+GrossMargin!D13-[4]GrossMargin!D13</f>
        <v>559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559</v>
      </c>
      <c r="I12" s="132">
        <v>0</v>
      </c>
      <c r="J12" s="36">
        <f>+GrossMargin!K13-[4]GrossMargin!K13</f>
        <v>0</v>
      </c>
      <c r="K12" s="134">
        <f t="shared" si="1"/>
        <v>559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-21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-21</v>
      </c>
      <c r="I13" s="132">
        <v>0</v>
      </c>
      <c r="J13" s="36">
        <f>+GrossMargin!K14-[4]GrossMargin!K14</f>
        <v>0</v>
      </c>
      <c r="K13" s="134">
        <f t="shared" si="1"/>
        <v>-21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0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0</v>
      </c>
      <c r="I14" s="132">
        <v>0</v>
      </c>
      <c r="J14" s="36">
        <f>+GrossMargin!K15-[4]GrossMargin!K15</f>
        <v>0</v>
      </c>
      <c r="K14" s="134">
        <f t="shared" si="1"/>
        <v>0</v>
      </c>
    </row>
    <row r="15" spans="1:11" ht="13.5" hidden="1" customHeight="1">
      <c r="A15" s="304" t="s">
        <v>79</v>
      </c>
      <c r="B15" s="245"/>
      <c r="C15" s="240">
        <f>+GrossMargin!D16-[4]GrossMargin!D16</f>
        <v>-1059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-1059</v>
      </c>
      <c r="I15" s="290">
        <v>0</v>
      </c>
      <c r="J15" s="242">
        <f>+GrossMargin!K16-[4]GrossMargin!K16</f>
        <v>0</v>
      </c>
      <c r="K15" s="291">
        <f t="shared" si="1"/>
        <v>-1059</v>
      </c>
    </row>
    <row r="16" spans="1:11" ht="13.5" hidden="1" customHeight="1">
      <c r="A16" s="304" t="s">
        <v>109</v>
      </c>
      <c r="B16" s="245"/>
      <c r="C16" s="240">
        <f>+GrossMargin!D17-[4]GrossMargin!D17</f>
        <v>870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870</v>
      </c>
      <c r="I16" s="290">
        <v>0</v>
      </c>
      <c r="J16" s="242">
        <f>+GrossMargin!K17-[4]GrossMargin!K17</f>
        <v>0</v>
      </c>
      <c r="K16" s="291">
        <f t="shared" si="1"/>
        <v>870</v>
      </c>
    </row>
    <row r="17" spans="1:11" ht="13.5" hidden="1" customHeight="1">
      <c r="A17" s="304" t="s">
        <v>82</v>
      </c>
      <c r="B17" s="245"/>
      <c r="C17" s="240">
        <f>+GrossMargin!D18-[4]GrossMargin!D18</f>
        <v>178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178</v>
      </c>
      <c r="I17" s="290">
        <v>0</v>
      </c>
      <c r="J17" s="242">
        <f>+GrossMargin!K18-[4]GrossMargin!K18</f>
        <v>0</v>
      </c>
      <c r="K17" s="291">
        <f t="shared" si="1"/>
        <v>178</v>
      </c>
    </row>
    <row r="18" spans="1:11" ht="13.5" hidden="1" customHeight="1">
      <c r="A18" s="304" t="s">
        <v>80</v>
      </c>
      <c r="B18" s="245"/>
      <c r="C18" s="240">
        <f>+GrossMargin!D19-[4]GrossMargin!D19</f>
        <v>22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22</v>
      </c>
      <c r="I18" s="290">
        <v>0</v>
      </c>
      <c r="J18" s="242">
        <f>+GrossMargin!K19-[4]GrossMargin!K19</f>
        <v>0</v>
      </c>
      <c r="K18" s="291">
        <f t="shared" si="1"/>
        <v>22</v>
      </c>
    </row>
    <row r="19" spans="1:11" ht="13.5" hidden="1" customHeight="1">
      <c r="A19" s="304" t="s">
        <v>81</v>
      </c>
      <c r="B19" s="245"/>
      <c r="C19" s="240">
        <f>+GrossMargin!D20-[4]GrossMargin!D20</f>
        <v>-50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-50</v>
      </c>
      <c r="I19" s="290">
        <v>0</v>
      </c>
      <c r="J19" s="242">
        <f>+GrossMargin!K20-[4]GrossMargin!K20</f>
        <v>0</v>
      </c>
      <c r="K19" s="291">
        <f t="shared" si="1"/>
        <v>-50</v>
      </c>
    </row>
    <row r="20" spans="1:11" ht="13.5" hidden="1" customHeight="1">
      <c r="A20" s="304" t="s">
        <v>83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-39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-39</v>
      </c>
      <c r="I21" s="132">
        <f t="shared" si="2"/>
        <v>0</v>
      </c>
      <c r="J21" s="36">
        <f t="shared" si="2"/>
        <v>0</v>
      </c>
      <c r="K21" s="134">
        <f t="shared" si="2"/>
        <v>-39</v>
      </c>
    </row>
    <row r="22" spans="1:11" s="187" customFormat="1" ht="13.5" customHeight="1">
      <c r="A22" s="106" t="s">
        <v>127</v>
      </c>
      <c r="B22" s="34"/>
      <c r="C22" s="138">
        <f>+GrossMargin!D23-[4]GrossMargin!D23</f>
        <v>12</v>
      </c>
      <c r="D22" s="36">
        <f>+GrossMargin!E23-[4]GrossMargin!E23</f>
        <v>0</v>
      </c>
      <c r="E22" s="36">
        <v>0</v>
      </c>
      <c r="F22" s="137">
        <f>+GrossMargin!G23-[4]GrossMargin!G23</f>
        <v>0</v>
      </c>
      <c r="G22" s="137">
        <v>0</v>
      </c>
      <c r="H22" s="135">
        <f>SUM(C22:G22)</f>
        <v>12</v>
      </c>
      <c r="I22" s="132">
        <v>0</v>
      </c>
      <c r="J22" s="36">
        <f>+GrossMargin!K23-[4]GrossMargin!K23</f>
        <v>0</v>
      </c>
      <c r="K22" s="134">
        <f>SUM(H22:J22)</f>
        <v>12</v>
      </c>
    </row>
    <row r="23" spans="1:11" s="187" customFormat="1" ht="13.5" customHeight="1">
      <c r="A23" s="106" t="s">
        <v>87</v>
      </c>
      <c r="B23" s="34"/>
      <c r="C23" s="138">
        <f>+GrossMargin!D24-[4]GrossMargin!D24</f>
        <v>127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>SUM(C23:G23)</f>
        <v>127</v>
      </c>
      <c r="I23" s="132">
        <v>0</v>
      </c>
      <c r="J23" s="36">
        <f>+GrossMargin!K24-[4]GrossMargin!K24</f>
        <v>0</v>
      </c>
      <c r="K23" s="134">
        <f>SUM(H23:J23)</f>
        <v>127</v>
      </c>
    </row>
    <row r="24" spans="1:11" s="187" customFormat="1" ht="13.5" customHeight="1">
      <c r="A24" s="106" t="s">
        <v>89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0</v>
      </c>
      <c r="G24" s="137">
        <v>0</v>
      </c>
      <c r="H24" s="135">
        <f>SUM(C24:G24)</f>
        <v>0</v>
      </c>
      <c r="I24" s="132">
        <v>0</v>
      </c>
      <c r="J24" s="36">
        <f>+GrossMargin!K25-[4]GrossMargin!K25</f>
        <v>0</v>
      </c>
      <c r="K24" s="134">
        <f>SUM(H24:J24)</f>
        <v>0</v>
      </c>
    </row>
    <row r="25" spans="1:11" ht="13.5" customHeight="1">
      <c r="A25" s="106" t="s">
        <v>118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>SUM(C25:G25)</f>
        <v>0</v>
      </c>
      <c r="I25" s="132">
        <v>0</v>
      </c>
      <c r="J25" s="36">
        <f>+GrossMargin!K26-[4]GrossMargin!K26</f>
        <v>0</v>
      </c>
      <c r="K25" s="134">
        <f>SUM(H25:J25)</f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>SUM(C26:G26)</f>
        <v>0</v>
      </c>
      <c r="I26" s="132">
        <v>0</v>
      </c>
      <c r="J26" s="36">
        <f>+GrossMargin!K27-[4]GrossMargin!K27</f>
        <v>0</v>
      </c>
      <c r="K26" s="134">
        <f>SUM(H26:J26)</f>
        <v>0</v>
      </c>
    </row>
    <row r="27" spans="1:11" ht="3" customHeight="1">
      <c r="A27" s="106"/>
      <c r="B27" s="34"/>
      <c r="C27" s="132"/>
      <c r="D27" s="36"/>
      <c r="E27" s="36"/>
      <c r="F27" s="137"/>
      <c r="G27" s="137"/>
      <c r="H27" s="135"/>
      <c r="I27" s="132"/>
      <c r="J27" s="36"/>
      <c r="K27" s="137"/>
    </row>
    <row r="28" spans="1:11" ht="13.5" customHeight="1">
      <c r="A28" s="38" t="s">
        <v>128</v>
      </c>
      <c r="B28" s="34"/>
      <c r="C28" s="43">
        <f>SUM(C21:C26)+SUM(C9:C14)</f>
        <v>-6520</v>
      </c>
      <c r="D28" s="44">
        <f>SUM(D9:D14)+SUM(D21:D26)</f>
        <v>0</v>
      </c>
      <c r="E28" s="44">
        <f>SUM(E9:E14)+SUM(E21:E26)</f>
        <v>0</v>
      </c>
      <c r="F28" s="45">
        <f>SUM(F9:F14)+SUM(F21:F26)</f>
        <v>0</v>
      </c>
      <c r="G28" s="44">
        <f>SUM(G9:G14)+SUM(G21:G26)</f>
        <v>0</v>
      </c>
      <c r="H28" s="46">
        <f>SUM(H9:H14)+SUM(H21:H26)</f>
        <v>-6520</v>
      </c>
      <c r="I28" s="44" t="e">
        <f>+#REF!+#REF!</f>
        <v>#REF!</v>
      </c>
      <c r="J28" s="44">
        <f>SUM(J9:J14)+SUM(J21:J26)</f>
        <v>0</v>
      </c>
      <c r="K28" s="45">
        <f>SUM(K9:K14)+SUM(K21:K26)</f>
        <v>-6520</v>
      </c>
    </row>
    <row r="29" spans="1:11" ht="3" customHeight="1">
      <c r="A29" s="106"/>
      <c r="B29" s="34"/>
      <c r="C29" s="132"/>
      <c r="D29" s="36"/>
      <c r="E29" s="36"/>
      <c r="F29" s="137"/>
      <c r="G29" s="137"/>
      <c r="H29" s="135"/>
      <c r="I29" s="132"/>
      <c r="J29" s="36"/>
      <c r="K29" s="137"/>
    </row>
    <row r="30" spans="1:11" ht="13.5" customHeight="1">
      <c r="A30" s="106" t="s">
        <v>10</v>
      </c>
      <c r="B30" s="34"/>
      <c r="C30" s="132">
        <f>+GrossMargin!D31-[4]GrossMargin!D31</f>
        <v>0</v>
      </c>
      <c r="D30" s="36">
        <f>+GrossMargin!E31-[4]GrossMargin!E31</f>
        <v>0</v>
      </c>
      <c r="E30" s="36">
        <v>0</v>
      </c>
      <c r="F30" s="137">
        <f>+GrossMargin!G31-[4]GrossMargin!G31</f>
        <v>0</v>
      </c>
      <c r="G30" s="137">
        <v>0</v>
      </c>
      <c r="H30" s="135">
        <f>SUM(C30:G30)</f>
        <v>0</v>
      </c>
      <c r="I30" s="132">
        <v>0</v>
      </c>
      <c r="J30" s="36">
        <f>+GrossMargin!K31-[4]GrossMargin!K31</f>
        <v>0</v>
      </c>
      <c r="K30" s="134">
        <f>SUM(H30:J30)</f>
        <v>0</v>
      </c>
    </row>
    <row r="31" spans="1:11" ht="3" customHeight="1">
      <c r="A31" s="106"/>
      <c r="B31" s="34"/>
      <c r="C31" s="132"/>
      <c r="D31" s="36"/>
      <c r="E31" s="36"/>
      <c r="F31" s="137"/>
      <c r="G31" s="137"/>
      <c r="H31" s="135"/>
      <c r="I31" s="132"/>
      <c r="J31" s="36"/>
      <c r="K31" s="137"/>
    </row>
    <row r="32" spans="1:11" ht="13.5" customHeight="1">
      <c r="A32" s="38" t="s">
        <v>93</v>
      </c>
      <c r="B32" s="34"/>
      <c r="C32" s="39">
        <f>+C28+C30</f>
        <v>-6520</v>
      </c>
      <c r="D32" s="40">
        <f>+D28+D30</f>
        <v>0</v>
      </c>
      <c r="E32" s="40">
        <f>+E28+E30</f>
        <v>0</v>
      </c>
      <c r="F32" s="41">
        <f>+F28+F30</f>
        <v>0</v>
      </c>
      <c r="G32" s="41">
        <f>SUM(G28:G30)</f>
        <v>0</v>
      </c>
      <c r="H32" s="42">
        <f>+H28+H30</f>
        <v>-6520</v>
      </c>
      <c r="I32" s="39" t="e">
        <f>SUM(I28:I30)</f>
        <v>#REF!</v>
      </c>
      <c r="J32" s="40">
        <f>+J28+J30</f>
        <v>0</v>
      </c>
      <c r="K32" s="41">
        <f>+K28+K30</f>
        <v>-6520</v>
      </c>
    </row>
    <row r="33" spans="1:11" ht="3" customHeight="1">
      <c r="A33" s="102"/>
      <c r="B33" s="32"/>
      <c r="C33" s="103"/>
      <c r="D33" s="104"/>
      <c r="E33" s="104"/>
      <c r="F33" s="179"/>
      <c r="G33" s="179"/>
      <c r="H33" s="307"/>
      <c r="I33" s="103"/>
      <c r="J33" s="104"/>
      <c r="K33" s="179"/>
    </row>
    <row r="34" spans="1:11" ht="13.8">
      <c r="A34" s="162" t="s">
        <v>59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4"/>
    </row>
    <row r="37" spans="1:11">
      <c r="G37" s="165"/>
    </row>
    <row r="38" spans="1:11" ht="15.6">
      <c r="D38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G39" sqref="G39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6" width="8.5546875" style="14" hidden="1" customWidth="1"/>
    <col min="7" max="7" width="8.5546875" style="14" customWidth="1"/>
    <col min="8" max="8" width="8.6640625" style="14" hidden="1" customWidth="1"/>
    <col min="9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42</v>
      </c>
    </row>
    <row r="2" spans="1:16" ht="15.6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3.8">
      <c r="A3" s="13">
        <v>36861</v>
      </c>
      <c r="B3" s="182" t="s">
        <v>113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8">
      <c r="A4" s="12" t="s">
        <v>21</v>
      </c>
      <c r="B4" s="183" t="str">
        <f>+'Mgmt Summary'!A3</f>
        <v>Results based on activity through April 20,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8">
      <c r="B7" s="106"/>
      <c r="C7" s="34"/>
      <c r="D7" s="112"/>
      <c r="E7" s="35"/>
      <c r="F7" s="261"/>
      <c r="G7" s="118" t="s">
        <v>124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4.4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119</v>
      </c>
      <c r="C10" s="186"/>
      <c r="D10" s="138">
        <v>-16830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-16830</v>
      </c>
      <c r="J10" s="136"/>
      <c r="K10" s="36">
        <v>0</v>
      </c>
      <c r="L10" s="36">
        <f>+I10+K10</f>
        <v>-16830</v>
      </c>
      <c r="M10" s="249">
        <v>32500</v>
      </c>
      <c r="N10" s="134">
        <f t="shared" ref="N10:N23" si="1">L10-M10</f>
        <v>-49330</v>
      </c>
    </row>
    <row r="11" spans="1:16" s="187" customFormat="1" ht="13.5" customHeight="1">
      <c r="A11" s="12" t="s">
        <v>17</v>
      </c>
      <c r="B11" s="106" t="s">
        <v>1</v>
      </c>
      <c r="C11" s="186"/>
      <c r="D11" s="138">
        <v>2395</v>
      </c>
      <c r="E11" s="139">
        <v>0</v>
      </c>
      <c r="F11" s="139">
        <v>0</v>
      </c>
      <c r="G11" s="139">
        <v>0</v>
      </c>
      <c r="H11" s="137">
        <v>0</v>
      </c>
      <c r="I11" s="135">
        <f t="shared" si="0"/>
        <v>2395</v>
      </c>
      <c r="J11" s="136"/>
      <c r="K11" s="36">
        <v>0</v>
      </c>
      <c r="L11" s="36">
        <f t="shared" ref="L11:L23" si="2">+I11+K11</f>
        <v>2395</v>
      </c>
      <c r="M11" s="249">
        <f>13750-M12</f>
        <v>11250</v>
      </c>
      <c r="N11" s="134">
        <f t="shared" si="1"/>
        <v>-8855</v>
      </c>
    </row>
    <row r="12" spans="1:16" s="187" customFormat="1" ht="13.5" customHeight="1">
      <c r="A12" s="12"/>
      <c r="B12" s="106" t="s">
        <v>122</v>
      </c>
      <c r="C12" s="186"/>
      <c r="D12" s="138">
        <v>-3205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-3205</v>
      </c>
      <c r="J12" s="136"/>
      <c r="K12" s="36">
        <v>0</v>
      </c>
      <c r="L12" s="36">
        <f>+I12+K12</f>
        <v>-3205</v>
      </c>
      <c r="M12" s="249">
        <v>2500</v>
      </c>
      <c r="N12" s="134">
        <f>L12-M12</f>
        <v>-5705</v>
      </c>
    </row>
    <row r="13" spans="1:16" s="187" customFormat="1" ht="13.5" customHeight="1">
      <c r="A13" s="12" t="s">
        <v>0</v>
      </c>
      <c r="B13" s="106" t="s">
        <v>43</v>
      </c>
      <c r="C13" s="186"/>
      <c r="D13" s="138">
        <v>770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770</v>
      </c>
      <c r="J13" s="136"/>
      <c r="K13" s="36">
        <v>0</v>
      </c>
      <c r="L13" s="36">
        <f t="shared" si="2"/>
        <v>770</v>
      </c>
      <c r="M13" s="249">
        <f>1875+3125</f>
        <v>5000</v>
      </c>
      <c r="N13" s="134">
        <f t="shared" si="1"/>
        <v>-4230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595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595</v>
      </c>
      <c r="J14" s="136"/>
      <c r="K14" s="36">
        <v>0</v>
      </c>
      <c r="L14" s="36">
        <f t="shared" si="2"/>
        <v>595</v>
      </c>
      <c r="M14" s="249">
        <f>8578.819-1500</f>
        <v>7078.8189999999995</v>
      </c>
      <c r="N14" s="134">
        <f t="shared" si="1"/>
        <v>-6483.8189999999995</v>
      </c>
    </row>
    <row r="15" spans="1:16" s="187" customFormat="1" ht="13.5" customHeight="1">
      <c r="A15" s="12" t="s">
        <v>41</v>
      </c>
      <c r="B15" s="106" t="s">
        <v>70</v>
      </c>
      <c r="C15" s="186"/>
      <c r="D15" s="138">
        <v>0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0</v>
      </c>
      <c r="J15" s="136"/>
      <c r="K15" s="36">
        <v>0</v>
      </c>
      <c r="L15" s="36">
        <f t="shared" si="2"/>
        <v>0</v>
      </c>
      <c r="M15" s="249">
        <v>11875</v>
      </c>
      <c r="N15" s="134">
        <f t="shared" si="1"/>
        <v>-11875</v>
      </c>
    </row>
    <row r="16" spans="1:16" ht="13.5" hidden="1" customHeight="1">
      <c r="A16" s="12" t="s">
        <v>50</v>
      </c>
      <c r="B16" s="304" t="s">
        <v>79</v>
      </c>
      <c r="C16" s="239"/>
      <c r="D16" s="240">
        <v>-733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-733</v>
      </c>
      <c r="J16" s="242"/>
      <c r="K16" s="242">
        <v>0</v>
      </c>
      <c r="L16" s="36">
        <f t="shared" si="2"/>
        <v>-733</v>
      </c>
      <c r="M16" s="251">
        <v>0</v>
      </c>
      <c r="N16" s="243">
        <f>L16-M16</f>
        <v>-733</v>
      </c>
    </row>
    <row r="17" spans="1:16" ht="13.5" hidden="1" customHeight="1">
      <c r="A17" s="12" t="s">
        <v>50</v>
      </c>
      <c r="B17" s="304" t="s">
        <v>109</v>
      </c>
      <c r="C17" s="239"/>
      <c r="D17" s="240">
        <v>2310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2310</v>
      </c>
      <c r="J17" s="242"/>
      <c r="K17" s="242">
        <v>0</v>
      </c>
      <c r="L17" s="36">
        <f>+I17+K17</f>
        <v>2310</v>
      </c>
      <c r="M17" s="251">
        <v>0</v>
      </c>
      <c r="N17" s="243">
        <f>L17-M17</f>
        <v>2310</v>
      </c>
    </row>
    <row r="18" spans="1:16" ht="13.5" hidden="1" customHeight="1">
      <c r="B18" s="304" t="s">
        <v>82</v>
      </c>
      <c r="C18" s="239"/>
      <c r="D18" s="240">
        <v>-1047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-1047</v>
      </c>
      <c r="J18" s="242"/>
      <c r="K18" s="242">
        <v>0</v>
      </c>
      <c r="L18" s="36">
        <f t="shared" si="2"/>
        <v>-1047</v>
      </c>
      <c r="M18" s="251">
        <v>0</v>
      </c>
      <c r="N18" s="243">
        <f>L18-M18</f>
        <v>-1047</v>
      </c>
      <c r="P18" s="165"/>
    </row>
    <row r="19" spans="1:16" ht="13.5" hidden="1" customHeight="1">
      <c r="B19" s="304" t="s">
        <v>80</v>
      </c>
      <c r="C19" s="239"/>
      <c r="D19" s="240">
        <v>-33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-33</v>
      </c>
      <c r="J19" s="242"/>
      <c r="K19" s="242">
        <v>0</v>
      </c>
      <c r="L19" s="36">
        <f t="shared" si="2"/>
        <v>-33</v>
      </c>
      <c r="M19" s="251">
        <v>0</v>
      </c>
      <c r="N19" s="243">
        <f t="shared" si="1"/>
        <v>-33</v>
      </c>
      <c r="O19" s="165"/>
    </row>
    <row r="20" spans="1:16" ht="13.5" hidden="1" customHeight="1">
      <c r="B20" s="304" t="s">
        <v>81</v>
      </c>
      <c r="C20" s="239"/>
      <c r="D20" s="240">
        <v>-53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-53</v>
      </c>
      <c r="J20" s="242"/>
      <c r="K20" s="242">
        <v>0</v>
      </c>
      <c r="L20" s="36">
        <f t="shared" si="2"/>
        <v>-53</v>
      </c>
      <c r="M20" s="251">
        <v>0</v>
      </c>
      <c r="N20" s="243">
        <f t="shared" si="1"/>
        <v>-53</v>
      </c>
    </row>
    <row r="21" spans="1:16" ht="13.5" hidden="1" customHeight="1">
      <c r="B21" s="304" t="s">
        <v>83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444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444</v>
      </c>
      <c r="J22" s="136"/>
      <c r="K22" s="36">
        <f>SUM(K16:K21)</f>
        <v>0</v>
      </c>
      <c r="L22" s="36">
        <f t="shared" si="2"/>
        <v>444</v>
      </c>
      <c r="M22" s="249">
        <v>27500</v>
      </c>
      <c r="N22" s="134">
        <f>L22-M22</f>
        <v>-27056</v>
      </c>
    </row>
    <row r="23" spans="1:16" s="187" customFormat="1" ht="13.5" customHeight="1">
      <c r="A23" s="12"/>
      <c r="B23" s="166" t="s">
        <v>127</v>
      </c>
      <c r="C23" s="186"/>
      <c r="D23" s="138">
        <v>29</v>
      </c>
      <c r="E23" s="139">
        <v>0</v>
      </c>
      <c r="F23" s="139">
        <v>0</v>
      </c>
      <c r="G23" s="139">
        <v>0</v>
      </c>
      <c r="H23" s="137">
        <v>0</v>
      </c>
      <c r="I23" s="135">
        <f>SUM(D23:H23)</f>
        <v>29</v>
      </c>
      <c r="J23" s="136"/>
      <c r="K23" s="36">
        <v>0</v>
      </c>
      <c r="L23" s="36">
        <f t="shared" si="2"/>
        <v>29</v>
      </c>
      <c r="M23" s="137">
        <f>1000+311</f>
        <v>1311</v>
      </c>
      <c r="N23" s="134">
        <f t="shared" si="1"/>
        <v>-1282</v>
      </c>
    </row>
    <row r="24" spans="1:16" s="187" customFormat="1" ht="13.5" customHeight="1">
      <c r="A24" s="12"/>
      <c r="B24" s="106" t="s">
        <v>87</v>
      </c>
      <c r="C24" s="186"/>
      <c r="D24" s="138">
        <v>130</v>
      </c>
      <c r="E24" s="139">
        <v>0</v>
      </c>
      <c r="F24" s="139">
        <v>0</v>
      </c>
      <c r="G24" s="139">
        <v>0</v>
      </c>
      <c r="H24" s="137">
        <v>0</v>
      </c>
      <c r="I24" s="135">
        <f>SUM(D24:H24)</f>
        <v>130</v>
      </c>
      <c r="J24" s="136"/>
      <c r="K24" s="36">
        <v>0</v>
      </c>
      <c r="L24" s="36">
        <f>+I24+K24</f>
        <v>130</v>
      </c>
      <c r="M24" s="249">
        <v>5000</v>
      </c>
      <c r="N24" s="134">
        <f>L24-M24</f>
        <v>-4870</v>
      </c>
      <c r="O24" s="14"/>
    </row>
    <row r="25" spans="1:16" s="187" customFormat="1" ht="13.5" customHeight="1">
      <c r="A25" s="12"/>
      <c r="B25" s="106" t="s">
        <v>89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>SUM(D25:H25)</f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118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>SUM(D26:H26)</f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>SUM(D27:H27)</f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ht="3" customHeight="1">
      <c r="B28" s="106"/>
      <c r="C28" s="34"/>
      <c r="D28" s="132"/>
      <c r="E28" s="36"/>
      <c r="F28" s="36"/>
      <c r="G28" s="36"/>
      <c r="H28" s="137"/>
      <c r="I28" s="135"/>
      <c r="J28" s="36"/>
      <c r="K28" s="132"/>
      <c r="L28" s="36"/>
      <c r="M28" s="137"/>
      <c r="N28" s="134"/>
    </row>
    <row r="29" spans="1:16" ht="12" customHeight="1">
      <c r="B29" s="259" t="s">
        <v>75</v>
      </c>
      <c r="C29" s="34"/>
      <c r="D29" s="43">
        <f t="shared" ref="D29:N29" si="4">SUM(D10:D15)+SUM(D22:D27)</f>
        <v>-15672</v>
      </c>
      <c r="E29" s="44">
        <f t="shared" si="4"/>
        <v>0</v>
      </c>
      <c r="F29" s="44">
        <f t="shared" si="4"/>
        <v>0</v>
      </c>
      <c r="G29" s="44">
        <f t="shared" si="4"/>
        <v>-1445</v>
      </c>
      <c r="H29" s="45">
        <f t="shared" si="4"/>
        <v>0</v>
      </c>
      <c r="I29" s="46">
        <f t="shared" si="4"/>
        <v>-17117</v>
      </c>
      <c r="J29" s="44">
        <f t="shared" si="4"/>
        <v>0</v>
      </c>
      <c r="K29" s="44">
        <f t="shared" si="4"/>
        <v>0</v>
      </c>
      <c r="L29" s="44">
        <f t="shared" si="4"/>
        <v>-17117</v>
      </c>
      <c r="M29" s="45">
        <f t="shared" si="4"/>
        <v>105387.318</v>
      </c>
      <c r="N29" s="45">
        <f t="shared" si="4"/>
        <v>-122504.318</v>
      </c>
    </row>
    <row r="30" spans="1:16" ht="3" customHeight="1">
      <c r="B30" s="106"/>
      <c r="C30" s="34"/>
      <c r="D30" s="132"/>
      <c r="E30" s="36"/>
      <c r="F30" s="36"/>
      <c r="G30" s="36"/>
      <c r="H30" s="137"/>
      <c r="I30" s="135"/>
      <c r="J30" s="36"/>
      <c r="K30" s="132"/>
      <c r="L30" s="36"/>
      <c r="M30" s="137"/>
      <c r="N30" s="134"/>
    </row>
    <row r="31" spans="1:16" ht="13.5" customHeight="1">
      <c r="B31" s="106" t="s">
        <v>10</v>
      </c>
      <c r="C31" s="34"/>
      <c r="D31" s="132">
        <v>0</v>
      </c>
      <c r="E31" s="139">
        <v>0</v>
      </c>
      <c r="F31" s="139">
        <v>0</v>
      </c>
      <c r="G31" s="139">
        <v>-500</v>
      </c>
      <c r="H31" s="137">
        <v>0</v>
      </c>
      <c r="I31" s="135">
        <f>SUM(D31:H31)</f>
        <v>-500</v>
      </c>
      <c r="J31" s="36"/>
      <c r="K31" s="132">
        <v>0</v>
      </c>
      <c r="L31" s="36">
        <f>SUM(I31:K31)</f>
        <v>-500</v>
      </c>
      <c r="M31" s="137">
        <f>-2000/4</f>
        <v>-500</v>
      </c>
      <c r="N31" s="134">
        <f>L31-M31</f>
        <v>0</v>
      </c>
    </row>
    <row r="32" spans="1:16" ht="3" customHeight="1">
      <c r="B32" s="106"/>
      <c r="C32" s="34"/>
      <c r="D32" s="132"/>
      <c r="E32" s="36"/>
      <c r="F32" s="36"/>
      <c r="G32" s="36"/>
      <c r="H32" s="137"/>
      <c r="I32" s="135"/>
      <c r="J32" s="36"/>
      <c r="K32" s="132"/>
      <c r="L32" s="36"/>
      <c r="M32" s="137"/>
      <c r="N32" s="134"/>
    </row>
    <row r="33" spans="2:14" ht="12" customHeight="1">
      <c r="B33" s="38" t="s">
        <v>76</v>
      </c>
      <c r="C33" s="34"/>
      <c r="D33" s="39">
        <f>+D29+D31</f>
        <v>-15672</v>
      </c>
      <c r="E33" s="40">
        <f>+E29+E31</f>
        <v>0</v>
      </c>
      <c r="F33" s="40">
        <f>+F29+F31</f>
        <v>0</v>
      </c>
      <c r="G33" s="40">
        <f>+G29+G31</f>
        <v>-1945</v>
      </c>
      <c r="H33" s="41">
        <f>+H29+H31</f>
        <v>0</v>
      </c>
      <c r="I33" s="42">
        <f>SUM(I29:I31)</f>
        <v>-17617</v>
      </c>
      <c r="J33" s="40">
        <f>SUM(J29:J31)</f>
        <v>0</v>
      </c>
      <c r="K33" s="39">
        <f>+K29+K31</f>
        <v>0</v>
      </c>
      <c r="L33" s="40">
        <f>+L29+L31</f>
        <v>-17617</v>
      </c>
      <c r="M33" s="41">
        <f>+M29+M31</f>
        <v>104887.318</v>
      </c>
      <c r="N33" s="41">
        <f>SUM(N29:N31)</f>
        <v>-122504.318</v>
      </c>
    </row>
    <row r="34" spans="2:14" ht="3" customHeight="1">
      <c r="B34" s="24"/>
      <c r="D34" s="25"/>
      <c r="E34" s="26"/>
      <c r="F34" s="26"/>
      <c r="G34" s="26"/>
      <c r="H34" s="27"/>
      <c r="I34" s="169"/>
      <c r="J34" s="26"/>
      <c r="K34" s="25"/>
      <c r="L34" s="26"/>
      <c r="M34" s="27"/>
      <c r="N34" s="27"/>
    </row>
    <row r="35" spans="2:14">
      <c r="B35" s="162" t="s">
        <v>59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62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F16" sqref="F16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42</v>
      </c>
    </row>
    <row r="2" spans="1:37" ht="15.6">
      <c r="A2" s="10" t="s">
        <v>28</v>
      </c>
      <c r="B2" s="327" t="s">
        <v>69</v>
      </c>
      <c r="C2" s="327"/>
      <c r="D2" s="327"/>
      <c r="E2" s="327"/>
      <c r="F2" s="327"/>
      <c r="G2" s="327"/>
      <c r="H2" s="327"/>
      <c r="I2" s="327"/>
      <c r="J2" s="327"/>
      <c r="K2" s="327"/>
      <c r="Q2" t="s">
        <v>58</v>
      </c>
    </row>
    <row r="3" spans="1:37" ht="13.8">
      <c r="A3" s="11">
        <v>36861</v>
      </c>
      <c r="B3" s="328" t="s">
        <v>126</v>
      </c>
      <c r="C3" s="328"/>
      <c r="D3" s="328"/>
      <c r="E3" s="328"/>
      <c r="F3" s="328"/>
      <c r="G3" s="328"/>
      <c r="H3" s="328"/>
      <c r="I3" s="328"/>
      <c r="J3" s="328"/>
      <c r="K3" s="328"/>
    </row>
    <row r="4" spans="1:37">
      <c r="A4" s="10" t="s">
        <v>21</v>
      </c>
      <c r="B4" s="329" t="str">
        <f>+'Mgmt Summary'!A3</f>
        <v>Results based on activity through April 20, 2001</v>
      </c>
      <c r="C4" s="329"/>
      <c r="D4" s="329"/>
      <c r="E4" s="329"/>
      <c r="F4" s="329"/>
      <c r="G4" s="329"/>
      <c r="H4" s="329"/>
      <c r="I4" s="329"/>
      <c r="J4" s="329"/>
      <c r="K4" s="329"/>
    </row>
    <row r="5" spans="1:37" ht="3" customHeight="1"/>
    <row r="6" spans="1:37" s="50" customFormat="1" ht="12">
      <c r="A6" s="10" t="s">
        <v>46</v>
      </c>
      <c r="B6" s="123"/>
      <c r="D6" s="321" t="s">
        <v>25</v>
      </c>
      <c r="E6" s="322"/>
      <c r="F6" s="323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4" t="s">
        <v>38</v>
      </c>
      <c r="I7" s="325"/>
      <c r="J7" s="325"/>
      <c r="K7" s="32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119</v>
      </c>
      <c r="C9" s="171"/>
      <c r="D9" s="158">
        <f t="shared" ref="D9:D16" si="0">+E9</f>
        <v>6994.3119999999999</v>
      </c>
      <c r="E9" s="172">
        <v>6994.3119999999999</v>
      </c>
      <c r="F9" s="176">
        <f t="shared" ref="F9:F16" si="1">E9-D9</f>
        <v>0</v>
      </c>
      <c r="G9" s="52"/>
      <c r="H9" s="247"/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</v>
      </c>
      <c r="C10" s="50"/>
      <c r="D10" s="158">
        <f t="shared" si="0"/>
        <v>4077.2150000000001</v>
      </c>
      <c r="E10" s="172">
        <v>4077.2150000000001</v>
      </c>
      <c r="F10" s="142">
        <f t="shared" si="1"/>
        <v>0</v>
      </c>
      <c r="G10" s="52"/>
      <c r="H10" s="247"/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122</v>
      </c>
      <c r="C11" s="50"/>
      <c r="D11" s="158">
        <f>+E11</f>
        <v>0</v>
      </c>
      <c r="E11" s="172">
        <v>0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0</v>
      </c>
      <c r="B12" s="128" t="s">
        <v>43</v>
      </c>
      <c r="C12" s="50"/>
      <c r="D12" s="158">
        <f t="shared" si="0"/>
        <v>1283.7809999999999</v>
      </c>
      <c r="E12" s="172">
        <f>237.191+1046.59</f>
        <v>1283.7809999999999</v>
      </c>
      <c r="F12" s="142">
        <f t="shared" si="1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0"/>
        <v>1463.0070000000001</v>
      </c>
      <c r="E13" s="172">
        <f>1906.741-443.734</f>
        <v>1463.0070000000001</v>
      </c>
      <c r="F13" s="142">
        <f t="shared" si="1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0"/>
        <v>2304.1210000000001</v>
      </c>
      <c r="E14" s="172">
        <v>2304.1210000000001</v>
      </c>
      <c r="F14" s="142">
        <f t="shared" si="1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0"/>
        <v>3742.614</v>
      </c>
      <c r="E15" s="172">
        <v>3742.614</v>
      </c>
      <c r="F15" s="176">
        <f t="shared" si="1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127</v>
      </c>
      <c r="C16" s="171"/>
      <c r="D16" s="158">
        <f t="shared" si="0"/>
        <v>4357.2929999999997</v>
      </c>
      <c r="E16" s="172">
        <f>578.553+3778.74</f>
        <v>4357.2929999999997</v>
      </c>
      <c r="F16" s="176">
        <f t="shared" si="1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87</v>
      </c>
      <c r="C17" s="171"/>
      <c r="D17" s="158">
        <f>+E17</f>
        <v>1430.25</v>
      </c>
      <c r="E17" s="172">
        <v>1430.25</v>
      </c>
      <c r="F17" s="176">
        <f>E17-D17</f>
        <v>0</v>
      </c>
      <c r="G17" s="52"/>
      <c r="H17" s="247"/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89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118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>+E20+250</f>
        <v>787.2</v>
      </c>
      <c r="E20" s="141">
        <v>537.20000000000005</v>
      </c>
      <c r="F20" s="142">
        <f>E20-D20</f>
        <v>-250</v>
      </c>
      <c r="G20" s="52"/>
      <c r="H20" s="247" t="s">
        <v>130</v>
      </c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92</v>
      </c>
      <c r="C22" s="50"/>
      <c r="D22" s="56">
        <f>SUM(D9:D21)</f>
        <v>27437.94</v>
      </c>
      <c r="E22" s="57">
        <f>SUM(E9:E21)</f>
        <v>27187.94</v>
      </c>
      <c r="F22" s="180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28870.740999999998</v>
      </c>
      <c r="E24" s="141">
        <f>29614-68.678-792.24-318.162+435.821</f>
        <v>28870.740999999998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56308.680999999997</v>
      </c>
      <c r="E27" s="48">
        <f>SUM(E22:E25)</f>
        <v>56058.680999999997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30" t="s">
        <v>48</v>
      </c>
      <c r="E30" s="331"/>
      <c r="F30" s="332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18" t="s">
        <v>38</v>
      </c>
      <c r="I31" s="319"/>
      <c r="J31" s="319"/>
      <c r="K31" s="320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E39" sqref="E39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7" t="s">
        <v>69</v>
      </c>
      <c r="B2" s="327"/>
      <c r="C2" s="327"/>
      <c r="D2" s="327"/>
      <c r="E2" s="327"/>
      <c r="F2" s="327"/>
      <c r="G2" s="327"/>
      <c r="H2" s="327"/>
      <c r="I2" s="327"/>
      <c r="J2" s="327"/>
    </row>
    <row r="3" spans="1:33" ht="13.8">
      <c r="A3" s="328" t="s">
        <v>117</v>
      </c>
      <c r="B3" s="328"/>
      <c r="C3" s="328"/>
      <c r="D3" s="328"/>
      <c r="E3" s="328"/>
      <c r="F3" s="328"/>
      <c r="G3" s="328"/>
      <c r="H3" s="328"/>
      <c r="I3" s="328"/>
      <c r="J3" s="328"/>
    </row>
    <row r="4" spans="1:33">
      <c r="A4" s="329" t="str">
        <f>+Expenses!B4</f>
        <v>Results based on activity through April 20, 2001</v>
      </c>
      <c r="B4" s="329"/>
      <c r="C4" s="329"/>
      <c r="D4" s="329"/>
      <c r="E4" s="329"/>
      <c r="F4" s="329"/>
      <c r="G4" s="329"/>
      <c r="H4" s="329"/>
      <c r="I4" s="329"/>
      <c r="J4" s="329"/>
    </row>
    <row r="5" spans="1:33" ht="3" customHeight="1"/>
    <row r="6" spans="1:33" s="31" customFormat="1">
      <c r="A6" s="123"/>
      <c r="B6" s="50"/>
      <c r="C6" s="321" t="s">
        <v>25</v>
      </c>
      <c r="D6" s="322"/>
      <c r="E6" s="323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4" t="s">
        <v>38</v>
      </c>
      <c r="H7" s="325"/>
      <c r="I7" s="325"/>
      <c r="J7" s="32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119</v>
      </c>
      <c r="B9" s="50"/>
      <c r="C9" s="140">
        <f>+Expenses!D9-[4]Expenses!D9</f>
        <v>0</v>
      </c>
      <c r="D9" s="141">
        <f>+Expenses!E9-[4]Expenses!E9</f>
        <v>0</v>
      </c>
      <c r="E9" s="142">
        <f t="shared" ref="E9:E16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40">
        <f>+Expenses!D10-[4]Expenses!D10</f>
        <v>0</v>
      </c>
      <c r="D10" s="141">
        <f>+Expenses!E10-[4]Expenses!E10</f>
        <v>0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122</v>
      </c>
      <c r="B11" s="50"/>
      <c r="C11" s="140">
        <f>+Expenses!D11-[4]Expenses!D11</f>
        <v>0</v>
      </c>
      <c r="D11" s="141">
        <f>+Expenses!E11-[4]Expenses!E11</f>
        <v>0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40">
        <f>+Expenses!D12-[4]Expenses!D12</f>
        <v>0</v>
      </c>
      <c r="D12" s="141">
        <f>+Expenses!E12-[4]Expenses!E12</f>
        <v>0</v>
      </c>
      <c r="E12" s="142">
        <f t="shared" si="0"/>
        <v>0</v>
      </c>
      <c r="F12" s="52"/>
      <c r="G12" s="247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40">
        <f>+Expenses!D13-[4]Expenses!D13</f>
        <v>0</v>
      </c>
      <c r="D13" s="141">
        <f>+Expenses!E13-[4]Expenses!E13</f>
        <v>0</v>
      </c>
      <c r="E13" s="142">
        <f t="shared" si="0"/>
        <v>0</v>
      </c>
      <c r="F13" s="52"/>
      <c r="G13" s="143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40">
        <f>+Expenses!D14-[4]Expenses!D14</f>
        <v>0</v>
      </c>
      <c r="D14" s="141">
        <f>+Expenses!E14-[4]Expenses!E14</f>
        <v>0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0" t="s">
        <v>49</v>
      </c>
      <c r="B15" s="50"/>
      <c r="C15" s="140">
        <f>+Expenses!D15-[4]Expenses!D15</f>
        <v>0</v>
      </c>
      <c r="D15" s="141">
        <f>+Expenses!E15-[4]Expenses!E15</f>
        <v>0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0" t="s">
        <v>131</v>
      </c>
      <c r="B16" s="50"/>
      <c r="C16" s="140">
        <f>+Expenses!D16-[4]Expenses!D16</f>
        <v>3778.74</v>
      </c>
      <c r="D16" s="141">
        <f>+Expenses!E16-[4]Expenses!E16</f>
        <v>3778.74</v>
      </c>
      <c r="E16" s="142">
        <f t="shared" si="0"/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0" t="s">
        <v>87</v>
      </c>
      <c r="B17" s="50"/>
      <c r="C17" s="140">
        <f>+Expenses!D17-[4]Expenses!D17</f>
        <v>0</v>
      </c>
      <c r="D17" s="141">
        <f>+Expenses!E17-[4]Expenses!E17</f>
        <v>0</v>
      </c>
      <c r="E17" s="142">
        <f>D17-C17</f>
        <v>0</v>
      </c>
      <c r="F17" s="52"/>
      <c r="G17" s="247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0" t="s">
        <v>88</v>
      </c>
      <c r="B18" s="50"/>
      <c r="C18" s="140">
        <f>+Expenses!D18-[4]Expenses!D18</f>
        <v>0</v>
      </c>
      <c r="D18" s="141">
        <f>+Expenses!E18-[4]Expenses!E18</f>
        <v>0</v>
      </c>
      <c r="E18" s="142">
        <f>D18-C18</f>
        <v>0</v>
      </c>
      <c r="F18" s="52"/>
      <c r="G18" s="308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0" t="s">
        <v>89</v>
      </c>
      <c r="B19" s="50"/>
      <c r="C19" s="140">
        <f>+Expenses!D19-[4]Expenses!D19</f>
        <v>0</v>
      </c>
      <c r="D19" s="141">
        <f>+Expenses!E19-[4]Expenses!E19</f>
        <v>0</v>
      </c>
      <c r="E19" s="142">
        <f>D19-C19</f>
        <v>0</v>
      </c>
      <c r="F19" s="52"/>
      <c r="G19" s="247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70" t="s">
        <v>118</v>
      </c>
      <c r="B20" s="50"/>
      <c r="C20" s="140">
        <f>+Expenses!D20-[4]Expenses!D20</f>
        <v>250</v>
      </c>
      <c r="D20" s="141">
        <f>+Expenses!E20-[4]Expenses!E20</f>
        <v>0</v>
      </c>
      <c r="E20" s="142">
        <f>D20-C20</f>
        <v>-250</v>
      </c>
      <c r="F20" s="52"/>
      <c r="G20" s="247" t="s">
        <v>130</v>
      </c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40">
        <f>+Expenses!D21-[4]Expenses!D21</f>
        <v>0</v>
      </c>
      <c r="D21" s="141">
        <f>+Expenses!E21-[4]Expenses!E21</f>
        <v>0</v>
      </c>
      <c r="E21" s="142">
        <f>D21-C21</f>
        <v>0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40"/>
      <c r="D22" s="141"/>
      <c r="E22" s="142"/>
      <c r="F22" s="52"/>
      <c r="G22" s="143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92</v>
      </c>
      <c r="B23" s="50"/>
      <c r="C23" s="47">
        <f>SUM(C9:C22)</f>
        <v>4028.74</v>
      </c>
      <c r="D23" s="48">
        <f>SUM(D9:D22)</f>
        <v>3778.74</v>
      </c>
      <c r="E23" s="49">
        <f>SUM(E9:E22)</f>
        <v>-250</v>
      </c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40"/>
      <c r="D24" s="141"/>
      <c r="E24" s="142"/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40">
        <f>+Expenses!D25-[4]Expenses!D25</f>
        <v>0</v>
      </c>
      <c r="D25" s="141">
        <f>+Expenses!E25-[4]Expenses!E25</f>
        <v>0</v>
      </c>
      <c r="E25" s="142">
        <f>D25-C25</f>
        <v>0</v>
      </c>
      <c r="F25" s="52"/>
      <c r="G25" s="247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40">
        <f>+Expenses!D26-[4]Expenses!D26</f>
        <v>0</v>
      </c>
      <c r="D26" s="141">
        <f>+Expenses!E26-[4]Expenses!E26</f>
        <v>0</v>
      </c>
      <c r="E26" s="142">
        <f>D26-C26</f>
        <v>0</v>
      </c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40"/>
      <c r="D27" s="141"/>
      <c r="E27" s="142"/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4028.74</v>
      </c>
      <c r="D28" s="48">
        <f>SUM(D23:D26)</f>
        <v>3778.74</v>
      </c>
      <c r="E28" s="49">
        <f>SUM(E23:E26)</f>
        <v>-250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>
      <c r="A31" s="123"/>
      <c r="C31" s="321" t="s">
        <v>48</v>
      </c>
      <c r="D31" s="322"/>
      <c r="E31" s="323"/>
      <c r="G31" s="124"/>
      <c r="H31" s="125"/>
      <c r="I31" s="125"/>
      <c r="J31" s="126"/>
    </row>
    <row r="32" spans="1:33" s="50" customFormat="1" ht="12" hidden="1">
      <c r="A32" s="156" t="s">
        <v>9</v>
      </c>
      <c r="C32" s="86" t="s">
        <v>6</v>
      </c>
      <c r="D32" s="87" t="s">
        <v>8</v>
      </c>
      <c r="E32" s="74" t="s">
        <v>11</v>
      </c>
      <c r="G32" s="324" t="s">
        <v>38</v>
      </c>
      <c r="H32" s="325"/>
      <c r="I32" s="325"/>
      <c r="J32" s="326"/>
    </row>
    <row r="33" spans="1:33" s="50" customFormat="1" ht="12" hidden="1">
      <c r="A33" s="123"/>
      <c r="C33" s="140">
        <f>[5]Expenses!D33-[6]Expenses!D29</f>
        <v>0</v>
      </c>
      <c r="D33" s="141">
        <f>[5]Expenses!E33-[6]Expenses!E29</f>
        <v>0</v>
      </c>
      <c r="E33" s="142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40">
        <f>[5]Expenses!D34-[6]Expenses!D30</f>
        <v>0</v>
      </c>
      <c r="D34" s="141">
        <f>[5]Expenses!E34-[6]Expenses!E30</f>
        <v>0</v>
      </c>
      <c r="E34" s="142">
        <f>D34-C34</f>
        <v>0</v>
      </c>
      <c r="G34" s="143"/>
      <c r="H34" s="144"/>
      <c r="I34" s="144"/>
      <c r="J34" s="145"/>
    </row>
    <row r="35" spans="1:33" s="50" customFormat="1" ht="12" hidden="1">
      <c r="A35" s="146"/>
      <c r="C35" s="153" t="e">
        <f>[5]Expenses!D35-[6]Expenses!D31</f>
        <v>#VALUE!</v>
      </c>
      <c r="D35" s="154">
        <f>[5]Expenses!E35-[6]Expenses!E31</f>
        <v>0</v>
      </c>
      <c r="E35" s="155" t="e">
        <f>D35-C35</f>
        <v>#VALUE!</v>
      </c>
      <c r="G35" s="147"/>
      <c r="H35" s="148"/>
      <c r="I35" s="148"/>
      <c r="J35" s="149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>
      <c r="C39" s="16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N33" sqref="N33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hidden="1" customWidth="1"/>
    <col min="7" max="8" width="7.6640625" hidden="1" customWidth="1"/>
    <col min="9" max="9" width="8.5546875" hidden="1" customWidth="1"/>
    <col min="10" max="10" width="1.88671875" hidden="1" customWidth="1"/>
    <col min="11" max="13" width="8.6640625" customWidth="1"/>
    <col min="14" max="16" width="14.88671875" customWidth="1"/>
  </cols>
  <sheetData>
    <row r="1" spans="1:20" hidden="1">
      <c r="A1" s="10" t="s">
        <v>42</v>
      </c>
    </row>
    <row r="2" spans="1:20" ht="15.6">
      <c r="A2" s="10" t="s">
        <v>29</v>
      </c>
      <c r="B2" s="327" t="s">
        <v>69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</row>
    <row r="3" spans="1:20" ht="13.8">
      <c r="A3" s="10" t="s">
        <v>30</v>
      </c>
      <c r="B3" s="328" t="s">
        <v>120</v>
      </c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</row>
    <row r="4" spans="1:20">
      <c r="A4" s="11">
        <v>36861</v>
      </c>
      <c r="B4" s="329" t="str">
        <f>+'Mgmt Summary'!A3</f>
        <v>Results based on activity through April 20, 2001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4" t="s">
        <v>31</v>
      </c>
      <c r="E7" s="325"/>
      <c r="F7" s="325"/>
      <c r="G7" s="325"/>
      <c r="H7" s="325"/>
      <c r="I7" s="326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3" t="s">
        <v>32</v>
      </c>
      <c r="H8" s="334"/>
      <c r="I8" s="335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119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10003.704</v>
      </c>
      <c r="L10" s="172">
        <v>10003.704</v>
      </c>
      <c r="M10" s="173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3401.9789999999998</v>
      </c>
      <c r="L11" s="172">
        <v>3401.9789999999998</v>
      </c>
      <c r="M11" s="157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122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0</v>
      </c>
      <c r="L12" s="172">
        <v>0</v>
      </c>
      <c r="M12" s="157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874.50099999999998</v>
      </c>
      <c r="L13" s="172">
        <v>874.50099999999998</v>
      </c>
      <c r="M13" s="157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1946.2619999999999</v>
      </c>
      <c r="L14" s="172">
        <f>2264.424-318.162</f>
        <v>1946.2619999999999</v>
      </c>
      <c r="M14" s="157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814.46100000000001</v>
      </c>
      <c r="L15" s="172">
        <v>814.46100000000001</v>
      </c>
      <c r="M15" s="157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2141.165</v>
      </c>
      <c r="L16" s="172">
        <v>2141.165</v>
      </c>
      <c r="M16" s="173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127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605.66700000000003</v>
      </c>
      <c r="L17" s="172">
        <f>169.846+435.821</f>
        <v>605.66700000000003</v>
      </c>
      <c r="M17" s="173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87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1207.0029999999999</v>
      </c>
      <c r="L18" s="172">
        <v>1207.0029999999999</v>
      </c>
      <c r="M18" s="173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89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3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118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3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57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57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92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22112.197000000004</v>
      </c>
      <c r="L23" s="57">
        <f>SUM(L10:L22)</f>
        <v>22112.197000000004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57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57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90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-22112.197000000004</v>
      </c>
      <c r="L26" s="141">
        <f>-L23</f>
        <v>-22112.197000000004</v>
      </c>
      <c r="M26" s="157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57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154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42</v>
      </c>
      <c r="B1" s="339" t="s">
        <v>69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</row>
    <row r="2" spans="1:40" ht="13.8">
      <c r="A2" s="10" t="s">
        <v>44</v>
      </c>
      <c r="B2" s="340" t="s">
        <v>66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</row>
    <row r="3" spans="1:40">
      <c r="A3" s="10" t="s">
        <v>45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36" t="s">
        <v>64</v>
      </c>
      <c r="E6" s="337"/>
      <c r="F6" s="338"/>
      <c r="G6" s="1"/>
      <c r="H6" s="336" t="s">
        <v>65</v>
      </c>
      <c r="I6" s="337"/>
      <c r="J6" s="338"/>
      <c r="K6" s="1"/>
      <c r="L6" s="336" t="s">
        <v>37</v>
      </c>
      <c r="M6" s="337"/>
      <c r="N6" s="33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 ca="1">_xll.HPVAL($A10,$A$18,$A$2,$A$5,$A$6,$A$7)</f>
        <v>#NAME?</v>
      </c>
      <c r="E10" s="160" t="e">
        <f ca="1">_xll.HPVAL($A10,$A$18,$A$3,$A$5,$A$6,$A$7)</f>
        <v>#NAME?</v>
      </c>
      <c r="F10" s="161" t="e">
        <f t="shared" ca="1" si="0"/>
        <v>#NAME?</v>
      </c>
      <c r="G10" s="52"/>
      <c r="H10" s="159" t="e">
        <f ca="1">_xll.HPVAL($A10,$A$1,$A$2,$A$5,$A$6,$A$7)</f>
        <v>#NAME?</v>
      </c>
      <c r="I10" s="160" t="e">
        <f ca="1">_xll.HPVAL($A10,$A$1,$A$3,$A$5,$A$6,$A$7)</f>
        <v>#NAME?</v>
      </c>
      <c r="J10" s="161" t="e">
        <f t="shared" ca="1" si="1"/>
        <v>#NAME?</v>
      </c>
      <c r="K10" s="50"/>
      <c r="L10" s="159" t="e">
        <f t="shared" ca="1" si="2"/>
        <v>#NAME?</v>
      </c>
      <c r="M10" s="160" t="e">
        <f t="shared" ca="1" si="3"/>
        <v>#NAME?</v>
      </c>
      <c r="N10" s="161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 ca="1">_xll.HPVAL($A11,$A$18,$A$2,$A$5,$A$6,$A$7)</f>
        <v>#NAME?</v>
      </c>
      <c r="E11" s="160" t="e">
        <f ca="1">_xll.HPVAL($A11,$A$18,$A$3,$A$5,$A$6,$A$7)</f>
        <v>#NAME?</v>
      </c>
      <c r="F11" s="161" t="e">
        <f t="shared" ca="1" si="0"/>
        <v>#NAME?</v>
      </c>
      <c r="G11" s="52"/>
      <c r="H11" s="159" t="e">
        <f ca="1">_xll.HPVAL($A11,$A$1,$A$2,$A$5,$A$6,$A$7)</f>
        <v>#NAME?</v>
      </c>
      <c r="I11" s="160" t="e">
        <f ca="1">_xll.HPVAL($A11,$A$1,$A$3,$A$5,$A$6,$A$7)</f>
        <v>#NAME?</v>
      </c>
      <c r="J11" s="161" t="e">
        <f t="shared" ca="1" si="1"/>
        <v>#NAME?</v>
      </c>
      <c r="K11" s="50"/>
      <c r="L11" s="159" t="e">
        <f t="shared" ca="1" si="2"/>
        <v>#NAME?</v>
      </c>
      <c r="M11" s="160" t="e">
        <f t="shared" ca="1" si="3"/>
        <v>#NAME?</v>
      </c>
      <c r="N11" s="161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 ca="1">_xll.HPVAL($A12,$A$18,$A$2,$A$5,$A$6,$A$7)</f>
        <v>#NAME?</v>
      </c>
      <c r="E12" s="160" t="e">
        <f ca="1">_xll.HPVAL($A12,$A$18,$A$3,$A$5,$A$6,$A$7)</f>
        <v>#NAME?</v>
      </c>
      <c r="F12" s="161" t="e">
        <f t="shared" ca="1" si="0"/>
        <v>#NAME?</v>
      </c>
      <c r="G12" s="52"/>
      <c r="H12" s="159" t="e">
        <f ca="1">_xll.HPVAL($A12,$A$1,$A$2,$A$5,$A$6,$A$7)</f>
        <v>#NAME?</v>
      </c>
      <c r="I12" s="160" t="e">
        <f ca="1">_xll.HPVAL($A12,$A$1,$A$3,$A$5,$A$6,$A$7)</f>
        <v>#NAME?</v>
      </c>
      <c r="J12" s="161" t="e">
        <f t="shared" ca="1" si="1"/>
        <v>#NAME?</v>
      </c>
      <c r="K12" s="50"/>
      <c r="L12" s="159" t="e">
        <f t="shared" ca="1" si="2"/>
        <v>#NAME?</v>
      </c>
      <c r="M12" s="160" t="e">
        <f t="shared" ca="1" si="3"/>
        <v>#NAME?</v>
      </c>
      <c r="N12" s="161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 ca="1">_xll.HPVAL($A13,$A$18,$A$2,$A$5,$A$6,$A$7)</f>
        <v>#NAME?</v>
      </c>
      <c r="E13" s="160" t="e">
        <f ca="1">_xll.HPVAL($A13,$A$18,$A$3,$A$5,$A$6,$A$7)</f>
        <v>#NAME?</v>
      </c>
      <c r="F13" s="161" t="e">
        <f t="shared" ca="1" si="0"/>
        <v>#NAME?</v>
      </c>
      <c r="G13" s="52"/>
      <c r="H13" s="159" t="e">
        <f ca="1">_xll.HPVAL($A13,$A$1,$A$2,$A$5,$A$6,$A$7)</f>
        <v>#NAME?</v>
      </c>
      <c r="I13" s="160" t="e">
        <f ca="1">_xll.HPVAL($A13,$A$1,$A$3,$A$5,$A$6,$A$7)</f>
        <v>#NAME?</v>
      </c>
      <c r="J13" s="161" t="e">
        <f t="shared" ca="1" si="1"/>
        <v>#NAME?</v>
      </c>
      <c r="K13" s="50"/>
      <c r="L13" s="159" t="e">
        <f t="shared" ca="1" si="2"/>
        <v>#NAME?</v>
      </c>
      <c r="M13" s="160" t="e">
        <f t="shared" ca="1" si="3"/>
        <v>#NAME?</v>
      </c>
      <c r="N13" s="161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 ca="1">_xll.HPVAL($A14,$A$18,$A$2,$A$5,$A$6,$A$7)</f>
        <v>#NAME?</v>
      </c>
      <c r="E14" s="160" t="e">
        <f ca="1">_xll.HPVAL($A14,$A$18,$A$3,$A$5,$A$6,$A$7)</f>
        <v>#NAME?</v>
      </c>
      <c r="F14" s="161" t="e">
        <f t="shared" ca="1" si="0"/>
        <v>#NAME?</v>
      </c>
      <c r="G14" s="52"/>
      <c r="H14" s="159" t="e">
        <f ca="1">_xll.HPVAL($A14,$A$1,$A$2,$A$5,$A$6,$A$7)</f>
        <v>#NAME?</v>
      </c>
      <c r="I14" s="160" t="e">
        <f ca="1">_xll.HPVAL($A14,$A$1,$A$3,$A$5,$A$6,$A$7)</f>
        <v>#NAME?</v>
      </c>
      <c r="J14" s="161" t="e">
        <f t="shared" ca="1" si="1"/>
        <v>#NAME?</v>
      </c>
      <c r="K14" s="50"/>
      <c r="L14" s="159" t="e">
        <f t="shared" ca="1" si="2"/>
        <v>#NAME?</v>
      </c>
      <c r="M14" s="160" t="e">
        <f t="shared" ca="1" si="3"/>
        <v>#NAME?</v>
      </c>
      <c r="N14" s="161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2001-04-23T12:51:49Z</cp:lastPrinted>
  <dcterms:created xsi:type="dcterms:W3CDTF">1999-10-18T12:36:30Z</dcterms:created>
  <dcterms:modified xsi:type="dcterms:W3CDTF">2023-09-10T15:24:56Z</dcterms:modified>
</cp:coreProperties>
</file>