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Weekly Report" sheetId="9" r:id="rId1"/>
    <sheet name="Data" sheetId="7" state="hidden" r:id="rId2"/>
    <sheet name="WE 2-8 EOL Data" sheetId="13" state="hidden" r:id="rId3"/>
    <sheet name="WE 2-1 EOL Data" sheetId="11" state="hidden" r:id="rId4"/>
    <sheet name="WE 2-15 EOL Data" sheetId="14" state="hidden" r:id="rId5"/>
    <sheet name="EIM New Deals" sheetId="12" state="hidden" r:id="rId6"/>
    <sheet name="template from individuals" sheetId="3" state="hidden" r:id="rId7"/>
    <sheet name="template from eol" sheetId="10" state="hidden" r:id="rId8"/>
    <sheet name="Data People" sheetId="1" state="hidden" r:id="rId9"/>
  </sheets>
  <externalReferences>
    <externalReference r:id="rId10"/>
    <externalReference r:id="rId11"/>
  </externalReferences>
  <definedNames>
    <definedName name="_xlnm._FilterDatabase" localSheetId="1" hidden="1">Data!$A$53:$G$77</definedName>
    <definedName name="_xlnm.Print_Area" localSheetId="5">'EIM New Deals'!$A$1:$Q$33</definedName>
    <definedName name="_xlnm.Print_Area" localSheetId="6">'template from individuals'!$A$1:$I$33</definedName>
    <definedName name="_xlnm.Print_Area" localSheetId="0">'Weekly Report'!$A$1:$W$87</definedName>
    <definedName name="_xlnm.Print_Titles" localSheetId="5">'EIM New Deals'!$A:$A</definedName>
  </definedNames>
  <calcPr calcId="0" fullCalcOnLoad="1"/>
</workbook>
</file>

<file path=xl/calcChain.xml><?xml version="1.0" encoding="utf-8"?>
<calcChain xmlns="http://schemas.openxmlformats.org/spreadsheetml/2006/main">
  <c r="F12" i="7" l="1"/>
  <c r="G12" i="7"/>
  <c r="H12" i="7"/>
  <c r="I12" i="7"/>
  <c r="J12" i="7"/>
  <c r="K12" i="7"/>
  <c r="L12" i="7"/>
  <c r="F13" i="7"/>
  <c r="G13" i="7"/>
  <c r="H13" i="7"/>
  <c r="I13" i="7"/>
  <c r="J13" i="7"/>
  <c r="K13" i="7"/>
  <c r="L13" i="7"/>
  <c r="K14" i="7"/>
  <c r="L14" i="7"/>
  <c r="F15" i="7"/>
  <c r="G15" i="7"/>
  <c r="H15" i="7"/>
  <c r="I15" i="7"/>
  <c r="J15" i="7"/>
  <c r="K15" i="7"/>
  <c r="L15" i="7"/>
  <c r="F16" i="7"/>
  <c r="G16" i="7"/>
  <c r="H16" i="7"/>
  <c r="I16" i="7"/>
  <c r="J16" i="7"/>
  <c r="K16" i="7"/>
  <c r="L16" i="7"/>
  <c r="F17" i="7"/>
  <c r="G17" i="7"/>
  <c r="H17" i="7"/>
  <c r="I17" i="7"/>
  <c r="J17" i="7"/>
  <c r="K17" i="7"/>
  <c r="L17" i="7"/>
  <c r="F18" i="7"/>
  <c r="G18" i="7"/>
  <c r="H18" i="7"/>
  <c r="I18" i="7"/>
  <c r="J18" i="7"/>
  <c r="K18" i="7"/>
  <c r="L18" i="7"/>
  <c r="F19" i="7"/>
  <c r="G19" i="7"/>
  <c r="H19" i="7"/>
  <c r="I19" i="7"/>
  <c r="J19" i="7"/>
  <c r="K19" i="7"/>
  <c r="L19" i="7"/>
  <c r="K20" i="7"/>
  <c r="L20" i="7"/>
  <c r="F21" i="7"/>
  <c r="G21" i="7"/>
  <c r="H21" i="7"/>
  <c r="I21" i="7"/>
  <c r="J21" i="7"/>
  <c r="K21" i="7"/>
  <c r="L21" i="7"/>
  <c r="F22" i="7"/>
  <c r="G22" i="7"/>
  <c r="H22" i="7"/>
  <c r="I22" i="7"/>
  <c r="J22" i="7"/>
  <c r="K22" i="7"/>
  <c r="L22" i="7"/>
  <c r="F23" i="7"/>
  <c r="G23" i="7"/>
  <c r="H23" i="7"/>
  <c r="I23" i="7"/>
  <c r="J23" i="7"/>
  <c r="K23" i="7"/>
  <c r="L23" i="7"/>
  <c r="F24" i="7"/>
  <c r="J24" i="7"/>
  <c r="K24" i="7"/>
  <c r="L24" i="7"/>
  <c r="K27" i="7"/>
  <c r="L27" i="7"/>
  <c r="F28" i="7"/>
  <c r="G28" i="7"/>
  <c r="H28" i="7"/>
  <c r="I28" i="7"/>
  <c r="J28" i="7"/>
  <c r="K28" i="7"/>
  <c r="L28" i="7"/>
  <c r="F29" i="7"/>
  <c r="G29" i="7"/>
  <c r="H29" i="7"/>
  <c r="I29" i="7"/>
  <c r="J29" i="7"/>
  <c r="K29" i="7"/>
  <c r="L29" i="7"/>
  <c r="K30" i="7"/>
  <c r="L30" i="7"/>
  <c r="F31" i="7"/>
  <c r="G31" i="7"/>
  <c r="H31" i="7"/>
  <c r="I31" i="7"/>
  <c r="J31" i="7"/>
  <c r="K31" i="7"/>
  <c r="L31" i="7"/>
  <c r="K36" i="7"/>
  <c r="L36" i="7"/>
  <c r="F37" i="7"/>
  <c r="G37" i="7"/>
  <c r="H37" i="7"/>
  <c r="I37" i="7"/>
  <c r="J37" i="7"/>
  <c r="K37" i="7"/>
  <c r="L37" i="7"/>
  <c r="F38" i="7"/>
  <c r="G38" i="7"/>
  <c r="H38" i="7"/>
  <c r="I38" i="7"/>
  <c r="J38" i="7"/>
  <c r="K38" i="7"/>
  <c r="L38" i="7"/>
  <c r="H39" i="7"/>
  <c r="I39" i="7"/>
  <c r="J39" i="7"/>
  <c r="K39" i="7"/>
  <c r="L39" i="7"/>
  <c r="J40" i="7"/>
  <c r="K40" i="7"/>
  <c r="L40" i="7"/>
  <c r="J41" i="7"/>
  <c r="K41" i="7"/>
  <c r="L41" i="7"/>
  <c r="E54" i="7"/>
  <c r="E62" i="7"/>
  <c r="E70" i="7"/>
  <c r="G46" i="1"/>
  <c r="G52" i="1"/>
  <c r="C55" i="10"/>
  <c r="E55" i="10"/>
  <c r="G55" i="10"/>
  <c r="I55" i="10"/>
  <c r="C58" i="10"/>
  <c r="E58" i="10"/>
  <c r="G58" i="10"/>
  <c r="I58" i="10"/>
  <c r="B66" i="10"/>
  <c r="C66" i="10"/>
  <c r="D66" i="10"/>
  <c r="E66" i="10"/>
  <c r="F66" i="10"/>
  <c r="G66" i="10"/>
  <c r="H66" i="10"/>
  <c r="I66" i="10"/>
  <c r="B67" i="10"/>
  <c r="C67" i="10"/>
  <c r="D67" i="10"/>
  <c r="E67" i="10"/>
  <c r="F67" i="10"/>
  <c r="G67" i="10"/>
  <c r="H67" i="10"/>
  <c r="I67" i="10"/>
  <c r="B68" i="10"/>
  <c r="C68" i="10"/>
  <c r="D68" i="10"/>
  <c r="E68" i="10"/>
  <c r="F68" i="10"/>
  <c r="G68" i="10"/>
  <c r="H68" i="10"/>
  <c r="I68" i="10"/>
  <c r="B69" i="10"/>
  <c r="C69" i="10"/>
  <c r="D69" i="10"/>
  <c r="E69" i="10"/>
  <c r="F69" i="10"/>
  <c r="G69" i="10"/>
  <c r="H69" i="10"/>
  <c r="I69" i="10"/>
  <c r="B70" i="10"/>
  <c r="C70" i="10"/>
  <c r="D70" i="10"/>
  <c r="E70" i="10"/>
  <c r="F70" i="10"/>
  <c r="G70" i="10"/>
  <c r="H70" i="10"/>
  <c r="I70" i="10"/>
  <c r="B71" i="10"/>
  <c r="C71" i="10"/>
  <c r="D71" i="10"/>
  <c r="E71" i="10"/>
  <c r="F71" i="10"/>
  <c r="G71" i="10"/>
  <c r="H71" i="10"/>
  <c r="I71" i="10"/>
  <c r="B72" i="10"/>
  <c r="C72" i="10"/>
  <c r="D72" i="10"/>
  <c r="E72" i="10"/>
  <c r="F72" i="10"/>
  <c r="G72" i="10"/>
  <c r="H72" i="10"/>
  <c r="I72" i="10"/>
  <c r="B73" i="10"/>
  <c r="C73" i="10"/>
  <c r="D73" i="10"/>
  <c r="E73" i="10"/>
  <c r="F73" i="10"/>
  <c r="G73" i="10"/>
  <c r="H73" i="10"/>
  <c r="I73" i="10"/>
  <c r="B74" i="10"/>
  <c r="C74" i="10"/>
  <c r="D74" i="10"/>
  <c r="E74" i="10"/>
  <c r="F74" i="10"/>
  <c r="G74" i="10"/>
  <c r="H74" i="10"/>
  <c r="I74" i="10"/>
  <c r="B75" i="10"/>
  <c r="C75" i="10"/>
  <c r="D75" i="10"/>
  <c r="E75" i="10"/>
  <c r="F75" i="10"/>
  <c r="G75" i="10"/>
  <c r="H75" i="10"/>
  <c r="I75" i="10"/>
  <c r="B76" i="10"/>
  <c r="C76" i="10"/>
  <c r="D76" i="10"/>
  <c r="E76" i="10"/>
  <c r="F76" i="10"/>
  <c r="G76" i="10"/>
  <c r="H76" i="10"/>
  <c r="I76" i="10"/>
  <c r="B77" i="10"/>
  <c r="C77" i="10"/>
  <c r="D77" i="10"/>
  <c r="E77" i="10"/>
  <c r="F77" i="10"/>
  <c r="G77" i="10"/>
  <c r="H77" i="10"/>
  <c r="I77" i="10"/>
  <c r="J37" i="3"/>
  <c r="J38" i="3"/>
  <c r="J39" i="3"/>
  <c r="J40" i="3"/>
  <c r="J41" i="3"/>
  <c r="B42" i="3"/>
  <c r="H42" i="3"/>
  <c r="J42" i="3"/>
  <c r="B43" i="3"/>
  <c r="C43" i="3"/>
  <c r="D43" i="3"/>
  <c r="E43" i="3"/>
  <c r="F43" i="3"/>
  <c r="G43" i="3"/>
  <c r="H43" i="3"/>
  <c r="I43" i="3"/>
  <c r="J43" i="3"/>
  <c r="J44" i="3"/>
  <c r="J45" i="3"/>
  <c r="J46" i="3"/>
  <c r="J47" i="3"/>
  <c r="J48" i="3"/>
  <c r="J49" i="3"/>
  <c r="B52" i="3"/>
  <c r="C52" i="3"/>
  <c r="D52" i="3"/>
  <c r="E52" i="3"/>
  <c r="F52" i="3"/>
  <c r="G52" i="3"/>
  <c r="H52" i="3"/>
  <c r="I52" i="3"/>
  <c r="B53" i="3"/>
  <c r="C53" i="3"/>
  <c r="D53" i="3"/>
  <c r="E53" i="3"/>
  <c r="F53" i="3"/>
  <c r="G53" i="3"/>
  <c r="H53" i="3"/>
  <c r="I53" i="3"/>
  <c r="B55" i="3"/>
  <c r="C55" i="3"/>
  <c r="D55" i="3"/>
  <c r="E55" i="3"/>
  <c r="F55" i="3"/>
  <c r="G55" i="3"/>
  <c r="H55" i="3"/>
  <c r="I55" i="3"/>
  <c r="J55" i="3"/>
  <c r="B56" i="3"/>
  <c r="C56" i="3"/>
  <c r="D56" i="3"/>
  <c r="E56" i="3"/>
  <c r="F56" i="3"/>
  <c r="G56" i="3"/>
  <c r="H56" i="3"/>
  <c r="I56" i="3"/>
  <c r="J56" i="3"/>
  <c r="B57" i="3"/>
  <c r="C57" i="3"/>
  <c r="D57" i="3"/>
  <c r="E57" i="3"/>
  <c r="F57" i="3"/>
  <c r="G57" i="3"/>
  <c r="H57" i="3"/>
  <c r="I57" i="3"/>
  <c r="J57" i="3"/>
  <c r="B58" i="3"/>
  <c r="C58" i="3"/>
  <c r="D58" i="3"/>
  <c r="E58" i="3"/>
  <c r="F58" i="3"/>
  <c r="G58" i="3"/>
  <c r="H58" i="3"/>
  <c r="I58" i="3"/>
  <c r="B60" i="3"/>
  <c r="C60" i="3"/>
  <c r="D60" i="3"/>
  <c r="E60" i="3"/>
  <c r="F60" i="3"/>
  <c r="G60" i="3"/>
  <c r="H60" i="3"/>
  <c r="I60" i="3"/>
  <c r="B62" i="3"/>
  <c r="C62" i="3"/>
  <c r="D62" i="3"/>
  <c r="E62" i="3"/>
  <c r="F62" i="3"/>
  <c r="G62" i="3"/>
  <c r="H62" i="3"/>
  <c r="I62" i="3"/>
  <c r="B68" i="3"/>
  <c r="C68" i="3"/>
  <c r="D68" i="3"/>
  <c r="E68" i="3"/>
  <c r="F68" i="3"/>
  <c r="G68" i="3"/>
  <c r="H68" i="3"/>
  <c r="I68" i="3"/>
  <c r="B69" i="3"/>
  <c r="C69" i="3"/>
  <c r="D69" i="3"/>
  <c r="E69" i="3"/>
  <c r="F69" i="3"/>
  <c r="G69" i="3"/>
  <c r="H69" i="3"/>
  <c r="I69" i="3"/>
  <c r="B70" i="3"/>
  <c r="C70" i="3"/>
  <c r="D70" i="3"/>
  <c r="E70" i="3"/>
  <c r="F70" i="3"/>
  <c r="G70" i="3"/>
  <c r="H70" i="3"/>
  <c r="I70" i="3"/>
  <c r="B71" i="3"/>
  <c r="C71" i="3"/>
  <c r="D71" i="3"/>
  <c r="E71" i="3"/>
  <c r="F71" i="3"/>
  <c r="G71" i="3"/>
  <c r="H71" i="3"/>
  <c r="I71" i="3"/>
  <c r="B72" i="3"/>
  <c r="C72" i="3"/>
  <c r="D72" i="3"/>
  <c r="E72" i="3"/>
  <c r="F72" i="3"/>
  <c r="G72" i="3"/>
  <c r="H72" i="3"/>
  <c r="I72" i="3"/>
  <c r="B73" i="3"/>
  <c r="C73" i="3"/>
  <c r="D73" i="3"/>
  <c r="E73" i="3"/>
  <c r="F73" i="3"/>
  <c r="G73" i="3"/>
  <c r="H73" i="3"/>
  <c r="I73" i="3"/>
  <c r="B74" i="3"/>
  <c r="C74" i="3"/>
  <c r="D74" i="3"/>
  <c r="E74" i="3"/>
  <c r="F74" i="3"/>
  <c r="G74" i="3"/>
  <c r="H74" i="3"/>
  <c r="I74" i="3"/>
  <c r="B75" i="3"/>
  <c r="C75" i="3"/>
  <c r="D75" i="3"/>
  <c r="E75" i="3"/>
  <c r="F75" i="3"/>
  <c r="G75" i="3"/>
  <c r="H75" i="3"/>
  <c r="I75" i="3"/>
  <c r="B76" i="3"/>
  <c r="C76" i="3"/>
  <c r="D76" i="3"/>
  <c r="E76" i="3"/>
  <c r="F76" i="3"/>
  <c r="G76" i="3"/>
  <c r="H76" i="3"/>
  <c r="I76" i="3"/>
  <c r="B77" i="3"/>
  <c r="C77" i="3"/>
  <c r="D77" i="3"/>
  <c r="E77" i="3"/>
  <c r="F77" i="3"/>
  <c r="G77" i="3"/>
  <c r="H77" i="3"/>
  <c r="I77" i="3"/>
  <c r="B78" i="3"/>
  <c r="C78" i="3"/>
  <c r="D78" i="3"/>
  <c r="E78" i="3"/>
  <c r="F78" i="3"/>
  <c r="G78" i="3"/>
  <c r="H78" i="3"/>
  <c r="I78" i="3"/>
  <c r="B79" i="3"/>
  <c r="C79" i="3"/>
  <c r="D79" i="3"/>
  <c r="E79" i="3"/>
  <c r="F79" i="3"/>
  <c r="G79" i="3"/>
  <c r="H79" i="3"/>
  <c r="I79" i="3"/>
  <c r="B80" i="3"/>
  <c r="C80" i="3"/>
  <c r="D80" i="3"/>
  <c r="E80" i="3"/>
  <c r="F80" i="3"/>
  <c r="G80" i="3"/>
  <c r="H80" i="3"/>
  <c r="I80" i="3"/>
  <c r="B6" i="11"/>
  <c r="C6" i="11"/>
  <c r="B7" i="11"/>
  <c r="C7" i="11"/>
  <c r="B9" i="11"/>
  <c r="C9" i="11"/>
  <c r="B10" i="11"/>
  <c r="C10" i="11"/>
  <c r="B11" i="11"/>
  <c r="C11" i="11"/>
  <c r="B12" i="11"/>
  <c r="C12" i="11"/>
  <c r="B14" i="11"/>
  <c r="C14" i="11"/>
  <c r="B29" i="11"/>
  <c r="C29" i="11"/>
  <c r="B30" i="11"/>
  <c r="C30" i="11"/>
  <c r="B32" i="11"/>
  <c r="C32" i="11"/>
  <c r="B33" i="11"/>
  <c r="C33" i="11"/>
  <c r="B34" i="11"/>
  <c r="C34" i="11"/>
  <c r="B35" i="11"/>
  <c r="C35" i="11"/>
  <c r="B36" i="11"/>
  <c r="C36" i="11"/>
  <c r="B37" i="11"/>
  <c r="C37" i="11"/>
  <c r="B39" i="11"/>
  <c r="C55" i="11"/>
  <c r="C58" i="11"/>
  <c r="B6" i="14"/>
  <c r="C6" i="14"/>
  <c r="B7" i="14"/>
  <c r="C7" i="14"/>
  <c r="B9" i="14"/>
  <c r="C9" i="14"/>
  <c r="B10" i="14"/>
  <c r="C10" i="14"/>
  <c r="B11" i="14"/>
  <c r="C11" i="14"/>
  <c r="B12" i="14"/>
  <c r="C12" i="14"/>
  <c r="B13" i="14"/>
  <c r="C13" i="14"/>
  <c r="B14" i="14"/>
  <c r="C14" i="14"/>
  <c r="B16" i="14"/>
  <c r="C16" i="14"/>
  <c r="B17" i="14"/>
  <c r="C17" i="14"/>
  <c r="B29" i="14"/>
  <c r="C29" i="14"/>
  <c r="B30" i="14"/>
  <c r="C30" i="14"/>
  <c r="B32" i="14"/>
  <c r="C32" i="14"/>
  <c r="B33" i="14"/>
  <c r="C33" i="14"/>
  <c r="B34" i="14"/>
  <c r="C34" i="14"/>
  <c r="B35" i="14"/>
  <c r="C35" i="14"/>
  <c r="B36" i="14"/>
  <c r="C36" i="14"/>
  <c r="B37" i="14"/>
  <c r="C37" i="14"/>
  <c r="B39" i="14"/>
  <c r="B40" i="14"/>
  <c r="C40" i="14"/>
  <c r="C55" i="14"/>
  <c r="C58" i="14"/>
  <c r="B6" i="13"/>
  <c r="C6" i="13"/>
  <c r="B7" i="13"/>
  <c r="C7" i="13"/>
  <c r="B9" i="13"/>
  <c r="C9" i="13"/>
  <c r="B10" i="13"/>
  <c r="C10" i="13"/>
  <c r="B11" i="13"/>
  <c r="C11" i="13"/>
  <c r="B12" i="13"/>
  <c r="C12" i="13"/>
  <c r="B13" i="13"/>
  <c r="C13" i="13"/>
  <c r="B14" i="13"/>
  <c r="C14" i="13"/>
  <c r="B16" i="13"/>
  <c r="C16" i="13"/>
  <c r="B17" i="13"/>
  <c r="C17" i="13"/>
  <c r="B29" i="13"/>
  <c r="C29" i="13"/>
  <c r="B30" i="13"/>
  <c r="C30" i="13"/>
  <c r="B32" i="13"/>
  <c r="C32" i="13"/>
  <c r="B33" i="13"/>
  <c r="C33" i="13"/>
  <c r="B34" i="13"/>
  <c r="C34" i="13"/>
  <c r="B35" i="13"/>
  <c r="C35" i="13"/>
  <c r="B36" i="13"/>
  <c r="C36" i="13"/>
  <c r="B37" i="13"/>
  <c r="C37" i="13"/>
  <c r="B39" i="13"/>
  <c r="C39" i="13"/>
  <c r="B40" i="13"/>
  <c r="C40" i="13"/>
  <c r="C55" i="13"/>
  <c r="C58" i="13"/>
  <c r="J12" i="9"/>
  <c r="K12" i="9"/>
  <c r="L12" i="9"/>
  <c r="M12" i="9"/>
  <c r="N12" i="9"/>
  <c r="O12" i="9"/>
  <c r="R12" i="9"/>
  <c r="S12" i="9"/>
  <c r="T12" i="9"/>
  <c r="U12" i="9"/>
  <c r="V12" i="9"/>
  <c r="W12" i="9"/>
  <c r="J13" i="9"/>
  <c r="K13" i="9"/>
  <c r="L13" i="9"/>
  <c r="M13" i="9"/>
  <c r="N13" i="9"/>
  <c r="O13" i="9"/>
  <c r="R13" i="9"/>
  <c r="S13" i="9"/>
  <c r="T13" i="9"/>
  <c r="U13" i="9"/>
  <c r="V13" i="9"/>
  <c r="W13" i="9"/>
  <c r="R15" i="9"/>
  <c r="S15" i="9"/>
  <c r="T15" i="9"/>
  <c r="U15" i="9"/>
  <c r="V15" i="9"/>
  <c r="W15" i="9"/>
  <c r="J16" i="9"/>
  <c r="K16" i="9"/>
  <c r="L16" i="9"/>
  <c r="M16" i="9"/>
  <c r="N16" i="9"/>
  <c r="O16" i="9"/>
  <c r="R16" i="9"/>
  <c r="S16" i="9"/>
  <c r="T16" i="9"/>
  <c r="U16" i="9"/>
  <c r="V16" i="9"/>
  <c r="W16" i="9"/>
  <c r="J17" i="9"/>
  <c r="K17" i="9"/>
  <c r="L17" i="9"/>
  <c r="M17" i="9"/>
  <c r="N17" i="9"/>
  <c r="O17" i="9"/>
  <c r="R17" i="9"/>
  <c r="S17" i="9"/>
  <c r="T17" i="9"/>
  <c r="U17" i="9"/>
  <c r="V17" i="9"/>
  <c r="W17" i="9"/>
  <c r="J18" i="9"/>
  <c r="K18" i="9"/>
  <c r="L18" i="9"/>
  <c r="M18" i="9"/>
  <c r="N18" i="9"/>
  <c r="O18" i="9"/>
  <c r="R18" i="9"/>
  <c r="S18" i="9"/>
  <c r="T18" i="9"/>
  <c r="U18" i="9"/>
  <c r="V18" i="9"/>
  <c r="W18" i="9"/>
  <c r="J19" i="9"/>
  <c r="K19" i="9"/>
  <c r="L19" i="9"/>
  <c r="M19" i="9"/>
  <c r="N19" i="9"/>
  <c r="O19" i="9"/>
  <c r="R19" i="9"/>
  <c r="S19" i="9"/>
  <c r="T19" i="9"/>
  <c r="U19" i="9"/>
  <c r="V19" i="9"/>
  <c r="W19" i="9"/>
  <c r="J20" i="9"/>
  <c r="K20" i="9"/>
  <c r="L20" i="9"/>
  <c r="M20" i="9"/>
  <c r="N20" i="9"/>
  <c r="O20" i="9"/>
  <c r="R20" i="9"/>
  <c r="S20" i="9"/>
  <c r="T20" i="9"/>
  <c r="U20" i="9"/>
  <c r="V20" i="9"/>
  <c r="W20" i="9"/>
  <c r="R21" i="9"/>
  <c r="S21" i="9"/>
  <c r="T21" i="9"/>
  <c r="U21" i="9"/>
  <c r="V21" i="9"/>
  <c r="W21" i="9"/>
  <c r="R22" i="9"/>
  <c r="S22" i="9"/>
  <c r="T22" i="9"/>
  <c r="U22" i="9"/>
  <c r="V22" i="9"/>
  <c r="W22" i="9"/>
  <c r="J23" i="9"/>
  <c r="K23" i="9"/>
  <c r="L23" i="9"/>
  <c r="M23" i="9"/>
  <c r="N23" i="9"/>
  <c r="O23" i="9"/>
  <c r="J24" i="9"/>
  <c r="K24" i="9"/>
  <c r="L24" i="9"/>
  <c r="M24" i="9"/>
  <c r="N24" i="9"/>
  <c r="O24" i="9"/>
  <c r="J25" i="9"/>
  <c r="K25" i="9"/>
  <c r="L25" i="9"/>
  <c r="M25" i="9"/>
  <c r="N25" i="9"/>
  <c r="O25" i="9"/>
  <c r="J26" i="9"/>
  <c r="K26" i="9"/>
  <c r="L26" i="9"/>
  <c r="M26" i="9"/>
  <c r="N26" i="9"/>
  <c r="O26" i="9"/>
</calcChain>
</file>

<file path=xl/sharedStrings.xml><?xml version="1.0" encoding="utf-8"?>
<sst xmlns="http://schemas.openxmlformats.org/spreadsheetml/2006/main" count="862" uniqueCount="159">
  <si>
    <t>IR/FX</t>
  </si>
  <si>
    <t>Laurel Adams</t>
  </si>
  <si>
    <t>Financial</t>
  </si>
  <si>
    <t>Weather</t>
  </si>
  <si>
    <t>Coal</t>
  </si>
  <si>
    <t>Liquids</t>
  </si>
  <si>
    <t>Pulp and Paper</t>
  </si>
  <si>
    <t>Physical</t>
  </si>
  <si>
    <t>Joe Hunter</t>
  </si>
  <si>
    <t>OPM</t>
  </si>
  <si>
    <t>Leslie Reeves</t>
  </si>
  <si>
    <t>?</t>
  </si>
  <si>
    <t>Mike Perun</t>
  </si>
  <si>
    <t>Emissions</t>
  </si>
  <si>
    <t>Volume Moved</t>
  </si>
  <si>
    <t>Diane Cook</t>
  </si>
  <si>
    <t>EOL New Deals</t>
  </si>
  <si>
    <t>Non-EOL New Deals</t>
  </si>
  <si>
    <t>Torrey Moorer</t>
  </si>
  <si>
    <t>New Counterparties</t>
  </si>
  <si>
    <t>New Contracts</t>
  </si>
  <si>
    <t>Gas (Houston)</t>
  </si>
  <si>
    <t>Gas (Calgary)</t>
  </si>
  <si>
    <t>Brian Gillis</t>
  </si>
  <si>
    <t>Kevin Heal</t>
  </si>
  <si>
    <t>Global</t>
  </si>
  <si>
    <t>Mary Gosnell</t>
  </si>
  <si>
    <t>Linda Bryan, Cheryl Dudley</t>
  </si>
  <si>
    <t>Power (Houston)</t>
  </si>
  <si>
    <t>Power (Calgary)</t>
  </si>
  <si>
    <t>Non-EOL</t>
  </si>
  <si>
    <t>Total</t>
  </si>
  <si>
    <t>EGM</t>
  </si>
  <si>
    <t>EIM</t>
  </si>
  <si>
    <t>ENA</t>
  </si>
  <si>
    <t>EOL</t>
  </si>
  <si>
    <t>Wk 1</t>
  </si>
  <si>
    <t>Wk 2</t>
  </si>
  <si>
    <t>Wk 3</t>
  </si>
  <si>
    <t>Lumber</t>
  </si>
  <si>
    <t>Newsprint</t>
  </si>
  <si>
    <t>Steel</t>
  </si>
  <si>
    <t>Pulp (recycled paper)</t>
  </si>
  <si>
    <t>New Deals for</t>
  </si>
  <si>
    <t>week ending 18</t>
  </si>
  <si>
    <t>week ending 25</t>
  </si>
  <si>
    <t>week ending 11</t>
  </si>
  <si>
    <t>week ending 4</t>
  </si>
  <si>
    <t>JANUARY</t>
  </si>
  <si>
    <t>Physical Gas</t>
  </si>
  <si>
    <t>Financial Gas</t>
  </si>
  <si>
    <t>Physical Power</t>
  </si>
  <si>
    <t>Financial Power</t>
  </si>
  <si>
    <t>Physical Lumber</t>
  </si>
  <si>
    <t>Financial Lumber</t>
  </si>
  <si>
    <t>Financial Newsprint</t>
  </si>
  <si>
    <t>Physical Newsprint</t>
  </si>
  <si>
    <t>Physical Pulp</t>
  </si>
  <si>
    <t>Financial Pulp</t>
  </si>
  <si>
    <t>Physical Steel</t>
  </si>
  <si>
    <t>Financial Steel</t>
  </si>
  <si>
    <t>Physical Liquids</t>
  </si>
  <si>
    <t>Financial Liquids</t>
  </si>
  <si>
    <t>New Deals</t>
  </si>
  <si>
    <t>Gas</t>
  </si>
  <si>
    <t>E-Commerce</t>
  </si>
  <si>
    <t>M&amp;A</t>
  </si>
  <si>
    <t>Legal</t>
  </si>
  <si>
    <t>Lease</t>
  </si>
  <si>
    <t>Auction</t>
  </si>
  <si>
    <t>Pulp</t>
  </si>
  <si>
    <t>Power</t>
  </si>
  <si>
    <t>Others</t>
  </si>
  <si>
    <t>Buy</t>
  </si>
  <si>
    <t>Sell</t>
  </si>
  <si>
    <t>Transport</t>
  </si>
  <si>
    <t>Storage</t>
  </si>
  <si>
    <t>Contracts</t>
  </si>
  <si>
    <t>Gas On-System</t>
  </si>
  <si>
    <t>Gas Off-System</t>
  </si>
  <si>
    <t>Non E-Commerce</t>
  </si>
  <si>
    <t>MMBTU</t>
  </si>
  <si>
    <t>MHtz</t>
  </si>
  <si>
    <t>Loads</t>
  </si>
  <si>
    <t>Bails</t>
  </si>
  <si>
    <t>Bars</t>
  </si>
  <si>
    <t>Buckets</t>
  </si>
  <si>
    <t>Tons</t>
  </si>
  <si>
    <t>Lumps</t>
  </si>
  <si>
    <t>Commodity</t>
  </si>
  <si>
    <t>Date</t>
  </si>
  <si>
    <t>Unit Type</t>
  </si>
  <si>
    <t>Units</t>
  </si>
  <si>
    <t>Liquid</t>
  </si>
  <si>
    <t>Volumes</t>
  </si>
  <si>
    <t>EA</t>
  </si>
  <si>
    <t>Total EOL</t>
  </si>
  <si>
    <t>Total Manual</t>
  </si>
  <si>
    <t>EOL Manual compare</t>
  </si>
  <si>
    <t>BBL</t>
  </si>
  <si>
    <t>TONNE</t>
  </si>
  <si>
    <t>HDD/CDD</t>
  </si>
  <si>
    <t>USD</t>
  </si>
  <si>
    <t>CONTRACTS</t>
  </si>
  <si>
    <t>Principal Projects / Deals:</t>
  </si>
  <si>
    <t>HPL Monetization:</t>
  </si>
  <si>
    <t>-  maintain operations and staff effectiveness through</t>
  </si>
  <si>
    <t xml:space="preserve">    transfer date</t>
  </si>
  <si>
    <t>Management information regarding PG&amp;E</t>
  </si>
  <si>
    <t>* Breakout of EIM volumes not available at this time</t>
  </si>
  <si>
    <t>Week ending 4th</t>
  </si>
  <si>
    <t>Week ending 11th</t>
  </si>
  <si>
    <t>Week ending 18</t>
  </si>
  <si>
    <t>Week ending 25</t>
  </si>
  <si>
    <t>Volumetric</t>
  </si>
  <si>
    <t>New Deals for:</t>
  </si>
  <si>
    <t>Volume</t>
  </si>
  <si>
    <t>Coal International</t>
  </si>
  <si>
    <t>Pulp &amp; Paper</t>
  </si>
  <si>
    <t>Number of new EOL Counterparties</t>
  </si>
  <si>
    <t>Clickpaper</t>
  </si>
  <si>
    <t>Board Feet</t>
  </si>
  <si>
    <t>Metric Tonnes</t>
  </si>
  <si>
    <t>Number of new CP Counterparties</t>
  </si>
  <si>
    <t>Total EIM</t>
  </si>
  <si>
    <t>Lumber Converted</t>
  </si>
  <si>
    <t>EIM TOTAL</t>
  </si>
  <si>
    <t>EIM Total*</t>
  </si>
  <si>
    <t>12/29 - 1/4</t>
  </si>
  <si>
    <t>1/5 - 1/11</t>
  </si>
  <si>
    <t>1/12 - 1/18</t>
  </si>
  <si>
    <t>1/19 - 1/25</t>
  </si>
  <si>
    <t>1/26 - 2/2</t>
  </si>
  <si>
    <t>Week ending 2/1</t>
  </si>
  <si>
    <t>FEBRUARY</t>
  </si>
  <si>
    <t>Week Ending 4</t>
  </si>
  <si>
    <t>Week Ending 11</t>
  </si>
  <si>
    <t>Week Ending 18</t>
  </si>
  <si>
    <t>Week Ending 25</t>
  </si>
  <si>
    <t>Week Ending 1</t>
  </si>
  <si>
    <t>Week Ending 8</t>
  </si>
  <si>
    <t>Week Ending 16</t>
  </si>
  <si>
    <t>Week Ending 23</t>
  </si>
  <si>
    <r>
      <t xml:space="preserve"> EA </t>
    </r>
    <r>
      <rPr>
        <b/>
        <sz val="10"/>
        <rFont val="Arial"/>
        <family val="2"/>
      </rPr>
      <t>(in millions)</t>
    </r>
  </si>
  <si>
    <r>
      <t xml:space="preserve"> EGM </t>
    </r>
    <r>
      <rPr>
        <b/>
        <sz val="10"/>
        <rFont val="Arial"/>
        <family val="2"/>
      </rPr>
      <t>(in thousands)</t>
    </r>
  </si>
  <si>
    <t>Physical Volume of New Deals</t>
  </si>
  <si>
    <t>2/2 -2/8</t>
  </si>
  <si>
    <t>1/26 - 2/1</t>
  </si>
  <si>
    <t>2/2 - 2/8</t>
  </si>
  <si>
    <t>Week ending 2/8</t>
  </si>
  <si>
    <t>2/9 - 2/15</t>
  </si>
  <si>
    <t>2/9 -2/15</t>
  </si>
  <si>
    <t>Week ending 2/15</t>
  </si>
  <si>
    <t>Accelerated Solutions Environment - Commercialization of Operations</t>
  </si>
  <si>
    <t>of energy operations and other business units.</t>
  </si>
  <si>
    <t>The findings of the ASE and the potential commercialization</t>
  </si>
  <si>
    <t>of operations will be finalized during the next several weeks.</t>
  </si>
  <si>
    <t>Conducted the ASE on February 12 and 13 in Dallas, TX.</t>
  </si>
  <si>
    <t xml:space="preserve"> This two day event was attended by the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</si>
</sst>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5" formatCode="_(* #,##0_);_(* \(#,##0\);_(* &quot;-&quot;??_);_(@_)"/>
    <numFmt numFmtId="167" formatCode="_-* #,##0_-;\-* #,##0_-;_-* &quot;-&quot;_-;_-@_-"/>
    <numFmt numFmtId="168" formatCode="_-* #,##0.00_-;\-* #,##0.00_-;_-* &quot;-&quot;??_-;_-@_-"/>
    <numFmt numFmtId="169" formatCode="_-&quot;£&quot;* #,##0_-;\-&quot;£&quot;* #,##0_-;_-&quot;£&quot;* &quot;-&quot;_-;_-@_-"/>
    <numFmt numFmtId="170" formatCode="_-&quot;£&quot;* #,##0.00_-;\-&quot;£&quot;* #,##0.00_-;_-&quot;£&quot;* &quot;-&quot;??_-;_-@_-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1"/>
      <name val="Arial"/>
      <family val="2"/>
    </font>
    <font>
      <sz val="10"/>
      <color indexed="8"/>
      <name val="MS Sans Serif"/>
    </font>
    <font>
      <sz val="8.5"/>
      <name val="MS Sans Serif"/>
    </font>
    <font>
      <sz val="13"/>
      <name val="Arial"/>
      <family val="2"/>
    </font>
    <font>
      <b/>
      <sz val="1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43" fontId="0" fillId="0" borderId="0" xfId="1" applyFont="1"/>
    <xf numFmtId="0" fontId="8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8" fillId="0" borderId="4" xfId="0" applyFont="1" applyBorder="1" applyAlignment="1">
      <alignment horizontal="center"/>
    </xf>
    <xf numFmtId="165" fontId="0" fillId="0" borderId="0" xfId="1" applyNumberFormat="1" applyFont="1"/>
    <xf numFmtId="165" fontId="0" fillId="0" borderId="4" xfId="1" applyNumberFormat="1" applyFont="1" applyBorder="1"/>
    <xf numFmtId="165" fontId="0" fillId="0" borderId="4" xfId="1" applyNumberFormat="1" applyFont="1" applyBorder="1" applyAlignment="1">
      <alignment horizontal="center"/>
    </xf>
    <xf numFmtId="0" fontId="0" fillId="2" borderId="0" xfId="0" applyFill="1" applyBorder="1"/>
    <xf numFmtId="165" fontId="0" fillId="2" borderId="0" xfId="0" applyNumberForma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2"/>
    </xf>
    <xf numFmtId="0" fontId="0" fillId="2" borderId="6" xfId="0" applyFill="1" applyBorder="1"/>
    <xf numFmtId="165" fontId="0" fillId="2" borderId="6" xfId="0" applyNumberFormat="1" applyFill="1" applyBorder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left" indent="1"/>
    </xf>
    <xf numFmtId="0" fontId="0" fillId="3" borderId="0" xfId="0" applyFill="1" applyBorder="1"/>
    <xf numFmtId="0" fontId="0" fillId="3" borderId="0" xfId="0" applyFill="1" applyAlignment="1">
      <alignment horizontal="left" indent="2"/>
    </xf>
    <xf numFmtId="0" fontId="0" fillId="3" borderId="6" xfId="0" applyFill="1" applyBorder="1"/>
    <xf numFmtId="165" fontId="0" fillId="3" borderId="6" xfId="0" applyNumberFormat="1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 applyAlignment="1">
      <alignment horizontal="left" indent="2"/>
    </xf>
    <xf numFmtId="165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0" fontId="8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0" xfId="0" applyFont="1" applyBorder="1"/>
    <xf numFmtId="0" fontId="6" fillId="0" borderId="8" xfId="0" applyFont="1" applyBorder="1"/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/>
    <xf numFmtId="165" fontId="6" fillId="0" borderId="4" xfId="1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0" applyFont="1" applyBorder="1"/>
    <xf numFmtId="165" fontId="6" fillId="0" borderId="4" xfId="1" applyNumberFormat="1" applyFont="1" applyBorder="1"/>
    <xf numFmtId="165" fontId="6" fillId="0" borderId="0" xfId="1" applyNumberFormat="1" applyFont="1" applyBorder="1"/>
    <xf numFmtId="165" fontId="6" fillId="0" borderId="8" xfId="1" applyNumberFormat="1" applyFont="1" applyBorder="1"/>
    <xf numFmtId="165" fontId="6" fillId="0" borderId="0" xfId="1" applyNumberFormat="1" applyFont="1"/>
    <xf numFmtId="165" fontId="6" fillId="0" borderId="4" xfId="1" applyNumberFormat="1" applyFont="1" applyBorder="1" applyAlignment="1">
      <alignment horizontal="left" indent="1"/>
    </xf>
    <xf numFmtId="165" fontId="6" fillId="0" borderId="0" xfId="1" quotePrefix="1" applyNumberFormat="1" applyFont="1" applyBorder="1"/>
    <xf numFmtId="165" fontId="7" fillId="0" borderId="0" xfId="1" applyNumberFormat="1" applyFont="1"/>
    <xf numFmtId="165" fontId="7" fillId="0" borderId="4" xfId="1" applyNumberFormat="1" applyFont="1" applyBorder="1" applyAlignment="1">
      <alignment horizontal="left"/>
    </xf>
    <xf numFmtId="165" fontId="7" fillId="0" borderId="4" xfId="1" applyNumberFormat="1" applyFont="1" applyBorder="1"/>
    <xf numFmtId="165" fontId="6" fillId="0" borderId="5" xfId="1" applyNumberFormat="1" applyFont="1" applyBorder="1" applyAlignment="1">
      <alignment horizontal="left" indent="1"/>
    </xf>
    <xf numFmtId="165" fontId="6" fillId="0" borderId="1" xfId="1" applyNumberFormat="1" applyFont="1" applyBorder="1" applyAlignment="1">
      <alignment horizontal="center"/>
    </xf>
    <xf numFmtId="165" fontId="6" fillId="0" borderId="2" xfId="1" applyNumberFormat="1" applyFont="1" applyBorder="1"/>
    <xf numFmtId="165" fontId="6" fillId="0" borderId="3" xfId="1" applyNumberFormat="1" applyFont="1" applyBorder="1"/>
    <xf numFmtId="0" fontId="6" fillId="0" borderId="4" xfId="0" applyFont="1" applyBorder="1" applyAlignment="1">
      <alignment horizontal="left"/>
    </xf>
    <xf numFmtId="0" fontId="6" fillId="0" borderId="0" xfId="0" applyFont="1" applyFill="1" applyBorder="1"/>
    <xf numFmtId="0" fontId="6" fillId="0" borderId="4" xfId="0" applyFont="1" applyFill="1" applyBorder="1"/>
    <xf numFmtId="0" fontId="6" fillId="0" borderId="8" xfId="0" applyFont="1" applyFill="1" applyBorder="1"/>
    <xf numFmtId="0" fontId="7" fillId="0" borderId="4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9" xfId="0" applyFont="1" applyBorder="1"/>
    <xf numFmtId="0" fontId="6" fillId="0" borderId="10" xfId="0" applyFont="1" applyBorder="1"/>
    <xf numFmtId="0" fontId="6" fillId="0" borderId="5" xfId="0" applyFont="1" applyFill="1" applyBorder="1"/>
    <xf numFmtId="0" fontId="6" fillId="0" borderId="9" xfId="0" applyFont="1" applyFill="1" applyBorder="1"/>
    <xf numFmtId="0" fontId="6" fillId="0" borderId="10" xfId="0" applyFont="1" applyFill="1" applyBorder="1"/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5" fontId="4" fillId="0" borderId="0" xfId="1" applyNumberFormat="1" applyFont="1" applyBorder="1"/>
    <xf numFmtId="0" fontId="2" fillId="0" borderId="9" xfId="0" applyFont="1" applyBorder="1" applyAlignment="1">
      <alignment horizontal="center"/>
    </xf>
    <xf numFmtId="0" fontId="9" fillId="0" borderId="0" xfId="0" applyFont="1"/>
    <xf numFmtId="0" fontId="0" fillId="0" borderId="7" xfId="0" applyBorder="1" applyAlignment="1">
      <alignment horizontal="center"/>
    </xf>
    <xf numFmtId="0" fontId="2" fillId="0" borderId="9" xfId="0" applyFon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3" fontId="2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left"/>
    </xf>
    <xf numFmtId="165" fontId="0" fillId="0" borderId="0" xfId="0" applyNumberFormat="1"/>
    <xf numFmtId="0" fontId="7" fillId="0" borderId="10" xfId="0" applyFont="1" applyBorder="1" applyAlignment="1">
      <alignment horizontal="center"/>
    </xf>
    <xf numFmtId="165" fontId="1" fillId="0" borderId="0" xfId="1" applyNumberFormat="1"/>
    <xf numFmtId="43" fontId="0" fillId="0" borderId="0" xfId="0" applyNumberFormat="1"/>
    <xf numFmtId="165" fontId="2" fillId="0" borderId="0" xfId="0" applyNumberFormat="1" applyFont="1"/>
    <xf numFmtId="0" fontId="10" fillId="0" borderId="9" xfId="0" applyFont="1" applyBorder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6" xfId="0" applyFont="1" applyFill="1" applyBorder="1"/>
    <xf numFmtId="0" fontId="0" fillId="5" borderId="17" xfId="0" applyFill="1" applyBorder="1"/>
    <xf numFmtId="0" fontId="0" fillId="5" borderId="18" xfId="0" applyFill="1" applyBorder="1"/>
    <xf numFmtId="0" fontId="2" fillId="2" borderId="19" xfId="0" applyFont="1" applyFill="1" applyBorder="1" applyAlignment="1">
      <alignment horizontal="left" indent="1"/>
    </xf>
    <xf numFmtId="0" fontId="0" fillId="2" borderId="20" xfId="0" applyFill="1" applyBorder="1"/>
    <xf numFmtId="0" fontId="0" fillId="2" borderId="21" xfId="0" applyFill="1" applyBorder="1"/>
    <xf numFmtId="0" fontId="0" fillId="0" borderId="22" xfId="0" applyBorder="1" applyAlignment="1">
      <alignment horizontal="left" indent="2"/>
    </xf>
    <xf numFmtId="165" fontId="0" fillId="0" borderId="23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0" fillId="0" borderId="26" xfId="0" applyBorder="1" applyAlignment="1">
      <alignment horizontal="left" indent="2"/>
    </xf>
    <xf numFmtId="165" fontId="0" fillId="0" borderId="6" xfId="0" applyNumberFormat="1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165" fontId="0" fillId="0" borderId="28" xfId="0" applyNumberFormat="1" applyBorder="1" applyAlignment="1">
      <alignment horizontal="center"/>
    </xf>
    <xf numFmtId="0" fontId="0" fillId="0" borderId="12" xfId="0" applyBorder="1" applyAlignment="1">
      <alignment horizontal="left" indent="2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2" fillId="2" borderId="29" xfId="0" applyFont="1" applyFill="1" applyBorder="1" applyAlignment="1">
      <alignment horizontal="left" indent="1"/>
    </xf>
    <xf numFmtId="165" fontId="0" fillId="2" borderId="17" xfId="0" applyNumberFormat="1" applyFill="1" applyBorder="1" applyAlignment="1">
      <alignment horizontal="center"/>
    </xf>
    <xf numFmtId="165" fontId="0" fillId="2" borderId="18" xfId="0" applyNumberFormat="1" applyFill="1" applyBorder="1" applyAlignment="1">
      <alignment horizontal="center"/>
    </xf>
    <xf numFmtId="0" fontId="2" fillId="2" borderId="16" xfId="0" applyFont="1" applyFill="1" applyBorder="1" applyAlignment="1">
      <alignment horizontal="left" indent="1"/>
    </xf>
    <xf numFmtId="165" fontId="0" fillId="2" borderId="30" xfId="0" applyNumberFormat="1" applyFill="1" applyBorder="1" applyAlignment="1">
      <alignment horizontal="center"/>
    </xf>
    <xf numFmtId="165" fontId="0" fillId="2" borderId="31" xfId="0" applyNumberFormat="1" applyFill="1" applyBorder="1" applyAlignment="1">
      <alignment horizontal="center"/>
    </xf>
    <xf numFmtId="165" fontId="0" fillId="5" borderId="30" xfId="0" applyNumberFormat="1" applyFill="1" applyBorder="1" applyAlignment="1">
      <alignment horizontal="center"/>
    </xf>
    <xf numFmtId="165" fontId="0" fillId="5" borderId="31" xfId="0" applyNumberFormat="1" applyFill="1" applyBorder="1" applyAlignment="1">
      <alignment horizontal="center"/>
    </xf>
    <xf numFmtId="0" fontId="0" fillId="0" borderId="32" xfId="0" applyBorder="1" applyAlignment="1">
      <alignment horizontal="left" indent="2"/>
    </xf>
    <xf numFmtId="165" fontId="0" fillId="0" borderId="11" xfId="0" applyNumberFormat="1" applyBorder="1" applyAlignment="1">
      <alignment horizontal="center"/>
    </xf>
    <xf numFmtId="165" fontId="0" fillId="0" borderId="3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34" xfId="0" applyBorder="1" applyAlignment="1">
      <alignment horizontal="left" indent="2"/>
    </xf>
    <xf numFmtId="165" fontId="0" fillId="0" borderId="7" xfId="0" applyNumberFormat="1" applyBorder="1" applyAlignment="1">
      <alignment horizontal="center"/>
    </xf>
    <xf numFmtId="165" fontId="0" fillId="0" borderId="35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2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3" fontId="0" fillId="0" borderId="0" xfId="0" applyNumberFormat="1"/>
    <xf numFmtId="0" fontId="7" fillId="0" borderId="4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165" fontId="13" fillId="0" borderId="0" xfId="1" applyNumberFormat="1" applyFont="1" applyBorder="1"/>
    <xf numFmtId="165" fontId="13" fillId="0" borderId="8" xfId="1" applyNumberFormat="1" applyFont="1" applyBorder="1"/>
    <xf numFmtId="165" fontId="14" fillId="0" borderId="8" xfId="1" applyNumberFormat="1" applyFont="1" applyBorder="1"/>
    <xf numFmtId="165" fontId="13" fillId="0" borderId="0" xfId="1" applyNumberFormat="1" applyFont="1" applyBorder="1" applyAlignment="1">
      <alignment horizontal="center"/>
    </xf>
    <xf numFmtId="165" fontId="13" fillId="0" borderId="9" xfId="1" applyNumberFormat="1" applyFont="1" applyBorder="1" applyAlignment="1">
      <alignment horizontal="center"/>
    </xf>
    <xf numFmtId="165" fontId="13" fillId="0" borderId="10" xfId="1" applyNumberFormat="1" applyFont="1" applyBorder="1"/>
    <xf numFmtId="0" fontId="13" fillId="0" borderId="0" xfId="0" applyFont="1" applyBorder="1"/>
    <xf numFmtId="165" fontId="13" fillId="0" borderId="4" xfId="1" applyNumberFormat="1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4" xfId="0" applyFont="1" applyBorder="1"/>
    <xf numFmtId="0" fontId="13" fillId="0" borderId="0" xfId="0" quotePrefix="1" applyFont="1" applyBorder="1"/>
    <xf numFmtId="165" fontId="13" fillId="0" borderId="4" xfId="1" applyNumberFormat="1" applyFont="1" applyBorder="1"/>
    <xf numFmtId="165" fontId="13" fillId="0" borderId="4" xfId="1" applyNumberFormat="1" applyFont="1" applyBorder="1" applyAlignment="1">
      <alignment horizontal="center"/>
    </xf>
    <xf numFmtId="43" fontId="1" fillId="0" borderId="0" xfId="1"/>
    <xf numFmtId="165" fontId="1" fillId="0" borderId="0" xfId="1" applyNumberFormat="1" applyAlignment="1">
      <alignment horizontal="right"/>
    </xf>
    <xf numFmtId="0" fontId="0" fillId="0" borderId="0" xfId="0" applyFill="1" applyAlignment="1">
      <alignment horizontal="left" indent="2"/>
    </xf>
    <xf numFmtId="3" fontId="0" fillId="0" borderId="0" xfId="0" applyNumberFormat="1" applyFill="1" applyAlignment="1">
      <alignment horizontal="right"/>
    </xf>
    <xf numFmtId="165" fontId="1" fillId="0" borderId="0" xfId="1" applyNumberFormat="1" applyFill="1" applyAlignment="1">
      <alignment horizontal="right"/>
    </xf>
    <xf numFmtId="1" fontId="0" fillId="0" borderId="0" xfId="0" applyNumberFormat="1"/>
    <xf numFmtId="165" fontId="1" fillId="0" borderId="0" xfId="1" applyNumberFormat="1" applyFill="1"/>
    <xf numFmtId="3" fontId="2" fillId="0" borderId="0" xfId="0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0" fontId="0" fillId="0" borderId="0" xfId="0" applyFill="1"/>
    <xf numFmtId="0" fontId="0" fillId="0" borderId="9" xfId="0" applyFill="1" applyBorder="1" applyAlignment="1">
      <alignment horizontal="center"/>
    </xf>
    <xf numFmtId="0" fontId="2" fillId="0" borderId="0" xfId="0" applyFont="1" applyFill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EGM New Deal Trend</a:t>
            </a:r>
          </a:p>
        </c:rich>
      </c:tx>
      <c:layout>
        <c:manualLayout>
          <c:xMode val="edge"/>
          <c:yMode val="edge"/>
          <c:x val="0.36387829395736582"/>
          <c:y val="3.1509172090673089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6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2961607945312455E-2"/>
          <c:y val="0.1459372181041701"/>
          <c:w val="0.87915120656852619"/>
          <c:h val="0.72636933556393746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Data!$E$15</c:f>
              <c:strCache>
                <c:ptCount val="1"/>
                <c:pt idx="0">
                  <c:v>IR/FX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25099634145234356"/>
                  <c:y val="0.8059714545298483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CD-44E4-B8F3-9FE41479C42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40770305198872736"/>
                  <c:y val="0.7976795671375660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CD-44E4-B8F3-9FE41479C42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57370592331964243"/>
                  <c:y val="0.8009963220944790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ACD-44E4-B8F3-9FE41479C42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73705274870926274"/>
                  <c:y val="0.8009963220944790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CD-44E4-B8F3-9FE41479C42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90039957409888327"/>
                  <c:y val="0.8043130770513919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ACD-44E4-B8F3-9FE41479C42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Data!$H$14:$L$14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Data!$H$15:$L$15</c:f>
              <c:numCache>
                <c:formatCode>_(* #,##0_);_(* \(#,##0\);_(* "-"??_);_(@_)</c:formatCode>
                <c:ptCount val="5"/>
                <c:pt idx="0" formatCode="General">
                  <c:v>103</c:v>
                </c:pt>
                <c:pt idx="1">
                  <c:v>169</c:v>
                </c:pt>
                <c:pt idx="2" formatCode="#,##0">
                  <c:v>145</c:v>
                </c:pt>
                <c:pt idx="3" formatCode="#,##0">
                  <c:v>153</c:v>
                </c:pt>
                <c:pt idx="4" formatCode="#,##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CD-44E4-B8F3-9FE41479C427}"/>
            </c:ext>
          </c:extLst>
        </c:ser>
        <c:ser>
          <c:idx val="1"/>
          <c:order val="1"/>
          <c:tx>
            <c:strRef>
              <c:f>Data!$E$16</c:f>
              <c:strCache>
                <c:ptCount val="1"/>
                <c:pt idx="0">
                  <c:v>Liquids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47941629240368266"/>
                  <c:y val="0.52902241562761654"/>
                </c:manualLayout>
              </c:layout>
              <c:numFmt formatCode="_(* #,##0_);_(* \(#,##0\);_(* &quot;-&quot;_);_(@_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ACD-44E4-B8F3-9FE41479C427}"/>
                </c:ext>
              </c:extLst>
            </c:dLbl>
            <c:numFmt formatCode="_(* #,##0_);_(* \(#,##0\);_(* &quot;-&quot;_);_(@_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Data!$H$14:$L$14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Data!$H$16:$L$16</c:f>
              <c:numCache>
                <c:formatCode>_(* #,##0_);_(* \(#,##0\);_(* "-"??_);_(@_)</c:formatCode>
                <c:ptCount val="5"/>
                <c:pt idx="0" formatCode="General">
                  <c:v>2199</c:v>
                </c:pt>
                <c:pt idx="1">
                  <c:v>3063</c:v>
                </c:pt>
                <c:pt idx="2" formatCode="#,##0">
                  <c:v>3322</c:v>
                </c:pt>
                <c:pt idx="3" formatCode="#,##0">
                  <c:v>3375</c:v>
                </c:pt>
                <c:pt idx="4" formatCode="#,##0">
                  <c:v>3353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CD-44E4-B8F3-9FE41479C427}"/>
            </c:ext>
          </c:extLst>
        </c:ser>
        <c:ser>
          <c:idx val="2"/>
          <c:order val="2"/>
          <c:tx>
            <c:strRef>
              <c:f>Data!$E$17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26162052521752216"/>
                  <c:y val="0.4394700317909666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ACD-44E4-B8F3-9FE41479C42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4130151438713166"/>
                  <c:y val="0.2769490389022318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ACD-44E4-B8F3-9FE41479C42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580346038172879"/>
                  <c:y val="0.2271977145485375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ACD-44E4-B8F3-9FE41479C42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74236484059185215"/>
                  <c:y val="0.2371479794192763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CD-44E4-B8F3-9FE41479C42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91633584974665105"/>
                  <c:y val="0.2404647343761893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ACD-44E4-B8F3-9FE41479C42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Data!$H$14:$L$14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Data!$H$17:$L$17</c:f>
              <c:numCache>
                <c:formatCode>_(* #,##0_);_(* \(#,##0\);_(* "-"??_);_(@_)</c:formatCode>
                <c:ptCount val="5"/>
                <c:pt idx="0" formatCode="General">
                  <c:v>84</c:v>
                </c:pt>
                <c:pt idx="1">
                  <c:v>75</c:v>
                </c:pt>
                <c:pt idx="2" formatCode="#,##0">
                  <c:v>83</c:v>
                </c:pt>
                <c:pt idx="3" formatCode="#,##0">
                  <c:v>52</c:v>
                </c:pt>
                <c:pt idx="4" formatCode="#,##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ACD-44E4-B8F3-9FE41479C427}"/>
            </c:ext>
          </c:extLst>
        </c:ser>
        <c:ser>
          <c:idx val="3"/>
          <c:order val="3"/>
          <c:tx>
            <c:strRef>
              <c:f>Data!$E$18</c:f>
              <c:strCache>
                <c:ptCount val="1"/>
                <c:pt idx="0">
                  <c:v>Weather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2616218221149544"/>
                  <c:y val="0.4212278795279453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ACD-44E4-B8F3-9FE41479C42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7622877789464267"/>
                  <c:y val="0.275290661423775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ACD-44E4-B8F3-9FE41479C42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4515278100200889"/>
                  <c:y val="0.2305144695054504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ACD-44E4-B8F3-9FE41479C42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61354661243906206"/>
                  <c:y val="0.2388063568977328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ACD-44E4-B8F3-9FE41479C42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77423739188738772"/>
                  <c:y val="0.2305144695054504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ACD-44E4-B8F3-9FE41479C42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Data!$H$14:$L$14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Data!$H$18:$L$18</c:f>
              <c:numCache>
                <c:formatCode>_(* #,##0_);_(* \(#,##0\);_(* "-"??_);_(@_)</c:formatCode>
                <c:ptCount val="5"/>
                <c:pt idx="0" formatCode="General">
                  <c:v>37</c:v>
                </c:pt>
                <c:pt idx="1">
                  <c:v>36</c:v>
                </c:pt>
                <c:pt idx="2" formatCode="#,##0">
                  <c:v>19</c:v>
                </c:pt>
                <c:pt idx="3" formatCode="#,##0">
                  <c:v>24</c:v>
                </c:pt>
                <c:pt idx="4" formatCode="#,##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ACD-44E4-B8F3-9FE41479C427}"/>
            </c:ext>
          </c:extLst>
        </c:ser>
        <c:ser>
          <c:idx val="4"/>
          <c:order val="4"/>
          <c:tx>
            <c:strRef>
              <c:f>Data!$E$19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9256333074386148"/>
                  <c:y val="0.3681598002173381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ACD-44E4-B8F3-9FE41479C42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35989422504542384"/>
                  <c:y val="0.23217284698390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ACD-44E4-B8F3-9FE41479C42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51925698152310229"/>
                  <c:y val="0.1791047676732996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ACD-44E4-B8F3-9FE41479C42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68127578394207544"/>
                  <c:y val="0.1708128802810172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ACD-44E4-B8F3-9FE41479C42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84595063230234313"/>
                  <c:y val="0.1840799001086691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ACD-44E4-B8F3-9FE41479C42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Data!$H$14:$L$14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Data!$H$19:$L$19</c:f>
              <c:numCache>
                <c:formatCode>_(* #,##0_);_(* \(#,##0\);_(* "-"??_);_(@_)</c:formatCode>
                <c:ptCount val="5"/>
                <c:pt idx="0" formatCode="General">
                  <c:v>14</c:v>
                </c:pt>
                <c:pt idx="1">
                  <c:v>13</c:v>
                </c:pt>
                <c:pt idx="2" formatCode="#,##0">
                  <c:v>14</c:v>
                </c:pt>
                <c:pt idx="3" formatCode="#,##0">
                  <c:v>33</c:v>
                </c:pt>
                <c:pt idx="4" formatCode="#,##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ACD-44E4-B8F3-9FE41479C4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2341576"/>
        <c:axId val="1"/>
        <c:axId val="0"/>
      </c:bar3DChart>
      <c:catAx>
        <c:axId val="182341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341576"/>
        <c:crosses val="autoZero"/>
        <c:crossBetween val="between"/>
        <c:minorUnit val="1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600287133091507"/>
          <c:y val="0.93698327532791015"/>
          <c:w val="0.69322799067790131"/>
          <c:h val="5.14097018321508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EA New Deal Trend</a:t>
            </a:r>
          </a:p>
        </c:rich>
      </c:tx>
      <c:layout>
        <c:manualLayout>
          <c:xMode val="edge"/>
          <c:yMode val="edge"/>
          <c:x val="0.38423087488339136"/>
          <c:y val="3.1666679551871565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2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7622176680470782E-2"/>
          <c:y val="0.14333339165583972"/>
          <c:w val="0.88736055469812536"/>
          <c:h val="0.74500030314139942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Data!$E$12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6270362780078462"/>
                  <c:y val="0.6700002726238089"/>
                </c:manualLayout>
              </c:layout>
              <c:numFmt formatCode="_(* #,##0_);_(* \(#,##0\);_(* &quot;-&quot;_);_(@_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3F-4BFC-851A-79755DDC3B9B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31914942376307753"/>
                  <c:y val="0.63166692369259592"/>
                </c:manualLayout>
              </c:layout>
              <c:numFmt formatCode="_(* #,##0_);_(* \(#,##0\);_(* &quot;-&quot;_);_(@_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83F-4BFC-851A-79755DDC3B9B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49311714887314723"/>
                  <c:y val="0.60000024414072439"/>
                </c:manualLayout>
              </c:layout>
              <c:numFmt formatCode="_(* #,##0_);_(* \(#,##0\);_(* &quot;-&quot;_);_(@_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83F-4BFC-851A-79755DDC3B9B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65832390940932861"/>
                  <c:y val="0.60500024617523041"/>
                </c:manualLayout>
              </c:layout>
              <c:numFmt formatCode="_(* #,##0_);_(* \(#,##0\);_(* &quot;-&quot;_);_(@_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3F-4BFC-851A-79755DDC3B9B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81476970537162141"/>
                  <c:y val="0.63500025838226659"/>
                </c:manualLayout>
              </c:layout>
              <c:numFmt formatCode="_(* #,##0_);_(* \(#,##0\);_(* &quot;-&quot;_);_(@_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83F-4BFC-851A-79755DDC3B9B}"/>
                </c:ext>
              </c:extLst>
            </c:dLbl>
            <c:numFmt formatCode="_(* #,##0_);_(* \(#,##0\);_(* &quot;-&quot;_);_(@_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Data!$H$11:$L$11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Data!$H$12:$L$12</c:f>
              <c:numCache>
                <c:formatCode>_(* #,##0_);_(* \(#,##0\);_(* "-"??_);_(@_)</c:formatCode>
                <c:ptCount val="5"/>
                <c:pt idx="0" formatCode="General">
                  <c:v>12754</c:v>
                </c:pt>
                <c:pt idx="1">
                  <c:v>16623</c:v>
                </c:pt>
                <c:pt idx="2" formatCode="#,##0">
                  <c:v>19791</c:v>
                </c:pt>
                <c:pt idx="3" formatCode="#,##0">
                  <c:v>18521</c:v>
                </c:pt>
                <c:pt idx="4" formatCode="#,##0">
                  <c:v>17223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3F-4BFC-851A-79755DDC3B9B}"/>
            </c:ext>
          </c:extLst>
        </c:ser>
        <c:ser>
          <c:idx val="1"/>
          <c:order val="1"/>
          <c:tx>
            <c:strRef>
              <c:f>Data!$E$13</c:f>
              <c:strCache>
                <c:ptCount val="1"/>
                <c:pt idx="0">
                  <c:v>Power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_);_(@_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Data!$H$11:$L$11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Data!$H$13:$L$13</c:f>
              <c:numCache>
                <c:formatCode>_(* #,##0_);_(* \(#,##0\);_(* "-"??_);_(@_)</c:formatCode>
                <c:ptCount val="5"/>
                <c:pt idx="0" formatCode="General">
                  <c:v>3781</c:v>
                </c:pt>
                <c:pt idx="1">
                  <c:v>3695</c:v>
                </c:pt>
                <c:pt idx="2" formatCode="#,##0">
                  <c:v>4599</c:v>
                </c:pt>
                <c:pt idx="3" formatCode="#,##0">
                  <c:v>4631</c:v>
                </c:pt>
                <c:pt idx="4" formatCode="#,##0">
                  <c:v>4587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3F-4BFC-851A-79755DDC3B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1706024"/>
        <c:axId val="1"/>
        <c:axId val="0"/>
      </c:bar3DChart>
      <c:catAx>
        <c:axId val="151706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706024"/>
        <c:crosses val="autoZero"/>
        <c:crossBetween val="between"/>
        <c:majorUnit val="40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0175280403116814"/>
          <c:y val="0.93833371514229957"/>
          <c:w val="0.19649591972863989"/>
          <c:h val="4.833335300022501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EIM New Deal Trend</a:t>
            </a:r>
          </a:p>
        </c:rich>
      </c:tx>
      <c:layout>
        <c:manualLayout>
          <c:xMode val="edge"/>
          <c:yMode val="edge"/>
          <c:x val="0.37628919253048182"/>
          <c:y val="2.8099241588427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6.7010404149263889E-2"/>
          <c:y val="0.13719041481408545"/>
          <c:w val="0.91752707219761342"/>
          <c:h val="0.7487621435033821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Data!$E$21</c:f>
              <c:strCache>
                <c:ptCount val="1"/>
                <c:pt idx="0">
                  <c:v>Newsprint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7654664170094525"/>
                  <c:y val="0.8247953854485378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A51-418B-B362-393C863E9D4E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57989772821478369"/>
                  <c:y val="0.8082664198082866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A51-418B-B362-393C863E9D4E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83376406701103345"/>
                  <c:y val="0.7834729713479097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51-418B-B362-393C863E9D4E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Data!$H$20:$L$20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Data!$H$21:$L$21</c:f>
              <c:numCache>
                <c:formatCode>_(* #,##0_);_(* \(#,##0\);_(* "-"??_);_(@_)</c:formatCode>
                <c:ptCount val="5"/>
                <c:pt idx="0" formatCode="General">
                  <c:v>9</c:v>
                </c:pt>
                <c:pt idx="1">
                  <c:v>24</c:v>
                </c:pt>
                <c:pt idx="2" formatCode="#,##0">
                  <c:v>4</c:v>
                </c:pt>
                <c:pt idx="3" formatCode="#,##0">
                  <c:v>12</c:v>
                </c:pt>
                <c:pt idx="4" formatCode="#,##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1-418B-B362-393C863E9D4E}"/>
            </c:ext>
          </c:extLst>
        </c:ser>
        <c:ser>
          <c:idx val="1"/>
          <c:order val="1"/>
          <c:tx>
            <c:strRef>
              <c:f>Data!$E$22</c:f>
              <c:strCache>
                <c:ptCount val="1"/>
                <c:pt idx="0">
                  <c:v>Pulp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7525798008269017"/>
                  <c:y val="0.7619853160155830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A51-418B-B362-393C863E9D4E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Data!$H$20:$L$20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Data!$H$22:$L$22</c:f>
              <c:numCache>
                <c:formatCode>_(* #,##0_);_(* \(#,##0\);_(* "-"??_);_(@_)</c:formatCode>
                <c:ptCount val="5"/>
                <c:pt idx="0" formatCode="General">
                  <c:v>24</c:v>
                </c:pt>
                <c:pt idx="1">
                  <c:v>19</c:v>
                </c:pt>
                <c:pt idx="2" formatCode="#,##0">
                  <c:v>29</c:v>
                </c:pt>
                <c:pt idx="3" formatCode="#,##0">
                  <c:v>17</c:v>
                </c:pt>
                <c:pt idx="4" formatCode="#,##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1-418B-B362-393C863E9D4E}"/>
            </c:ext>
          </c:extLst>
        </c:ser>
        <c:ser>
          <c:idx val="2"/>
          <c:order val="2"/>
          <c:tx>
            <c:strRef>
              <c:f>Data!$E$23</c:f>
              <c:strCache>
                <c:ptCount val="1"/>
                <c:pt idx="0">
                  <c:v>Lumber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6366002551839451"/>
                  <c:y val="0.482645796695336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A51-418B-B362-393C863E9D4E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3208767429455136"/>
                  <c:y val="0.4198357272623819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A51-418B-B362-393C863E9D4E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Data!$H$20:$L$20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Data!$H$23:$L$23</c:f>
              <c:numCache>
                <c:formatCode>_(* #,##0_);_(* \(#,##0\);_(* "-"??_);_(@_)</c:formatCode>
                <c:ptCount val="5"/>
                <c:pt idx="0" formatCode="General">
                  <c:v>103</c:v>
                </c:pt>
                <c:pt idx="1">
                  <c:v>124</c:v>
                </c:pt>
                <c:pt idx="2" formatCode="#,##0">
                  <c:v>86</c:v>
                </c:pt>
                <c:pt idx="3" formatCode="#,##0">
                  <c:v>69</c:v>
                </c:pt>
                <c:pt idx="4" formatCode="#,##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51-418B-B362-393C863E9D4E}"/>
            </c:ext>
          </c:extLst>
        </c:ser>
        <c:ser>
          <c:idx val="3"/>
          <c:order val="3"/>
          <c:tx>
            <c:strRef>
              <c:f>Data!$E$24</c:f>
              <c:strCache>
                <c:ptCount val="1"/>
                <c:pt idx="0">
                  <c:v>Steel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9974255082953662"/>
                  <c:y val="0.27933951932024631"/>
                </c:manualLayout>
              </c:layout>
              <c:numFmt formatCode="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A51-418B-B362-393C863E9D4E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36082525311142088"/>
                  <c:y val="0.15537227701836184"/>
                </c:manualLayout>
              </c:layout>
              <c:numFmt formatCode="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A51-418B-B362-393C863E9D4E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52319661701156039"/>
                  <c:y val="0.34545538188125136"/>
                </c:manualLayout>
              </c:layout>
              <c:numFmt formatCode="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51-418B-B362-393C863E9D4E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68814530414820996"/>
                  <c:y val="0.42479441695445735"/>
                </c:manualLayout>
              </c:layout>
              <c:numFmt formatCode="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A51-418B-B362-393C863E9D4E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85309399128485952"/>
                  <c:y val="0.47768710700326145"/>
                </c:manualLayout>
              </c:layout>
              <c:numFmt formatCode="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A51-418B-B362-393C863E9D4E}"/>
                </c:ext>
              </c:extLst>
            </c:dLbl>
            <c:numFmt formatCode="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Data!$H$20:$L$20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Data!$H$24:$L$24</c:f>
              <c:numCache>
                <c:formatCode>_(* #,##0_);_(* \(#,##0\);_(* "-"??_);_(@_)</c:formatCode>
                <c:ptCount val="5"/>
                <c:pt idx="0" formatCode="General">
                  <c:v>0</c:v>
                </c:pt>
                <c:pt idx="1">
                  <c:v>0</c:v>
                </c:pt>
                <c:pt idx="2" formatCode="#,##0">
                  <c:v>1</c:v>
                </c:pt>
                <c:pt idx="3" formatCode="#,##0">
                  <c:v>1</c:v>
                </c:pt>
                <c:pt idx="4" formatCode="#,##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A51-418B-B362-393C863E9D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1705368"/>
        <c:axId val="1"/>
        <c:axId val="0"/>
      </c:bar3DChart>
      <c:catAx>
        <c:axId val="151705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7053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9252618734390196"/>
          <c:y val="0.94215104149432172"/>
          <c:w val="0.46134085933531682"/>
          <c:h val="4.7934000356728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EA Volume Trend (in millions)</a:t>
            </a:r>
          </a:p>
        </c:rich>
      </c:tx>
      <c:layout>
        <c:manualLayout>
          <c:xMode val="edge"/>
          <c:yMode val="edge"/>
          <c:x val="0.3588460010372157"/>
          <c:y val="1.9108328540247251E-2"/>
        </c:manualLayout>
      </c:layout>
      <c:overlay val="0"/>
      <c:spPr>
        <a:noFill/>
        <a:ln w="25400">
          <a:noFill/>
        </a:ln>
      </c:spPr>
    </c:title>
    <c:autoTitleDeleted val="0"/>
    <c:view3D>
      <c:rotX val="10"/>
      <c:hPercent val="71"/>
      <c:rotY val="12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8.5320028218638697E-2"/>
          <c:y val="7.1656232025927177E-2"/>
          <c:w val="0.90715265297170267"/>
          <c:h val="0.82802757007738081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Data!$E$28</c:f>
              <c:strCache>
                <c:ptCount val="1"/>
                <c:pt idx="0">
                  <c:v>MMBTU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Data!$H$27:$L$27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Data!$H$28:$L$28</c:f>
              <c:numCache>
                <c:formatCode>_(* #,##0_);_(* \(#,##0\);_(* "-"??_);_(@_)</c:formatCode>
                <c:ptCount val="5"/>
                <c:pt idx="0">
                  <c:v>1942.3454609999999</c:v>
                </c:pt>
                <c:pt idx="1">
                  <c:v>4952.2060659999997</c:v>
                </c:pt>
                <c:pt idx="2" formatCode="#,##0">
                  <c:v>4273.2712199999996</c:v>
                </c:pt>
                <c:pt idx="3" formatCode="#,##0">
                  <c:v>3586.1783646399995</c:v>
                </c:pt>
                <c:pt idx="4" formatCode="#,##0">
                  <c:v>4250.7380022099987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2-4F7D-BF51-17C2D4FC8E10}"/>
            </c:ext>
          </c:extLst>
        </c:ser>
        <c:ser>
          <c:idx val="1"/>
          <c:order val="1"/>
          <c:tx>
            <c:strRef>
              <c:f>Data!$E$29</c:f>
              <c:strCache>
                <c:ptCount val="1"/>
                <c:pt idx="0">
                  <c:v>MHtz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6813064384261156"/>
                  <c:y val="0.5191095920100501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F92-4F7D-BF51-17C2D4FC8E10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35131776325321812"/>
                  <c:y val="4.299373921555630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92-4F7D-BF51-17C2D4FC8E10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59096666604380621"/>
                  <c:y val="0.1783443997089743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F92-4F7D-BF51-17C2D4FC8E10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70765435169576807"/>
                  <c:y val="0.2515929924465887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F92-4F7D-BF51-17C2D4FC8E10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87578499553837963"/>
                  <c:y val="0.1401277426284798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92-4F7D-BF51-17C2D4FC8E10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Data!$H$27:$L$27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Data!$H$29:$L$29</c:f>
              <c:numCache>
                <c:formatCode>_(* #,##0_);_(* \(#,##0\);_(* "-"??_);_(@_)</c:formatCode>
                <c:ptCount val="5"/>
                <c:pt idx="0">
                  <c:v>48.150655</c:v>
                </c:pt>
                <c:pt idx="1">
                  <c:v>37.589241000000001</c:v>
                </c:pt>
                <c:pt idx="2" formatCode="#,##0">
                  <c:v>53.945233000000002</c:v>
                </c:pt>
                <c:pt idx="3" formatCode="#,##0">
                  <c:v>51.399965140000006</c:v>
                </c:pt>
                <c:pt idx="4" formatCode="#,##0">
                  <c:v>49.091319190000029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92-4F7D-BF51-17C2D4FC8E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1702744"/>
        <c:axId val="1"/>
        <c:axId val="0"/>
      </c:bar3DChart>
      <c:catAx>
        <c:axId val="151702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702744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7515718290254368"/>
          <c:y val="0.94586226274223872"/>
          <c:w val="0.4542036796345178"/>
          <c:h val="4.61784606389308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EGM Volume Trend (in thousands)</a:t>
            </a:r>
          </a:p>
        </c:rich>
      </c:tx>
      <c:layout>
        <c:manualLayout>
          <c:xMode val="edge"/>
          <c:yMode val="edge"/>
          <c:x val="0.29536481147456695"/>
          <c:y val="3.9872493683772582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7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1920552929466829"/>
          <c:y val="7.496028812549245E-2"/>
          <c:w val="0.87152486973213039"/>
          <c:h val="0.82775296887511884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Data!$E$37</c:f>
              <c:strCache>
                <c:ptCount val="1"/>
                <c:pt idx="0">
                  <c:v>Liquids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7218576453674309"/>
                  <c:y val="0.6236058012142031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10-4A57-8D62-4DD50F5EE621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3377489996682268"/>
                  <c:y val="0.5438608138466578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310-4A57-8D62-4DD50F5EE621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50728575244286611"/>
                  <c:y val="0.5071781196575871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310-4A57-8D62-4DD50F5EE621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67417349345540178"/>
                  <c:y val="0.5358863151099034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10-4A57-8D62-4DD50F5EE621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83443870506267792"/>
                  <c:y val="0.4800648239526218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10-4A57-8D62-4DD50F5EE62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Data!$H$36:$L$36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Data!$H$37:$L$37</c:f>
              <c:numCache>
                <c:formatCode>_(* #,##0_);_(* \(#,##0\);_(* "-"??_);_(@_)</c:formatCode>
                <c:ptCount val="5"/>
                <c:pt idx="0">
                  <c:v>107852.72</c:v>
                </c:pt>
                <c:pt idx="1">
                  <c:v>150981.58799999999</c:v>
                </c:pt>
                <c:pt idx="2" formatCode="#,##0">
                  <c:v>171949.351</c:v>
                </c:pt>
                <c:pt idx="3" formatCode="#,##0">
                  <c:v>154397.51923000001</c:v>
                </c:pt>
                <c:pt idx="4" formatCode="#,##0">
                  <c:v>174794.27446999992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10-4A57-8D62-4DD50F5EE621}"/>
            </c:ext>
          </c:extLst>
        </c:ser>
        <c:ser>
          <c:idx val="1"/>
          <c:order val="1"/>
          <c:tx>
            <c:strRef>
              <c:f>Data!$E$38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2728482114966852"/>
                  <c:y val="0.3748014406274621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310-4A57-8D62-4DD50F5EE621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43178891722290952"/>
                  <c:y val="0.199362468418862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310-4A57-8D62-4DD50F5EE621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59867665823544514"/>
                  <c:y val="0.1259970800407213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310-4A57-8D62-4DD50F5EE621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76159088160482513"/>
                  <c:y val="0.189793069934757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310-4A57-8D62-4DD50F5EE621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91920708144999763"/>
                  <c:y val="0.102073583830457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310-4A57-8D62-4DD50F5EE62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Data!$H$36:$L$36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Data!$H$38:$L$38</c:f>
              <c:numCache>
                <c:formatCode>_(* #,##0_);_(* \(#,##0\);_(* "-"??_);_(@_)</c:formatCode>
                <c:ptCount val="5"/>
                <c:pt idx="0">
                  <c:v>4684.1189999999997</c:v>
                </c:pt>
                <c:pt idx="1">
                  <c:v>3964.01</c:v>
                </c:pt>
                <c:pt idx="2" formatCode="#,##0">
                  <c:v>6572.3270000000002</c:v>
                </c:pt>
                <c:pt idx="3" formatCode="#,##0">
                  <c:v>5662.4889999999996</c:v>
                </c:pt>
                <c:pt idx="4" formatCode="#,##0">
                  <c:v>4037.9499600000008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310-4A57-8D62-4DD50F5EE621}"/>
            </c:ext>
          </c:extLst>
        </c:ser>
        <c:ser>
          <c:idx val="2"/>
          <c:order val="2"/>
          <c:tx>
            <c:strRef>
              <c:f>Data!$E$39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21854347037355853"/>
                  <c:y val="0.3444983454277950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310-4A57-8D62-4DD50F5EE621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36556362317031604"/>
                  <c:y val="0.1642746739771430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310-4A57-8D62-4DD50F5EE621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55364345827968153"/>
                  <c:y val="7.81500876201942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310-4A57-8D62-4DD50F5EE621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6927165757901278"/>
                  <c:y val="0.149920576250984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310-4A57-8D62-4DD50F5EE621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86755135208897471"/>
                  <c:y val="6.5390889641387021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310-4A57-8D62-4DD50F5EE62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Data!$H$36:$L$36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Data!$H$39:$L$39</c:f>
              <c:numCache>
                <c:formatCode>_(* #,##0_);_(* \(#,##0\);_(* "-"??_);_(@_)</c:formatCode>
                <c:ptCount val="5"/>
                <c:pt idx="0">
                  <c:v>34.1</c:v>
                </c:pt>
                <c:pt idx="1">
                  <c:v>107.57</c:v>
                </c:pt>
                <c:pt idx="2" formatCode="#,##0">
                  <c:v>46.35</c:v>
                </c:pt>
                <c:pt idx="3" formatCode="#,##0">
                  <c:v>100.1</c:v>
                </c:pt>
                <c:pt idx="4" formatCode="#,##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310-4A57-8D62-4DD50F5EE6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2673032"/>
        <c:axId val="1"/>
        <c:axId val="0"/>
      </c:bar3DChart>
      <c:catAx>
        <c:axId val="182673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73032"/>
        <c:crosses val="autoZero"/>
        <c:crossBetween val="between"/>
        <c:majorUnit val="30000"/>
        <c:minorUnit val="357.7444488599998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7748417609978291"/>
          <c:y val="0.94577555017908566"/>
          <c:w val="0.44635848191448013"/>
          <c:h val="4.62520926731761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EIM Volume Trend</a:t>
            </a:r>
          </a:p>
        </c:rich>
      </c:tx>
      <c:layout>
        <c:manualLayout>
          <c:xMode val="edge"/>
          <c:yMode val="edge"/>
          <c:x val="0.38431954997699014"/>
          <c:y val="4.3131066110550266E-2"/>
        </c:manualLayout>
      </c:layout>
      <c:overlay val="0"/>
      <c:spPr>
        <a:noFill/>
        <a:ln w="25400">
          <a:noFill/>
        </a:ln>
      </c:spPr>
    </c:title>
    <c:autoTitleDeleted val="0"/>
    <c:view3D>
      <c:rotX val="13"/>
      <c:hPercent val="73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1568146989273952"/>
          <c:y val="7.5080003970217135E-2"/>
          <c:w val="0.87532312218839559"/>
          <c:h val="0.8306723843513385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Data!$E$31</c:f>
              <c:strCache>
                <c:ptCount val="1"/>
                <c:pt idx="0">
                  <c:v>Total EIM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735222048391093"/>
                  <c:y val="0.16613447687026772"/>
                </c:manualLayout>
              </c:layout>
              <c:numFmt formatCode="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5E-4AB9-A873-2B5E138DD54D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34704440967821859"/>
                  <c:y val="0.73961791145128786"/>
                </c:manualLayout>
              </c:layout>
              <c:numFmt formatCode="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15E-4AB9-A873-2B5E138DD54D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51285451652447844"/>
                  <c:y val="0.72044854873548791"/>
                </c:manualLayout>
              </c:layout>
              <c:numFmt formatCode="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15E-4AB9-A873-2B5E138DD54D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66709647638146452"/>
                  <c:y val="0.47763662100201959"/>
                </c:manualLayout>
              </c:layout>
              <c:numFmt formatCode="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15E-4AB9-A873-2B5E138DD54D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8419040308860487"/>
                  <c:y val="0.61182216001262046"/>
                </c:manualLayout>
              </c:layout>
              <c:numFmt formatCode="#,##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1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15E-4AB9-A873-2B5E138DD54D}"/>
                </c:ext>
              </c:extLst>
            </c:dLbl>
            <c:numFmt formatCode="#,##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1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Data!$H$30:$L$30</c:f>
              <c:strCache>
                <c:ptCount val="5"/>
                <c:pt idx="0">
                  <c:v>1/12 - 1/18</c:v>
                </c:pt>
                <c:pt idx="1">
                  <c:v>1/19 - 1/25</c:v>
                </c:pt>
                <c:pt idx="2">
                  <c:v>1/26 - 2/1</c:v>
                </c:pt>
                <c:pt idx="3">
                  <c:v>2/2 - 2/8</c:v>
                </c:pt>
                <c:pt idx="4">
                  <c:v>2/9 - 2/15</c:v>
                </c:pt>
              </c:strCache>
            </c:strRef>
          </c:cat>
          <c:val>
            <c:numRef>
              <c:f>Data!$H$31:$L$31</c:f>
              <c:numCache>
                <c:formatCode>_(* #,##0_);_(* \(#,##0\);_(* "-"??_);_(@_)</c:formatCode>
                <c:ptCount val="5"/>
                <c:pt idx="0">
                  <c:v>213594.89320000002</c:v>
                </c:pt>
                <c:pt idx="1">
                  <c:v>19607.182999999997</c:v>
                </c:pt>
                <c:pt idx="2" formatCode="General">
                  <c:v>25872</c:v>
                </c:pt>
                <c:pt idx="3" formatCode="0">
                  <c:v>106865.89999999997</c:v>
                </c:pt>
                <c:pt idx="4" formatCode="0">
                  <c:v>11962.5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5E-4AB9-A873-2B5E138DD5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2675984"/>
        <c:axId val="1"/>
        <c:axId val="0"/>
      </c:bar3DChart>
      <c:catAx>
        <c:axId val="182675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75984"/>
        <c:crosses val="autoZero"/>
        <c:crossBetween val="between"/>
        <c:minorUnit val="427.18978640000006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8200612455308134"/>
          <c:y val="0.94249366686017255"/>
          <c:w val="0.15038591086056138"/>
          <c:h val="4.9520853682483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Contracts</a:t>
            </a:r>
          </a:p>
        </c:rich>
      </c:tx>
      <c:layout>
        <c:manualLayout>
          <c:xMode val="edge"/>
          <c:yMode val="edge"/>
          <c:x val="0.40620876410854367"/>
          <c:y val="4.0462484847030862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Data!$E$3</c:f>
              <c:strCache>
                <c:ptCount val="1"/>
                <c:pt idx="0">
                  <c:v>Buy</c:v>
                </c:pt>
              </c:strCache>
            </c:strRef>
          </c:tx>
          <c:invertIfNegative val="0"/>
          <c:dLbls>
            <c:delete val="1"/>
          </c:dLbls>
          <c:val>
            <c:numRef>
              <c:f>Data!$F$3:$H$3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Data!$F$2:$H$2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9A5-4764-B3C6-95EC6B8459E4}"/>
            </c:ext>
          </c:extLst>
        </c:ser>
        <c:ser>
          <c:idx val="1"/>
          <c:order val="1"/>
          <c:tx>
            <c:strRef>
              <c:f>Data!$E$4</c:f>
              <c:strCache>
                <c:ptCount val="1"/>
                <c:pt idx="0">
                  <c:v>Sell</c:v>
                </c:pt>
              </c:strCache>
            </c:strRef>
          </c:tx>
          <c:invertIfNegative val="0"/>
          <c:dLbls>
            <c:delete val="1"/>
          </c:dLbls>
          <c:val>
            <c:numRef>
              <c:f>Data!$F$4:$H$4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Data!$F$2:$H$2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9A5-4764-B3C6-95EC6B8459E4}"/>
            </c:ext>
          </c:extLst>
        </c:ser>
        <c:ser>
          <c:idx val="2"/>
          <c:order val="2"/>
          <c:tx>
            <c:strRef>
              <c:f>Data!$E$5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dLbls>
            <c:delete val="1"/>
          </c:dLbls>
          <c:val>
            <c:numRef>
              <c:f>Data!$F$5:$H$5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Data!$F$2:$H$2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9A5-4764-B3C6-95EC6B8459E4}"/>
            </c:ext>
          </c:extLst>
        </c:ser>
        <c:ser>
          <c:idx val="3"/>
          <c:order val="3"/>
          <c:tx>
            <c:strRef>
              <c:f>Data!$E$6</c:f>
              <c:strCache>
                <c:ptCount val="1"/>
                <c:pt idx="0">
                  <c:v>Storage</c:v>
                </c:pt>
              </c:strCache>
            </c:strRef>
          </c:tx>
          <c:invertIfNegative val="0"/>
          <c:dLbls>
            <c:delete val="1"/>
          </c:dLbls>
          <c:val>
            <c:numRef>
              <c:f>Data!$F$6:$H$6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Data!$F$2:$H$2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D9A5-4764-B3C6-95EC6B8459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1804296"/>
        <c:axId val="1"/>
        <c:axId val="0"/>
      </c:bar3DChart>
      <c:catAx>
        <c:axId val="181804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8042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2388738666461953"/>
          <c:y val="0.89306484412375253"/>
          <c:w val="0.35357706377554299"/>
          <c:h val="8.09249696940617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22860</xdr:rowOff>
    </xdr:from>
    <xdr:to>
      <xdr:col>15</xdr:col>
      <xdr:colOff>7620</xdr:colOff>
      <xdr:row>57</xdr:row>
      <xdr:rowOff>91440</xdr:rowOff>
    </xdr:to>
    <xdr:graphicFrame macro="">
      <xdr:nvGraphicFramePr>
        <xdr:cNvPr id="51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30480</xdr:rowOff>
    </xdr:from>
    <xdr:to>
      <xdr:col>7</xdr:col>
      <xdr:colOff>0</xdr:colOff>
      <xdr:row>57</xdr:row>
      <xdr:rowOff>76200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30</xdr:row>
      <xdr:rowOff>7620</xdr:rowOff>
    </xdr:from>
    <xdr:to>
      <xdr:col>23</xdr:col>
      <xdr:colOff>7620</xdr:colOff>
      <xdr:row>57</xdr:row>
      <xdr:rowOff>91440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</xdr:colOff>
      <xdr:row>58</xdr:row>
      <xdr:rowOff>91440</xdr:rowOff>
    </xdr:from>
    <xdr:to>
      <xdr:col>6</xdr:col>
      <xdr:colOff>853440</xdr:colOff>
      <xdr:row>87</xdr:row>
      <xdr:rowOff>30480</xdr:rowOff>
    </xdr:to>
    <xdr:graphicFrame macro="">
      <xdr:nvGraphicFramePr>
        <xdr:cNvPr id="5125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167640</xdr:colOff>
      <xdr:row>58</xdr:row>
      <xdr:rowOff>91440</xdr:rowOff>
    </xdr:from>
    <xdr:to>
      <xdr:col>15</xdr:col>
      <xdr:colOff>22860</xdr:colOff>
      <xdr:row>87</xdr:row>
      <xdr:rowOff>22860</xdr:rowOff>
    </xdr:to>
    <xdr:graphicFrame macro="">
      <xdr:nvGraphicFramePr>
        <xdr:cNvPr id="5126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58</xdr:row>
      <xdr:rowOff>76200</xdr:rowOff>
    </xdr:from>
    <xdr:to>
      <xdr:col>23</xdr:col>
      <xdr:colOff>22860</xdr:colOff>
      <xdr:row>87</xdr:row>
      <xdr:rowOff>0</xdr:rowOff>
    </xdr:to>
    <xdr:graphicFrame macro="">
      <xdr:nvGraphicFramePr>
        <xdr:cNvPr id="512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693420</xdr:colOff>
      <xdr:row>0</xdr:row>
      <xdr:rowOff>106680</xdr:rowOff>
    </xdr:from>
    <xdr:to>
      <xdr:col>22</xdr:col>
      <xdr:colOff>762000</xdr:colOff>
      <xdr:row>5</xdr:row>
      <xdr:rowOff>129540</xdr:rowOff>
    </xdr:to>
    <xdr:pic>
      <xdr:nvPicPr>
        <xdr:cNvPr id="512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7380" y="106680"/>
          <a:ext cx="861060" cy="861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42</xdr:row>
      <xdr:rowOff>22860</xdr:rowOff>
    </xdr:from>
    <xdr:to>
      <xdr:col>4</xdr:col>
      <xdr:colOff>243840</xdr:colOff>
      <xdr:row>57</xdr:row>
      <xdr:rowOff>144780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41</xdr:row>
      <xdr:rowOff>160020</xdr:rowOff>
    </xdr:from>
    <xdr:to>
      <xdr:col>17</xdr:col>
      <xdr:colOff>236220</xdr:colOff>
      <xdr:row>57</xdr:row>
      <xdr:rowOff>38100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9799320" y="7002780"/>
          <a:ext cx="5715000" cy="2560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New Counterparty Setup: 20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CM/Business%20Mgmt/Reports/WeeklyReports/Week%20Ending%202-8-01/EOL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hari%20Mao%20Template%2002-1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Deals"/>
      <sheetName val="Thrusday 02-08-01"/>
      <sheetName val="Thursday 02-01-01"/>
    </sheetNames>
    <sheetDataSet>
      <sheetData sheetId="0" refreshError="1"/>
      <sheetData sheetId="1">
        <row r="9">
          <cell r="S9">
            <v>70009</v>
          </cell>
          <cell r="T9">
            <v>15569</v>
          </cell>
        </row>
        <row r="10">
          <cell r="S10">
            <v>5394</v>
          </cell>
          <cell r="T10">
            <v>2334</v>
          </cell>
        </row>
        <row r="17">
          <cell r="S17">
            <v>7746</v>
          </cell>
          <cell r="T17">
            <v>7538</v>
          </cell>
        </row>
        <row r="18">
          <cell r="S18">
            <v>2160</v>
          </cell>
          <cell r="T18">
            <v>5570</v>
          </cell>
        </row>
        <row r="30">
          <cell r="S30">
            <v>7808</v>
          </cell>
          <cell r="T30">
            <v>7976</v>
          </cell>
        </row>
        <row r="31">
          <cell r="S31">
            <v>527</v>
          </cell>
          <cell r="T31">
            <v>486</v>
          </cell>
        </row>
        <row r="33">
          <cell r="S33">
            <v>37</v>
          </cell>
          <cell r="T33">
            <v>215</v>
          </cell>
        </row>
        <row r="34">
          <cell r="S34">
            <v>116</v>
          </cell>
          <cell r="T34">
            <v>156</v>
          </cell>
        </row>
        <row r="35">
          <cell r="S35">
            <v>31</v>
          </cell>
          <cell r="T35">
            <v>127</v>
          </cell>
        </row>
        <row r="37">
          <cell r="S37">
            <v>42</v>
          </cell>
          <cell r="T37">
            <v>36</v>
          </cell>
        </row>
        <row r="38">
          <cell r="S38">
            <v>0</v>
          </cell>
          <cell r="T38">
            <v>259</v>
          </cell>
        </row>
        <row r="39">
          <cell r="S39">
            <v>77</v>
          </cell>
          <cell r="T39">
            <v>79</v>
          </cell>
        </row>
        <row r="43">
          <cell r="S43">
            <v>0</v>
          </cell>
          <cell r="T43">
            <v>11</v>
          </cell>
        </row>
        <row r="47">
          <cell r="S47">
            <v>0</v>
          </cell>
          <cell r="T47">
            <v>791</v>
          </cell>
        </row>
        <row r="67">
          <cell r="S67">
            <v>8707714620.1299992</v>
          </cell>
          <cell r="T67">
            <v>9164680375.3500004</v>
          </cell>
        </row>
        <row r="68">
          <cell r="S68">
            <v>262901764.08000001</v>
          </cell>
          <cell r="T68">
            <v>620363548.99000001</v>
          </cell>
        </row>
        <row r="75">
          <cell r="S75">
            <v>86028175</v>
          </cell>
          <cell r="T75">
            <v>102747061.14</v>
          </cell>
        </row>
        <row r="76">
          <cell r="S76">
            <v>9434650</v>
          </cell>
          <cell r="T76">
            <v>74538711.890000001</v>
          </cell>
        </row>
        <row r="88">
          <cell r="S88">
            <v>197118500</v>
          </cell>
          <cell r="T88">
            <v>614443125.85000002</v>
          </cell>
        </row>
        <row r="89">
          <cell r="S89">
            <v>8783357.1400000006</v>
          </cell>
          <cell r="T89">
            <v>15023094</v>
          </cell>
        </row>
        <row r="91">
          <cell r="S91">
            <v>837595</v>
          </cell>
          <cell r="T91">
            <v>8564238.1300000008</v>
          </cell>
        </row>
        <row r="92">
          <cell r="S92">
            <v>3459500</v>
          </cell>
          <cell r="T92">
            <v>15482086.09</v>
          </cell>
        </row>
        <row r="93">
          <cell r="S93">
            <v>1305000</v>
          </cell>
          <cell r="T93">
            <v>7013006.0199999996</v>
          </cell>
        </row>
        <row r="95">
          <cell r="S95">
            <v>105000</v>
          </cell>
          <cell r="T95">
            <v>193120</v>
          </cell>
        </row>
        <row r="96">
          <cell r="S96">
            <v>0</v>
          </cell>
          <cell r="T96">
            <v>430703.55</v>
          </cell>
        </row>
        <row r="97">
          <cell r="S97">
            <v>26800</v>
          </cell>
          <cell r="T97">
            <v>463600</v>
          </cell>
        </row>
        <row r="101">
          <cell r="S101">
            <v>0</v>
          </cell>
          <cell r="T101">
            <v>260000</v>
          </cell>
        </row>
        <row r="105">
          <cell r="S105">
            <v>0</v>
          </cell>
          <cell r="T105">
            <v>37396500</v>
          </cell>
        </row>
      </sheetData>
      <sheetData sheetId="2">
        <row r="9">
          <cell r="S9">
            <v>55132</v>
          </cell>
          <cell r="T9">
            <v>13338</v>
          </cell>
        </row>
        <row r="10">
          <cell r="S10">
            <v>4311</v>
          </cell>
          <cell r="T10">
            <v>2004</v>
          </cell>
        </row>
        <row r="17">
          <cell r="S17">
            <v>5867</v>
          </cell>
          <cell r="T17">
            <v>6170</v>
          </cell>
        </row>
        <row r="18">
          <cell r="S18">
            <v>1788</v>
          </cell>
          <cell r="T18">
            <v>4558</v>
          </cell>
        </row>
        <row r="30">
          <cell r="S30">
            <v>6109</v>
          </cell>
          <cell r="T30">
            <v>6483</v>
          </cell>
        </row>
        <row r="31">
          <cell r="S31">
            <v>469</v>
          </cell>
          <cell r="T31">
            <v>397</v>
          </cell>
        </row>
        <row r="33">
          <cell r="S33">
            <v>36</v>
          </cell>
          <cell r="T33">
            <v>180</v>
          </cell>
        </row>
        <row r="34">
          <cell r="S34">
            <v>110</v>
          </cell>
          <cell r="T34">
            <v>133</v>
          </cell>
        </row>
        <row r="35">
          <cell r="S35">
            <v>29</v>
          </cell>
          <cell r="T35">
            <v>106</v>
          </cell>
        </row>
        <row r="37">
          <cell r="S37">
            <v>26</v>
          </cell>
          <cell r="T37">
            <v>19</v>
          </cell>
        </row>
        <row r="38">
          <cell r="S38">
            <v>0</v>
          </cell>
          <cell r="T38">
            <v>196</v>
          </cell>
        </row>
        <row r="39">
          <cell r="S39">
            <v>64</v>
          </cell>
          <cell r="T39">
            <v>68</v>
          </cell>
        </row>
        <row r="43">
          <cell r="S43">
            <v>0</v>
          </cell>
          <cell r="T43">
            <v>1</v>
          </cell>
        </row>
        <row r="47">
          <cell r="S47">
            <v>0</v>
          </cell>
          <cell r="T47">
            <v>638</v>
          </cell>
        </row>
        <row r="67">
          <cell r="S67">
            <v>6859320070</v>
          </cell>
          <cell r="T67">
            <v>7577517319.6300001</v>
          </cell>
        </row>
        <row r="68">
          <cell r="S68">
            <v>194044763.99000001</v>
          </cell>
          <cell r="T68">
            <v>538599790.28999996</v>
          </cell>
        </row>
        <row r="75">
          <cell r="S75">
            <v>64951720</v>
          </cell>
          <cell r="T75">
            <v>85928764.239999995</v>
          </cell>
        </row>
        <row r="76">
          <cell r="S76">
            <v>6934050</v>
          </cell>
          <cell r="T76">
            <v>63534098.649999999</v>
          </cell>
        </row>
        <row r="88">
          <cell r="S88">
            <v>153422000</v>
          </cell>
          <cell r="T88">
            <v>510007316.69</v>
          </cell>
        </row>
        <row r="89">
          <cell r="S89">
            <v>7757000</v>
          </cell>
          <cell r="T89">
            <v>10867017</v>
          </cell>
        </row>
        <row r="91">
          <cell r="S91">
            <v>832595</v>
          </cell>
          <cell r="T91">
            <v>7486462.2000000002</v>
          </cell>
        </row>
        <row r="92">
          <cell r="S92">
            <v>3234500</v>
          </cell>
          <cell r="T92">
            <v>11572096.09</v>
          </cell>
        </row>
        <row r="93">
          <cell r="S93">
            <v>1215000</v>
          </cell>
          <cell r="T93">
            <v>5575507.0199999996</v>
          </cell>
        </row>
        <row r="95">
          <cell r="S95">
            <v>65000</v>
          </cell>
          <cell r="T95">
            <v>133020</v>
          </cell>
        </row>
        <row r="96">
          <cell r="S96">
            <v>0</v>
          </cell>
          <cell r="T96">
            <v>370786.65</v>
          </cell>
        </row>
        <row r="97">
          <cell r="S97">
            <v>20400</v>
          </cell>
          <cell r="T97">
            <v>366600</v>
          </cell>
        </row>
        <row r="101">
          <cell r="S101">
            <v>0</v>
          </cell>
          <cell r="T101">
            <v>240000</v>
          </cell>
        </row>
        <row r="105">
          <cell r="S105">
            <v>0</v>
          </cell>
          <cell r="T105">
            <v>28642250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Deals"/>
      <sheetName val="Thrusday 02-15-01"/>
      <sheetName val="Thursday 02-08-01"/>
    </sheetNames>
    <sheetDataSet>
      <sheetData sheetId="0" refreshError="1"/>
      <sheetData sheetId="1">
        <row r="9">
          <cell r="S9">
            <v>83402</v>
          </cell>
          <cell r="T9">
            <v>17969</v>
          </cell>
        </row>
        <row r="10">
          <cell r="S10">
            <v>6424</v>
          </cell>
          <cell r="T10">
            <v>2734</v>
          </cell>
        </row>
        <row r="17">
          <cell r="S17">
            <v>9532</v>
          </cell>
          <cell r="T17">
            <v>8764</v>
          </cell>
        </row>
        <row r="18">
          <cell r="S18">
            <v>2569</v>
          </cell>
          <cell r="T18">
            <v>6736</v>
          </cell>
        </row>
        <row r="30">
          <cell r="S30">
            <v>9302</v>
          </cell>
          <cell r="T30">
            <v>9643</v>
          </cell>
        </row>
        <row r="31">
          <cell r="S31">
            <v>592</v>
          </cell>
          <cell r="T31">
            <v>569</v>
          </cell>
        </row>
        <row r="33">
          <cell r="S33">
            <v>45</v>
          </cell>
          <cell r="T33">
            <v>251</v>
          </cell>
        </row>
        <row r="34">
          <cell r="S34">
            <v>119</v>
          </cell>
          <cell r="T34">
            <v>169</v>
          </cell>
        </row>
        <row r="35">
          <cell r="S35">
            <v>50</v>
          </cell>
          <cell r="T35">
            <v>150</v>
          </cell>
        </row>
        <row r="37">
          <cell r="S37">
            <v>50</v>
          </cell>
          <cell r="T37">
            <v>48</v>
          </cell>
        </row>
        <row r="38">
          <cell r="S38">
            <v>0</v>
          </cell>
          <cell r="T38">
            <v>307</v>
          </cell>
        </row>
        <row r="39">
          <cell r="S39">
            <v>87</v>
          </cell>
          <cell r="T39">
            <v>108</v>
          </cell>
        </row>
        <row r="44">
          <cell r="S44">
            <v>0</v>
          </cell>
          <cell r="T44">
            <v>12</v>
          </cell>
        </row>
        <row r="48">
          <cell r="S48">
            <v>0</v>
          </cell>
          <cell r="T48">
            <v>913</v>
          </cell>
        </row>
        <row r="67">
          <cell r="S67">
            <v>10201591262.129999</v>
          </cell>
          <cell r="T67">
            <v>11742300329.379999</v>
          </cell>
        </row>
        <row r="68">
          <cell r="S68">
            <v>316839394.33999997</v>
          </cell>
          <cell r="T68">
            <v>745667324.90999997</v>
          </cell>
        </row>
        <row r="75">
          <cell r="S75">
            <v>104211335</v>
          </cell>
          <cell r="T75">
            <v>115985235.54000001</v>
          </cell>
        </row>
        <row r="76">
          <cell r="S76">
            <v>10366850</v>
          </cell>
          <cell r="T76">
            <v>91276496.680000007</v>
          </cell>
        </row>
        <row r="88">
          <cell r="S88">
            <v>236106500.00999999</v>
          </cell>
          <cell r="T88">
            <v>745504869.79999995</v>
          </cell>
        </row>
        <row r="89">
          <cell r="S89">
            <v>10023357.140000001</v>
          </cell>
          <cell r="T89">
            <v>17702903.510000002</v>
          </cell>
        </row>
        <row r="91">
          <cell r="S91">
            <v>919595</v>
          </cell>
          <cell r="T91">
            <v>9306959.1300000008</v>
          </cell>
        </row>
        <row r="92">
          <cell r="S92">
            <v>3542250</v>
          </cell>
          <cell r="T92">
            <v>17309786.050000001</v>
          </cell>
        </row>
        <row r="93">
          <cell r="S93">
            <v>2130000</v>
          </cell>
          <cell r="T93">
            <v>8315506.0199999996</v>
          </cell>
        </row>
        <row r="95">
          <cell r="S95">
            <v>115000</v>
          </cell>
          <cell r="T95">
            <v>223120</v>
          </cell>
        </row>
        <row r="96">
          <cell r="S96">
            <v>0</v>
          </cell>
        </row>
        <row r="97">
          <cell r="S97">
            <v>29800</v>
          </cell>
          <cell r="T97">
            <v>603600</v>
          </cell>
        </row>
        <row r="102">
          <cell r="S102">
            <v>0</v>
          </cell>
          <cell r="T102">
            <v>261270.5</v>
          </cell>
        </row>
        <row r="105">
          <cell r="S105">
            <v>0</v>
          </cell>
        </row>
        <row r="106">
          <cell r="T106">
            <v>42371500</v>
          </cell>
        </row>
      </sheetData>
      <sheetData sheetId="2">
        <row r="9">
          <cell r="S9">
            <v>70009</v>
          </cell>
          <cell r="T9">
            <v>15569</v>
          </cell>
        </row>
        <row r="10">
          <cell r="S10">
            <v>5394</v>
          </cell>
          <cell r="T10">
            <v>2334</v>
          </cell>
        </row>
        <row r="17">
          <cell r="S17">
            <v>7746</v>
          </cell>
          <cell r="T17">
            <v>7538</v>
          </cell>
        </row>
        <row r="18">
          <cell r="S18">
            <v>2160</v>
          </cell>
          <cell r="T18">
            <v>5570</v>
          </cell>
        </row>
        <row r="30">
          <cell r="S30">
            <v>7808</v>
          </cell>
          <cell r="T30">
            <v>7976</v>
          </cell>
        </row>
        <row r="31">
          <cell r="S31">
            <v>527</v>
          </cell>
          <cell r="T31">
            <v>486</v>
          </cell>
        </row>
        <row r="33">
          <cell r="S33">
            <v>37</v>
          </cell>
          <cell r="T33">
            <v>215</v>
          </cell>
        </row>
        <row r="34">
          <cell r="S34">
            <v>116</v>
          </cell>
          <cell r="T34">
            <v>156</v>
          </cell>
        </row>
        <row r="35">
          <cell r="S35">
            <v>31</v>
          </cell>
          <cell r="T35">
            <v>127</v>
          </cell>
        </row>
        <row r="37">
          <cell r="S37">
            <v>42</v>
          </cell>
          <cell r="T37">
            <v>36</v>
          </cell>
        </row>
        <row r="38">
          <cell r="S38">
            <v>0</v>
          </cell>
          <cell r="T38">
            <v>259</v>
          </cell>
        </row>
        <row r="39">
          <cell r="S39">
            <v>77</v>
          </cell>
          <cell r="T39">
            <v>79</v>
          </cell>
        </row>
        <row r="43">
          <cell r="T43">
            <v>11</v>
          </cell>
        </row>
        <row r="44">
          <cell r="S44">
            <v>0</v>
          </cell>
        </row>
        <row r="47">
          <cell r="S47">
            <v>0</v>
          </cell>
          <cell r="T47">
            <v>791</v>
          </cell>
        </row>
        <row r="67">
          <cell r="S67">
            <v>8707714620.1299992</v>
          </cell>
          <cell r="T67">
            <v>9164680375.3500004</v>
          </cell>
        </row>
        <row r="68">
          <cell r="S68">
            <v>262901764.08000001</v>
          </cell>
          <cell r="T68">
            <v>620363548.99000001</v>
          </cell>
        </row>
        <row r="75">
          <cell r="S75">
            <v>86028175</v>
          </cell>
          <cell r="T75">
            <v>102747061.14</v>
          </cell>
        </row>
        <row r="76">
          <cell r="S76">
            <v>9434650</v>
          </cell>
          <cell r="T76">
            <v>74538711.890000001</v>
          </cell>
        </row>
        <row r="88">
          <cell r="S88">
            <v>197118500</v>
          </cell>
          <cell r="T88">
            <v>614443125.85000002</v>
          </cell>
        </row>
        <row r="89">
          <cell r="S89">
            <v>8783357.1400000006</v>
          </cell>
          <cell r="T89">
            <v>15023094</v>
          </cell>
        </row>
        <row r="91">
          <cell r="S91">
            <v>837595</v>
          </cell>
          <cell r="T91">
            <v>8564238.1300000008</v>
          </cell>
        </row>
        <row r="92">
          <cell r="S92">
            <v>3459500</v>
          </cell>
          <cell r="T92">
            <v>15482086.09</v>
          </cell>
        </row>
        <row r="93">
          <cell r="S93">
            <v>1305000</v>
          </cell>
          <cell r="T93">
            <v>7013006.0199999996</v>
          </cell>
        </row>
        <row r="95">
          <cell r="S95">
            <v>105000</v>
          </cell>
          <cell r="T95">
            <v>193120</v>
          </cell>
        </row>
        <row r="96">
          <cell r="S96">
            <v>0</v>
          </cell>
        </row>
        <row r="97">
          <cell r="S97">
            <v>26800</v>
          </cell>
          <cell r="T97">
            <v>463600</v>
          </cell>
        </row>
        <row r="101">
          <cell r="S101">
            <v>0</v>
          </cell>
          <cell r="T101">
            <v>260000</v>
          </cell>
        </row>
        <row r="105">
          <cell r="S105">
            <v>0</v>
          </cell>
          <cell r="T105">
            <v>37396500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W87"/>
  <sheetViews>
    <sheetView tabSelected="1" zoomScale="75" workbookViewId="0">
      <selection activeCell="E22" sqref="E22"/>
    </sheetView>
  </sheetViews>
  <sheetFormatPr defaultRowHeight="13.2" x14ac:dyDescent="0.25"/>
  <cols>
    <col min="1" max="1" width="13.109375" customWidth="1"/>
    <col min="2" max="2" width="12.6640625" customWidth="1"/>
    <col min="3" max="4" width="12.5546875" customWidth="1"/>
    <col min="5" max="6" width="12.6640625" customWidth="1"/>
    <col min="7" max="7" width="12.5546875" customWidth="1"/>
    <col min="8" max="8" width="2.109375" customWidth="1"/>
    <col min="9" max="9" width="14.5546875" customWidth="1"/>
    <col min="10" max="10" width="12.33203125" bestFit="1" customWidth="1"/>
    <col min="11" max="11" width="11" bestFit="1" customWidth="1"/>
    <col min="12" max="12" width="12.33203125" customWidth="1"/>
    <col min="13" max="13" width="12.33203125" bestFit="1" customWidth="1"/>
    <col min="14" max="14" width="11" bestFit="1" customWidth="1"/>
    <col min="15" max="15" width="10" bestFit="1" customWidth="1"/>
    <col min="16" max="16" width="2.33203125" customWidth="1"/>
    <col min="17" max="17" width="14.5546875" customWidth="1"/>
    <col min="18" max="18" width="12" customWidth="1"/>
    <col min="19" max="19" width="11.5546875" bestFit="1" customWidth="1"/>
    <col min="20" max="21" width="12.44140625" bestFit="1" customWidth="1"/>
    <col min="22" max="23" width="11.5546875" bestFit="1" customWidth="1"/>
  </cols>
  <sheetData>
    <row r="7" spans="1:23" x14ac:dyDescent="0.25">
      <c r="A7" s="10"/>
      <c r="B7" s="11"/>
      <c r="C7" s="11"/>
      <c r="D7" s="11"/>
      <c r="E7" s="11"/>
      <c r="F7" s="11"/>
      <c r="G7" s="12"/>
      <c r="I7" s="10"/>
      <c r="J7" s="11"/>
      <c r="K7" s="11"/>
      <c r="L7" s="11"/>
      <c r="M7" s="11"/>
      <c r="N7" s="11"/>
      <c r="O7" s="12"/>
      <c r="Q7" s="10"/>
      <c r="R7" s="11"/>
      <c r="S7" s="11"/>
      <c r="T7" s="11"/>
      <c r="U7" s="11"/>
      <c r="V7" s="11"/>
      <c r="W7" s="12"/>
    </row>
    <row r="8" spans="1:23" ht="15.6" x14ac:dyDescent="0.3">
      <c r="A8" s="42" t="s">
        <v>104</v>
      </c>
      <c r="B8" s="43"/>
      <c r="C8" s="43"/>
      <c r="D8" s="43"/>
      <c r="E8" s="43"/>
      <c r="F8" s="43"/>
      <c r="G8" s="44"/>
      <c r="H8" s="45"/>
      <c r="I8" s="170" t="s">
        <v>63</v>
      </c>
      <c r="J8" s="171"/>
      <c r="K8" s="171"/>
      <c r="L8" s="171"/>
      <c r="M8" s="171"/>
      <c r="N8" s="171"/>
      <c r="O8" s="48"/>
      <c r="P8" s="49"/>
      <c r="Q8" s="170" t="s">
        <v>145</v>
      </c>
      <c r="R8" s="171"/>
      <c r="S8" s="171"/>
      <c r="T8" s="171"/>
      <c r="U8" s="171"/>
      <c r="V8" s="171"/>
      <c r="W8" s="48"/>
    </row>
    <row r="9" spans="1:23" ht="15.6" x14ac:dyDescent="0.3">
      <c r="A9" s="46"/>
      <c r="B9" s="43"/>
      <c r="C9" s="43"/>
      <c r="D9" s="43"/>
      <c r="E9" s="43"/>
      <c r="F9" s="43"/>
      <c r="G9" s="44"/>
      <c r="H9" s="45"/>
      <c r="I9" s="46"/>
      <c r="J9" s="47"/>
      <c r="K9" s="47"/>
      <c r="L9" s="47"/>
      <c r="M9" s="47"/>
      <c r="N9" s="47"/>
      <c r="O9" s="48"/>
      <c r="P9" s="49"/>
      <c r="Q9" s="46"/>
      <c r="R9" s="47"/>
      <c r="S9" s="47"/>
      <c r="T9" s="47"/>
      <c r="U9" s="47"/>
      <c r="V9" s="47"/>
      <c r="W9" s="48"/>
    </row>
    <row r="10" spans="1:23" s="4" customFormat="1" ht="16.8" x14ac:dyDescent="0.3">
      <c r="A10" s="152" t="s">
        <v>153</v>
      </c>
      <c r="B10" s="145"/>
      <c r="C10" s="153"/>
      <c r="D10" s="153"/>
      <c r="E10" s="51"/>
      <c r="F10" s="51"/>
      <c r="G10" s="52"/>
      <c r="H10" s="53"/>
      <c r="I10" s="54"/>
      <c r="J10" s="144" t="s">
        <v>130</v>
      </c>
      <c r="K10" s="144" t="s">
        <v>131</v>
      </c>
      <c r="L10" s="144" t="s">
        <v>147</v>
      </c>
      <c r="M10" s="144" t="s">
        <v>146</v>
      </c>
      <c r="N10" s="144" t="s">
        <v>151</v>
      </c>
      <c r="O10" s="94" t="s">
        <v>31</v>
      </c>
      <c r="P10" s="56"/>
      <c r="Q10" s="54"/>
      <c r="R10" s="144" t="s">
        <v>130</v>
      </c>
      <c r="S10" s="144" t="s">
        <v>131</v>
      </c>
      <c r="T10" s="144" t="s">
        <v>147</v>
      </c>
      <c r="U10" s="144" t="s">
        <v>146</v>
      </c>
      <c r="V10" s="144" t="s">
        <v>151</v>
      </c>
      <c r="W10" s="94" t="s">
        <v>31</v>
      </c>
    </row>
    <row r="11" spans="1:23" ht="16.8" x14ac:dyDescent="0.3">
      <c r="A11" s="157"/>
      <c r="B11" s="145" t="s">
        <v>157</v>
      </c>
      <c r="C11" s="151"/>
      <c r="D11" s="151"/>
      <c r="E11" s="43"/>
      <c r="F11" s="43"/>
      <c r="G11" s="44"/>
      <c r="H11" s="49"/>
      <c r="I11" s="57" t="s">
        <v>95</v>
      </c>
      <c r="J11" s="43"/>
      <c r="K11" s="43"/>
      <c r="L11" s="43"/>
      <c r="M11" s="43"/>
      <c r="N11" s="43"/>
      <c r="O11" s="44"/>
      <c r="P11" s="49"/>
      <c r="Q11" s="143" t="s">
        <v>143</v>
      </c>
      <c r="R11" s="43"/>
      <c r="S11" s="43"/>
      <c r="T11" s="43"/>
      <c r="U11" s="43"/>
      <c r="V11" s="43"/>
      <c r="W11" s="44"/>
    </row>
    <row r="12" spans="1:23" s="20" customFormat="1" ht="16.8" x14ac:dyDescent="0.3">
      <c r="A12" s="156"/>
      <c r="B12" s="151" t="s">
        <v>158</v>
      </c>
      <c r="C12" s="145"/>
      <c r="D12" s="145"/>
      <c r="E12" s="59"/>
      <c r="F12" s="59"/>
      <c r="G12" s="60"/>
      <c r="H12" s="61"/>
      <c r="I12" s="62" t="s">
        <v>64</v>
      </c>
      <c r="J12" s="145">
        <f>Data!H12</f>
        <v>12754</v>
      </c>
      <c r="K12" s="145">
        <f>Data!I12</f>
        <v>16623</v>
      </c>
      <c r="L12" s="145">
        <f>Data!J12</f>
        <v>19791</v>
      </c>
      <c r="M12" s="145">
        <f>Data!K12</f>
        <v>18521</v>
      </c>
      <c r="N12" s="145">
        <f>Data!L12</f>
        <v>17223</v>
      </c>
      <c r="O12" s="146">
        <f>SUM(J12:M12)</f>
        <v>67689</v>
      </c>
      <c r="P12" s="61"/>
      <c r="Q12" s="62" t="s">
        <v>64</v>
      </c>
      <c r="R12" s="148">
        <f>Data!H28</f>
        <v>1942.3454609999999</v>
      </c>
      <c r="S12" s="148">
        <f>Data!I28</f>
        <v>4952.2060659999997</v>
      </c>
      <c r="T12" s="148">
        <f>Data!J28</f>
        <v>4273.2712199999996</v>
      </c>
      <c r="U12" s="148">
        <f>Data!K28</f>
        <v>3586.1783646399995</v>
      </c>
      <c r="V12" s="148">
        <f>Data!L28</f>
        <v>4250.7380022099987</v>
      </c>
      <c r="W12" s="146">
        <f>SUM(R12:U12)</f>
        <v>14754.001111639998</v>
      </c>
    </row>
    <row r="13" spans="1:23" s="20" customFormat="1" ht="16.8" x14ac:dyDescent="0.3">
      <c r="A13" s="156"/>
      <c r="B13" s="145" t="s">
        <v>154</v>
      </c>
      <c r="C13" s="145"/>
      <c r="D13" s="145"/>
      <c r="E13" s="59"/>
      <c r="F13" s="59"/>
      <c r="G13" s="60"/>
      <c r="H13" s="61"/>
      <c r="I13" s="62" t="s">
        <v>71</v>
      </c>
      <c r="J13" s="145">
        <f>Data!H13</f>
        <v>3781</v>
      </c>
      <c r="K13" s="145">
        <f>Data!I13</f>
        <v>3695</v>
      </c>
      <c r="L13" s="145">
        <f>Data!J13</f>
        <v>4599</v>
      </c>
      <c r="M13" s="145">
        <f>Data!K13</f>
        <v>4631</v>
      </c>
      <c r="N13" s="145">
        <f>Data!L13</f>
        <v>4587</v>
      </c>
      <c r="O13" s="146">
        <f>SUM(J13:M13)</f>
        <v>16706</v>
      </c>
      <c r="P13" s="61"/>
      <c r="Q13" s="62" t="s">
        <v>71</v>
      </c>
      <c r="R13" s="148">
        <f>Data!H29</f>
        <v>48.150655</v>
      </c>
      <c r="S13" s="148">
        <f>Data!I29</f>
        <v>37.589241000000001</v>
      </c>
      <c r="T13" s="148">
        <f>Data!J29</f>
        <v>53.945233000000002</v>
      </c>
      <c r="U13" s="148">
        <f>Data!K29</f>
        <v>51.399965140000006</v>
      </c>
      <c r="V13" s="148">
        <f>Data!L29</f>
        <v>49.091319190000029</v>
      </c>
      <c r="W13" s="146">
        <f>SUM(R13:U13)</f>
        <v>191.08509414000002</v>
      </c>
    </row>
    <row r="14" spans="1:23" s="20" customFormat="1" ht="16.8" x14ac:dyDescent="0.3">
      <c r="A14" s="21"/>
      <c r="B14" s="145" t="s">
        <v>155</v>
      </c>
      <c r="C14" s="153"/>
      <c r="D14" s="145"/>
      <c r="E14" s="59"/>
      <c r="F14" s="59"/>
      <c r="G14" s="60"/>
      <c r="H14" s="64"/>
      <c r="I14" s="58"/>
      <c r="J14" s="145"/>
      <c r="K14" s="145"/>
      <c r="L14" s="145"/>
      <c r="M14" s="145"/>
      <c r="N14" s="145"/>
      <c r="O14" s="147"/>
      <c r="P14" s="61"/>
      <c r="Q14" s="143" t="s">
        <v>144</v>
      </c>
      <c r="R14" s="145"/>
      <c r="S14" s="145"/>
      <c r="T14" s="145"/>
      <c r="U14" s="145"/>
      <c r="V14" s="145"/>
      <c r="W14" s="146"/>
    </row>
    <row r="15" spans="1:23" s="20" customFormat="1" ht="16.8" x14ac:dyDescent="0.3">
      <c r="A15" s="21"/>
      <c r="B15" s="145" t="s">
        <v>156</v>
      </c>
      <c r="C15" s="151"/>
      <c r="D15" s="145"/>
      <c r="E15" s="59"/>
      <c r="F15" s="59"/>
      <c r="G15" s="60"/>
      <c r="H15" s="61"/>
      <c r="I15" s="66" t="s">
        <v>32</v>
      </c>
      <c r="J15" s="145"/>
      <c r="K15" s="145"/>
      <c r="L15" s="145"/>
      <c r="M15" s="145"/>
      <c r="N15" s="145"/>
      <c r="O15" s="146"/>
      <c r="P15" s="61"/>
      <c r="Q15" s="62" t="s">
        <v>5</v>
      </c>
      <c r="R15" s="148">
        <f>+Data!H37</f>
        <v>107852.72</v>
      </c>
      <c r="S15" s="148">
        <f>+Data!I37</f>
        <v>150981.58799999999</v>
      </c>
      <c r="T15" s="148">
        <f>+Data!J37</f>
        <v>171949.351</v>
      </c>
      <c r="U15" s="148">
        <f>+Data!K37</f>
        <v>154397.51923000001</v>
      </c>
      <c r="V15" s="148">
        <f>+Data!L37</f>
        <v>174794.27446999992</v>
      </c>
      <c r="W15" s="146">
        <f t="shared" ref="W15:W22" si="0">SUM(R15:U15)</f>
        <v>585181.17822999996</v>
      </c>
    </row>
    <row r="16" spans="1:23" s="20" customFormat="1" ht="16.8" x14ac:dyDescent="0.3">
      <c r="A16" s="21"/>
      <c r="B16" s="145"/>
      <c r="C16" s="145"/>
      <c r="D16" s="145"/>
      <c r="E16" s="59"/>
      <c r="F16" s="59"/>
      <c r="G16" s="60"/>
      <c r="H16" s="61"/>
      <c r="I16" s="62" t="s">
        <v>0</v>
      </c>
      <c r="J16" s="145">
        <f>Data!H15</f>
        <v>103</v>
      </c>
      <c r="K16" s="145">
        <f>Data!I15</f>
        <v>169</v>
      </c>
      <c r="L16" s="145">
        <f>Data!J15</f>
        <v>145</v>
      </c>
      <c r="M16" s="145">
        <f>Data!K15</f>
        <v>153</v>
      </c>
      <c r="N16" s="145">
        <f>Data!L15</f>
        <v>122</v>
      </c>
      <c r="O16" s="146">
        <f>SUM(J16:M16)</f>
        <v>570</v>
      </c>
      <c r="P16" s="61"/>
      <c r="Q16" s="62" t="s">
        <v>4</v>
      </c>
      <c r="R16" s="148">
        <f>+Data!H38</f>
        <v>4684.1189999999997</v>
      </c>
      <c r="S16" s="148">
        <f>+Data!I38</f>
        <v>3964.01</v>
      </c>
      <c r="T16" s="148">
        <f>+Data!J38</f>
        <v>6572.3270000000002</v>
      </c>
      <c r="U16" s="148">
        <f>+Data!K38</f>
        <v>5662.4889999999996</v>
      </c>
      <c r="V16" s="148">
        <f>+Data!L38</f>
        <v>4037.9499600000008</v>
      </c>
      <c r="W16" s="146">
        <f t="shared" si="0"/>
        <v>20882.945</v>
      </c>
    </row>
    <row r="17" spans="1:23" s="20" customFormat="1" ht="16.8" x14ac:dyDescent="0.3">
      <c r="A17" s="21"/>
      <c r="B17" s="145"/>
      <c r="C17" s="145"/>
      <c r="D17" s="145"/>
      <c r="E17" s="59"/>
      <c r="F17" s="59"/>
      <c r="G17" s="60"/>
      <c r="H17" s="61"/>
      <c r="I17" s="62" t="s">
        <v>5</v>
      </c>
      <c r="J17" s="145">
        <f>Data!H16</f>
        <v>2199</v>
      </c>
      <c r="K17" s="145">
        <f>Data!I16</f>
        <v>3063</v>
      </c>
      <c r="L17" s="145">
        <f>Data!J16</f>
        <v>3322</v>
      </c>
      <c r="M17" s="145">
        <f>Data!K16</f>
        <v>3375</v>
      </c>
      <c r="N17" s="145">
        <f>Data!L16</f>
        <v>3353</v>
      </c>
      <c r="O17" s="146">
        <f>SUM(J17:M17)</f>
        <v>11959</v>
      </c>
      <c r="P17" s="61"/>
      <c r="Q17" s="62" t="s">
        <v>13</v>
      </c>
      <c r="R17" s="148">
        <f>+Data!H39</f>
        <v>34.1</v>
      </c>
      <c r="S17" s="148">
        <f>+Data!I39</f>
        <v>107.57</v>
      </c>
      <c r="T17" s="148">
        <f>+Data!J39</f>
        <v>46.35</v>
      </c>
      <c r="U17" s="148">
        <f>+Data!K39</f>
        <v>100.1</v>
      </c>
      <c r="V17" s="148">
        <f>+Data!L39</f>
        <v>40</v>
      </c>
      <c r="W17" s="146">
        <f t="shared" si="0"/>
        <v>288.12</v>
      </c>
    </row>
    <row r="18" spans="1:23" s="20" customFormat="1" ht="16.8" x14ac:dyDescent="0.3">
      <c r="A18" s="152" t="s">
        <v>105</v>
      </c>
      <c r="B18" s="153"/>
      <c r="C18" s="145"/>
      <c r="D18" s="145"/>
      <c r="E18" s="59"/>
      <c r="F18" s="59"/>
      <c r="G18" s="60"/>
      <c r="H18" s="61"/>
      <c r="I18" s="62" t="s">
        <v>4</v>
      </c>
      <c r="J18" s="145">
        <f>Data!H17</f>
        <v>84</v>
      </c>
      <c r="K18" s="145">
        <f>Data!I17</f>
        <v>75</v>
      </c>
      <c r="L18" s="145">
        <f>Data!J17</f>
        <v>83</v>
      </c>
      <c r="M18" s="145">
        <f>Data!K17</f>
        <v>52</v>
      </c>
      <c r="N18" s="145">
        <f>Data!L17</f>
        <v>58</v>
      </c>
      <c r="O18" s="146">
        <f>SUM(J18:M18)</f>
        <v>294</v>
      </c>
      <c r="P18" s="61"/>
      <c r="Q18" s="65" t="s">
        <v>127</v>
      </c>
      <c r="R18" s="145">
        <f>Data!H31</f>
        <v>213594.89320000002</v>
      </c>
      <c r="S18" s="145">
        <f>Data!I31</f>
        <v>19607.182999999997</v>
      </c>
      <c r="T18" s="145">
        <f>Data!J31</f>
        <v>25872</v>
      </c>
      <c r="U18" s="145">
        <f>Data!K31</f>
        <v>106865.89999999997</v>
      </c>
      <c r="V18" s="145">
        <f>Data!L31</f>
        <v>11962.5</v>
      </c>
      <c r="W18" s="146">
        <f t="shared" si="0"/>
        <v>365939.97619999998</v>
      </c>
    </row>
    <row r="19" spans="1:23" s="20" customFormat="1" ht="16.8" x14ac:dyDescent="0.3">
      <c r="A19" s="154"/>
      <c r="B19" s="155" t="s">
        <v>106</v>
      </c>
      <c r="C19" s="145"/>
      <c r="D19" s="145"/>
      <c r="E19" s="59"/>
      <c r="F19" s="59"/>
      <c r="G19" s="60"/>
      <c r="H19" s="61"/>
      <c r="I19" s="62" t="s">
        <v>3</v>
      </c>
      <c r="J19" s="145">
        <f>Data!H18</f>
        <v>37</v>
      </c>
      <c r="K19" s="145">
        <f>Data!I18</f>
        <v>36</v>
      </c>
      <c r="L19" s="145">
        <f>Data!J18</f>
        <v>19</v>
      </c>
      <c r="M19" s="145">
        <f>Data!K18</f>
        <v>24</v>
      </c>
      <c r="N19" s="145">
        <f>Data!L18</f>
        <v>39</v>
      </c>
      <c r="O19" s="146">
        <f>SUM(J19:M19)</f>
        <v>116</v>
      </c>
      <c r="P19" s="61"/>
      <c r="Q19" s="62" t="s">
        <v>40</v>
      </c>
      <c r="R19" s="148">
        <f>Data!H32</f>
        <v>0</v>
      </c>
      <c r="S19" s="148">
        <f>Data!I32</f>
        <v>0</v>
      </c>
      <c r="T19" s="148">
        <f>Data!J32</f>
        <v>0</v>
      </c>
      <c r="U19" s="148">
        <f>Data!K32</f>
        <v>0</v>
      </c>
      <c r="V19" s="148">
        <f>Data!L32</f>
        <v>0</v>
      </c>
      <c r="W19" s="146">
        <f t="shared" si="0"/>
        <v>0</v>
      </c>
    </row>
    <row r="20" spans="1:23" s="20" customFormat="1" ht="16.8" x14ac:dyDescent="0.3">
      <c r="A20" s="156"/>
      <c r="B20" s="145" t="s">
        <v>107</v>
      </c>
      <c r="C20" s="145"/>
      <c r="D20" s="145"/>
      <c r="E20" s="59"/>
      <c r="F20" s="59"/>
      <c r="G20" s="60"/>
      <c r="H20" s="61"/>
      <c r="I20" s="62" t="s">
        <v>13</v>
      </c>
      <c r="J20" s="145">
        <f>Data!H19</f>
        <v>14</v>
      </c>
      <c r="K20" s="145">
        <f>Data!I19</f>
        <v>13</v>
      </c>
      <c r="L20" s="145">
        <f>Data!J19</f>
        <v>14</v>
      </c>
      <c r="M20" s="145">
        <f>Data!K19</f>
        <v>33</v>
      </c>
      <c r="N20" s="145">
        <f>Data!L19</f>
        <v>20</v>
      </c>
      <c r="O20" s="146">
        <f>SUM(J20:M20)</f>
        <v>74</v>
      </c>
      <c r="P20" s="61"/>
      <c r="Q20" s="62" t="s">
        <v>70</v>
      </c>
      <c r="R20" s="148">
        <f>Data!H33</f>
        <v>0</v>
      </c>
      <c r="S20" s="148">
        <f>Data!I33</f>
        <v>0</v>
      </c>
      <c r="T20" s="148">
        <f>Data!J33</f>
        <v>0</v>
      </c>
      <c r="U20" s="148">
        <f>Data!K33</f>
        <v>0</v>
      </c>
      <c r="V20" s="148">
        <f>Data!L33</f>
        <v>0</v>
      </c>
      <c r="W20" s="146">
        <f t="shared" si="0"/>
        <v>0</v>
      </c>
    </row>
    <row r="21" spans="1:23" s="20" customFormat="1" ht="16.8" x14ac:dyDescent="0.3">
      <c r="A21" s="156"/>
      <c r="B21" s="145"/>
      <c r="C21" s="145"/>
      <c r="D21" s="145"/>
      <c r="E21" s="59"/>
      <c r="F21" s="59"/>
      <c r="G21" s="60"/>
      <c r="H21" s="61"/>
      <c r="I21" s="58"/>
      <c r="J21" s="145"/>
      <c r="K21" s="145"/>
      <c r="L21" s="145"/>
      <c r="M21" s="145"/>
      <c r="N21" s="145"/>
      <c r="O21" s="146"/>
      <c r="P21" s="61"/>
      <c r="Q21" s="62" t="s">
        <v>39</v>
      </c>
      <c r="R21" s="148">
        <f>Data!H34</f>
        <v>0</v>
      </c>
      <c r="S21" s="148">
        <f>Data!I34</f>
        <v>0</v>
      </c>
      <c r="T21" s="148">
        <f>Data!J34</f>
        <v>0</v>
      </c>
      <c r="U21" s="148">
        <f>Data!K34</f>
        <v>0</v>
      </c>
      <c r="V21" s="148">
        <f>Data!L34</f>
        <v>0</v>
      </c>
      <c r="W21" s="146">
        <f t="shared" si="0"/>
        <v>0</v>
      </c>
    </row>
    <row r="22" spans="1:23" s="20" customFormat="1" ht="16.8" x14ac:dyDescent="0.3">
      <c r="A22" s="152"/>
      <c r="B22" s="145"/>
      <c r="C22" s="145"/>
      <c r="D22" s="145"/>
      <c r="E22" s="59"/>
      <c r="F22" s="59"/>
      <c r="G22" s="60"/>
      <c r="H22" s="61"/>
      <c r="I22" s="66" t="s">
        <v>33</v>
      </c>
      <c r="J22" s="145"/>
      <c r="K22" s="145"/>
      <c r="L22" s="145"/>
      <c r="M22" s="145"/>
      <c r="N22" s="145"/>
      <c r="O22" s="146"/>
      <c r="P22" s="61"/>
      <c r="Q22" s="67" t="s">
        <v>41</v>
      </c>
      <c r="R22" s="149">
        <f>Data!H35</f>
        <v>0</v>
      </c>
      <c r="S22" s="149">
        <f>Data!I35</f>
        <v>0</v>
      </c>
      <c r="T22" s="149">
        <f>Data!J35</f>
        <v>0</v>
      </c>
      <c r="U22" s="149">
        <f>Data!K35</f>
        <v>0</v>
      </c>
      <c r="V22" s="149">
        <f>Data!L35</f>
        <v>0</v>
      </c>
      <c r="W22" s="150">
        <f t="shared" si="0"/>
        <v>0</v>
      </c>
    </row>
    <row r="23" spans="1:23" s="20" customFormat="1" ht="16.8" x14ac:dyDescent="0.3">
      <c r="A23" s="157"/>
      <c r="B23" s="145"/>
      <c r="C23" s="145"/>
      <c r="D23" s="145"/>
      <c r="E23" s="59"/>
      <c r="F23" s="59"/>
      <c r="G23" s="60"/>
      <c r="H23" s="61"/>
      <c r="I23" s="62" t="s">
        <v>40</v>
      </c>
      <c r="J23" s="145">
        <f>Data!H21</f>
        <v>9</v>
      </c>
      <c r="K23" s="145">
        <f>Data!I21</f>
        <v>24</v>
      </c>
      <c r="L23" s="145">
        <f>Data!J21</f>
        <v>4</v>
      </c>
      <c r="M23" s="145">
        <f>Data!K21</f>
        <v>12</v>
      </c>
      <c r="N23" s="145">
        <f>Data!L21</f>
        <v>30</v>
      </c>
      <c r="O23" s="146">
        <f>SUM(J23:M23)</f>
        <v>49</v>
      </c>
      <c r="P23" s="61"/>
      <c r="Q23" s="84" t="s">
        <v>109</v>
      </c>
      <c r="R23" s="59"/>
      <c r="S23" s="59"/>
      <c r="T23" s="59"/>
      <c r="U23" s="59"/>
      <c r="V23" s="59"/>
      <c r="W23" s="59"/>
    </row>
    <row r="24" spans="1:23" s="20" customFormat="1" ht="16.8" x14ac:dyDescent="0.3">
      <c r="A24" s="156"/>
      <c r="B24" s="145"/>
      <c r="C24" s="59"/>
      <c r="D24" s="59"/>
      <c r="E24" s="59"/>
      <c r="F24" s="59"/>
      <c r="G24" s="60"/>
      <c r="H24" s="61"/>
      <c r="I24" s="62" t="s">
        <v>70</v>
      </c>
      <c r="J24" s="145">
        <f>Data!H22</f>
        <v>24</v>
      </c>
      <c r="K24" s="145">
        <f>Data!I22</f>
        <v>19</v>
      </c>
      <c r="L24" s="145">
        <f>Data!J22</f>
        <v>29</v>
      </c>
      <c r="M24" s="145">
        <f>Data!K22</f>
        <v>17</v>
      </c>
      <c r="N24" s="145">
        <f>Data!L22</f>
        <v>15</v>
      </c>
      <c r="O24" s="146">
        <f>SUM(J24:M24)</f>
        <v>89</v>
      </c>
      <c r="P24" s="61"/>
      <c r="Q24" s="68"/>
      <c r="R24" s="172" t="s">
        <v>19</v>
      </c>
      <c r="S24" s="172"/>
      <c r="T24" s="172"/>
      <c r="U24" s="172"/>
      <c r="V24" s="69"/>
      <c r="W24" s="70"/>
    </row>
    <row r="25" spans="1:23" ht="16.8" x14ac:dyDescent="0.3">
      <c r="A25" s="152" t="s">
        <v>108</v>
      </c>
      <c r="B25" s="145"/>
      <c r="C25" s="43"/>
      <c r="D25" s="43"/>
      <c r="E25" s="43"/>
      <c r="F25" s="43"/>
      <c r="G25" s="44"/>
      <c r="H25" s="49"/>
      <c r="I25" s="62" t="s">
        <v>39</v>
      </c>
      <c r="J25" s="145">
        <f>Data!H23</f>
        <v>103</v>
      </c>
      <c r="K25" s="145">
        <f>Data!I23</f>
        <v>124</v>
      </c>
      <c r="L25" s="145">
        <f>Data!J23</f>
        <v>86</v>
      </c>
      <c r="M25" s="145">
        <f>Data!K23</f>
        <v>69</v>
      </c>
      <c r="N25" s="145">
        <f>Data!L23</f>
        <v>38</v>
      </c>
      <c r="O25" s="146">
        <f>SUM(J25:M25)</f>
        <v>382</v>
      </c>
      <c r="P25" s="49"/>
      <c r="Q25" s="54"/>
      <c r="R25" s="43"/>
      <c r="S25" s="144" t="s">
        <v>131</v>
      </c>
      <c r="T25" s="144" t="s">
        <v>132</v>
      </c>
      <c r="U25" s="144" t="s">
        <v>146</v>
      </c>
      <c r="V25" s="144" t="s">
        <v>151</v>
      </c>
      <c r="W25" s="44"/>
    </row>
    <row r="26" spans="1:23" ht="16.8" x14ac:dyDescent="0.3">
      <c r="A26" s="50"/>
      <c r="B26" s="63"/>
      <c r="C26" s="43"/>
      <c r="D26" s="43"/>
      <c r="E26" s="43"/>
      <c r="F26" s="43"/>
      <c r="G26" s="44"/>
      <c r="H26" s="49"/>
      <c r="I26" s="62" t="s">
        <v>41</v>
      </c>
      <c r="J26" s="145">
        <f>Data!H24</f>
        <v>0</v>
      </c>
      <c r="K26" s="145">
        <f>Data!I24</f>
        <v>0</v>
      </c>
      <c r="L26" s="145">
        <f>Data!J24</f>
        <v>1</v>
      </c>
      <c r="M26" s="145">
        <f>Data!K24</f>
        <v>1</v>
      </c>
      <c r="N26" s="145">
        <f>Data!L24</f>
        <v>2</v>
      </c>
      <c r="O26" s="146">
        <f>SUM(J26:M26)</f>
        <v>2</v>
      </c>
      <c r="P26" s="49"/>
      <c r="Q26" s="143" t="s">
        <v>65</v>
      </c>
      <c r="R26" s="92"/>
      <c r="S26" s="151">
        <v>14</v>
      </c>
      <c r="T26" s="151">
        <v>8</v>
      </c>
      <c r="U26" s="151">
        <v>13</v>
      </c>
      <c r="V26" s="151">
        <v>5</v>
      </c>
      <c r="W26" s="44"/>
    </row>
    <row r="27" spans="1:23" ht="16.8" x14ac:dyDescent="0.3">
      <c r="A27" s="71"/>
      <c r="B27" s="43"/>
      <c r="C27" s="43"/>
      <c r="D27" s="43"/>
      <c r="E27" s="43"/>
      <c r="F27" s="43"/>
      <c r="G27" s="44"/>
      <c r="H27" s="49"/>
      <c r="I27" s="73"/>
      <c r="J27" s="72"/>
      <c r="K27" s="72"/>
      <c r="L27" s="72"/>
      <c r="M27" s="72"/>
      <c r="N27" s="72"/>
      <c r="O27" s="74"/>
      <c r="P27" s="49"/>
      <c r="Q27" s="75"/>
      <c r="R27" s="55"/>
      <c r="S27" s="151"/>
      <c r="T27" s="151"/>
      <c r="U27" s="151"/>
      <c r="V27" s="151"/>
      <c r="W27" s="44"/>
    </row>
    <row r="28" spans="1:23" ht="16.8" x14ac:dyDescent="0.3">
      <c r="A28" s="71"/>
      <c r="B28" s="43"/>
      <c r="C28" s="43"/>
      <c r="D28" s="43"/>
      <c r="E28" s="43"/>
      <c r="F28" s="43"/>
      <c r="G28" s="44"/>
      <c r="H28" s="49"/>
      <c r="I28" s="73"/>
      <c r="J28" s="72"/>
      <c r="K28" s="72"/>
      <c r="L28" s="72"/>
      <c r="M28" s="72"/>
      <c r="N28" s="72"/>
      <c r="O28" s="74"/>
      <c r="P28" s="49"/>
      <c r="Q28" s="143" t="s">
        <v>80</v>
      </c>
      <c r="R28" s="92"/>
      <c r="S28" s="151">
        <v>22</v>
      </c>
      <c r="T28" s="151">
        <v>33</v>
      </c>
      <c r="U28" s="151">
        <v>13</v>
      </c>
      <c r="V28" s="151">
        <v>26</v>
      </c>
      <c r="W28" s="44"/>
    </row>
    <row r="29" spans="1:23" ht="15" x14ac:dyDescent="0.25">
      <c r="A29" s="76"/>
      <c r="B29" s="77"/>
      <c r="C29" s="77"/>
      <c r="D29" s="77"/>
      <c r="E29" s="77"/>
      <c r="F29" s="77"/>
      <c r="G29" s="78"/>
      <c r="H29" s="49"/>
      <c r="I29" s="79"/>
      <c r="J29" s="80"/>
      <c r="K29" s="80"/>
      <c r="L29" s="80"/>
      <c r="M29" s="80"/>
      <c r="N29" s="80"/>
      <c r="O29" s="81"/>
      <c r="P29" s="49"/>
      <c r="Q29" s="82"/>
      <c r="R29" s="83"/>
      <c r="S29" s="83"/>
      <c r="T29" s="77"/>
      <c r="U29" s="77"/>
      <c r="V29" s="77"/>
      <c r="W29" s="78"/>
    </row>
    <row r="30" spans="1:23" x14ac:dyDescent="0.25">
      <c r="A30" s="41"/>
      <c r="B30" s="14"/>
      <c r="C30" s="14"/>
      <c r="D30" s="14"/>
      <c r="E30" s="14"/>
      <c r="F30" s="14"/>
      <c r="G30" s="14"/>
      <c r="I30" s="16"/>
      <c r="J30" s="16"/>
      <c r="K30" s="16"/>
      <c r="L30" s="14"/>
      <c r="M30" s="14"/>
      <c r="N30" s="14"/>
      <c r="O30" s="14"/>
      <c r="Q30" s="16"/>
      <c r="R30" s="16"/>
      <c r="S30" s="16"/>
      <c r="T30" s="14"/>
      <c r="U30" s="14"/>
      <c r="V30" s="14"/>
      <c r="W30" s="14"/>
    </row>
    <row r="31" spans="1:23" x14ac:dyDescent="0.25">
      <c r="A31" s="40"/>
      <c r="J31" s="14"/>
      <c r="K31" s="14"/>
      <c r="L31" s="14"/>
      <c r="M31" s="14"/>
      <c r="N31" s="14"/>
      <c r="O31" s="14"/>
      <c r="P31" s="14"/>
      <c r="Q31" s="18"/>
      <c r="R31" s="18"/>
      <c r="S31" s="18"/>
      <c r="T31" s="18"/>
      <c r="U31" s="18"/>
      <c r="V31" s="18"/>
      <c r="W31" s="18"/>
    </row>
    <row r="32" spans="1:23" x14ac:dyDescent="0.25">
      <c r="A32" s="19"/>
    </row>
    <row r="33" spans="1:1" x14ac:dyDescent="0.25">
      <c r="A33" s="19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3"/>
    </row>
    <row r="42" spans="1:1" x14ac:dyDescent="0.25">
      <c r="A42" s="13"/>
    </row>
    <row r="43" spans="1:1" x14ac:dyDescent="0.25">
      <c r="A43" s="13"/>
    </row>
    <row r="44" spans="1:1" x14ac:dyDescent="0.25">
      <c r="A44" s="13"/>
    </row>
    <row r="45" spans="1:1" x14ac:dyDescent="0.25">
      <c r="A45" s="13"/>
    </row>
    <row r="46" spans="1:1" x14ac:dyDescent="0.25">
      <c r="A46" s="21"/>
    </row>
    <row r="47" spans="1:1" x14ac:dyDescent="0.25">
      <c r="A47" s="21"/>
    </row>
    <row r="48" spans="1:1" x14ac:dyDescent="0.25">
      <c r="A48" s="22"/>
    </row>
    <row r="49" spans="1:1" x14ac:dyDescent="0.25">
      <c r="A49" s="22"/>
    </row>
    <row r="50" spans="1:1" x14ac:dyDescent="0.25">
      <c r="A50" s="22"/>
    </row>
    <row r="51" spans="1:1" x14ac:dyDescent="0.25">
      <c r="A51" s="22"/>
    </row>
    <row r="52" spans="1:1" x14ac:dyDescent="0.25">
      <c r="A52" s="22"/>
    </row>
    <row r="53" spans="1:1" x14ac:dyDescent="0.25">
      <c r="A53" s="22"/>
    </row>
    <row r="54" spans="1:1" x14ac:dyDescent="0.25">
      <c r="A54" s="22"/>
    </row>
    <row r="55" spans="1:1" x14ac:dyDescent="0.25">
      <c r="A55" s="22"/>
    </row>
    <row r="56" spans="1:1" x14ac:dyDescent="0.25">
      <c r="A56" s="22"/>
    </row>
    <row r="57" spans="1:1" x14ac:dyDescent="0.25">
      <c r="A57" s="22"/>
    </row>
    <row r="58" spans="1:1" x14ac:dyDescent="0.25">
      <c r="A58" s="22"/>
    </row>
    <row r="59" spans="1:1" x14ac:dyDescent="0.25">
      <c r="A59" s="22"/>
    </row>
    <row r="60" spans="1:1" x14ac:dyDescent="0.25">
      <c r="A60" s="22"/>
    </row>
    <row r="61" spans="1:1" x14ac:dyDescent="0.25">
      <c r="A61" s="22"/>
    </row>
    <row r="62" spans="1:1" x14ac:dyDescent="0.25">
      <c r="A62" s="22"/>
    </row>
    <row r="63" spans="1:1" x14ac:dyDescent="0.25">
      <c r="A63" s="22"/>
    </row>
    <row r="64" spans="1:1" x14ac:dyDescent="0.25">
      <c r="A64" s="22"/>
    </row>
    <row r="65" spans="1:1" x14ac:dyDescent="0.25">
      <c r="A65" s="22"/>
    </row>
    <row r="66" spans="1:1" x14ac:dyDescent="0.25">
      <c r="A66" s="22"/>
    </row>
    <row r="67" spans="1:1" x14ac:dyDescent="0.25">
      <c r="A67" s="22"/>
    </row>
    <row r="68" spans="1:1" x14ac:dyDescent="0.25">
      <c r="A68" s="17"/>
    </row>
    <row r="69" spans="1:1" x14ac:dyDescent="0.25">
      <c r="A69" s="10"/>
    </row>
    <row r="70" spans="1:1" x14ac:dyDescent="0.25">
      <c r="A70" s="19"/>
    </row>
    <row r="71" spans="1:1" x14ac:dyDescent="0.25">
      <c r="A71" s="19"/>
    </row>
    <row r="72" spans="1:1" x14ac:dyDescent="0.25">
      <c r="A72" s="19"/>
    </row>
    <row r="73" spans="1:1" x14ac:dyDescent="0.25">
      <c r="A73" s="19"/>
    </row>
    <row r="74" spans="1:1" x14ac:dyDescent="0.25">
      <c r="A74" s="19"/>
    </row>
    <row r="75" spans="1:1" x14ac:dyDescent="0.25">
      <c r="A75" s="19"/>
    </row>
    <row r="76" spans="1:1" x14ac:dyDescent="0.25">
      <c r="A76" s="15"/>
    </row>
    <row r="77" spans="1:1" x14ac:dyDescent="0.25">
      <c r="A77" s="13"/>
    </row>
    <row r="78" spans="1:1" x14ac:dyDescent="0.25">
      <c r="A78" s="21"/>
    </row>
    <row r="79" spans="1:1" x14ac:dyDescent="0.25">
      <c r="A79" s="21"/>
    </row>
    <row r="80" spans="1:1" x14ac:dyDescent="0.25">
      <c r="A80" s="22"/>
    </row>
    <row r="81" spans="1:1" x14ac:dyDescent="0.25">
      <c r="A81" s="22"/>
    </row>
    <row r="82" spans="1:1" x14ac:dyDescent="0.25">
      <c r="A82" s="22"/>
    </row>
    <row r="83" spans="1:1" x14ac:dyDescent="0.25">
      <c r="A83" s="22"/>
    </row>
    <row r="84" spans="1:1" x14ac:dyDescent="0.25">
      <c r="A84" s="22"/>
    </row>
    <row r="85" spans="1:1" x14ac:dyDescent="0.25">
      <c r="A85" s="22"/>
    </row>
    <row r="86" spans="1:1" x14ac:dyDescent="0.25">
      <c r="A86" s="22"/>
    </row>
    <row r="87" spans="1:1" ht="12" customHeight="1" x14ac:dyDescent="0.25"/>
  </sheetData>
  <mergeCells count="3">
    <mergeCell ref="Q8:V8"/>
    <mergeCell ref="I8:N8"/>
    <mergeCell ref="R24:U24"/>
  </mergeCells>
  <printOptions horizontalCentered="1" verticalCentered="1"/>
  <pageMargins left="0.17" right="0.16" top="0.25" bottom="0.25" header="0.5" footer="0.5"/>
  <pageSetup scale="49" orientation="landscape" r:id="rId1"/>
  <headerFooter alignWithMargins="0">
    <oddHeader>&amp;L&amp;"Arial,Bold"&amp;18Global Risk Management Operations
Contact:    Sally Beck x35926&amp;C&amp;"Arial,Bold"&amp;18Weekly Report
Week of February 9 - February 15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opLeftCell="E10" workbookViewId="0">
      <selection activeCell="D16" sqref="D16"/>
    </sheetView>
  </sheetViews>
  <sheetFormatPr defaultRowHeight="13.2" x14ac:dyDescent="0.25"/>
  <cols>
    <col min="1" max="1" width="34.109375" style="7" hidden="1" customWidth="1"/>
    <col min="2" max="2" width="0" hidden="1" customWidth="1"/>
    <col min="3" max="3" width="10.6640625" hidden="1" customWidth="1"/>
    <col min="4" max="4" width="0" hidden="1" customWidth="1"/>
    <col min="6" max="6" width="14.44140625" bestFit="1" customWidth="1"/>
    <col min="7" max="7" width="14.33203125" bestFit="1" customWidth="1"/>
    <col min="8" max="8" width="10.88671875" bestFit="1" customWidth="1"/>
    <col min="9" max="9" width="10.88671875" style="20" bestFit="1" customWidth="1"/>
    <col min="10" max="10" width="9.6640625" bestFit="1" customWidth="1"/>
    <col min="11" max="12" width="9.6640625" customWidth="1"/>
    <col min="13" max="13" width="3.33203125" customWidth="1"/>
    <col min="14" max="14" width="13.88671875" bestFit="1" customWidth="1"/>
  </cols>
  <sheetData>
    <row r="1" spans="1:14" hidden="1" x14ac:dyDescent="0.25">
      <c r="A1" s="7" t="s">
        <v>63</v>
      </c>
      <c r="E1" t="s">
        <v>77</v>
      </c>
    </row>
    <row r="2" spans="1:14" hidden="1" x14ac:dyDescent="0.25">
      <c r="A2" s="7" t="s">
        <v>49</v>
      </c>
      <c r="B2">
        <v>6500</v>
      </c>
      <c r="F2" t="s">
        <v>78</v>
      </c>
      <c r="G2" t="s">
        <v>79</v>
      </c>
      <c r="H2" t="s">
        <v>71</v>
      </c>
    </row>
    <row r="3" spans="1:14" hidden="1" x14ac:dyDescent="0.25">
      <c r="A3" s="7" t="s">
        <v>50</v>
      </c>
      <c r="B3">
        <v>7500</v>
      </c>
      <c r="E3" t="s">
        <v>73</v>
      </c>
      <c r="F3">
        <v>2</v>
      </c>
      <c r="G3">
        <v>6</v>
      </c>
      <c r="H3">
        <v>3</v>
      </c>
    </row>
    <row r="4" spans="1:14" hidden="1" x14ac:dyDescent="0.25">
      <c r="A4" s="7" t="s">
        <v>51</v>
      </c>
      <c r="B4">
        <v>4000</v>
      </c>
      <c r="E4" t="s">
        <v>74</v>
      </c>
      <c r="F4">
        <v>3</v>
      </c>
      <c r="G4">
        <v>10</v>
      </c>
      <c r="H4">
        <v>2</v>
      </c>
    </row>
    <row r="5" spans="1:14" hidden="1" x14ac:dyDescent="0.25">
      <c r="A5" s="7" t="s">
        <v>52</v>
      </c>
      <c r="B5">
        <v>55</v>
      </c>
      <c r="E5" t="s">
        <v>75</v>
      </c>
      <c r="F5">
        <v>4</v>
      </c>
      <c r="G5">
        <v>2</v>
      </c>
      <c r="H5">
        <v>0</v>
      </c>
    </row>
    <row r="6" spans="1:14" hidden="1" x14ac:dyDescent="0.25">
      <c r="A6" s="7" t="s">
        <v>53</v>
      </c>
      <c r="B6">
        <v>3</v>
      </c>
      <c r="E6" t="s">
        <v>76</v>
      </c>
      <c r="F6">
        <v>0</v>
      </c>
      <c r="G6">
        <v>0</v>
      </c>
      <c r="H6">
        <v>0</v>
      </c>
    </row>
    <row r="7" spans="1:14" hidden="1" x14ac:dyDescent="0.25">
      <c r="A7" s="7" t="s">
        <v>54</v>
      </c>
      <c r="B7">
        <v>5</v>
      </c>
    </row>
    <row r="8" spans="1:14" hidden="1" x14ac:dyDescent="0.25">
      <c r="A8" s="7" t="s">
        <v>56</v>
      </c>
      <c r="B8">
        <v>10</v>
      </c>
    </row>
    <row r="9" spans="1:14" hidden="1" x14ac:dyDescent="0.25">
      <c r="A9" s="7" t="s">
        <v>55</v>
      </c>
      <c r="B9">
        <v>20</v>
      </c>
    </row>
    <row r="10" spans="1:14" x14ac:dyDescent="0.25">
      <c r="E10" s="101" t="s">
        <v>63</v>
      </c>
    </row>
    <row r="11" spans="1:14" ht="13.8" x14ac:dyDescent="0.25">
      <c r="A11" s="7" t="s">
        <v>62</v>
      </c>
      <c r="B11">
        <v>50</v>
      </c>
      <c r="F11" s="98" t="s">
        <v>128</v>
      </c>
      <c r="G11" s="98" t="s">
        <v>129</v>
      </c>
      <c r="H11" s="98" t="s">
        <v>130</v>
      </c>
      <c r="I11" s="98" t="s">
        <v>131</v>
      </c>
      <c r="J11" s="98" t="s">
        <v>147</v>
      </c>
      <c r="K11" s="98" t="s">
        <v>148</v>
      </c>
      <c r="L11" s="98" t="s">
        <v>150</v>
      </c>
    </row>
    <row r="12" spans="1:14" x14ac:dyDescent="0.25">
      <c r="A12" s="7" t="s">
        <v>0</v>
      </c>
      <c r="B12">
        <v>175</v>
      </c>
      <c r="E12" t="s">
        <v>64</v>
      </c>
      <c r="F12">
        <f>+'template from individuals'!B37+'template from individuals'!C37</f>
        <v>10153</v>
      </c>
      <c r="G12">
        <f>+'template from individuals'!D37+'template from individuals'!E37</f>
        <v>15464</v>
      </c>
      <c r="H12">
        <f>+'template from individuals'!F37+'template from individuals'!G37</f>
        <v>12754</v>
      </c>
      <c r="I12" s="20">
        <f>+'template from individuals'!H37+'template from individuals'!I37</f>
        <v>16623</v>
      </c>
      <c r="J12" s="39">
        <f>+'WE 2-1 EOL Data'!B6+'WE 2-1 EOL Data'!B29</f>
        <v>19791</v>
      </c>
      <c r="K12" s="39">
        <f>+'WE 2-8 EOL Data'!B6+'WE 2-8 EOL Data'!B29</f>
        <v>18521</v>
      </c>
      <c r="L12" s="39">
        <f>+'WE 2-15 EOL Data'!B6+'WE 2-15 EOL Data'!B29</f>
        <v>17223</v>
      </c>
      <c r="N12" s="99" t="s">
        <v>81</v>
      </c>
    </row>
    <row r="13" spans="1:14" x14ac:dyDescent="0.25">
      <c r="A13" s="7" t="s">
        <v>3</v>
      </c>
      <c r="B13">
        <v>2</v>
      </c>
      <c r="E13" t="s">
        <v>71</v>
      </c>
      <c r="F13">
        <f>+'template from individuals'!B38+'template from individuals'!C38</f>
        <v>1730</v>
      </c>
      <c r="G13">
        <f>+'template from individuals'!D38+'template from individuals'!E38</f>
        <v>3436</v>
      </c>
      <c r="H13">
        <f>+'template from individuals'!F38+'template from individuals'!G38</f>
        <v>3781</v>
      </c>
      <c r="I13" s="20">
        <f>+'template from individuals'!H38+'template from individuals'!I38</f>
        <v>3695</v>
      </c>
      <c r="J13" s="39">
        <f>+'WE 2-1 EOL Data'!B7+'WE 2-1 EOL Data'!B30</f>
        <v>4599</v>
      </c>
      <c r="K13" s="39">
        <f>+'WE 2-8 EOL Data'!B7+'WE 2-8 EOL Data'!B30</f>
        <v>4631</v>
      </c>
      <c r="L13" s="39">
        <f>+'WE 2-15 EOL Data'!B7+'WE 2-15 EOL Data'!B30</f>
        <v>4587</v>
      </c>
      <c r="N13" s="99" t="s">
        <v>82</v>
      </c>
    </row>
    <row r="14" spans="1:14" ht="13.8" x14ac:dyDescent="0.25">
      <c r="A14" s="7" t="s">
        <v>57</v>
      </c>
      <c r="B14">
        <v>20</v>
      </c>
      <c r="F14" s="98" t="s">
        <v>128</v>
      </c>
      <c r="G14" s="98" t="s">
        <v>129</v>
      </c>
      <c r="H14" s="98" t="s">
        <v>130</v>
      </c>
      <c r="I14" s="98" t="s">
        <v>131</v>
      </c>
      <c r="J14" s="98" t="s">
        <v>147</v>
      </c>
      <c r="K14" s="98" t="str">
        <f>+K11</f>
        <v>2/2 - 2/8</v>
      </c>
      <c r="L14" s="98" t="str">
        <f>+L11</f>
        <v>2/9 - 2/15</v>
      </c>
      <c r="N14" s="100"/>
    </row>
    <row r="15" spans="1:14" x14ac:dyDescent="0.25">
      <c r="A15" s="7" t="s">
        <v>58</v>
      </c>
      <c r="B15">
        <v>30</v>
      </c>
      <c r="E15" t="s">
        <v>0</v>
      </c>
      <c r="F15">
        <f>+'template from individuals'!B45+'template from individuals'!C45</f>
        <v>91</v>
      </c>
      <c r="G15">
        <f>+'template from individuals'!D45+'template from individuals'!E45</f>
        <v>130</v>
      </c>
      <c r="H15">
        <f>+'template from individuals'!F45+'template from individuals'!G45</f>
        <v>103</v>
      </c>
      <c r="I15" s="20">
        <f>+'template from individuals'!H45+'template from individuals'!I45</f>
        <v>169</v>
      </c>
      <c r="J15" s="39">
        <f>+'WE 2-1 EOL Data'!B13+'WE 2-1 EOL Data'!B36</f>
        <v>145</v>
      </c>
      <c r="K15" s="39">
        <f>+'WE 2-8 EOL Data'!B13+'WE 2-8 EOL Data'!B36</f>
        <v>153</v>
      </c>
      <c r="L15" s="39">
        <f>+'WE 2-15 EOL Data'!B13+'WE 2-15 EOL Data'!B36</f>
        <v>122</v>
      </c>
      <c r="N15" s="99" t="s">
        <v>99</v>
      </c>
    </row>
    <row r="16" spans="1:14" x14ac:dyDescent="0.25">
      <c r="A16" s="7" t="s">
        <v>59</v>
      </c>
      <c r="B16">
        <v>1</v>
      </c>
      <c r="E16" t="s">
        <v>5</v>
      </c>
      <c r="F16">
        <f>+'template from individuals'!B47+'template from individuals'!C47</f>
        <v>1835</v>
      </c>
      <c r="G16">
        <f>+'template from individuals'!D47+'template from individuals'!E47</f>
        <v>3258</v>
      </c>
      <c r="H16">
        <f>+'template from individuals'!F47+'template from individuals'!G47</f>
        <v>2199</v>
      </c>
      <c r="I16" s="20">
        <f>+'template from individuals'!H47+'template from individuals'!I47</f>
        <v>3063</v>
      </c>
      <c r="J16" s="39">
        <f>+'WE 2-1 EOL Data'!B9+'WE 2-1 EOL Data'!B32</f>
        <v>3322</v>
      </c>
      <c r="K16" s="39">
        <f>+'WE 2-8 EOL Data'!B9+'WE 2-8 EOL Data'!B32</f>
        <v>3375</v>
      </c>
      <c r="L16" s="39">
        <f>+'WE 2-15 EOL Data'!B9+'WE 2-15 EOL Data'!B32</f>
        <v>3353</v>
      </c>
      <c r="N16" s="99" t="s">
        <v>100</v>
      </c>
    </row>
    <row r="17" spans="1:14" x14ac:dyDescent="0.25">
      <c r="A17" s="7" t="s">
        <v>60</v>
      </c>
      <c r="B17">
        <v>3</v>
      </c>
      <c r="E17" t="s">
        <v>4</v>
      </c>
      <c r="F17">
        <f>+'template from individuals'!B49+'template from individuals'!C49</f>
        <v>52</v>
      </c>
      <c r="G17">
        <f>+'template from individuals'!D49+'template from individuals'!E49</f>
        <v>83</v>
      </c>
      <c r="H17">
        <f>+'template from individuals'!F49+'template from individuals'!G49</f>
        <v>84</v>
      </c>
      <c r="I17" s="20">
        <f>+'template from individuals'!H49+'template from individuals'!I49</f>
        <v>75</v>
      </c>
      <c r="J17" s="39">
        <f>+'WE 2-1 EOL Data'!B10+'WE 2-1 EOL Data'!B11+'WE 2-1 EOL Data'!B33+'WE 2-1 EOL Data'!B34</f>
        <v>83</v>
      </c>
      <c r="K17" s="39">
        <f>+'WE 2-8 EOL Data'!B10+'WE 2-8 EOL Data'!B33+'WE 2-8 EOL Data'!B11+'WE 2-8 EOL Data'!B34</f>
        <v>52</v>
      </c>
      <c r="L17" s="39">
        <f>+'WE 2-15 EOL Data'!B10+'WE 2-15 EOL Data'!B11+'WE 2-15 EOL Data'!B33+'WE 2-15 EOL Data'!B34</f>
        <v>58</v>
      </c>
      <c r="N17" s="99" t="s">
        <v>101</v>
      </c>
    </row>
    <row r="18" spans="1:14" x14ac:dyDescent="0.25">
      <c r="A18" s="7" t="s">
        <v>4</v>
      </c>
      <c r="B18">
        <v>2</v>
      </c>
      <c r="E18" t="s">
        <v>3</v>
      </c>
      <c r="F18">
        <f>+'template from individuals'!B46+'template from individuals'!C46</f>
        <v>13</v>
      </c>
      <c r="G18">
        <f>+'template from individuals'!D46+'template from individuals'!E46</f>
        <v>27</v>
      </c>
      <c r="H18">
        <f>+'template from individuals'!F46+'template from individuals'!G46</f>
        <v>37</v>
      </c>
      <c r="I18" s="20">
        <f>+'template from individuals'!H46+'template from individuals'!I46</f>
        <v>36</v>
      </c>
      <c r="J18" s="39">
        <f>+'WE 2-1 EOL Data'!B12+'WE 2-1 EOL Data'!B35</f>
        <v>19</v>
      </c>
      <c r="K18" s="39">
        <f>+'WE 2-8 EOL Data'!B12+'WE 2-8 EOL Data'!B35</f>
        <v>24</v>
      </c>
      <c r="L18" s="39">
        <f>+'WE 2-15 EOL Data'!B12+'WE 2-15 EOL Data'!B35</f>
        <v>39</v>
      </c>
      <c r="N18" s="99" t="s">
        <v>102</v>
      </c>
    </row>
    <row r="19" spans="1:14" x14ac:dyDescent="0.25">
      <c r="A19" s="7" t="s">
        <v>61</v>
      </c>
      <c r="B19">
        <v>65</v>
      </c>
      <c r="E19" t="s">
        <v>13</v>
      </c>
      <c r="F19">
        <f>+'template from individuals'!B48+'template from individuals'!C48</f>
        <v>2</v>
      </c>
      <c r="G19">
        <f>+'template from individuals'!D48+'template from individuals'!E48</f>
        <v>2</v>
      </c>
      <c r="H19">
        <f>+'template from individuals'!F48+'template from individuals'!G48</f>
        <v>14</v>
      </c>
      <c r="I19" s="20">
        <f>+'template from individuals'!H48+'template from individuals'!I48</f>
        <v>13</v>
      </c>
      <c r="J19" s="39">
        <f>+'WE 2-1 EOL Data'!B14+'WE 2-1 EOL Data'!B37</f>
        <v>14</v>
      </c>
      <c r="K19" s="39">
        <f>+'WE 2-8 EOL Data'!B14+'WE 2-8 EOL Data'!B37</f>
        <v>33</v>
      </c>
      <c r="L19" s="39">
        <f>+'WE 2-15 EOL Data'!B14+'WE 2-15 EOL Data'!B37</f>
        <v>20</v>
      </c>
      <c r="N19" s="99" t="s">
        <v>103</v>
      </c>
    </row>
    <row r="20" spans="1:14" ht="13.8" x14ac:dyDescent="0.25">
      <c r="A20" s="7" t="s">
        <v>13</v>
      </c>
      <c r="B20">
        <v>10</v>
      </c>
      <c r="F20" s="98" t="s">
        <v>128</v>
      </c>
      <c r="G20" s="98" t="s">
        <v>129</v>
      </c>
      <c r="H20" s="98" t="s">
        <v>130</v>
      </c>
      <c r="I20" s="98" t="s">
        <v>131</v>
      </c>
      <c r="J20" s="98" t="s">
        <v>147</v>
      </c>
      <c r="K20" s="98" t="str">
        <f>+K14</f>
        <v>2/2 - 2/8</v>
      </c>
      <c r="L20" s="98" t="str">
        <f>+L14</f>
        <v>2/9 - 2/15</v>
      </c>
      <c r="N20" s="100"/>
    </row>
    <row r="21" spans="1:14" x14ac:dyDescent="0.25">
      <c r="E21" t="s">
        <v>40</v>
      </c>
      <c r="F21">
        <f>+'template from individuals'!B56+'template from individuals'!C56</f>
        <v>5</v>
      </c>
      <c r="G21">
        <f>+'template from individuals'!D56+'template from individuals'!E56</f>
        <v>17</v>
      </c>
      <c r="H21">
        <f>+'template from individuals'!F56+'template from individuals'!G56</f>
        <v>9</v>
      </c>
      <c r="I21" s="20">
        <f>+'template from individuals'!H56+'template from individuals'!I56</f>
        <v>24</v>
      </c>
      <c r="J21" s="39">
        <f>+'EIM New Deals'!J12+'EIM New Deals'!K12+'EIM New Deals'!J28+'EIM New Deals'!K28</f>
        <v>4</v>
      </c>
      <c r="K21" s="39">
        <f>+'EIM New Deals'!L12+'EIM New Deals'!M12+'EIM New Deals'!L28+'EIM New Deals'!M28</f>
        <v>12</v>
      </c>
      <c r="L21" s="39">
        <f>+'EIM New Deals'!N12+'EIM New Deals'!O12+'EIM New Deals'!N28+'EIM New Deals'!O28</f>
        <v>30</v>
      </c>
      <c r="N21" s="99" t="s">
        <v>100</v>
      </c>
    </row>
    <row r="22" spans="1:14" x14ac:dyDescent="0.25">
      <c r="A22" s="7" t="s">
        <v>66</v>
      </c>
      <c r="B22">
        <v>0</v>
      </c>
      <c r="E22" t="s">
        <v>70</v>
      </c>
      <c r="F22">
        <f>+'template from individuals'!B57+'template from individuals'!C57</f>
        <v>6</v>
      </c>
      <c r="G22">
        <f>+'template from individuals'!D57+'template from individuals'!E57</f>
        <v>17</v>
      </c>
      <c r="H22">
        <f>+'template from individuals'!F57+'template from individuals'!G57</f>
        <v>24</v>
      </c>
      <c r="I22" s="20">
        <f>+'template from individuals'!H57+'template from individuals'!I57</f>
        <v>19</v>
      </c>
      <c r="J22" s="39">
        <f>+'EIM New Deals'!J13+'EIM New Deals'!K13+'EIM New Deals'!J29+'EIM New Deals'!K29</f>
        <v>29</v>
      </c>
      <c r="K22" s="39">
        <f>+'EIM New Deals'!L13+'EIM New Deals'!M13+'EIM New Deals'!L29+'EIM New Deals'!M29</f>
        <v>17</v>
      </c>
      <c r="L22" s="39">
        <f>+'EIM New Deals'!N13+'EIM New Deals'!O13+'EIM New Deals'!N29+'EIM New Deals'!O29</f>
        <v>15</v>
      </c>
      <c r="N22" s="99" t="s">
        <v>100</v>
      </c>
    </row>
    <row r="23" spans="1:14" x14ac:dyDescent="0.25">
      <c r="A23" s="7" t="s">
        <v>67</v>
      </c>
      <c r="B23">
        <v>0</v>
      </c>
      <c r="E23" t="s">
        <v>39</v>
      </c>
      <c r="F23">
        <f>+'template from individuals'!B55+'template from individuals'!C55</f>
        <v>86</v>
      </c>
      <c r="G23">
        <f>+'template from individuals'!D55+'template from individuals'!E55</f>
        <v>126</v>
      </c>
      <c r="H23">
        <f>+'template from individuals'!F55+'template from individuals'!G55</f>
        <v>103</v>
      </c>
      <c r="I23" s="20">
        <f>+'template from individuals'!H55+'template from individuals'!I55</f>
        <v>124</v>
      </c>
      <c r="J23" s="39">
        <f>+'EIM New Deals'!J11+'EIM New Deals'!K11+'EIM New Deals'!J27+'EIM New Deals'!K27</f>
        <v>86</v>
      </c>
      <c r="K23" s="39">
        <f>+'EIM New Deals'!L11+'EIM New Deals'!M11+'EIM New Deals'!L27+'EIM New Deals'!M27</f>
        <v>69</v>
      </c>
      <c r="L23" s="39">
        <f>+'EIM New Deals'!N11+'EIM New Deals'!O11+'EIM New Deals'!N27+'EIM New Deals'!O27</f>
        <v>38</v>
      </c>
      <c r="N23" s="99" t="s">
        <v>100</v>
      </c>
    </row>
    <row r="24" spans="1:14" x14ac:dyDescent="0.25">
      <c r="A24" s="7" t="s">
        <v>68</v>
      </c>
      <c r="B24">
        <v>0</v>
      </c>
      <c r="E24" t="s">
        <v>41</v>
      </c>
      <c r="F24">
        <f>+'template from individuals'!B58+'template from individuals'!C58</f>
        <v>0</v>
      </c>
      <c r="G24">
        <v>0</v>
      </c>
      <c r="H24">
        <v>0</v>
      </c>
      <c r="I24" s="20">
        <v>0</v>
      </c>
      <c r="J24" s="39">
        <f>+'EIM New Deals'!J14+'EIM New Deals'!K14+'EIM New Deals'!J30+'EIM New Deals'!K30</f>
        <v>1</v>
      </c>
      <c r="K24" s="39">
        <f>+'EIM New Deals'!L14+'EIM New Deals'!M14+'EIM New Deals'!L30+'EIM New Deals'!M30</f>
        <v>1</v>
      </c>
      <c r="L24" s="39">
        <f>+'EIM New Deals'!N14+'EIM New Deals'!O14+'EIM New Deals'!N30+'EIM New Deals'!O30</f>
        <v>2</v>
      </c>
      <c r="N24" s="99" t="s">
        <v>100</v>
      </c>
    </row>
    <row r="25" spans="1:14" x14ac:dyDescent="0.25">
      <c r="A25" s="7" t="s">
        <v>69</v>
      </c>
      <c r="B25">
        <v>1</v>
      </c>
      <c r="N25" s="100"/>
    </row>
    <row r="26" spans="1:14" x14ac:dyDescent="0.25">
      <c r="A26" s="7" t="s">
        <v>64</v>
      </c>
      <c r="B26">
        <v>1300</v>
      </c>
      <c r="E26" s="101" t="s">
        <v>94</v>
      </c>
      <c r="N26" s="100"/>
    </row>
    <row r="27" spans="1:14" ht="13.8" x14ac:dyDescent="0.25">
      <c r="A27" s="7" t="s">
        <v>71</v>
      </c>
      <c r="B27">
        <v>250</v>
      </c>
      <c r="F27" s="98" t="s">
        <v>128</v>
      </c>
      <c r="G27" s="98" t="s">
        <v>129</v>
      </c>
      <c r="H27" s="98" t="s">
        <v>130</v>
      </c>
      <c r="I27" s="98" t="s">
        <v>131</v>
      </c>
      <c r="J27" s="98" t="s">
        <v>147</v>
      </c>
      <c r="K27" s="98" t="str">
        <f>+K20</f>
        <v>2/2 - 2/8</v>
      </c>
      <c r="L27" s="98" t="str">
        <f>+L20</f>
        <v>2/9 - 2/15</v>
      </c>
    </row>
    <row r="28" spans="1:14" x14ac:dyDescent="0.25">
      <c r="A28" s="7" t="s">
        <v>72</v>
      </c>
      <c r="B28">
        <v>50</v>
      </c>
      <c r="E28" s="4" t="s">
        <v>81</v>
      </c>
      <c r="F28" s="38">
        <f>1758331589/1000000</f>
        <v>1758.3315889999999</v>
      </c>
      <c r="G28" s="38">
        <f>3201106470/1000000</f>
        <v>3201.1064700000002</v>
      </c>
      <c r="H28" s="20">
        <f>1942345461/1000000</f>
        <v>1942.3454609999999</v>
      </c>
      <c r="I28" s="20">
        <f>4952206066/1000000</f>
        <v>4952.2060659999997</v>
      </c>
      <c r="J28" s="142">
        <f>(+'WE 2-1 EOL Data'!C6+'WE 2-1 EOL Data'!C29)/1000000</f>
        <v>4273.2712199999996</v>
      </c>
      <c r="K28" s="142">
        <f>(+'WE 2-8 EOL Data'!C6+'WE 2-8 EOL Data'!C29)/1000000</f>
        <v>3586.1783646399995</v>
      </c>
      <c r="L28" s="142">
        <f>(+'WE 2-15 EOL Data'!C6+'WE 2-15 EOL Data'!C29)/1000000</f>
        <v>4250.7380022099987</v>
      </c>
    </row>
    <row r="29" spans="1:14" ht="13.5" customHeight="1" x14ac:dyDescent="0.25">
      <c r="A29" s="7" t="s">
        <v>39</v>
      </c>
      <c r="B29">
        <v>0</v>
      </c>
      <c r="E29" s="4" t="s">
        <v>82</v>
      </c>
      <c r="F29" s="38">
        <f>16046241/1000000</f>
        <v>16.046240999999998</v>
      </c>
      <c r="G29" s="38">
        <f>52662791/1000000</f>
        <v>52.662790999999999</v>
      </c>
      <c r="H29" s="20">
        <f>48150655/1000000</f>
        <v>48.150655</v>
      </c>
      <c r="I29" s="20">
        <f>37589241/1000000</f>
        <v>37.589241000000001</v>
      </c>
      <c r="J29" s="142">
        <f>(+'WE 2-1 EOL Data'!C7+'WE 2-1 EOL Data'!C30)/1000000</f>
        <v>53.945233000000002</v>
      </c>
      <c r="K29" s="142">
        <f>(+'WE 2-8 EOL Data'!C7+'WE 2-8 EOL Data'!C30)/1000000</f>
        <v>51.399965140000006</v>
      </c>
      <c r="L29" s="142">
        <f>(+'WE 2-15 EOL Data'!C7+'WE 2-15 EOL Data'!C30)/1000000</f>
        <v>49.091319190000029</v>
      </c>
    </row>
    <row r="30" spans="1:14" ht="13.8" x14ac:dyDescent="0.25">
      <c r="A30" s="7" t="s">
        <v>71</v>
      </c>
      <c r="B30">
        <v>250</v>
      </c>
      <c r="F30" s="98" t="s">
        <v>128</v>
      </c>
      <c r="G30" s="98" t="s">
        <v>129</v>
      </c>
      <c r="H30" s="98" t="s">
        <v>130</v>
      </c>
      <c r="I30" s="98" t="s">
        <v>131</v>
      </c>
      <c r="J30" s="98" t="s">
        <v>147</v>
      </c>
      <c r="K30" s="98" t="str">
        <f>+K27</f>
        <v>2/2 - 2/8</v>
      </c>
      <c r="L30" s="98" t="str">
        <f>+L27</f>
        <v>2/9 - 2/15</v>
      </c>
    </row>
    <row r="31" spans="1:14" x14ac:dyDescent="0.25">
      <c r="E31" t="s">
        <v>124</v>
      </c>
      <c r="F31" s="38">
        <f>'template from eol'!C58</f>
        <v>60842.591799999995</v>
      </c>
      <c r="G31" s="38">
        <f>'template from eol'!E58</f>
        <v>36861.769800000002</v>
      </c>
      <c r="H31" s="20">
        <f>'template from eol'!G58</f>
        <v>213594.89320000002</v>
      </c>
      <c r="I31" s="20">
        <f>'template from eol'!I58</f>
        <v>19607.182999999997</v>
      </c>
      <c r="J31">
        <f>+'WE 2-1 EOL Data'!C58</f>
        <v>25872</v>
      </c>
      <c r="K31" s="163">
        <f>+'WE 2-8 EOL Data'!C58</f>
        <v>106865.89999999997</v>
      </c>
      <c r="L31" s="163">
        <f>+'WE 2-15 EOL Data'!C58</f>
        <v>11962.5</v>
      </c>
      <c r="N31" s="163"/>
    </row>
    <row r="32" spans="1:14" x14ac:dyDescent="0.25">
      <c r="A32" s="7" t="s">
        <v>40</v>
      </c>
      <c r="B32">
        <v>0</v>
      </c>
      <c r="E32" t="s">
        <v>40</v>
      </c>
      <c r="F32" s="38"/>
      <c r="G32" s="38"/>
      <c r="H32" s="20"/>
    </row>
    <row r="33" spans="1:14" x14ac:dyDescent="0.25">
      <c r="A33" s="7" t="s">
        <v>70</v>
      </c>
      <c r="B33">
        <v>5</v>
      </c>
      <c r="E33" t="s">
        <v>70</v>
      </c>
      <c r="F33" s="38"/>
      <c r="G33" s="38"/>
      <c r="H33" s="20"/>
    </row>
    <row r="34" spans="1:14" x14ac:dyDescent="0.25">
      <c r="A34" s="7" t="s">
        <v>41</v>
      </c>
      <c r="B34">
        <v>0</v>
      </c>
      <c r="E34" t="s">
        <v>39</v>
      </c>
      <c r="F34" s="38"/>
      <c r="G34" s="38"/>
      <c r="H34" s="20"/>
    </row>
    <row r="35" spans="1:14" x14ac:dyDescent="0.25">
      <c r="E35" t="s">
        <v>41</v>
      </c>
      <c r="F35" s="38"/>
      <c r="G35" s="38"/>
      <c r="H35" s="20"/>
    </row>
    <row r="36" spans="1:14" ht="13.8" x14ac:dyDescent="0.25">
      <c r="A36" s="7" t="s">
        <v>71</v>
      </c>
      <c r="B36">
        <v>250</v>
      </c>
      <c r="F36" s="98" t="s">
        <v>128</v>
      </c>
      <c r="G36" s="98" t="s">
        <v>129</v>
      </c>
      <c r="H36" s="98" t="s">
        <v>130</v>
      </c>
      <c r="I36" s="98" t="s">
        <v>131</v>
      </c>
      <c r="J36" s="98" t="s">
        <v>147</v>
      </c>
      <c r="K36" s="98" t="str">
        <f>+K30</f>
        <v>2/2 - 2/8</v>
      </c>
      <c r="L36" s="98" t="str">
        <f>+L30</f>
        <v>2/9 - 2/15</v>
      </c>
    </row>
    <row r="37" spans="1:14" x14ac:dyDescent="0.25">
      <c r="E37" t="s">
        <v>5</v>
      </c>
      <c r="F37" s="38">
        <f>90430383/1000</f>
        <v>90430.383000000002</v>
      </c>
      <c r="G37" s="38">
        <f>172783348/1000</f>
        <v>172783.348</v>
      </c>
      <c r="H37" s="20">
        <f>107852720/1000</f>
        <v>107852.72</v>
      </c>
      <c r="I37" s="20">
        <f>150981588/1000</f>
        <v>150981.58799999999</v>
      </c>
      <c r="J37" s="142">
        <f>(+'WE 2-1 EOL Data'!C9+'WE 2-1 EOL Data'!C32)/1000</f>
        <v>171949.351</v>
      </c>
      <c r="K37" s="142">
        <f>(+'WE 2-8 EOL Data'!C9+'WE 2-8 EOL Data'!C32)/1000</f>
        <v>154397.51923000001</v>
      </c>
      <c r="L37" s="142">
        <f>(+'WE 2-15 EOL Data'!C9+'WE 2-15 EOL Data'!C32)/1000</f>
        <v>174794.27446999992</v>
      </c>
    </row>
    <row r="38" spans="1:14" x14ac:dyDescent="0.25">
      <c r="A38" s="2" t="s">
        <v>32</v>
      </c>
      <c r="B38" s="2"/>
      <c r="C38" s="2"/>
      <c r="D38" s="2"/>
      <c r="E38" t="s">
        <v>4</v>
      </c>
      <c r="F38" s="20">
        <f>(1745341+1242373)/1000</f>
        <v>2987.7139999999999</v>
      </c>
      <c r="G38" s="20">
        <f>(2854306+534627)/1000</f>
        <v>3388.933</v>
      </c>
      <c r="H38" s="20">
        <f>(3053119+1631000)/1000</f>
        <v>4684.1189999999997</v>
      </c>
      <c r="I38" s="20">
        <f>(1974010+1990000)/1000</f>
        <v>3964.01</v>
      </c>
      <c r="J38" s="142">
        <f>(+'WE 2-1 EOL Data'!C10+'WE 2-1 EOL Data'!C11+'WE 2-1 EOL Data'!C33+'WE 2-1 EOL Data'!C34)/1000</f>
        <v>6572.3270000000002</v>
      </c>
      <c r="K38" s="142">
        <f>(+'WE 2-8 EOL Data'!C10+'WE 2-8 EOL Data'!C11+'WE 2-8 EOL Data'!C33+'WE 2-8 EOL Data'!C34)/1000</f>
        <v>5662.4889999999996</v>
      </c>
      <c r="L38" s="142">
        <f>(+'WE 2-15 EOL Data'!C10+'WE 2-15 EOL Data'!C11+'WE 2-15 EOL Data'!C33+'WE 2-15 EOL Data'!C34)/1000</f>
        <v>4037.9499600000008</v>
      </c>
    </row>
    <row r="39" spans="1:14" x14ac:dyDescent="0.25">
      <c r="A39" s="8" t="s">
        <v>5</v>
      </c>
      <c r="B39">
        <v>45</v>
      </c>
      <c r="C39">
        <v>40</v>
      </c>
      <c r="D39">
        <v>55</v>
      </c>
      <c r="E39" t="s">
        <v>13</v>
      </c>
      <c r="F39" s="20">
        <v>5</v>
      </c>
      <c r="G39" s="20">
        <v>5</v>
      </c>
      <c r="H39" s="20">
        <f>34100/1000</f>
        <v>34.1</v>
      </c>
      <c r="I39" s="20">
        <f>107570/1000</f>
        <v>107.57</v>
      </c>
      <c r="J39" s="142">
        <f>(+'WE 2-1 EOL Data'!C14+'WE 2-1 EOL Data'!C37)/1000</f>
        <v>46.35</v>
      </c>
      <c r="K39" s="142">
        <f>(+'WE 2-8 EOL Data'!C14+'WE 2-8 EOL Data'!C37)/1000</f>
        <v>100.1</v>
      </c>
      <c r="L39" s="142">
        <f>(+'WE 2-15 EOL Data'!C14+'WE 2-15 EOL Data'!C37)/1000</f>
        <v>40</v>
      </c>
    </row>
    <row r="40" spans="1:14" x14ac:dyDescent="0.25">
      <c r="A40" s="8" t="s">
        <v>0</v>
      </c>
      <c r="B40">
        <v>150</v>
      </c>
      <c r="C40">
        <v>120</v>
      </c>
      <c r="D40">
        <v>125</v>
      </c>
      <c r="E40" t="s">
        <v>3</v>
      </c>
      <c r="F40" s="20">
        <v>49250</v>
      </c>
      <c r="G40" s="20">
        <v>45350</v>
      </c>
      <c r="H40" s="20">
        <v>120900</v>
      </c>
      <c r="I40" s="20">
        <v>115500</v>
      </c>
      <c r="J40" s="142">
        <f>+'WE 2-1 EOL Data'!C12+'WE 2-1 EOL Data'!C35</f>
        <v>56000</v>
      </c>
      <c r="K40" s="142">
        <f>+'WE 2-8 EOL Data'!C12+'WE 2-8 EOL Data'!C35</f>
        <v>103400</v>
      </c>
      <c r="L40" s="142">
        <f>+'WE 2-15 EOL Data'!C12+'WE 2-15 EOL Data'!C35</f>
        <v>143000</v>
      </c>
      <c r="N40" s="142"/>
    </row>
    <row r="41" spans="1:14" x14ac:dyDescent="0.25">
      <c r="E41" t="s">
        <v>0</v>
      </c>
      <c r="F41" s="38">
        <v>6275000</v>
      </c>
      <c r="G41" s="38">
        <v>6398750</v>
      </c>
      <c r="H41" s="20">
        <v>3718000</v>
      </c>
      <c r="I41" s="20">
        <v>6618000</v>
      </c>
      <c r="J41" s="142">
        <f>+'WE 2-1 EOL Data'!C13+'WE 2-1 EOL Data'!C36</f>
        <v>5632500</v>
      </c>
      <c r="K41" s="142">
        <f>+'WE 2-8 EOL Data'!C13+'WE 2-8 EOL Data'!C36</f>
        <v>8754250</v>
      </c>
      <c r="L41" s="142">
        <f>+'WE 2-15 EOL Data'!C13+'WE 2-15 EOL Data'!C36</f>
        <v>4975000</v>
      </c>
      <c r="N41" s="142"/>
    </row>
    <row r="42" spans="1:14" x14ac:dyDescent="0.25">
      <c r="A42" s="8" t="s">
        <v>3</v>
      </c>
      <c r="B42">
        <v>2</v>
      </c>
      <c r="C42">
        <v>5</v>
      </c>
      <c r="D42">
        <v>2</v>
      </c>
    </row>
    <row r="43" spans="1:14" x14ac:dyDescent="0.25">
      <c r="A43" s="8" t="s">
        <v>13</v>
      </c>
      <c r="B43">
        <v>2</v>
      </c>
      <c r="C43">
        <v>1</v>
      </c>
      <c r="D43">
        <v>10</v>
      </c>
      <c r="N43" s="20"/>
    </row>
    <row r="44" spans="1:14" x14ac:dyDescent="0.25">
      <c r="A44" s="2" t="s">
        <v>34</v>
      </c>
    </row>
    <row r="45" spans="1:14" x14ac:dyDescent="0.25">
      <c r="A45" s="8" t="s">
        <v>64</v>
      </c>
      <c r="B45">
        <v>11000</v>
      </c>
      <c r="C45">
        <v>12500</v>
      </c>
      <c r="D45">
        <v>12000</v>
      </c>
    </row>
    <row r="46" spans="1:14" x14ac:dyDescent="0.25">
      <c r="A46" s="8" t="s">
        <v>71</v>
      </c>
      <c r="B46">
        <v>5500</v>
      </c>
      <c r="C46">
        <v>5000</v>
      </c>
      <c r="D46">
        <v>4055</v>
      </c>
    </row>
    <row r="47" spans="1:14" x14ac:dyDescent="0.25">
      <c r="A47" s="2" t="s">
        <v>33</v>
      </c>
    </row>
    <row r="48" spans="1:14" x14ac:dyDescent="0.25">
      <c r="A48" s="8" t="s">
        <v>40</v>
      </c>
      <c r="B48">
        <v>25</v>
      </c>
      <c r="C48">
        <v>52</v>
      </c>
      <c r="D48">
        <v>30</v>
      </c>
    </row>
    <row r="49" spans="1:6" x14ac:dyDescent="0.25">
      <c r="A49" s="8" t="s">
        <v>70</v>
      </c>
      <c r="B49">
        <v>10</v>
      </c>
      <c r="C49">
        <v>42</v>
      </c>
      <c r="D49">
        <v>50</v>
      </c>
    </row>
    <row r="50" spans="1:6" x14ac:dyDescent="0.25">
      <c r="A50" s="8" t="s">
        <v>39</v>
      </c>
      <c r="B50">
        <v>8</v>
      </c>
      <c r="C50">
        <v>8</v>
      </c>
      <c r="D50">
        <v>8</v>
      </c>
    </row>
    <row r="51" spans="1:6" x14ac:dyDescent="0.25">
      <c r="A51" s="8" t="s">
        <v>41</v>
      </c>
      <c r="B51">
        <v>3</v>
      </c>
      <c r="C51">
        <v>1</v>
      </c>
      <c r="D51">
        <v>4</v>
      </c>
    </row>
    <row r="53" spans="1:6" x14ac:dyDescent="0.25">
      <c r="A53" t="s">
        <v>90</v>
      </c>
      <c r="B53" t="s">
        <v>91</v>
      </c>
      <c r="C53" t="s">
        <v>89</v>
      </c>
      <c r="D53" t="s">
        <v>92</v>
      </c>
      <c r="E53" s="9" t="s">
        <v>63</v>
      </c>
      <c r="F53" s="9"/>
    </row>
    <row r="54" spans="1:6" x14ac:dyDescent="0.25">
      <c r="A54" s="2" t="s">
        <v>36</v>
      </c>
      <c r="B54" s="4" t="s">
        <v>81</v>
      </c>
      <c r="C54" t="s">
        <v>64</v>
      </c>
      <c r="D54" s="4">
        <v>1350</v>
      </c>
      <c r="E54">
        <f>B45</f>
        <v>11000</v>
      </c>
    </row>
    <row r="55" spans="1:6" x14ac:dyDescent="0.25">
      <c r="A55" s="2" t="s">
        <v>36</v>
      </c>
      <c r="B55" s="4" t="s">
        <v>82</v>
      </c>
      <c r="C55" t="s">
        <v>71</v>
      </c>
      <c r="D55" s="4">
        <v>180</v>
      </c>
      <c r="E55">
        <v>5500</v>
      </c>
    </row>
    <row r="56" spans="1:6" x14ac:dyDescent="0.25">
      <c r="A56" s="2" t="s">
        <v>36</v>
      </c>
      <c r="B56" s="4" t="s">
        <v>83</v>
      </c>
      <c r="C56" t="s">
        <v>39</v>
      </c>
      <c r="D56" s="4">
        <v>8</v>
      </c>
      <c r="E56">
        <v>8</v>
      </c>
    </row>
    <row r="57" spans="1:6" x14ac:dyDescent="0.25">
      <c r="A57" s="2" t="s">
        <v>36</v>
      </c>
      <c r="B57" s="4" t="s">
        <v>84</v>
      </c>
      <c r="C57" t="s">
        <v>40</v>
      </c>
      <c r="D57" s="4">
        <v>15</v>
      </c>
      <c r="E57">
        <v>25</v>
      </c>
    </row>
    <row r="58" spans="1:6" x14ac:dyDescent="0.25">
      <c r="A58" s="2" t="s">
        <v>36</v>
      </c>
      <c r="B58" s="4" t="s">
        <v>85</v>
      </c>
      <c r="C58" t="s">
        <v>41</v>
      </c>
      <c r="D58" s="4">
        <v>5</v>
      </c>
      <c r="E58">
        <v>3</v>
      </c>
    </row>
    <row r="59" spans="1:6" x14ac:dyDescent="0.25">
      <c r="A59" s="2" t="s">
        <v>36</v>
      </c>
      <c r="B59" s="4" t="s">
        <v>86</v>
      </c>
      <c r="C59" t="s">
        <v>70</v>
      </c>
      <c r="D59" s="4">
        <v>10</v>
      </c>
      <c r="E59">
        <v>10</v>
      </c>
    </row>
    <row r="60" spans="1:6" x14ac:dyDescent="0.25">
      <c r="A60" s="2" t="s">
        <v>36</v>
      </c>
      <c r="B60" s="4" t="s">
        <v>87</v>
      </c>
      <c r="C60" t="s">
        <v>93</v>
      </c>
      <c r="D60" s="4">
        <v>45</v>
      </c>
      <c r="E60">
        <v>45</v>
      </c>
    </row>
    <row r="61" spans="1:6" x14ac:dyDescent="0.25">
      <c r="A61" s="2" t="s">
        <v>36</v>
      </c>
      <c r="B61" s="4" t="s">
        <v>88</v>
      </c>
      <c r="C61" t="s">
        <v>4</v>
      </c>
      <c r="D61" s="4">
        <v>2</v>
      </c>
      <c r="E61">
        <v>2</v>
      </c>
    </row>
    <row r="62" spans="1:6" x14ac:dyDescent="0.25">
      <c r="A62" s="7" t="s">
        <v>37</v>
      </c>
      <c r="B62" s="4" t="s">
        <v>81</v>
      </c>
      <c r="C62" t="s">
        <v>64</v>
      </c>
      <c r="D62" s="4">
        <v>1505</v>
      </c>
      <c r="E62">
        <f>C45</f>
        <v>12500</v>
      </c>
    </row>
    <row r="63" spans="1:6" x14ac:dyDescent="0.25">
      <c r="A63" s="7" t="s">
        <v>37</v>
      </c>
      <c r="B63" s="4" t="s">
        <v>82</v>
      </c>
      <c r="C63" t="s">
        <v>71</v>
      </c>
      <c r="D63" s="4">
        <v>175</v>
      </c>
      <c r="E63">
        <v>5000</v>
      </c>
    </row>
    <row r="64" spans="1:6" x14ac:dyDescent="0.25">
      <c r="A64" s="7" t="s">
        <v>37</v>
      </c>
      <c r="B64" s="4" t="s">
        <v>83</v>
      </c>
      <c r="C64" t="s">
        <v>39</v>
      </c>
      <c r="D64" s="4">
        <v>10</v>
      </c>
      <c r="E64">
        <v>8</v>
      </c>
    </row>
    <row r="65" spans="1:5" x14ac:dyDescent="0.25">
      <c r="A65" s="7" t="s">
        <v>37</v>
      </c>
      <c r="B65" s="4" t="s">
        <v>84</v>
      </c>
      <c r="C65" t="s">
        <v>40</v>
      </c>
      <c r="D65" s="4">
        <v>25</v>
      </c>
      <c r="E65">
        <v>52</v>
      </c>
    </row>
    <row r="66" spans="1:5" x14ac:dyDescent="0.25">
      <c r="A66" s="7" t="s">
        <v>37</v>
      </c>
      <c r="B66" s="4" t="s">
        <v>85</v>
      </c>
      <c r="C66" t="s">
        <v>41</v>
      </c>
      <c r="D66" s="4">
        <v>7</v>
      </c>
      <c r="E66">
        <v>1</v>
      </c>
    </row>
    <row r="67" spans="1:5" x14ac:dyDescent="0.25">
      <c r="A67" s="7" t="s">
        <v>37</v>
      </c>
      <c r="B67" s="4" t="s">
        <v>86</v>
      </c>
      <c r="C67" t="s">
        <v>70</v>
      </c>
      <c r="D67" s="4">
        <v>30</v>
      </c>
      <c r="E67">
        <v>42</v>
      </c>
    </row>
    <row r="68" spans="1:5" x14ac:dyDescent="0.25">
      <c r="A68" s="7" t="s">
        <v>37</v>
      </c>
      <c r="B68" s="4" t="s">
        <v>87</v>
      </c>
      <c r="C68" t="s">
        <v>93</v>
      </c>
      <c r="D68" s="4">
        <v>32</v>
      </c>
      <c r="E68">
        <v>40</v>
      </c>
    </row>
    <row r="69" spans="1:5" x14ac:dyDescent="0.25">
      <c r="A69" s="7" t="s">
        <v>37</v>
      </c>
      <c r="B69" s="4" t="s">
        <v>88</v>
      </c>
      <c r="C69" t="s">
        <v>4</v>
      </c>
      <c r="D69" s="4">
        <v>2</v>
      </c>
      <c r="E69">
        <v>1</v>
      </c>
    </row>
    <row r="70" spans="1:5" x14ac:dyDescent="0.25">
      <c r="A70" s="7" t="s">
        <v>38</v>
      </c>
      <c r="B70" s="4" t="s">
        <v>81</v>
      </c>
      <c r="C70" t="s">
        <v>64</v>
      </c>
      <c r="D70">
        <v>1600</v>
      </c>
      <c r="E70">
        <f>D45</f>
        <v>12000</v>
      </c>
    </row>
    <row r="71" spans="1:5" x14ac:dyDescent="0.25">
      <c r="A71" s="7" t="s">
        <v>38</v>
      </c>
      <c r="B71" s="4" t="s">
        <v>82</v>
      </c>
      <c r="C71" t="s">
        <v>71</v>
      </c>
      <c r="D71">
        <v>190</v>
      </c>
      <c r="E71">
        <v>4055</v>
      </c>
    </row>
    <row r="72" spans="1:5" x14ac:dyDescent="0.25">
      <c r="A72" s="7" t="s">
        <v>38</v>
      </c>
      <c r="B72" s="4" t="s">
        <v>83</v>
      </c>
      <c r="C72" t="s">
        <v>39</v>
      </c>
      <c r="D72">
        <v>10</v>
      </c>
      <c r="E72">
        <v>8</v>
      </c>
    </row>
    <row r="73" spans="1:5" x14ac:dyDescent="0.25">
      <c r="A73" s="7" t="s">
        <v>38</v>
      </c>
      <c r="B73" s="4" t="s">
        <v>84</v>
      </c>
      <c r="C73" t="s">
        <v>40</v>
      </c>
      <c r="D73">
        <v>25</v>
      </c>
      <c r="E73">
        <v>30</v>
      </c>
    </row>
    <row r="74" spans="1:5" x14ac:dyDescent="0.25">
      <c r="A74" s="7" t="s">
        <v>38</v>
      </c>
      <c r="B74" s="4" t="s">
        <v>85</v>
      </c>
      <c r="C74" t="s">
        <v>41</v>
      </c>
      <c r="D74">
        <v>8</v>
      </c>
      <c r="E74">
        <v>4</v>
      </c>
    </row>
    <row r="75" spans="1:5" x14ac:dyDescent="0.25">
      <c r="A75" s="7" t="s">
        <v>38</v>
      </c>
      <c r="B75" s="4" t="s">
        <v>86</v>
      </c>
      <c r="C75" t="s">
        <v>70</v>
      </c>
      <c r="D75">
        <v>40</v>
      </c>
      <c r="E75">
        <v>50</v>
      </c>
    </row>
    <row r="76" spans="1:5" x14ac:dyDescent="0.25">
      <c r="A76" s="7" t="s">
        <v>38</v>
      </c>
      <c r="B76" s="4" t="s">
        <v>87</v>
      </c>
      <c r="C76" t="s">
        <v>93</v>
      </c>
      <c r="D76">
        <v>37</v>
      </c>
      <c r="E76">
        <v>55</v>
      </c>
    </row>
    <row r="77" spans="1:5" x14ac:dyDescent="0.25">
      <c r="A77" s="7" t="s">
        <v>38</v>
      </c>
      <c r="B77" s="4" t="s">
        <v>88</v>
      </c>
      <c r="C77" t="s">
        <v>4</v>
      </c>
      <c r="D77">
        <v>2</v>
      </c>
      <c r="E77">
        <v>2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8"/>
  <sheetViews>
    <sheetView topLeftCell="A30" workbookViewId="0">
      <pane xSplit="1" topLeftCell="B1" activePane="topRight" state="frozen"/>
      <selection activeCell="D16" sqref="D16"/>
      <selection pane="topRight" activeCell="D16" sqref="D16"/>
    </sheetView>
  </sheetViews>
  <sheetFormatPr defaultRowHeight="13.2" x14ac:dyDescent="0.25"/>
  <cols>
    <col min="1" max="1" width="33" bestFit="1" customWidth="1"/>
    <col min="2" max="2" width="19" customWidth="1"/>
    <col min="3" max="3" width="20.109375" customWidth="1"/>
    <col min="4" max="4" width="15.6640625" customWidth="1"/>
    <col min="5" max="5" width="17" bestFit="1" customWidth="1"/>
    <col min="6" max="6" width="10.109375" bestFit="1" customWidth="1"/>
  </cols>
  <sheetData>
    <row r="1" spans="1:32" ht="22.8" x14ac:dyDescent="0.4">
      <c r="A1" s="86" t="s">
        <v>35</v>
      </c>
    </row>
    <row r="2" spans="1:32" x14ac:dyDescent="0.25">
      <c r="B2" s="173" t="s">
        <v>149</v>
      </c>
      <c r="C2" s="174"/>
      <c r="D2" s="87" t="s">
        <v>114</v>
      </c>
    </row>
    <row r="3" spans="1:32" x14ac:dyDescent="0.25">
      <c r="A3" s="88" t="s">
        <v>115</v>
      </c>
      <c r="B3" s="89" t="s">
        <v>63</v>
      </c>
      <c r="C3" s="89" t="s">
        <v>116</v>
      </c>
      <c r="D3" s="90" t="s">
        <v>92</v>
      </c>
    </row>
    <row r="4" spans="1:32" x14ac:dyDescent="0.25">
      <c r="A4" s="2"/>
      <c r="B4" s="2"/>
      <c r="C4" s="2"/>
    </row>
    <row r="5" spans="1:32" x14ac:dyDescent="0.25">
      <c r="A5" s="5" t="s">
        <v>95</v>
      </c>
      <c r="B5" s="91"/>
      <c r="C5" s="91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</row>
    <row r="6" spans="1:32" x14ac:dyDescent="0.25">
      <c r="A6" s="6" t="s">
        <v>64</v>
      </c>
      <c r="B6" s="39">
        <f>'[1]Thrusday 02-08-01'!S9+'[1]Thrusday 02-08-01'!S10+-'[1]Thursday 02-01-01'!S9-'[1]Thursday 02-01-01'!S10</f>
        <v>15960</v>
      </c>
      <c r="C6" s="95">
        <f>'[1]Thrusday 02-08-01'!S67+'[1]Thrusday 02-08-01'!S68-'[1]Thursday 02-01-01'!S67-'[1]Thursday 02-01-01'!S68</f>
        <v>1917251550.2199991</v>
      </c>
      <c r="D6" s="39" t="s">
        <v>81</v>
      </c>
      <c r="E6" s="158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</row>
    <row r="7" spans="1:32" x14ac:dyDescent="0.25">
      <c r="A7" s="6" t="s">
        <v>71</v>
      </c>
      <c r="B7" s="39">
        <f>'[1]Thrusday 02-08-01'!S17+'[1]Thrusday 02-08-01'!S18-'[1]Thursday 02-01-01'!S17-'[1]Thursday 02-01-01'!S18</f>
        <v>2251</v>
      </c>
      <c r="C7" s="95">
        <f>'[1]Thrusday 02-08-01'!S75+'[1]Thrusday 02-08-01'!S76-'[1]Thursday 02-01-01'!S75-'[1]Thursday 02-01-01'!S76</f>
        <v>23577055</v>
      </c>
      <c r="D7" s="39" t="s">
        <v>82</v>
      </c>
      <c r="E7" s="15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</row>
    <row r="8" spans="1:32" x14ac:dyDescent="0.25">
      <c r="A8" s="5" t="s">
        <v>32</v>
      </c>
      <c r="B8" s="91"/>
      <c r="C8" s="140"/>
      <c r="D8" s="39"/>
      <c r="E8" s="15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</row>
    <row r="9" spans="1:32" x14ac:dyDescent="0.25">
      <c r="A9" s="6" t="s">
        <v>5</v>
      </c>
      <c r="B9" s="39">
        <f>'[1]Thrusday 02-08-01'!S30+'[1]Thrusday 02-08-01'!S31+'[1]Thrusday 02-08-01'!S33-'[1]Thursday 02-01-01'!S30-'[1]Thursday 02-01-01'!S31-'[1]Thursday 02-01-01'!S33</f>
        <v>1758</v>
      </c>
      <c r="C9" s="159">
        <f>'[1]Thrusday 02-08-01'!S88+'[1]Thrusday 02-08-01'!S89+'[1]Thrusday 02-08-01'!S91-'[1]Thursday 02-01-01'!S88-'[1]Thursday 02-01-01'!S89-'[1]Thursday 02-01-01'!S91</f>
        <v>44727857.139999986</v>
      </c>
      <c r="D9" s="39" t="s">
        <v>99</v>
      </c>
      <c r="E9" s="158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</row>
    <row r="10" spans="1:32" x14ac:dyDescent="0.25">
      <c r="A10" s="6" t="s">
        <v>4</v>
      </c>
      <c r="B10" s="39">
        <f>'[1]Thrusday 02-08-01'!S34-'[1]Thursday 02-01-01'!S34</f>
        <v>6</v>
      </c>
      <c r="C10" s="159">
        <f>'[1]Thrusday 02-08-01'!S92-'[1]Thursday 02-01-01'!S92</f>
        <v>225000</v>
      </c>
      <c r="D10" s="39" t="s">
        <v>100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</row>
    <row r="11" spans="1:32" x14ac:dyDescent="0.25">
      <c r="A11" s="6" t="s">
        <v>117</v>
      </c>
      <c r="B11" s="39">
        <f>'[1]Thrusday 02-08-01'!S35-'[1]Thursday 02-01-01'!S35</f>
        <v>2</v>
      </c>
      <c r="C11" s="159">
        <f>'[1]Thrusday 02-08-01'!S93-'[1]Thursday 02-01-01'!S93</f>
        <v>90000</v>
      </c>
      <c r="D11" s="39" t="s">
        <v>100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</row>
    <row r="12" spans="1:32" x14ac:dyDescent="0.25">
      <c r="A12" s="6" t="s">
        <v>3</v>
      </c>
      <c r="B12" s="39">
        <f>'[1]Thrusday 02-08-01'!S39-'[1]Thursday 02-01-01'!S39</f>
        <v>13</v>
      </c>
      <c r="C12" s="159">
        <f>'[1]Thrusday 02-08-01'!S97-'[1]Thursday 02-01-01'!S97</f>
        <v>6400</v>
      </c>
      <c r="D12" s="39" t="s">
        <v>101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</row>
    <row r="13" spans="1:32" x14ac:dyDescent="0.25">
      <c r="A13" s="160" t="s">
        <v>0</v>
      </c>
      <c r="B13" s="161">
        <f>'[1]Thrusday 02-08-01'!S47-'[1]Thursday 02-01-01'!S47</f>
        <v>0</v>
      </c>
      <c r="C13" s="159">
        <f>'[1]Thrusday 02-08-01'!S105-'[1]Thursday 02-01-01'!S105</f>
        <v>0</v>
      </c>
      <c r="D13" s="39" t="s">
        <v>102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</row>
    <row r="14" spans="1:32" x14ac:dyDescent="0.25">
      <c r="A14" s="6" t="s">
        <v>13</v>
      </c>
      <c r="B14" s="39">
        <f>'[1]Thrusday 02-08-01'!S37-'[1]Thursday 02-01-01'!S37</f>
        <v>16</v>
      </c>
      <c r="C14" s="159">
        <f>'[1]Thrusday 02-08-01'!S95-'[1]Thursday 02-01-01'!S95</f>
        <v>40000</v>
      </c>
      <c r="D14" s="39" t="s">
        <v>103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</row>
    <row r="15" spans="1:32" x14ac:dyDescent="0.25">
      <c r="A15" s="5" t="s">
        <v>33</v>
      </c>
      <c r="B15" s="91"/>
      <c r="C15" s="140"/>
      <c r="D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</row>
    <row r="16" spans="1:32" x14ac:dyDescent="0.25">
      <c r="A16" s="6" t="s">
        <v>118</v>
      </c>
      <c r="B16" s="161">
        <f>'[1]Thrusday 02-08-01'!S38-'[1]Thursday 02-01-01'!S38+11</f>
        <v>11</v>
      </c>
      <c r="C16" s="162">
        <f>'[1]Thrusday 02-08-01'!S96-'[1]Thursday 02-01-01'!S96+1068</f>
        <v>1068</v>
      </c>
      <c r="D16" s="39" t="s">
        <v>100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</row>
    <row r="17" spans="1:32" x14ac:dyDescent="0.25">
      <c r="A17" s="6" t="s">
        <v>41</v>
      </c>
      <c r="B17" s="39">
        <f>'[1]Thrusday 02-08-01'!S43-'[1]Thursday 02-01-01'!S43</f>
        <v>0</v>
      </c>
      <c r="C17" s="159">
        <f>'[1]Thrusday 02-08-01'!S101-'[1]Thursday 02-01-01'!S101</f>
        <v>0</v>
      </c>
      <c r="D17" s="39" t="s">
        <v>100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</row>
    <row r="18" spans="1:32" x14ac:dyDescent="0.25">
      <c r="B18" s="39"/>
      <c r="C18" s="39"/>
      <c r="D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</row>
    <row r="19" spans="1:32" x14ac:dyDescent="0.25">
      <c r="B19" s="39"/>
      <c r="C19" s="39"/>
      <c r="D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</row>
    <row r="20" spans="1:32" x14ac:dyDescent="0.25">
      <c r="A20" s="2" t="s">
        <v>119</v>
      </c>
      <c r="B20" s="91">
        <v>12</v>
      </c>
      <c r="C20" s="91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</row>
    <row r="21" spans="1:32" x14ac:dyDescent="0.2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x14ac:dyDescent="0.25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x14ac:dyDescent="0.2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</row>
    <row r="24" spans="1:32" ht="22.8" x14ac:dyDescent="0.4">
      <c r="A24" s="86" t="s">
        <v>30</v>
      </c>
    </row>
    <row r="25" spans="1:32" x14ac:dyDescent="0.25">
      <c r="B25" s="173" t="s">
        <v>149</v>
      </c>
      <c r="C25" s="174"/>
      <c r="D25" s="87" t="s">
        <v>114</v>
      </c>
    </row>
    <row r="26" spans="1:32" x14ac:dyDescent="0.25">
      <c r="A26" s="88" t="s">
        <v>115</v>
      </c>
      <c r="B26" s="89" t="s">
        <v>63</v>
      </c>
      <c r="C26" s="89" t="s">
        <v>116</v>
      </c>
      <c r="D26" s="90" t="s">
        <v>92</v>
      </c>
    </row>
    <row r="27" spans="1:32" x14ac:dyDescent="0.25">
      <c r="A27" s="2"/>
      <c r="B27" s="2"/>
      <c r="C27" s="2"/>
    </row>
    <row r="28" spans="1:32" x14ac:dyDescent="0.25">
      <c r="A28" s="5" t="s">
        <v>95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32" x14ac:dyDescent="0.25">
      <c r="A29" s="6" t="s">
        <v>64</v>
      </c>
      <c r="B29" s="39">
        <f>'[1]Thrusday 02-08-01'!T9+'[1]Thrusday 02-08-01'!T10-'[1]Thursday 02-01-01'!T9-'[1]Thursday 02-01-01'!T10</f>
        <v>2561</v>
      </c>
      <c r="C29" s="39">
        <f>'[1]Thrusday 02-08-01'!T67+'[1]Thrusday 02-08-01'!T68-'[1]Thursday 02-01-01'!T67-'[1]Thursday 02-01-01'!T68</f>
        <v>1668926814.4200001</v>
      </c>
      <c r="D29" s="39" t="s">
        <v>81</v>
      </c>
      <c r="E29" s="39"/>
      <c r="F29" s="39"/>
      <c r="G29" s="39"/>
      <c r="H29" s="39"/>
      <c r="I29" s="39"/>
      <c r="J29" s="39"/>
    </row>
    <row r="30" spans="1:32" x14ac:dyDescent="0.25">
      <c r="A30" s="6" t="s">
        <v>71</v>
      </c>
      <c r="B30" s="39">
        <f>'[1]Thrusday 02-08-01'!T17+'[1]Thrusday 02-08-01'!T18-'[1]Thursday 02-01-01'!T17-'[1]Thursday 02-01-01'!T18</f>
        <v>2380</v>
      </c>
      <c r="C30" s="39">
        <f>'[1]Thrusday 02-08-01'!T75+'[1]Thrusday 02-08-01'!T76-'[1]Thursday 02-01-01'!T75-'[1]Thursday 02-01-01'!T76</f>
        <v>27822910.140000008</v>
      </c>
      <c r="D30" s="39" t="s">
        <v>82</v>
      </c>
      <c r="E30" s="39"/>
      <c r="F30" s="39"/>
      <c r="G30" s="39"/>
      <c r="H30" s="39"/>
      <c r="I30" s="39"/>
      <c r="J30" s="39"/>
    </row>
    <row r="31" spans="1:32" x14ac:dyDescent="0.25">
      <c r="A31" s="5" t="s">
        <v>32</v>
      </c>
      <c r="B31" s="91"/>
      <c r="C31" s="39"/>
      <c r="D31" s="39"/>
      <c r="E31" s="39"/>
      <c r="F31" s="39"/>
      <c r="G31" s="39"/>
      <c r="H31" s="39"/>
      <c r="I31" s="39"/>
      <c r="J31" s="39"/>
    </row>
    <row r="32" spans="1:32" x14ac:dyDescent="0.25">
      <c r="A32" s="6" t="s">
        <v>5</v>
      </c>
      <c r="B32" s="39">
        <f>'[1]Thrusday 02-08-01'!T30+'[1]Thrusday 02-08-01'!T31+'[1]Thrusday 02-08-01'!T33-'[1]Thursday 02-01-01'!T30-'[1]Thursday 02-01-01'!T31-'[1]Thursday 02-01-01'!T33</f>
        <v>1617</v>
      </c>
      <c r="C32" s="39">
        <f>'[1]Thrusday 02-08-01'!T88+'[1]Thrusday 02-08-01'!T89+'[1]Thrusday 02-08-01'!T91-'[1]Thursday 02-01-01'!T88-'[1]Thursday 02-01-01'!T89-'[1]Thursday 02-01-01'!T91</f>
        <v>109669662.09000002</v>
      </c>
      <c r="D32" s="39" t="s">
        <v>99</v>
      </c>
      <c r="E32" s="39"/>
      <c r="F32" s="39"/>
      <c r="G32" s="39"/>
      <c r="H32" s="39"/>
      <c r="I32" s="39"/>
      <c r="J32" s="39"/>
    </row>
    <row r="33" spans="1:10" x14ac:dyDescent="0.25">
      <c r="A33" s="6" t="s">
        <v>4</v>
      </c>
      <c r="B33" s="39">
        <f>'[1]Thrusday 02-08-01'!T34-'[1]Thursday 02-01-01'!T34</f>
        <v>23</v>
      </c>
      <c r="C33" s="39">
        <f>'[1]Thrusday 02-08-01'!T92-'[1]Thursday 02-01-01'!T92</f>
        <v>3909990</v>
      </c>
      <c r="D33" s="39" t="s">
        <v>100</v>
      </c>
      <c r="E33" s="39"/>
      <c r="F33" s="39"/>
      <c r="G33" s="39"/>
      <c r="H33" s="39"/>
      <c r="I33" s="39"/>
      <c r="J33" s="39"/>
    </row>
    <row r="34" spans="1:10" x14ac:dyDescent="0.25">
      <c r="A34" s="6" t="s">
        <v>117</v>
      </c>
      <c r="B34" s="39">
        <f>'[1]Thrusday 02-08-01'!T35-'[1]Thursday 02-01-01'!T35</f>
        <v>21</v>
      </c>
      <c r="C34" s="39">
        <f>'[1]Thrusday 02-08-01'!T93-'[1]Thursday 02-01-01'!T93</f>
        <v>1437499</v>
      </c>
      <c r="D34" s="39" t="s">
        <v>100</v>
      </c>
      <c r="E34" s="39"/>
      <c r="F34" s="39"/>
      <c r="G34" s="39"/>
      <c r="H34" s="39"/>
      <c r="I34" s="39"/>
      <c r="J34" s="39"/>
    </row>
    <row r="35" spans="1:10" x14ac:dyDescent="0.25">
      <c r="A35" s="6" t="s">
        <v>3</v>
      </c>
      <c r="B35" s="39">
        <f>'[1]Thrusday 02-08-01'!T39-'[1]Thursday 02-01-01'!T39</f>
        <v>11</v>
      </c>
      <c r="C35" s="39">
        <f>'[1]Thrusday 02-08-01'!T97-'[1]Thursday 02-01-01'!T97</f>
        <v>97000</v>
      </c>
      <c r="D35" s="39" t="s">
        <v>101</v>
      </c>
      <c r="E35" s="39"/>
      <c r="F35" s="39"/>
      <c r="G35" s="39"/>
      <c r="H35" s="39"/>
      <c r="I35" s="39"/>
      <c r="J35" s="39"/>
    </row>
    <row r="36" spans="1:10" x14ac:dyDescent="0.25">
      <c r="A36" s="6" t="s">
        <v>0</v>
      </c>
      <c r="B36" s="161">
        <f>'[1]Thrusday 02-08-01'!T47-'[1]Thursday 02-01-01'!T47</f>
        <v>153</v>
      </c>
      <c r="C36" s="39">
        <f>'[1]Thrusday 02-08-01'!T105-'[1]Thursday 02-01-01'!T105</f>
        <v>8754250</v>
      </c>
      <c r="D36" s="39" t="s">
        <v>102</v>
      </c>
      <c r="E36" s="39"/>
      <c r="F36" s="39"/>
      <c r="G36" s="39"/>
      <c r="H36" s="39"/>
      <c r="I36" s="39"/>
      <c r="J36" s="39"/>
    </row>
    <row r="37" spans="1:10" x14ac:dyDescent="0.25">
      <c r="A37" s="6" t="s">
        <v>13</v>
      </c>
      <c r="B37" s="39">
        <f>'[1]Thrusday 02-08-01'!T37-'[1]Thursday 02-01-01'!T37</f>
        <v>17</v>
      </c>
      <c r="C37" s="39">
        <f>'[1]Thrusday 02-08-01'!T95-'[1]Thursday 02-01-01'!T95</f>
        <v>60100</v>
      </c>
      <c r="D37" s="39" t="s">
        <v>103</v>
      </c>
      <c r="E37" s="39"/>
      <c r="F37" s="39"/>
      <c r="G37" s="39"/>
      <c r="H37" s="39"/>
      <c r="I37" s="39"/>
      <c r="J37" s="39"/>
    </row>
    <row r="38" spans="1:10" x14ac:dyDescent="0.25">
      <c r="A38" s="5" t="s">
        <v>33</v>
      </c>
      <c r="B38" s="91"/>
      <c r="C38" s="39"/>
      <c r="D38" s="39"/>
      <c r="E38" s="39"/>
      <c r="F38" s="39"/>
      <c r="G38" s="39"/>
      <c r="H38" s="39"/>
      <c r="I38" s="39"/>
      <c r="J38" s="39"/>
    </row>
    <row r="39" spans="1:10" x14ac:dyDescent="0.25">
      <c r="A39" s="6" t="s">
        <v>118</v>
      </c>
      <c r="B39" s="161">
        <f>'[1]Thrusday 02-08-01'!T38-'[1]Thursday 02-01-01'!T38+25</f>
        <v>88</v>
      </c>
      <c r="C39" s="161">
        <f>'[1]Thrusday 02-08-01'!T96-'[1]Thursday 02-01-01'!T96+24083</f>
        <v>83999.899999999965</v>
      </c>
      <c r="D39" s="39" t="s">
        <v>100</v>
      </c>
      <c r="E39" s="39"/>
      <c r="F39" s="39"/>
      <c r="G39" s="39"/>
      <c r="H39" s="39"/>
      <c r="I39" s="39"/>
      <c r="J39" s="39"/>
    </row>
    <row r="40" spans="1:10" x14ac:dyDescent="0.25">
      <c r="A40" s="6" t="s">
        <v>41</v>
      </c>
      <c r="B40" s="39">
        <f>'[1]Thrusday 02-08-01'!T43-'[1]Thursday 02-01-01'!T43</f>
        <v>10</v>
      </c>
      <c r="C40" s="39">
        <f>'[1]Thrusday 02-08-01'!T101-'[1]Thursday 02-01-01'!T101</f>
        <v>20000</v>
      </c>
      <c r="D40" s="39" t="s">
        <v>100</v>
      </c>
      <c r="E40" s="39"/>
      <c r="F40" s="39"/>
      <c r="G40" s="39"/>
      <c r="H40" s="39"/>
      <c r="I40" s="39"/>
      <c r="J40" s="39"/>
    </row>
    <row r="41" spans="1:10" x14ac:dyDescent="0.25">
      <c r="A41" s="6"/>
      <c r="B41" s="39"/>
      <c r="C41" s="39"/>
      <c r="D41" s="39"/>
      <c r="E41" s="39"/>
      <c r="F41" s="39"/>
      <c r="G41" s="39"/>
      <c r="H41" s="39"/>
      <c r="I41" s="39"/>
      <c r="J41" s="39"/>
    </row>
    <row r="42" spans="1:10" x14ac:dyDescent="0.25">
      <c r="B42" s="39"/>
      <c r="C42" s="39"/>
      <c r="D42" s="39"/>
      <c r="E42" s="39"/>
      <c r="F42" s="39"/>
      <c r="G42" s="39"/>
      <c r="H42" s="39"/>
      <c r="I42" s="39"/>
      <c r="J42" s="39"/>
    </row>
    <row r="43" spans="1:10" x14ac:dyDescent="0.25">
      <c r="B43" s="39"/>
      <c r="C43" s="39"/>
      <c r="D43" s="39"/>
      <c r="E43" s="39"/>
      <c r="F43" s="39"/>
      <c r="G43" s="39"/>
      <c r="H43" s="39"/>
      <c r="I43" s="39"/>
      <c r="J43" s="39"/>
    </row>
    <row r="44" spans="1:10" ht="22.8" x14ac:dyDescent="0.4">
      <c r="A44" s="86" t="s">
        <v>120</v>
      </c>
    </row>
    <row r="45" spans="1:10" x14ac:dyDescent="0.25">
      <c r="B45" s="173" t="s">
        <v>149</v>
      </c>
      <c r="C45" s="174"/>
      <c r="D45" s="87" t="s">
        <v>114</v>
      </c>
    </row>
    <row r="46" spans="1:10" x14ac:dyDescent="0.25">
      <c r="A46" s="88" t="s">
        <v>115</v>
      </c>
      <c r="B46" s="89" t="s">
        <v>63</v>
      </c>
      <c r="C46" s="89" t="s">
        <v>116</v>
      </c>
      <c r="D46" s="90" t="s">
        <v>92</v>
      </c>
    </row>
    <row r="48" spans="1:10" x14ac:dyDescent="0.25">
      <c r="A48" s="5" t="s">
        <v>33</v>
      </c>
      <c r="B48" s="95"/>
      <c r="C48" s="95"/>
    </row>
    <row r="49" spans="1:4" x14ac:dyDescent="0.25">
      <c r="A49" s="6" t="s">
        <v>39</v>
      </c>
      <c r="B49" s="95">
        <v>7</v>
      </c>
      <c r="C49" s="95">
        <v>668000</v>
      </c>
      <c r="D49" t="s">
        <v>121</v>
      </c>
    </row>
    <row r="50" spans="1:4" x14ac:dyDescent="0.25">
      <c r="A50" s="6" t="s">
        <v>40</v>
      </c>
      <c r="B50" s="95"/>
      <c r="C50" s="95"/>
    </row>
    <row r="51" spans="1:4" x14ac:dyDescent="0.25">
      <c r="A51" s="6" t="s">
        <v>42</v>
      </c>
      <c r="B51" s="95">
        <v>5</v>
      </c>
      <c r="C51" s="95">
        <v>1130</v>
      </c>
      <c r="D51" t="s">
        <v>122</v>
      </c>
    </row>
    <row r="53" spans="1:4" x14ac:dyDescent="0.25">
      <c r="A53" s="2" t="s">
        <v>123</v>
      </c>
      <c r="B53" s="2">
        <v>1</v>
      </c>
      <c r="C53" s="2"/>
    </row>
    <row r="55" spans="1:4" x14ac:dyDescent="0.25">
      <c r="A55" s="4" t="s">
        <v>125</v>
      </c>
      <c r="C55" s="96">
        <f>C49/1000</f>
        <v>668</v>
      </c>
    </row>
    <row r="58" spans="1:4" s="2" customFormat="1" x14ac:dyDescent="0.25">
      <c r="A58" s="5" t="s">
        <v>126</v>
      </c>
      <c r="C58" s="97">
        <f>C55+C51+C40+C39+C17+C16</f>
        <v>106865.89999999997</v>
      </c>
    </row>
  </sheetData>
  <mergeCells count="3">
    <mergeCell ref="B25:C25"/>
    <mergeCell ref="B45:C45"/>
    <mergeCell ref="B2:C2"/>
  </mergeCells>
  <printOptions gridLines="1"/>
  <pageMargins left="0.75" right="0.75" top="1" bottom="1" header="0.5" footer="0.5"/>
  <pageSetup scale="8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8"/>
  <sheetViews>
    <sheetView topLeftCell="A33" workbookViewId="0">
      <pane xSplit="1" topLeftCell="B1" activePane="topRight" state="frozen"/>
      <selection activeCell="E13" sqref="E13"/>
      <selection pane="topRight" activeCell="E13" sqref="E13"/>
    </sheetView>
  </sheetViews>
  <sheetFormatPr defaultRowHeight="13.2" x14ac:dyDescent="0.25"/>
  <cols>
    <col min="1" max="1" width="33" bestFit="1" customWidth="1"/>
    <col min="2" max="2" width="19" customWidth="1"/>
    <col min="3" max="3" width="20.109375" customWidth="1"/>
    <col min="4" max="4" width="15.6640625" customWidth="1"/>
    <col min="5" max="6" width="10.109375" bestFit="1" customWidth="1"/>
  </cols>
  <sheetData>
    <row r="1" spans="1:32" ht="22.8" x14ac:dyDescent="0.4">
      <c r="A1" s="86" t="s">
        <v>35</v>
      </c>
    </row>
    <row r="2" spans="1:32" x14ac:dyDescent="0.25">
      <c r="B2" s="173" t="s">
        <v>133</v>
      </c>
      <c r="C2" s="174"/>
      <c r="D2" s="87" t="s">
        <v>114</v>
      </c>
    </row>
    <row r="3" spans="1:32" x14ac:dyDescent="0.25">
      <c r="A3" s="88" t="s">
        <v>115</v>
      </c>
      <c r="B3" s="89" t="s">
        <v>63</v>
      </c>
      <c r="C3" s="89" t="s">
        <v>116</v>
      </c>
      <c r="D3" s="90" t="s">
        <v>92</v>
      </c>
    </row>
    <row r="4" spans="1:32" x14ac:dyDescent="0.25">
      <c r="A4" s="2"/>
      <c r="B4" s="2"/>
      <c r="C4" s="2"/>
    </row>
    <row r="5" spans="1:32" x14ac:dyDescent="0.25">
      <c r="A5" s="5" t="s">
        <v>95</v>
      </c>
      <c r="B5" s="91"/>
      <c r="C5" s="91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</row>
    <row r="6" spans="1:32" x14ac:dyDescent="0.25">
      <c r="A6" s="6" t="s">
        <v>64</v>
      </c>
      <c r="B6" s="39">
        <f>55132+4311-40529-3176</f>
        <v>15738</v>
      </c>
      <c r="C6" s="20">
        <f>6859190070+194044764-4773993265-135849441</f>
        <v>2143392128</v>
      </c>
      <c r="D6" s="39" t="s">
        <v>81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</row>
    <row r="7" spans="1:32" x14ac:dyDescent="0.25">
      <c r="A7" s="6" t="s">
        <v>71</v>
      </c>
      <c r="B7" s="39">
        <f>5867+1788-4158-1400</f>
        <v>2097</v>
      </c>
      <c r="C7" s="20">
        <f>64951720+6934050-47669640-5710650</f>
        <v>18505480</v>
      </c>
      <c r="D7" s="39" t="s">
        <v>82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</row>
    <row r="8" spans="1:32" x14ac:dyDescent="0.25">
      <c r="A8" s="5" t="s">
        <v>32</v>
      </c>
      <c r="B8" s="91"/>
      <c r="C8" s="140"/>
      <c r="D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</row>
    <row r="9" spans="1:32" x14ac:dyDescent="0.25">
      <c r="A9" s="6" t="s">
        <v>5</v>
      </c>
      <c r="B9" s="39">
        <f>6109+469+36-4592-397-33</f>
        <v>1592</v>
      </c>
      <c r="C9" s="141">
        <f>152947000+7757000+832595-114735000-6753000-804595</f>
        <v>39244000</v>
      </c>
      <c r="D9" s="39" t="s">
        <v>99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</row>
    <row r="10" spans="1:32" x14ac:dyDescent="0.25">
      <c r="A10" s="6" t="s">
        <v>4</v>
      </c>
      <c r="B10" s="39">
        <f>110-91</f>
        <v>19</v>
      </c>
      <c r="C10" s="141">
        <f>3234500-2686250</f>
        <v>548250</v>
      </c>
      <c r="D10" s="39" t="s">
        <v>100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</row>
    <row r="11" spans="1:32" x14ac:dyDescent="0.25">
      <c r="A11" s="6" t="s">
        <v>117</v>
      </c>
      <c r="B11" s="39">
        <f>29-24</f>
        <v>5</v>
      </c>
      <c r="C11" s="141">
        <f>1215000-1020000</f>
        <v>195000</v>
      </c>
      <c r="D11" s="39" t="s">
        <v>100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</row>
    <row r="12" spans="1:32" x14ac:dyDescent="0.25">
      <c r="A12" s="6" t="s">
        <v>3</v>
      </c>
      <c r="B12" s="39">
        <f>64-56</f>
        <v>8</v>
      </c>
      <c r="C12" s="141">
        <f>20400-17400</f>
        <v>3000</v>
      </c>
      <c r="D12" s="39" t="s">
        <v>101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</row>
    <row r="13" spans="1:32" x14ac:dyDescent="0.25">
      <c r="A13" s="6" t="s">
        <v>0</v>
      </c>
      <c r="B13" s="39">
        <v>0</v>
      </c>
      <c r="C13" s="141">
        <v>0</v>
      </c>
      <c r="D13" s="39" t="s">
        <v>102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</row>
    <row r="14" spans="1:32" x14ac:dyDescent="0.25">
      <c r="A14" s="6" t="s">
        <v>13</v>
      </c>
      <c r="B14" s="39">
        <f>26-18</f>
        <v>8</v>
      </c>
      <c r="C14" s="141">
        <f>65000-45000</f>
        <v>20000</v>
      </c>
      <c r="D14" s="39" t="s">
        <v>103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</row>
    <row r="15" spans="1:32" x14ac:dyDescent="0.25">
      <c r="A15" s="5" t="s">
        <v>33</v>
      </c>
      <c r="B15" s="91"/>
      <c r="C15" s="140"/>
      <c r="D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</row>
    <row r="16" spans="1:32" x14ac:dyDescent="0.25">
      <c r="A16" s="6" t="s">
        <v>118</v>
      </c>
      <c r="B16" s="39">
        <v>5</v>
      </c>
      <c r="C16" s="141">
        <v>286</v>
      </c>
      <c r="D16" s="39" t="s">
        <v>100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</row>
    <row r="17" spans="1:32" x14ac:dyDescent="0.25">
      <c r="A17" s="6" t="s">
        <v>41</v>
      </c>
      <c r="B17" s="39">
        <v>0</v>
      </c>
      <c r="C17" s="141">
        <v>0</v>
      </c>
      <c r="D17" s="39" t="s">
        <v>100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</row>
    <row r="18" spans="1:32" x14ac:dyDescent="0.25">
      <c r="B18" s="39"/>
      <c r="C18" s="39"/>
      <c r="D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</row>
    <row r="19" spans="1:32" x14ac:dyDescent="0.25">
      <c r="B19" s="39"/>
      <c r="C19" s="39"/>
      <c r="D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</row>
    <row r="20" spans="1:32" x14ac:dyDescent="0.25">
      <c r="A20" s="2" t="s">
        <v>119</v>
      </c>
      <c r="B20" s="91">
        <v>8</v>
      </c>
      <c r="C20" s="91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</row>
    <row r="21" spans="1:32" x14ac:dyDescent="0.2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x14ac:dyDescent="0.25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x14ac:dyDescent="0.2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</row>
    <row r="24" spans="1:32" ht="22.8" x14ac:dyDescent="0.4">
      <c r="A24" s="86" t="s">
        <v>30</v>
      </c>
    </row>
    <row r="25" spans="1:32" x14ac:dyDescent="0.25">
      <c r="B25" s="173" t="s">
        <v>133</v>
      </c>
      <c r="C25" s="174"/>
      <c r="D25" s="87" t="s">
        <v>114</v>
      </c>
    </row>
    <row r="26" spans="1:32" x14ac:dyDescent="0.25">
      <c r="A26" s="88" t="s">
        <v>115</v>
      </c>
      <c r="B26" s="89" t="s">
        <v>63</v>
      </c>
      <c r="C26" s="89" t="s">
        <v>116</v>
      </c>
      <c r="D26" s="90" t="s">
        <v>92</v>
      </c>
    </row>
    <row r="27" spans="1:32" x14ac:dyDescent="0.25">
      <c r="A27" s="2"/>
      <c r="B27" s="2"/>
      <c r="C27" s="2"/>
    </row>
    <row r="28" spans="1:32" x14ac:dyDescent="0.25">
      <c r="A28" s="5" t="s">
        <v>95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32" x14ac:dyDescent="0.25">
      <c r="A29" s="6" t="s">
        <v>64</v>
      </c>
      <c r="B29" s="39">
        <f>13338+2004-9715-1574</f>
        <v>4053</v>
      </c>
      <c r="C29" s="39">
        <f>7577517320+538599790-5634611180-351626838</f>
        <v>2129879092</v>
      </c>
      <c r="D29" s="39" t="s">
        <v>81</v>
      </c>
      <c r="E29" s="39"/>
      <c r="F29" s="39"/>
      <c r="G29" s="39"/>
      <c r="H29" s="39"/>
      <c r="I29" s="39"/>
      <c r="J29" s="39"/>
    </row>
    <row r="30" spans="1:32" x14ac:dyDescent="0.25">
      <c r="A30" s="6" t="s">
        <v>71</v>
      </c>
      <c r="B30" s="39">
        <f>5554+4032-3997-3087</f>
        <v>2502</v>
      </c>
      <c r="C30" s="39">
        <f>76427909+60080482-57787682-43280956</f>
        <v>35439753</v>
      </c>
      <c r="D30" s="39" t="s">
        <v>82</v>
      </c>
      <c r="E30" s="39"/>
      <c r="F30" s="39"/>
      <c r="G30" s="39"/>
      <c r="H30" s="39"/>
      <c r="I30" s="39"/>
      <c r="J30" s="39"/>
    </row>
    <row r="31" spans="1:32" x14ac:dyDescent="0.25">
      <c r="A31" s="5" t="s">
        <v>32</v>
      </c>
      <c r="B31" s="39"/>
      <c r="C31" s="39"/>
      <c r="D31" s="39"/>
      <c r="E31" s="39"/>
      <c r="F31" s="39"/>
      <c r="G31" s="39"/>
      <c r="H31" s="39"/>
      <c r="I31" s="39"/>
      <c r="J31" s="39"/>
    </row>
    <row r="32" spans="1:32" x14ac:dyDescent="0.25">
      <c r="A32" s="6" t="s">
        <v>5</v>
      </c>
      <c r="B32" s="39">
        <f>6483+397+180-4893-294-143</f>
        <v>1730</v>
      </c>
      <c r="C32" s="39">
        <f>510007317+10867017+7486462-381986081-7339728-6329636</f>
        <v>132705351</v>
      </c>
      <c r="D32" s="39" t="s">
        <v>99</v>
      </c>
      <c r="E32" s="39"/>
      <c r="F32" s="39"/>
      <c r="G32" s="39"/>
      <c r="H32" s="39"/>
      <c r="I32" s="39"/>
      <c r="J32" s="39"/>
    </row>
    <row r="33" spans="1:10" x14ac:dyDescent="0.25">
      <c r="A33" s="6" t="s">
        <v>4</v>
      </c>
      <c r="B33" s="39">
        <f>133-105</f>
        <v>28</v>
      </c>
      <c r="C33" s="39">
        <f>11572096-6940526</f>
        <v>4631570</v>
      </c>
      <c r="D33" s="39" t="s">
        <v>100</v>
      </c>
      <c r="E33" s="39"/>
      <c r="F33" s="39"/>
      <c r="G33" s="39"/>
      <c r="H33" s="39"/>
      <c r="I33" s="39"/>
      <c r="J33" s="39"/>
    </row>
    <row r="34" spans="1:10" x14ac:dyDescent="0.25">
      <c r="A34" s="6" t="s">
        <v>117</v>
      </c>
      <c r="B34" s="39">
        <f>106-75</f>
        <v>31</v>
      </c>
      <c r="C34" s="39">
        <f>5575507-4378000</f>
        <v>1197507</v>
      </c>
      <c r="D34" s="39" t="s">
        <v>100</v>
      </c>
      <c r="E34" s="39"/>
      <c r="F34" s="39"/>
      <c r="G34" s="39"/>
      <c r="H34" s="39"/>
      <c r="I34" s="39"/>
      <c r="J34" s="39"/>
    </row>
    <row r="35" spans="1:10" x14ac:dyDescent="0.25">
      <c r="A35" s="6" t="s">
        <v>3</v>
      </c>
      <c r="B35" s="39">
        <f>68-57</f>
        <v>11</v>
      </c>
      <c r="C35" s="39">
        <f>366600-313600</f>
        <v>53000</v>
      </c>
      <c r="D35" s="39" t="s">
        <v>101</v>
      </c>
      <c r="E35" s="39"/>
      <c r="F35" s="39"/>
      <c r="G35" s="39"/>
      <c r="H35" s="39"/>
      <c r="I35" s="39"/>
      <c r="J35" s="39"/>
    </row>
    <row r="36" spans="1:10" x14ac:dyDescent="0.25">
      <c r="A36" s="6" t="s">
        <v>0</v>
      </c>
      <c r="B36" s="39">
        <f>638-493</f>
        <v>145</v>
      </c>
      <c r="C36" s="39">
        <f>28642250-23009750</f>
        <v>5632500</v>
      </c>
      <c r="D36" s="39" t="s">
        <v>102</v>
      </c>
      <c r="E36" s="39"/>
      <c r="F36" s="39"/>
      <c r="G36" s="39"/>
      <c r="H36" s="39"/>
      <c r="I36" s="39"/>
      <c r="J36" s="39"/>
    </row>
    <row r="37" spans="1:10" x14ac:dyDescent="0.25">
      <c r="A37" s="6" t="s">
        <v>13</v>
      </c>
      <c r="B37" s="39">
        <f>19-13</f>
        <v>6</v>
      </c>
      <c r="C37" s="39">
        <f>133020-106670</f>
        <v>26350</v>
      </c>
      <c r="D37" s="39" t="s">
        <v>103</v>
      </c>
      <c r="E37" s="39"/>
      <c r="F37" s="39"/>
      <c r="G37" s="39"/>
      <c r="H37" s="39"/>
      <c r="I37" s="39"/>
      <c r="J37" s="39"/>
    </row>
    <row r="38" spans="1:10" x14ac:dyDescent="0.25">
      <c r="A38" s="5" t="s">
        <v>33</v>
      </c>
      <c r="B38" s="39"/>
      <c r="C38" s="39"/>
      <c r="D38" s="39"/>
      <c r="E38" s="39"/>
      <c r="F38" s="39"/>
      <c r="G38" s="39"/>
      <c r="H38" s="39"/>
      <c r="I38" s="39"/>
      <c r="J38" s="39"/>
    </row>
    <row r="39" spans="1:10" x14ac:dyDescent="0.25">
      <c r="A39" s="6" t="s">
        <v>118</v>
      </c>
      <c r="B39" s="39">
        <f>196-146+81</f>
        <v>131</v>
      </c>
      <c r="C39" s="39">
        <v>24860</v>
      </c>
      <c r="D39" s="39" t="s">
        <v>100</v>
      </c>
      <c r="E39" s="39"/>
      <c r="F39" s="39"/>
      <c r="G39" s="39"/>
      <c r="H39" s="39"/>
      <c r="I39" s="39"/>
      <c r="J39" s="39"/>
    </row>
    <row r="40" spans="1:10" x14ac:dyDescent="0.25">
      <c r="A40" s="6" t="s">
        <v>41</v>
      </c>
      <c r="B40" s="39">
        <v>0</v>
      </c>
      <c r="C40" s="39">
        <v>0</v>
      </c>
      <c r="D40" s="39" t="s">
        <v>100</v>
      </c>
      <c r="E40" s="39"/>
      <c r="F40" s="39"/>
      <c r="G40" s="39"/>
      <c r="H40" s="39"/>
      <c r="I40" s="39"/>
      <c r="J40" s="39"/>
    </row>
    <row r="41" spans="1:10" x14ac:dyDescent="0.25">
      <c r="A41" s="6"/>
      <c r="B41" s="39"/>
      <c r="C41" s="39"/>
      <c r="D41" s="39"/>
      <c r="E41" s="39"/>
      <c r="F41" s="39"/>
      <c r="G41" s="39"/>
      <c r="H41" s="39"/>
      <c r="I41" s="39"/>
      <c r="J41" s="39"/>
    </row>
    <row r="42" spans="1:10" x14ac:dyDescent="0.25">
      <c r="B42" s="39"/>
      <c r="C42" s="39"/>
      <c r="D42" s="39"/>
      <c r="E42" s="39"/>
      <c r="F42" s="39"/>
      <c r="G42" s="39"/>
      <c r="H42" s="39"/>
      <c r="I42" s="39"/>
      <c r="J42" s="39"/>
    </row>
    <row r="43" spans="1:10" x14ac:dyDescent="0.25">
      <c r="B43" s="39"/>
      <c r="C43" s="39"/>
      <c r="D43" s="39"/>
      <c r="E43" s="39"/>
      <c r="F43" s="39"/>
      <c r="G43" s="39"/>
      <c r="H43" s="39"/>
      <c r="I43" s="39"/>
      <c r="J43" s="39"/>
    </row>
    <row r="44" spans="1:10" ht="22.8" x14ac:dyDescent="0.4">
      <c r="A44" s="86" t="s">
        <v>120</v>
      </c>
    </row>
    <row r="45" spans="1:10" x14ac:dyDescent="0.25">
      <c r="B45" s="173" t="s">
        <v>133</v>
      </c>
      <c r="C45" s="174"/>
      <c r="D45" s="87" t="s">
        <v>114</v>
      </c>
    </row>
    <row r="46" spans="1:10" x14ac:dyDescent="0.25">
      <c r="A46" s="88" t="s">
        <v>115</v>
      </c>
      <c r="B46" s="89" t="s">
        <v>63</v>
      </c>
      <c r="C46" s="89" t="s">
        <v>116</v>
      </c>
      <c r="D46" s="90" t="s">
        <v>92</v>
      </c>
    </row>
    <row r="48" spans="1:10" x14ac:dyDescent="0.25">
      <c r="A48" s="5" t="s">
        <v>33</v>
      </c>
      <c r="B48" s="95"/>
      <c r="C48" s="95"/>
    </row>
    <row r="49" spans="1:4" x14ac:dyDescent="0.25">
      <c r="A49" s="6" t="s">
        <v>39</v>
      </c>
      <c r="B49" s="95">
        <v>5</v>
      </c>
      <c r="C49" s="95">
        <v>286000</v>
      </c>
      <c r="D49" t="s">
        <v>121</v>
      </c>
    </row>
    <row r="50" spans="1:4" x14ac:dyDescent="0.25">
      <c r="A50" s="6" t="s">
        <v>40</v>
      </c>
      <c r="B50" s="95"/>
      <c r="C50" s="95"/>
    </row>
    <row r="51" spans="1:4" x14ac:dyDescent="0.25">
      <c r="A51" s="6" t="s">
        <v>42</v>
      </c>
      <c r="B51" s="95">
        <v>2</v>
      </c>
      <c r="C51" s="95">
        <v>440</v>
      </c>
      <c r="D51" t="s">
        <v>122</v>
      </c>
    </row>
    <row r="53" spans="1:4" x14ac:dyDescent="0.25">
      <c r="A53" s="2" t="s">
        <v>123</v>
      </c>
      <c r="B53" s="2">
        <v>1</v>
      </c>
      <c r="C53" s="2"/>
    </row>
    <row r="55" spans="1:4" x14ac:dyDescent="0.25">
      <c r="A55" s="4" t="s">
        <v>125</v>
      </c>
      <c r="C55" s="96">
        <f>C49/1000</f>
        <v>286</v>
      </c>
    </row>
    <row r="58" spans="1:4" s="2" customFormat="1" x14ac:dyDescent="0.25">
      <c r="A58" s="5" t="s">
        <v>126</v>
      </c>
      <c r="C58" s="97">
        <f>C55+C51+C40+C39+C17+C16</f>
        <v>25872</v>
      </c>
    </row>
  </sheetData>
  <mergeCells count="3">
    <mergeCell ref="B25:C25"/>
    <mergeCell ref="B45:C45"/>
    <mergeCell ref="B2:C2"/>
  </mergeCells>
  <printOptions gridLines="1"/>
  <pageMargins left="0.75" right="0.75" top="1" bottom="1" header="0.5" footer="0.5"/>
  <pageSetup scale="8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8"/>
  <sheetViews>
    <sheetView topLeftCell="A33" workbookViewId="0">
      <pane xSplit="1" topLeftCell="B1" activePane="topRight" state="frozen"/>
      <selection activeCell="D16" sqref="D16"/>
      <selection pane="topRight" activeCell="D16" sqref="D16"/>
    </sheetView>
  </sheetViews>
  <sheetFormatPr defaultRowHeight="13.2" x14ac:dyDescent="0.25"/>
  <cols>
    <col min="1" max="1" width="33" bestFit="1" customWidth="1"/>
    <col min="2" max="2" width="19" customWidth="1"/>
    <col min="3" max="3" width="20.109375" customWidth="1"/>
    <col min="4" max="4" width="15.6640625" customWidth="1"/>
    <col min="5" max="5" width="17" bestFit="1" customWidth="1"/>
    <col min="6" max="6" width="10.109375" bestFit="1" customWidth="1"/>
  </cols>
  <sheetData>
    <row r="1" spans="1:32" ht="22.8" x14ac:dyDescent="0.4">
      <c r="A1" s="86" t="s">
        <v>35</v>
      </c>
    </row>
    <row r="2" spans="1:32" x14ac:dyDescent="0.25">
      <c r="B2" s="173" t="s">
        <v>152</v>
      </c>
      <c r="C2" s="174"/>
      <c r="D2" s="87" t="s">
        <v>114</v>
      </c>
    </row>
    <row r="3" spans="1:32" x14ac:dyDescent="0.25">
      <c r="A3" s="88" t="s">
        <v>115</v>
      </c>
      <c r="B3" s="89" t="s">
        <v>63</v>
      </c>
      <c r="C3" s="89" t="s">
        <v>116</v>
      </c>
      <c r="D3" s="90" t="s">
        <v>92</v>
      </c>
    </row>
    <row r="4" spans="1:32" x14ac:dyDescent="0.25">
      <c r="A4" s="2"/>
      <c r="B4" s="2"/>
      <c r="C4" s="2"/>
    </row>
    <row r="5" spans="1:32" x14ac:dyDescent="0.25">
      <c r="A5" s="5" t="s">
        <v>95</v>
      </c>
      <c r="B5" s="91"/>
      <c r="C5" s="91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</row>
    <row r="6" spans="1:32" x14ac:dyDescent="0.25">
      <c r="A6" s="6" t="s">
        <v>64</v>
      </c>
      <c r="B6" s="161">
        <f>'[2]Thrusday 02-15-01'!S9+'[2]Thrusday 02-15-01'!S10+-'[2]Thursday 02-08-01'!S9-'[2]Thursday 02-08-01'!S10</f>
        <v>14423</v>
      </c>
      <c r="C6" s="164">
        <f>'[2]Thrusday 02-15-01'!S67+'[2]Thrusday 02-15-01'!S68-'[2]Thursday 02-08-01'!S67-'[2]Thursday 02-08-01'!S68</f>
        <v>1547814272.2600002</v>
      </c>
      <c r="D6" s="39" t="s">
        <v>81</v>
      </c>
      <c r="E6" s="158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</row>
    <row r="7" spans="1:32" x14ac:dyDescent="0.25">
      <c r="A7" s="6" t="s">
        <v>71</v>
      </c>
      <c r="B7" s="161">
        <f>'[2]Thrusday 02-15-01'!S17+'[2]Thrusday 02-15-01'!S18-'[2]Thursday 02-08-01'!S17-'[2]Thursday 02-08-01'!S18</f>
        <v>2195</v>
      </c>
      <c r="C7" s="164">
        <f>'[2]Thrusday 02-15-01'!S75+'[2]Thrusday 02-15-01'!S76-'[2]Thursday 02-08-01'!S75-'[2]Thursday 02-08-01'!S76</f>
        <v>19115360</v>
      </c>
      <c r="D7" s="39" t="s">
        <v>82</v>
      </c>
      <c r="E7" s="15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</row>
    <row r="8" spans="1:32" x14ac:dyDescent="0.25">
      <c r="A8" s="5" t="s">
        <v>32</v>
      </c>
      <c r="B8" s="165"/>
      <c r="C8" s="166"/>
      <c r="D8" s="39"/>
      <c r="E8" s="15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</row>
    <row r="9" spans="1:32" x14ac:dyDescent="0.25">
      <c r="A9" s="6" t="s">
        <v>5</v>
      </c>
      <c r="B9" s="161">
        <f>'[2]Thrusday 02-15-01'!S30+'[2]Thrusday 02-15-01'!S31+'[2]Thrusday 02-15-01'!S33-'[2]Thursday 02-08-01'!S30-'[2]Thursday 02-08-01'!S31-'[2]Thursday 02-08-01'!S33</f>
        <v>1567</v>
      </c>
      <c r="C9" s="162">
        <f>'[2]Thrusday 02-15-01'!S88+'[2]Thrusday 02-15-01'!S89+'[2]Thrusday 02-15-01'!S91-'[2]Thursday 02-08-01'!S88-'[2]Thursday 02-08-01'!S89-'[2]Thursday 02-08-01'!S91</f>
        <v>40310000.009999976</v>
      </c>
      <c r="D9" s="39" t="s">
        <v>99</v>
      </c>
      <c r="E9" s="158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</row>
    <row r="10" spans="1:32" x14ac:dyDescent="0.25">
      <c r="A10" s="6" t="s">
        <v>4</v>
      </c>
      <c r="B10" s="161">
        <f>'[2]Thrusday 02-15-01'!S34-'[2]Thursday 02-08-01'!S34</f>
        <v>3</v>
      </c>
      <c r="C10" s="162">
        <f>'[2]Thrusday 02-15-01'!S92-'[2]Thursday 02-08-01'!S92</f>
        <v>82750</v>
      </c>
      <c r="D10" s="39" t="s">
        <v>100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</row>
    <row r="11" spans="1:32" x14ac:dyDescent="0.25">
      <c r="A11" s="6" t="s">
        <v>117</v>
      </c>
      <c r="B11" s="161">
        <f>'[2]Thrusday 02-15-01'!S35-'[2]Thursday 02-08-01'!S35</f>
        <v>19</v>
      </c>
      <c r="C11" s="162">
        <f>'[2]Thrusday 02-15-01'!S93-'[2]Thursday 02-08-01'!S93</f>
        <v>825000</v>
      </c>
      <c r="D11" s="39" t="s">
        <v>100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</row>
    <row r="12" spans="1:32" x14ac:dyDescent="0.25">
      <c r="A12" s="6" t="s">
        <v>3</v>
      </c>
      <c r="B12" s="161">
        <f>'[2]Thrusday 02-15-01'!S39-'[2]Thursday 02-08-01'!S39</f>
        <v>10</v>
      </c>
      <c r="C12" s="162">
        <f>'[2]Thrusday 02-15-01'!S97-'[2]Thursday 02-08-01'!S97</f>
        <v>3000</v>
      </c>
      <c r="D12" s="39" t="s">
        <v>101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</row>
    <row r="13" spans="1:32" x14ac:dyDescent="0.25">
      <c r="A13" s="160" t="s">
        <v>0</v>
      </c>
      <c r="B13" s="161">
        <f>'[2]Thrusday 02-15-01'!S48-'[2]Thursday 02-08-01'!S47</f>
        <v>0</v>
      </c>
      <c r="C13" s="162">
        <f>'[2]Thrusday 02-15-01'!S105-'[2]Thursday 02-08-01'!S105</f>
        <v>0</v>
      </c>
      <c r="D13" s="39" t="s">
        <v>102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</row>
    <row r="14" spans="1:32" x14ac:dyDescent="0.25">
      <c r="A14" s="6" t="s">
        <v>13</v>
      </c>
      <c r="B14" s="161">
        <f>'[2]Thrusday 02-15-01'!S37-'[2]Thursday 02-08-01'!S37</f>
        <v>8</v>
      </c>
      <c r="C14" s="162">
        <f>'[2]Thrusday 02-15-01'!S95-'[2]Thursday 02-08-01'!S95</f>
        <v>10000</v>
      </c>
      <c r="D14" s="39" t="s">
        <v>103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</row>
    <row r="15" spans="1:32" x14ac:dyDescent="0.25">
      <c r="A15" s="5" t="s">
        <v>33</v>
      </c>
      <c r="B15" s="165"/>
      <c r="C15" s="166"/>
      <c r="D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</row>
    <row r="16" spans="1:32" x14ac:dyDescent="0.25">
      <c r="A16" s="6" t="s">
        <v>118</v>
      </c>
      <c r="B16" s="161">
        <f>'[2]Thrusday 02-15-01'!S38-'[2]Thursday 02-08-01'!S38</f>
        <v>0</v>
      </c>
      <c r="C16" s="162">
        <f>'[2]Thrusday 02-15-01'!S96-'[2]Thursday 02-08-01'!S96</f>
        <v>0</v>
      </c>
      <c r="D16" s="39" t="s">
        <v>100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</row>
    <row r="17" spans="1:32" x14ac:dyDescent="0.25">
      <c r="A17" s="6" t="s">
        <v>41</v>
      </c>
      <c r="B17" s="161">
        <f>'[2]Thrusday 02-15-01'!S44-'[2]Thursday 02-08-01'!S44</f>
        <v>0</v>
      </c>
      <c r="C17" s="162">
        <f>'[2]Thrusday 02-15-01'!S102-'[2]Thursday 02-08-01'!S101</f>
        <v>0</v>
      </c>
      <c r="D17" s="39" t="s">
        <v>100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</row>
    <row r="18" spans="1:32" x14ac:dyDescent="0.25">
      <c r="B18" s="161"/>
      <c r="C18" s="161"/>
      <c r="D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</row>
    <row r="19" spans="1:32" x14ac:dyDescent="0.25">
      <c r="B19" s="161"/>
      <c r="C19" s="161"/>
      <c r="D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</row>
    <row r="20" spans="1:32" x14ac:dyDescent="0.25">
      <c r="A20" s="2" t="s">
        <v>119</v>
      </c>
      <c r="B20" s="165">
        <v>4</v>
      </c>
      <c r="C20" s="165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</row>
    <row r="21" spans="1:32" x14ac:dyDescent="0.25">
      <c r="B21" s="161"/>
      <c r="C21" s="161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x14ac:dyDescent="0.25">
      <c r="B22" s="161"/>
      <c r="C22" s="161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x14ac:dyDescent="0.25">
      <c r="B23" s="161"/>
      <c r="C23" s="161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</row>
    <row r="24" spans="1:32" ht="22.8" x14ac:dyDescent="0.4">
      <c r="A24" s="86" t="s">
        <v>30</v>
      </c>
      <c r="B24" s="167"/>
      <c r="C24" s="167"/>
    </row>
    <row r="25" spans="1:32" x14ac:dyDescent="0.25">
      <c r="B25" s="175" t="s">
        <v>152</v>
      </c>
      <c r="C25" s="176"/>
      <c r="D25" s="87" t="s">
        <v>114</v>
      </c>
    </row>
    <row r="26" spans="1:32" x14ac:dyDescent="0.25">
      <c r="A26" s="88" t="s">
        <v>115</v>
      </c>
      <c r="B26" s="168" t="s">
        <v>63</v>
      </c>
      <c r="C26" s="168" t="s">
        <v>116</v>
      </c>
      <c r="D26" s="90" t="s">
        <v>92</v>
      </c>
    </row>
    <row r="27" spans="1:32" x14ac:dyDescent="0.25">
      <c r="A27" s="2"/>
      <c r="B27" s="169"/>
      <c r="C27" s="169"/>
    </row>
    <row r="28" spans="1:32" x14ac:dyDescent="0.25">
      <c r="A28" s="5" t="s">
        <v>95</v>
      </c>
      <c r="B28" s="161"/>
      <c r="C28" s="161"/>
      <c r="D28" s="39"/>
      <c r="E28" s="39"/>
      <c r="F28" s="39"/>
      <c r="G28" s="39"/>
      <c r="H28" s="39"/>
      <c r="I28" s="39"/>
      <c r="J28" s="39"/>
    </row>
    <row r="29" spans="1:32" x14ac:dyDescent="0.25">
      <c r="A29" s="6" t="s">
        <v>64</v>
      </c>
      <c r="B29" s="161">
        <f>'[2]Thrusday 02-15-01'!T9+'[2]Thrusday 02-15-01'!T10-'[2]Thursday 02-08-01'!T9-'[2]Thursday 02-08-01'!T10</f>
        <v>2800</v>
      </c>
      <c r="C29" s="161">
        <f>'[2]Thrusday 02-15-01'!T67+'[2]Thrusday 02-15-01'!T68-'[2]Thursday 02-08-01'!T67-'[2]Thursday 02-08-01'!T68</f>
        <v>2702923729.9499989</v>
      </c>
      <c r="D29" s="39" t="s">
        <v>81</v>
      </c>
      <c r="E29" s="39"/>
      <c r="F29" s="39"/>
      <c r="G29" s="39"/>
      <c r="H29" s="39"/>
      <c r="I29" s="39"/>
      <c r="J29" s="39"/>
    </row>
    <row r="30" spans="1:32" x14ac:dyDescent="0.25">
      <c r="A30" s="6" t="s">
        <v>71</v>
      </c>
      <c r="B30" s="161">
        <f>'[2]Thrusday 02-15-01'!T17+'[2]Thrusday 02-15-01'!T18-'[2]Thursday 02-08-01'!T17-'[2]Thursday 02-08-01'!T18</f>
        <v>2392</v>
      </c>
      <c r="C30" s="161">
        <f>'[2]Thrusday 02-15-01'!T75+'[2]Thrusday 02-15-01'!T76-'[2]Thursday 02-08-01'!T75-'[2]Thursday 02-08-01'!T76</f>
        <v>29975959.190000027</v>
      </c>
      <c r="D30" s="39" t="s">
        <v>82</v>
      </c>
      <c r="E30" s="39"/>
      <c r="F30" s="39"/>
      <c r="G30" s="39"/>
      <c r="H30" s="39"/>
      <c r="I30" s="39"/>
      <c r="J30" s="39"/>
    </row>
    <row r="31" spans="1:32" x14ac:dyDescent="0.25">
      <c r="A31" s="5" t="s">
        <v>32</v>
      </c>
      <c r="B31" s="165"/>
      <c r="C31" s="161"/>
      <c r="D31" s="39"/>
      <c r="E31" s="39"/>
      <c r="F31" s="39"/>
      <c r="G31" s="39"/>
      <c r="H31" s="39"/>
      <c r="I31" s="39"/>
      <c r="J31" s="39"/>
    </row>
    <row r="32" spans="1:32" x14ac:dyDescent="0.25">
      <c r="A32" s="6" t="s">
        <v>5</v>
      </c>
      <c r="B32" s="161">
        <f>'[2]Thrusday 02-15-01'!T30+'[2]Thrusday 02-15-01'!T31+'[2]Thrusday 02-15-01'!T33-'[2]Thursday 02-08-01'!T30-'[2]Thursday 02-08-01'!T31-'[2]Thursday 02-08-01'!T33</f>
        <v>1786</v>
      </c>
      <c r="C32" s="161">
        <f>'[2]Thrusday 02-15-01'!T88+'[2]Thrusday 02-15-01'!T89+'[2]Thrusday 02-15-01'!T91-'[2]Thursday 02-08-01'!T88-'[2]Thursday 02-08-01'!T89-'[2]Thursday 02-08-01'!T91</f>
        <v>134484274.45999992</v>
      </c>
      <c r="D32" s="39" t="s">
        <v>99</v>
      </c>
      <c r="E32" s="39"/>
      <c r="F32" s="39"/>
      <c r="G32" s="39"/>
      <c r="H32" s="39"/>
      <c r="I32" s="39"/>
      <c r="J32" s="39"/>
    </row>
    <row r="33" spans="1:10" x14ac:dyDescent="0.25">
      <c r="A33" s="6" t="s">
        <v>4</v>
      </c>
      <c r="B33" s="161">
        <f>'[2]Thrusday 02-15-01'!T34-'[2]Thursday 02-08-01'!T34</f>
        <v>13</v>
      </c>
      <c r="C33" s="161">
        <f>'[2]Thrusday 02-15-01'!T92-'[2]Thursday 02-08-01'!T92</f>
        <v>1827699.9600000009</v>
      </c>
      <c r="D33" s="39" t="s">
        <v>100</v>
      </c>
      <c r="E33" s="39"/>
      <c r="F33" s="39"/>
      <c r="G33" s="39"/>
      <c r="H33" s="39"/>
      <c r="I33" s="39"/>
      <c r="J33" s="39"/>
    </row>
    <row r="34" spans="1:10" x14ac:dyDescent="0.25">
      <c r="A34" s="6" t="s">
        <v>117</v>
      </c>
      <c r="B34" s="161">
        <f>'[2]Thrusday 02-15-01'!T35-'[2]Thursday 02-08-01'!T35</f>
        <v>23</v>
      </c>
      <c r="C34" s="161">
        <f>'[2]Thrusday 02-15-01'!T93-'[2]Thursday 02-08-01'!T93</f>
        <v>1302500</v>
      </c>
      <c r="D34" s="39" t="s">
        <v>100</v>
      </c>
      <c r="E34" s="39"/>
      <c r="F34" s="39"/>
      <c r="G34" s="39"/>
      <c r="H34" s="39"/>
      <c r="I34" s="39"/>
      <c r="J34" s="39"/>
    </row>
    <row r="35" spans="1:10" x14ac:dyDescent="0.25">
      <c r="A35" s="6" t="s">
        <v>3</v>
      </c>
      <c r="B35" s="161">
        <f>'[2]Thrusday 02-15-01'!T39-'[2]Thursday 02-08-01'!T39</f>
        <v>29</v>
      </c>
      <c r="C35" s="161">
        <f>'[2]Thrusday 02-15-01'!T97-'[2]Thursday 02-08-01'!T97</f>
        <v>140000</v>
      </c>
      <c r="D35" s="39" t="s">
        <v>101</v>
      </c>
      <c r="E35" s="39"/>
      <c r="F35" s="39"/>
      <c r="G35" s="39"/>
      <c r="H35" s="39"/>
      <c r="I35" s="39"/>
      <c r="J35" s="39"/>
    </row>
    <row r="36" spans="1:10" x14ac:dyDescent="0.25">
      <c r="A36" s="6" t="s">
        <v>0</v>
      </c>
      <c r="B36" s="161">
        <f>'[2]Thrusday 02-15-01'!T48-'[2]Thursday 02-08-01'!T47</f>
        <v>122</v>
      </c>
      <c r="C36" s="161">
        <f>'[2]Thrusday 02-15-01'!T106-'[2]Thursday 02-08-01'!T105</f>
        <v>4975000</v>
      </c>
      <c r="D36" s="39" t="s">
        <v>102</v>
      </c>
      <c r="E36" s="39"/>
      <c r="F36" s="39"/>
      <c r="G36" s="39"/>
      <c r="H36" s="39"/>
      <c r="I36" s="39"/>
      <c r="J36" s="39"/>
    </row>
    <row r="37" spans="1:10" x14ac:dyDescent="0.25">
      <c r="A37" s="6" t="s">
        <v>13</v>
      </c>
      <c r="B37" s="161">
        <f>'[2]Thrusday 02-15-01'!T37-'[2]Thursday 02-08-01'!T37</f>
        <v>12</v>
      </c>
      <c r="C37" s="161">
        <f>'[2]Thrusday 02-15-01'!T95-'[2]Thursday 02-08-01'!T95</f>
        <v>30000</v>
      </c>
      <c r="D37" s="39" t="s">
        <v>103</v>
      </c>
      <c r="E37" s="39"/>
      <c r="F37" s="39"/>
      <c r="G37" s="39"/>
      <c r="H37" s="39"/>
      <c r="I37" s="39"/>
      <c r="J37" s="39"/>
    </row>
    <row r="38" spans="1:10" x14ac:dyDescent="0.25">
      <c r="A38" s="5" t="s">
        <v>33</v>
      </c>
      <c r="B38" s="165"/>
      <c r="C38" s="161"/>
      <c r="D38" s="39"/>
      <c r="E38" s="39"/>
      <c r="F38" s="39"/>
      <c r="G38" s="39"/>
      <c r="H38" s="39"/>
      <c r="I38" s="39"/>
      <c r="J38" s="39"/>
    </row>
    <row r="39" spans="1:10" x14ac:dyDescent="0.25">
      <c r="A39" s="6" t="s">
        <v>118</v>
      </c>
      <c r="B39" s="161">
        <f>'[2]Thrusday 02-15-01'!T38-'[2]Thursday 02-08-01'!T38+34</f>
        <v>82</v>
      </c>
      <c r="C39" s="161">
        <v>9638</v>
      </c>
      <c r="D39" s="39" t="s">
        <v>100</v>
      </c>
      <c r="E39" s="39"/>
      <c r="F39" s="39"/>
      <c r="G39" s="39"/>
      <c r="H39" s="39"/>
      <c r="I39" s="39"/>
      <c r="J39" s="39"/>
    </row>
    <row r="40" spans="1:10" x14ac:dyDescent="0.25">
      <c r="A40" s="6" t="s">
        <v>41</v>
      </c>
      <c r="B40" s="161">
        <f>'[2]Thrusday 02-15-01'!T44-'[2]Thursday 02-08-01'!T43</f>
        <v>1</v>
      </c>
      <c r="C40" s="161">
        <f>'[2]Thrusday 02-15-01'!T102-'[2]Thursday 02-08-01'!T101</f>
        <v>1270.5</v>
      </c>
      <c r="D40" s="39" t="s">
        <v>100</v>
      </c>
      <c r="E40" s="39"/>
      <c r="F40" s="39"/>
      <c r="G40" s="39"/>
      <c r="H40" s="39"/>
      <c r="I40" s="39"/>
      <c r="J40" s="39"/>
    </row>
    <row r="41" spans="1:10" x14ac:dyDescent="0.25">
      <c r="A41" s="6"/>
      <c r="B41" s="161"/>
      <c r="C41" s="161"/>
      <c r="D41" s="39"/>
      <c r="E41" s="39"/>
      <c r="F41" s="39"/>
      <c r="G41" s="39"/>
      <c r="H41" s="39"/>
      <c r="I41" s="39"/>
      <c r="J41" s="39"/>
    </row>
    <row r="42" spans="1:10" x14ac:dyDescent="0.25">
      <c r="B42" s="161"/>
      <c r="C42" s="161"/>
      <c r="D42" s="39"/>
      <c r="E42" s="39"/>
      <c r="F42" s="39"/>
      <c r="G42" s="39"/>
      <c r="H42" s="39"/>
      <c r="I42" s="39"/>
      <c r="J42" s="39"/>
    </row>
    <row r="43" spans="1:10" x14ac:dyDescent="0.25">
      <c r="B43" s="161"/>
      <c r="C43" s="161"/>
      <c r="D43" s="39"/>
      <c r="E43" s="39"/>
      <c r="F43" s="39"/>
      <c r="G43" s="39"/>
      <c r="H43" s="39"/>
      <c r="I43" s="39"/>
      <c r="J43" s="39"/>
    </row>
    <row r="44" spans="1:10" ht="22.8" x14ac:dyDescent="0.4">
      <c r="A44" s="86" t="s">
        <v>120</v>
      </c>
      <c r="B44" s="167"/>
      <c r="C44" s="167"/>
    </row>
    <row r="45" spans="1:10" x14ac:dyDescent="0.25">
      <c r="B45" s="173" t="s">
        <v>152</v>
      </c>
      <c r="C45" s="174"/>
      <c r="D45" s="87" t="s">
        <v>114</v>
      </c>
    </row>
    <row r="46" spans="1:10" x14ac:dyDescent="0.25">
      <c r="A46" s="88" t="s">
        <v>115</v>
      </c>
      <c r="B46" s="89" t="s">
        <v>63</v>
      </c>
      <c r="C46" s="89" t="s">
        <v>116</v>
      </c>
      <c r="D46" s="90" t="s">
        <v>92</v>
      </c>
    </row>
    <row r="48" spans="1:10" x14ac:dyDescent="0.25">
      <c r="A48" s="5" t="s">
        <v>33</v>
      </c>
      <c r="B48" s="95"/>
      <c r="C48" s="95"/>
    </row>
    <row r="49" spans="1:4" x14ac:dyDescent="0.25">
      <c r="A49" s="6" t="s">
        <v>39</v>
      </c>
      <c r="B49" s="95">
        <v>4</v>
      </c>
      <c r="C49" s="95">
        <v>374000</v>
      </c>
      <c r="D49" t="s">
        <v>121</v>
      </c>
    </row>
    <row r="50" spans="1:4" x14ac:dyDescent="0.25">
      <c r="A50" s="6" t="s">
        <v>40</v>
      </c>
      <c r="B50" s="95"/>
      <c r="C50" s="95"/>
    </row>
    <row r="51" spans="1:4" x14ac:dyDescent="0.25">
      <c r="A51" s="6" t="s">
        <v>42</v>
      </c>
      <c r="B51" s="95">
        <v>3</v>
      </c>
      <c r="C51" s="95">
        <v>680</v>
      </c>
      <c r="D51" t="s">
        <v>122</v>
      </c>
    </row>
    <row r="53" spans="1:4" x14ac:dyDescent="0.25">
      <c r="A53" s="2" t="s">
        <v>123</v>
      </c>
      <c r="B53" s="2">
        <v>1</v>
      </c>
      <c r="C53" s="2"/>
    </row>
    <row r="55" spans="1:4" x14ac:dyDescent="0.25">
      <c r="A55" s="4" t="s">
        <v>125</v>
      </c>
      <c r="C55" s="96">
        <f>C49/1000</f>
        <v>374</v>
      </c>
    </row>
    <row r="58" spans="1:4" s="2" customFormat="1" x14ac:dyDescent="0.25">
      <c r="A58" s="5" t="s">
        <v>126</v>
      </c>
      <c r="C58" s="97">
        <f>C55+C51+C40+C39+C17+C16</f>
        <v>11962.5</v>
      </c>
    </row>
  </sheetData>
  <mergeCells count="3">
    <mergeCell ref="B25:C25"/>
    <mergeCell ref="B45:C45"/>
    <mergeCell ref="B2:C2"/>
  </mergeCells>
  <printOptions gridLines="1"/>
  <pageMargins left="0.75" right="0.75" top="1" bottom="1" header="0.5" footer="0.5"/>
  <pageSetup scale="86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workbookViewId="0">
      <pane xSplit="1" ySplit="3" topLeftCell="F4" activePane="bottomRight" state="frozen"/>
      <selection activeCell="D16" sqref="D16"/>
      <selection pane="topRight" activeCell="D16" sqref="D16"/>
      <selection pane="bottomLeft" activeCell="D16" sqref="D16"/>
      <selection pane="bottomRight" activeCell="D16" sqref="D16"/>
    </sheetView>
  </sheetViews>
  <sheetFormatPr defaultRowHeight="13.2" x14ac:dyDescent="0.25"/>
  <cols>
    <col min="1" max="1" width="23.88671875" customWidth="1"/>
    <col min="3" max="3" width="11.44140625" customWidth="1"/>
    <col min="5" max="5" width="12.33203125" customWidth="1"/>
  </cols>
  <sheetData>
    <row r="1" spans="1:17" ht="13.8" thickBot="1" x14ac:dyDescent="0.3">
      <c r="A1" s="182" t="s">
        <v>43</v>
      </c>
      <c r="B1" s="177" t="s">
        <v>48</v>
      </c>
      <c r="C1" s="178"/>
      <c r="D1" s="178"/>
      <c r="E1" s="178"/>
      <c r="F1" s="178"/>
      <c r="G1" s="178"/>
      <c r="H1" s="178"/>
      <c r="I1" s="179"/>
      <c r="J1" s="177" t="s">
        <v>134</v>
      </c>
      <c r="K1" s="178"/>
      <c r="L1" s="178"/>
      <c r="M1" s="178"/>
      <c r="N1" s="178"/>
      <c r="O1" s="178"/>
      <c r="P1" s="178"/>
      <c r="Q1" s="179"/>
    </row>
    <row r="2" spans="1:17" x14ac:dyDescent="0.25">
      <c r="A2" s="183"/>
      <c r="B2" s="185" t="s">
        <v>135</v>
      </c>
      <c r="C2" s="181"/>
      <c r="D2" s="181" t="s">
        <v>136</v>
      </c>
      <c r="E2" s="181"/>
      <c r="F2" s="181" t="s">
        <v>137</v>
      </c>
      <c r="G2" s="181"/>
      <c r="H2" s="181" t="s">
        <v>138</v>
      </c>
      <c r="I2" s="186"/>
      <c r="J2" s="180" t="s">
        <v>139</v>
      </c>
      <c r="K2" s="181"/>
      <c r="L2" s="181" t="s">
        <v>140</v>
      </c>
      <c r="M2" s="181"/>
      <c r="N2" s="181" t="s">
        <v>141</v>
      </c>
      <c r="O2" s="181"/>
      <c r="P2" s="181" t="s">
        <v>142</v>
      </c>
      <c r="Q2" s="181"/>
    </row>
    <row r="3" spans="1:17" ht="13.8" thickBot="1" x14ac:dyDescent="0.3">
      <c r="A3" s="184"/>
      <c r="B3" s="102" t="s">
        <v>35</v>
      </c>
      <c r="C3" s="103" t="s">
        <v>30</v>
      </c>
      <c r="D3" s="103" t="s">
        <v>35</v>
      </c>
      <c r="E3" s="103" t="s">
        <v>30</v>
      </c>
      <c r="F3" s="103" t="s">
        <v>35</v>
      </c>
      <c r="G3" s="103" t="s">
        <v>30</v>
      </c>
      <c r="H3" s="103" t="s">
        <v>35</v>
      </c>
      <c r="I3" s="104" t="s">
        <v>30</v>
      </c>
      <c r="J3" s="105" t="s">
        <v>35</v>
      </c>
      <c r="K3" s="103" t="s">
        <v>30</v>
      </c>
      <c r="L3" s="103" t="s">
        <v>35</v>
      </c>
      <c r="M3" s="103" t="s">
        <v>30</v>
      </c>
      <c r="N3" s="103" t="s">
        <v>35</v>
      </c>
      <c r="O3" s="103" t="s">
        <v>30</v>
      </c>
      <c r="P3" s="103" t="s">
        <v>35</v>
      </c>
      <c r="Q3" s="103" t="s">
        <v>30</v>
      </c>
    </row>
    <row r="4" spans="1:17" ht="13.8" thickBot="1" x14ac:dyDescent="0.3">
      <c r="A4" s="106" t="s">
        <v>2</v>
      </c>
      <c r="B4" s="107"/>
      <c r="C4" s="107"/>
      <c r="D4" s="107"/>
      <c r="E4" s="107"/>
      <c r="F4" s="107"/>
      <c r="G4" s="107"/>
      <c r="H4" s="107"/>
      <c r="I4" s="108"/>
      <c r="J4" s="107"/>
      <c r="K4" s="107"/>
      <c r="L4" s="107"/>
      <c r="M4" s="107"/>
      <c r="N4" s="107"/>
      <c r="O4" s="107"/>
      <c r="P4" s="107"/>
      <c r="Q4" s="107"/>
    </row>
    <row r="5" spans="1:17" ht="13.8" thickBot="1" x14ac:dyDescent="0.3">
      <c r="A5" s="109" t="s">
        <v>34</v>
      </c>
      <c r="B5" s="110"/>
      <c r="C5" s="110"/>
      <c r="D5" s="110"/>
      <c r="E5" s="110"/>
      <c r="F5" s="110"/>
      <c r="G5" s="110"/>
      <c r="H5" s="110"/>
      <c r="I5" s="111"/>
      <c r="J5" s="110"/>
      <c r="K5" s="110"/>
      <c r="L5" s="110"/>
      <c r="M5" s="110"/>
      <c r="N5" s="110"/>
      <c r="O5" s="110"/>
      <c r="P5" s="110"/>
      <c r="Q5" s="110"/>
    </row>
    <row r="6" spans="1:17" x14ac:dyDescent="0.25">
      <c r="A6" s="112" t="s">
        <v>22</v>
      </c>
      <c r="B6" s="113"/>
      <c r="C6" s="113"/>
      <c r="D6" s="113"/>
      <c r="E6" s="113"/>
      <c r="F6" s="113"/>
      <c r="G6" s="113"/>
      <c r="H6" s="113"/>
      <c r="I6" s="114"/>
      <c r="J6" s="115"/>
      <c r="K6" s="113"/>
      <c r="L6" s="113"/>
      <c r="M6" s="113"/>
      <c r="N6" s="113"/>
      <c r="O6" s="113"/>
      <c r="P6" s="113"/>
      <c r="Q6" s="113"/>
    </row>
    <row r="7" spans="1:17" x14ac:dyDescent="0.25">
      <c r="A7" s="116" t="s">
        <v>21</v>
      </c>
      <c r="B7" s="117"/>
      <c r="C7" s="117"/>
      <c r="D7" s="117"/>
      <c r="E7" s="117"/>
      <c r="F7" s="117"/>
      <c r="G7" s="117"/>
      <c r="H7" s="117"/>
      <c r="I7" s="118"/>
      <c r="J7" s="119"/>
      <c r="K7" s="117"/>
      <c r="L7" s="117"/>
      <c r="M7" s="117"/>
      <c r="N7" s="117"/>
      <c r="O7" s="117"/>
      <c r="P7" s="117"/>
      <c r="Q7" s="117"/>
    </row>
    <row r="8" spans="1:17" x14ac:dyDescent="0.25">
      <c r="A8" s="116" t="s">
        <v>28</v>
      </c>
      <c r="B8" s="117"/>
      <c r="C8" s="117"/>
      <c r="D8" s="117"/>
      <c r="E8" s="117"/>
      <c r="F8" s="117"/>
      <c r="G8" s="117"/>
      <c r="H8" s="117"/>
      <c r="I8" s="118"/>
      <c r="J8" s="119"/>
      <c r="K8" s="117"/>
      <c r="L8" s="117"/>
      <c r="M8" s="117"/>
      <c r="N8" s="117"/>
      <c r="O8" s="117"/>
      <c r="P8" s="117"/>
      <c r="Q8" s="117"/>
    </row>
    <row r="9" spans="1:17" ht="13.8" thickBot="1" x14ac:dyDescent="0.3">
      <c r="A9" s="120" t="s">
        <v>29</v>
      </c>
      <c r="B9" s="121"/>
      <c r="C9" s="121"/>
      <c r="D9" s="121"/>
      <c r="E9" s="121"/>
      <c r="F9" s="121"/>
      <c r="G9" s="121"/>
      <c r="H9" s="121"/>
      <c r="I9" s="122"/>
      <c r="J9" s="123"/>
      <c r="K9" s="121"/>
      <c r="L9" s="121"/>
      <c r="M9" s="121"/>
      <c r="N9" s="121"/>
      <c r="O9" s="121"/>
      <c r="P9" s="121"/>
      <c r="Q9" s="121"/>
    </row>
    <row r="10" spans="1:17" ht="13.8" thickBot="1" x14ac:dyDescent="0.3">
      <c r="A10" s="124" t="s">
        <v>33</v>
      </c>
      <c r="B10" s="125"/>
      <c r="C10" s="125"/>
      <c r="D10" s="125"/>
      <c r="E10" s="125"/>
      <c r="F10" s="125"/>
      <c r="G10" s="125"/>
      <c r="H10" s="125"/>
      <c r="I10" s="126"/>
      <c r="J10" s="125"/>
      <c r="K10" s="125"/>
      <c r="L10" s="125"/>
      <c r="M10" s="125"/>
      <c r="N10" s="125"/>
      <c r="O10" s="125"/>
      <c r="P10" s="125"/>
      <c r="Q10" s="125"/>
    </row>
    <row r="11" spans="1:17" x14ac:dyDescent="0.25">
      <c r="A11" s="112" t="s">
        <v>39</v>
      </c>
      <c r="B11" s="113">
        <v>0</v>
      </c>
      <c r="C11" s="113">
        <v>23</v>
      </c>
      <c r="D11" s="113">
        <v>0</v>
      </c>
      <c r="E11" s="113">
        <v>7</v>
      </c>
      <c r="F11" s="113">
        <v>0</v>
      </c>
      <c r="G11" s="113">
        <v>10</v>
      </c>
      <c r="H11" s="113">
        <v>0</v>
      </c>
      <c r="I11" s="114">
        <v>19</v>
      </c>
      <c r="J11" s="115">
        <v>0</v>
      </c>
      <c r="K11" s="113">
        <v>19</v>
      </c>
      <c r="L11" s="113">
        <v>0</v>
      </c>
      <c r="M11" s="113">
        <v>24</v>
      </c>
      <c r="N11" s="113">
        <v>0</v>
      </c>
      <c r="O11" s="113">
        <v>8</v>
      </c>
      <c r="P11" s="113"/>
      <c r="Q11" s="113"/>
    </row>
    <row r="12" spans="1:17" x14ac:dyDescent="0.25">
      <c r="A12" s="116" t="s">
        <v>40</v>
      </c>
      <c r="B12" s="117">
        <v>0</v>
      </c>
      <c r="C12" s="117">
        <v>2</v>
      </c>
      <c r="D12" s="117">
        <v>2</v>
      </c>
      <c r="E12" s="117">
        <v>0</v>
      </c>
      <c r="F12" s="117">
        <v>0</v>
      </c>
      <c r="G12" s="117">
        <v>2</v>
      </c>
      <c r="H12" s="117">
        <v>0</v>
      </c>
      <c r="I12" s="118">
        <v>2</v>
      </c>
      <c r="J12" s="119">
        <v>0</v>
      </c>
      <c r="K12" s="117">
        <v>0</v>
      </c>
      <c r="L12" s="117">
        <v>0</v>
      </c>
      <c r="M12" s="117">
        <v>10</v>
      </c>
      <c r="N12" s="117">
        <v>0</v>
      </c>
      <c r="O12" s="117">
        <v>12</v>
      </c>
      <c r="P12" s="117"/>
      <c r="Q12" s="117"/>
    </row>
    <row r="13" spans="1:17" x14ac:dyDescent="0.25">
      <c r="A13" s="116" t="s">
        <v>42</v>
      </c>
      <c r="B13" s="117">
        <v>0</v>
      </c>
      <c r="C13" s="117">
        <v>1</v>
      </c>
      <c r="D13" s="117">
        <v>0</v>
      </c>
      <c r="E13" s="117">
        <v>4</v>
      </c>
      <c r="F13" s="117">
        <v>0</v>
      </c>
      <c r="G13" s="117">
        <v>12</v>
      </c>
      <c r="H13" s="117">
        <v>0</v>
      </c>
      <c r="I13" s="118">
        <v>10</v>
      </c>
      <c r="J13" s="119">
        <v>0</v>
      </c>
      <c r="K13" s="117">
        <v>4</v>
      </c>
      <c r="L13" s="117">
        <v>0</v>
      </c>
      <c r="M13" s="117">
        <v>0</v>
      </c>
      <c r="N13" s="117">
        <v>0</v>
      </c>
      <c r="O13" s="117">
        <v>0</v>
      </c>
      <c r="P13" s="117"/>
      <c r="Q13" s="117"/>
    </row>
    <row r="14" spans="1:17" ht="13.8" thickBot="1" x14ac:dyDescent="0.3">
      <c r="A14" s="120" t="s">
        <v>41</v>
      </c>
      <c r="B14" s="121">
        <v>0</v>
      </c>
      <c r="C14" s="121">
        <v>0</v>
      </c>
      <c r="D14" s="121">
        <v>0</v>
      </c>
      <c r="E14" s="121">
        <v>0</v>
      </c>
      <c r="F14" s="121">
        <v>0</v>
      </c>
      <c r="G14" s="121">
        <v>0</v>
      </c>
      <c r="H14" s="121">
        <v>0</v>
      </c>
      <c r="I14" s="122">
        <v>0</v>
      </c>
      <c r="J14" s="123">
        <v>0</v>
      </c>
      <c r="K14" s="121">
        <v>1</v>
      </c>
      <c r="L14" s="121">
        <v>0</v>
      </c>
      <c r="M14" s="121">
        <v>0</v>
      </c>
      <c r="N14" s="121">
        <v>0</v>
      </c>
      <c r="O14" s="121">
        <v>0</v>
      </c>
      <c r="P14" s="121"/>
      <c r="Q14" s="121"/>
    </row>
    <row r="15" spans="1:17" ht="13.8" thickBot="1" x14ac:dyDescent="0.3">
      <c r="A15" s="127" t="s">
        <v>32</v>
      </c>
      <c r="B15" s="128"/>
      <c r="C15" s="128"/>
      <c r="D15" s="128"/>
      <c r="E15" s="128"/>
      <c r="F15" s="128"/>
      <c r="G15" s="128"/>
      <c r="H15" s="128"/>
      <c r="I15" s="129"/>
      <c r="J15" s="128"/>
      <c r="K15" s="128"/>
      <c r="L15" s="128"/>
      <c r="M15" s="128"/>
      <c r="N15" s="128"/>
      <c r="O15" s="128"/>
      <c r="P15" s="128"/>
      <c r="Q15" s="128"/>
    </row>
    <row r="16" spans="1:17" x14ac:dyDescent="0.25">
      <c r="A16" s="112" t="s">
        <v>0</v>
      </c>
      <c r="B16" s="113"/>
      <c r="C16" s="113"/>
      <c r="D16" s="113"/>
      <c r="E16" s="113"/>
      <c r="F16" s="113"/>
      <c r="G16" s="113"/>
      <c r="H16" s="113"/>
      <c r="I16" s="114"/>
      <c r="J16" s="115"/>
      <c r="K16" s="113"/>
      <c r="L16" s="113"/>
      <c r="M16" s="113"/>
      <c r="N16" s="113"/>
      <c r="O16" s="113"/>
      <c r="P16" s="113"/>
      <c r="Q16" s="113"/>
    </row>
    <row r="17" spans="1:17" x14ac:dyDescent="0.25">
      <c r="A17" s="116" t="s">
        <v>3</v>
      </c>
      <c r="B17" s="117"/>
      <c r="C17" s="117"/>
      <c r="D17" s="117"/>
      <c r="E17" s="117"/>
      <c r="F17" s="117"/>
      <c r="G17" s="117"/>
      <c r="H17" s="117"/>
      <c r="I17" s="118"/>
      <c r="J17" s="119"/>
      <c r="K17" s="117"/>
      <c r="L17" s="117"/>
      <c r="M17" s="117"/>
      <c r="N17" s="117"/>
      <c r="O17" s="117"/>
      <c r="P17" s="117"/>
      <c r="Q17" s="117"/>
    </row>
    <row r="18" spans="1:17" x14ac:dyDescent="0.25">
      <c r="A18" s="116" t="s">
        <v>5</v>
      </c>
      <c r="B18" s="117"/>
      <c r="C18" s="117"/>
      <c r="D18" s="117"/>
      <c r="E18" s="117"/>
      <c r="F18" s="117"/>
      <c r="G18" s="117"/>
      <c r="H18" s="117"/>
      <c r="I18" s="118"/>
      <c r="J18" s="119"/>
      <c r="K18" s="117"/>
      <c r="L18" s="117"/>
      <c r="M18" s="117"/>
      <c r="N18" s="117"/>
      <c r="O18" s="117"/>
      <c r="P18" s="117"/>
      <c r="Q18" s="117"/>
    </row>
    <row r="19" spans="1:17" ht="13.8" thickBot="1" x14ac:dyDescent="0.3">
      <c r="A19" s="120" t="s">
        <v>13</v>
      </c>
      <c r="B19" s="121"/>
      <c r="C19" s="121"/>
      <c r="D19" s="121"/>
      <c r="E19" s="121"/>
      <c r="F19" s="121"/>
      <c r="G19" s="121"/>
      <c r="H19" s="121"/>
      <c r="I19" s="122"/>
      <c r="J19" s="123"/>
      <c r="K19" s="121"/>
      <c r="L19" s="121"/>
      <c r="M19" s="121"/>
      <c r="N19" s="121"/>
      <c r="O19" s="121"/>
      <c r="P19" s="121"/>
      <c r="Q19" s="121"/>
    </row>
    <row r="20" spans="1:17" ht="13.8" thickBot="1" x14ac:dyDescent="0.3">
      <c r="A20" s="106" t="s">
        <v>7</v>
      </c>
      <c r="B20" s="130"/>
      <c r="C20" s="130"/>
      <c r="D20" s="130"/>
      <c r="E20" s="130"/>
      <c r="F20" s="130"/>
      <c r="G20" s="130"/>
      <c r="H20" s="130"/>
      <c r="I20" s="131"/>
      <c r="J20" s="130"/>
      <c r="K20" s="130"/>
      <c r="L20" s="130"/>
      <c r="M20" s="130"/>
      <c r="N20" s="130"/>
      <c r="O20" s="130"/>
      <c r="P20" s="130"/>
      <c r="Q20" s="130"/>
    </row>
    <row r="21" spans="1:17" ht="13.8" thickBot="1" x14ac:dyDescent="0.3">
      <c r="A21" s="127" t="s">
        <v>34</v>
      </c>
      <c r="B21" s="128"/>
      <c r="C21" s="128"/>
      <c r="D21" s="128"/>
      <c r="E21" s="128"/>
      <c r="F21" s="128"/>
      <c r="G21" s="128"/>
      <c r="H21" s="128"/>
      <c r="I21" s="129"/>
      <c r="J21" s="128"/>
      <c r="K21" s="128"/>
      <c r="L21" s="128"/>
      <c r="M21" s="128"/>
      <c r="N21" s="128"/>
      <c r="O21" s="128"/>
      <c r="P21" s="128"/>
      <c r="Q21" s="128"/>
    </row>
    <row r="22" spans="1:17" x14ac:dyDescent="0.25">
      <c r="A22" s="132" t="s">
        <v>21</v>
      </c>
      <c r="B22" s="133"/>
      <c r="C22" s="133"/>
      <c r="D22" s="133"/>
      <c r="E22" s="133"/>
      <c r="F22" s="133"/>
      <c r="G22" s="133"/>
      <c r="H22" s="133"/>
      <c r="I22" s="134"/>
      <c r="J22" s="135"/>
      <c r="K22" s="133"/>
      <c r="L22" s="133"/>
      <c r="M22" s="133"/>
      <c r="N22" s="133"/>
      <c r="O22" s="133"/>
      <c r="P22" s="133"/>
      <c r="Q22" s="133"/>
    </row>
    <row r="23" spans="1:17" x14ac:dyDescent="0.25">
      <c r="A23" s="116" t="s">
        <v>22</v>
      </c>
      <c r="B23" s="117"/>
      <c r="C23" s="117"/>
      <c r="D23" s="117"/>
      <c r="E23" s="117"/>
      <c r="F23" s="117"/>
      <c r="G23" s="117"/>
      <c r="H23" s="117"/>
      <c r="I23" s="118"/>
      <c r="J23" s="119"/>
      <c r="K23" s="117"/>
      <c r="L23" s="117"/>
      <c r="M23" s="117"/>
      <c r="N23" s="117"/>
      <c r="O23" s="117"/>
      <c r="P23" s="117"/>
      <c r="Q23" s="117"/>
    </row>
    <row r="24" spans="1:17" x14ac:dyDescent="0.25">
      <c r="A24" s="116" t="s">
        <v>28</v>
      </c>
      <c r="B24" s="117"/>
      <c r="C24" s="117"/>
      <c r="D24" s="117"/>
      <c r="E24" s="117"/>
      <c r="F24" s="117"/>
      <c r="G24" s="117"/>
      <c r="H24" s="117"/>
      <c r="I24" s="118"/>
      <c r="J24" s="119"/>
      <c r="K24" s="117"/>
      <c r="L24" s="117"/>
      <c r="M24" s="117"/>
      <c r="N24" s="117"/>
      <c r="O24" s="117"/>
      <c r="P24" s="117"/>
      <c r="Q24" s="117"/>
    </row>
    <row r="25" spans="1:17" ht="13.8" thickBot="1" x14ac:dyDescent="0.3">
      <c r="A25" s="136" t="s">
        <v>29</v>
      </c>
      <c r="B25" s="137"/>
      <c r="C25" s="137"/>
      <c r="D25" s="137"/>
      <c r="E25" s="137"/>
      <c r="F25" s="137"/>
      <c r="G25" s="137"/>
      <c r="H25" s="137"/>
      <c r="I25" s="138"/>
      <c r="J25" s="139"/>
      <c r="K25" s="137"/>
      <c r="L25" s="137"/>
      <c r="M25" s="137"/>
      <c r="N25" s="137"/>
      <c r="O25" s="137"/>
      <c r="P25" s="137"/>
      <c r="Q25" s="137"/>
    </row>
    <row r="26" spans="1:17" ht="13.8" thickBot="1" x14ac:dyDescent="0.3">
      <c r="A26" s="127" t="s">
        <v>33</v>
      </c>
      <c r="B26" s="128"/>
      <c r="C26" s="128"/>
      <c r="D26" s="128"/>
      <c r="E26" s="128"/>
      <c r="F26" s="128"/>
      <c r="G26" s="128"/>
      <c r="H26" s="128"/>
      <c r="I26" s="129"/>
      <c r="J26" s="128"/>
      <c r="K26" s="128"/>
      <c r="L26" s="128"/>
      <c r="M26" s="128"/>
      <c r="N26" s="128"/>
      <c r="O26" s="128"/>
      <c r="P26" s="128"/>
      <c r="Q26" s="128"/>
    </row>
    <row r="27" spans="1:17" x14ac:dyDescent="0.25">
      <c r="A27" s="132" t="s">
        <v>39</v>
      </c>
      <c r="B27" s="133">
        <v>1</v>
      </c>
      <c r="C27" s="133">
        <v>62</v>
      </c>
      <c r="D27" s="133">
        <v>12</v>
      </c>
      <c r="E27" s="133">
        <v>107</v>
      </c>
      <c r="F27" s="133">
        <v>10</v>
      </c>
      <c r="G27" s="133">
        <v>83</v>
      </c>
      <c r="H27" s="133">
        <v>2</v>
      </c>
      <c r="I27" s="134">
        <v>103</v>
      </c>
      <c r="J27" s="135">
        <v>5</v>
      </c>
      <c r="K27" s="133">
        <v>62</v>
      </c>
      <c r="L27" s="133">
        <v>7</v>
      </c>
      <c r="M27" s="133">
        <v>38</v>
      </c>
      <c r="N27" s="133">
        <v>4</v>
      </c>
      <c r="O27" s="133">
        <v>26</v>
      </c>
      <c r="P27" s="133"/>
      <c r="Q27" s="133"/>
    </row>
    <row r="28" spans="1:17" x14ac:dyDescent="0.25">
      <c r="A28" s="116" t="s">
        <v>40</v>
      </c>
      <c r="B28" s="117">
        <v>0</v>
      </c>
      <c r="C28" s="117">
        <v>3</v>
      </c>
      <c r="D28" s="117">
        <v>0</v>
      </c>
      <c r="E28" s="117">
        <v>15</v>
      </c>
      <c r="F28" s="117">
        <v>1</v>
      </c>
      <c r="G28" s="117">
        <v>6</v>
      </c>
      <c r="H28" s="117">
        <v>0</v>
      </c>
      <c r="I28" s="118">
        <v>22</v>
      </c>
      <c r="J28" s="119">
        <v>0</v>
      </c>
      <c r="K28" s="117">
        <v>4</v>
      </c>
      <c r="L28" s="117">
        <v>0</v>
      </c>
      <c r="M28" s="117">
        <v>2</v>
      </c>
      <c r="N28" s="117">
        <v>0</v>
      </c>
      <c r="O28" s="117">
        <v>18</v>
      </c>
      <c r="P28" s="117"/>
      <c r="Q28" s="117"/>
    </row>
    <row r="29" spans="1:17" x14ac:dyDescent="0.25">
      <c r="A29" s="116" t="s">
        <v>42</v>
      </c>
      <c r="B29" s="117">
        <v>4</v>
      </c>
      <c r="C29" s="117">
        <v>1</v>
      </c>
      <c r="D29" s="117">
        <v>3</v>
      </c>
      <c r="E29" s="117">
        <v>10</v>
      </c>
      <c r="F29" s="117">
        <v>0</v>
      </c>
      <c r="G29" s="117">
        <v>12</v>
      </c>
      <c r="H29" s="117">
        <v>0</v>
      </c>
      <c r="I29" s="118">
        <v>9</v>
      </c>
      <c r="J29" s="119">
        <v>2</v>
      </c>
      <c r="K29" s="117">
        <v>23</v>
      </c>
      <c r="L29" s="117">
        <v>4</v>
      </c>
      <c r="M29" s="117">
        <v>13</v>
      </c>
      <c r="N29" s="117">
        <v>3</v>
      </c>
      <c r="O29" s="117">
        <v>12</v>
      </c>
      <c r="P29" s="117"/>
      <c r="Q29" s="117"/>
    </row>
    <row r="30" spans="1:17" ht="13.8" thickBot="1" x14ac:dyDescent="0.3">
      <c r="A30" s="136" t="s">
        <v>41</v>
      </c>
      <c r="B30" s="137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8">
        <v>0</v>
      </c>
      <c r="J30" s="139">
        <v>0</v>
      </c>
      <c r="K30" s="137">
        <v>0</v>
      </c>
      <c r="L30" s="137">
        <v>0</v>
      </c>
      <c r="M30" s="137">
        <v>1</v>
      </c>
      <c r="N30" s="137">
        <v>0</v>
      </c>
      <c r="O30" s="137">
        <v>2</v>
      </c>
      <c r="P30" s="137"/>
      <c r="Q30" s="137"/>
    </row>
    <row r="31" spans="1:17" ht="13.8" thickBot="1" x14ac:dyDescent="0.3">
      <c r="A31" s="127" t="s">
        <v>32</v>
      </c>
      <c r="B31" s="128"/>
      <c r="C31" s="128"/>
      <c r="D31" s="128"/>
      <c r="E31" s="128"/>
      <c r="F31" s="128"/>
      <c r="G31" s="128"/>
      <c r="H31" s="128"/>
      <c r="I31" s="129"/>
      <c r="J31" s="128"/>
      <c r="K31" s="128"/>
      <c r="L31" s="128"/>
      <c r="M31" s="128"/>
      <c r="N31" s="128"/>
      <c r="O31" s="128"/>
      <c r="P31" s="128"/>
      <c r="Q31" s="128"/>
    </row>
    <row r="32" spans="1:17" x14ac:dyDescent="0.25">
      <c r="A32" s="112" t="s">
        <v>5</v>
      </c>
      <c r="B32" s="113"/>
      <c r="C32" s="113"/>
      <c r="D32" s="113"/>
      <c r="E32" s="113"/>
      <c r="F32" s="113"/>
      <c r="G32" s="113"/>
      <c r="H32" s="113"/>
      <c r="I32" s="114"/>
      <c r="J32" s="115"/>
      <c r="K32" s="113"/>
      <c r="L32" s="113"/>
      <c r="M32" s="113"/>
      <c r="N32" s="113"/>
      <c r="O32" s="113"/>
      <c r="P32" s="113"/>
      <c r="Q32" s="113"/>
    </row>
    <row r="33" spans="1:17" ht="13.8" thickBot="1" x14ac:dyDescent="0.3">
      <c r="A33" s="120" t="s">
        <v>4</v>
      </c>
      <c r="B33" s="121"/>
      <c r="C33" s="121"/>
      <c r="D33" s="121"/>
      <c r="E33" s="121"/>
      <c r="F33" s="121"/>
      <c r="G33" s="121"/>
      <c r="H33" s="121"/>
      <c r="I33" s="122"/>
      <c r="J33" s="123"/>
      <c r="K33" s="121"/>
      <c r="L33" s="121"/>
      <c r="M33" s="121"/>
      <c r="N33" s="121"/>
      <c r="O33" s="121"/>
      <c r="P33" s="121"/>
      <c r="Q33" s="121"/>
    </row>
  </sheetData>
  <mergeCells count="11">
    <mergeCell ref="H2:I2"/>
    <mergeCell ref="J1:Q1"/>
    <mergeCell ref="J2:K2"/>
    <mergeCell ref="L2:M2"/>
    <mergeCell ref="N2:O2"/>
    <mergeCell ref="P2:Q2"/>
    <mergeCell ref="A1:A3"/>
    <mergeCell ref="B1:I1"/>
    <mergeCell ref="B2:C2"/>
    <mergeCell ref="D2:E2"/>
    <mergeCell ref="F2:G2"/>
  </mergeCells>
  <printOptions horizontalCentered="1"/>
  <pageMargins left="0.25" right="0.25" top="1" bottom="1" header="0.5" footer="0.5"/>
  <pageSetup scale="6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0"/>
  <sheetViews>
    <sheetView workbookViewId="0">
      <selection activeCell="C7" sqref="C7"/>
    </sheetView>
  </sheetViews>
  <sheetFormatPr defaultRowHeight="13.2" x14ac:dyDescent="0.25"/>
  <cols>
    <col min="1" max="1" width="22.6640625" customWidth="1"/>
    <col min="3" max="3" width="11.44140625" customWidth="1"/>
    <col min="5" max="5" width="12.33203125" customWidth="1"/>
  </cols>
  <sheetData>
    <row r="1" spans="1:9" x14ac:dyDescent="0.25">
      <c r="B1" s="187" t="s">
        <v>48</v>
      </c>
      <c r="C1" s="187"/>
      <c r="D1" s="187"/>
      <c r="E1" s="187"/>
      <c r="F1" s="187"/>
      <c r="G1" s="187"/>
      <c r="H1" s="187"/>
      <c r="I1" s="187"/>
    </row>
    <row r="2" spans="1:9" x14ac:dyDescent="0.25">
      <c r="B2" s="188" t="s">
        <v>47</v>
      </c>
      <c r="C2" s="188"/>
      <c r="D2" s="188" t="s">
        <v>46</v>
      </c>
      <c r="E2" s="188"/>
      <c r="F2" s="188" t="s">
        <v>44</v>
      </c>
      <c r="G2" s="188"/>
      <c r="H2" s="188" t="s">
        <v>45</v>
      </c>
      <c r="I2" s="188"/>
    </row>
    <row r="3" spans="1:9" x14ac:dyDescent="0.25">
      <c r="A3" t="s">
        <v>43</v>
      </c>
      <c r="B3" t="s">
        <v>35</v>
      </c>
      <c r="C3" t="s">
        <v>30</v>
      </c>
      <c r="D3" t="s">
        <v>35</v>
      </c>
      <c r="E3" t="s">
        <v>30</v>
      </c>
      <c r="F3" t="s">
        <v>35</v>
      </c>
      <c r="G3" t="s">
        <v>30</v>
      </c>
      <c r="H3" t="s">
        <v>35</v>
      </c>
      <c r="I3" t="s">
        <v>30</v>
      </c>
    </row>
    <row r="4" spans="1:9" x14ac:dyDescent="0.25">
      <c r="A4" s="2" t="s">
        <v>2</v>
      </c>
      <c r="B4" s="18"/>
      <c r="C4" s="18"/>
      <c r="D4" s="18"/>
      <c r="E4" s="18"/>
      <c r="F4" s="18"/>
      <c r="G4" s="18"/>
      <c r="H4" s="18"/>
      <c r="I4" s="18"/>
    </row>
    <row r="5" spans="1:9" x14ac:dyDescent="0.25">
      <c r="A5" s="5" t="s">
        <v>34</v>
      </c>
      <c r="B5" s="18"/>
      <c r="C5" s="18"/>
      <c r="D5" s="18"/>
      <c r="E5" s="18"/>
      <c r="F5" s="18"/>
      <c r="G5" s="18"/>
      <c r="H5" s="18"/>
      <c r="I5" s="18"/>
    </row>
    <row r="6" spans="1:9" x14ac:dyDescent="0.25">
      <c r="A6" s="6" t="s">
        <v>22</v>
      </c>
      <c r="B6" s="23">
        <v>184</v>
      </c>
      <c r="C6" s="23">
        <v>20</v>
      </c>
      <c r="D6" s="23">
        <v>204</v>
      </c>
      <c r="E6" s="23">
        <v>25</v>
      </c>
      <c r="F6" s="23">
        <v>159</v>
      </c>
      <c r="G6" s="23">
        <v>27</v>
      </c>
      <c r="H6" s="23">
        <v>227</v>
      </c>
      <c r="I6" s="23">
        <v>43</v>
      </c>
    </row>
    <row r="7" spans="1:9" x14ac:dyDescent="0.25">
      <c r="A7" s="6" t="s">
        <v>21</v>
      </c>
      <c r="B7" s="18"/>
      <c r="C7" s="18"/>
      <c r="D7" s="18"/>
      <c r="E7" s="18"/>
      <c r="F7" s="18"/>
      <c r="G7" s="18"/>
      <c r="H7" s="18"/>
      <c r="I7" s="18"/>
    </row>
    <row r="8" spans="1:9" x14ac:dyDescent="0.25">
      <c r="A8" s="6" t="s">
        <v>28</v>
      </c>
      <c r="B8" s="25">
        <v>24</v>
      </c>
      <c r="C8" s="25">
        <v>38</v>
      </c>
      <c r="D8" s="25">
        <v>57</v>
      </c>
      <c r="E8" s="25">
        <v>114</v>
      </c>
      <c r="F8" s="25">
        <v>68</v>
      </c>
      <c r="G8" s="25">
        <v>79</v>
      </c>
      <c r="H8" s="25">
        <v>1463</v>
      </c>
      <c r="I8" s="25">
        <v>2294</v>
      </c>
    </row>
    <row r="9" spans="1:9" x14ac:dyDescent="0.25">
      <c r="A9" s="6" t="s">
        <v>29</v>
      </c>
      <c r="B9" s="23"/>
      <c r="C9" s="23"/>
      <c r="D9" s="23">
        <v>6</v>
      </c>
      <c r="E9" s="23">
        <v>5</v>
      </c>
      <c r="F9" s="23">
        <v>34</v>
      </c>
      <c r="G9" s="23">
        <v>10</v>
      </c>
      <c r="H9" s="23">
        <v>51</v>
      </c>
      <c r="I9" s="23">
        <v>16</v>
      </c>
    </row>
    <row r="10" spans="1:9" x14ac:dyDescent="0.25">
      <c r="A10" s="5" t="s">
        <v>33</v>
      </c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6" t="s">
        <v>39</v>
      </c>
      <c r="B11" s="24">
        <v>0</v>
      </c>
      <c r="C11" s="24">
        <v>23</v>
      </c>
      <c r="D11" s="24">
        <v>0</v>
      </c>
      <c r="E11" s="24">
        <v>7</v>
      </c>
      <c r="F11" s="24">
        <v>0</v>
      </c>
      <c r="G11" s="24">
        <v>10</v>
      </c>
      <c r="H11" s="24">
        <v>0</v>
      </c>
      <c r="I11" s="24">
        <v>19</v>
      </c>
    </row>
    <row r="12" spans="1:9" x14ac:dyDescent="0.25">
      <c r="A12" s="6" t="s">
        <v>40</v>
      </c>
      <c r="B12" s="24">
        <v>0</v>
      </c>
      <c r="C12" s="24">
        <v>2</v>
      </c>
      <c r="D12" s="24">
        <v>2</v>
      </c>
      <c r="E12" s="24">
        <v>0</v>
      </c>
      <c r="F12" s="24">
        <v>0</v>
      </c>
      <c r="G12" s="24">
        <v>2</v>
      </c>
      <c r="H12" s="24">
        <v>0</v>
      </c>
      <c r="I12" s="24">
        <v>2</v>
      </c>
    </row>
    <row r="13" spans="1:9" x14ac:dyDescent="0.25">
      <c r="A13" s="6" t="s">
        <v>42</v>
      </c>
      <c r="B13" s="24">
        <v>0</v>
      </c>
      <c r="C13" s="24">
        <v>1</v>
      </c>
      <c r="D13" s="24">
        <v>0</v>
      </c>
      <c r="E13" s="24">
        <v>4</v>
      </c>
      <c r="F13" s="24">
        <v>0</v>
      </c>
      <c r="G13" s="24">
        <v>12</v>
      </c>
      <c r="H13" s="24">
        <v>0</v>
      </c>
      <c r="I13" s="24">
        <v>10</v>
      </c>
    </row>
    <row r="14" spans="1:9" x14ac:dyDescent="0.25">
      <c r="A14" s="6" t="s">
        <v>41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</row>
    <row r="15" spans="1:9" x14ac:dyDescent="0.25">
      <c r="A15" s="5" t="s">
        <v>32</v>
      </c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6" t="s">
        <v>0</v>
      </c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6" t="s">
        <v>3</v>
      </c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6" t="s">
        <v>5</v>
      </c>
      <c r="B18">
        <v>818</v>
      </c>
      <c r="C18">
        <v>98</v>
      </c>
      <c r="D18">
        <v>1525</v>
      </c>
      <c r="E18">
        <v>230</v>
      </c>
      <c r="F18">
        <v>1025</v>
      </c>
      <c r="G18">
        <v>134</v>
      </c>
      <c r="H18">
        <v>1525</v>
      </c>
      <c r="I18">
        <v>158</v>
      </c>
    </row>
    <row r="19" spans="1:9" x14ac:dyDescent="0.25">
      <c r="A19" s="6" t="s">
        <v>13</v>
      </c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2" t="s">
        <v>7</v>
      </c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5" t="s">
        <v>34</v>
      </c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6" t="s">
        <v>21</v>
      </c>
      <c r="B22" s="18">
        <v>5224</v>
      </c>
      <c r="C22" s="18">
        <v>1151</v>
      </c>
      <c r="D22" s="18"/>
      <c r="E22" s="18"/>
      <c r="F22" s="18"/>
      <c r="G22" s="18"/>
      <c r="H22" s="18"/>
      <c r="I22" s="18"/>
    </row>
    <row r="23" spans="1:9" x14ac:dyDescent="0.25">
      <c r="A23" s="6" t="s">
        <v>22</v>
      </c>
      <c r="B23" s="23">
        <v>573</v>
      </c>
      <c r="C23" s="23">
        <v>388</v>
      </c>
      <c r="D23" s="23">
        <v>778</v>
      </c>
      <c r="E23" s="23">
        <v>473</v>
      </c>
      <c r="F23" s="23">
        <v>778</v>
      </c>
      <c r="G23" s="23">
        <v>304</v>
      </c>
      <c r="H23" s="23">
        <v>1013</v>
      </c>
      <c r="I23" s="23">
        <v>436</v>
      </c>
    </row>
    <row r="24" spans="1:9" x14ac:dyDescent="0.25">
      <c r="A24" s="6" t="s">
        <v>28</v>
      </c>
      <c r="B24" s="25">
        <v>633</v>
      </c>
      <c r="C24" s="25">
        <v>1263</v>
      </c>
      <c r="D24" s="25">
        <v>1573</v>
      </c>
      <c r="E24" s="25">
        <v>2577</v>
      </c>
      <c r="F24" s="25">
        <v>1657</v>
      </c>
      <c r="G24" s="25">
        <v>2093</v>
      </c>
      <c r="H24" s="25">
        <v>83</v>
      </c>
      <c r="I24" s="25">
        <v>139</v>
      </c>
    </row>
    <row r="25" spans="1:9" x14ac:dyDescent="0.25">
      <c r="A25" s="6" t="s">
        <v>29</v>
      </c>
      <c r="B25" s="23"/>
      <c r="C25" s="23">
        <v>9</v>
      </c>
      <c r="D25" s="23"/>
      <c r="E25" s="23">
        <v>23</v>
      </c>
      <c r="F25" s="23"/>
      <c r="G25" s="23">
        <v>22</v>
      </c>
      <c r="H25" s="23"/>
      <c r="I25" s="23">
        <v>10</v>
      </c>
    </row>
    <row r="26" spans="1:9" x14ac:dyDescent="0.25">
      <c r="A26" s="5" t="s">
        <v>33</v>
      </c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6" t="s">
        <v>39</v>
      </c>
      <c r="B27" s="24">
        <v>1</v>
      </c>
      <c r="C27" s="24">
        <v>62</v>
      </c>
      <c r="D27" s="24">
        <v>12</v>
      </c>
      <c r="E27" s="24">
        <v>107</v>
      </c>
      <c r="F27" s="24">
        <v>10</v>
      </c>
      <c r="G27" s="24">
        <v>83</v>
      </c>
      <c r="H27" s="24">
        <v>2</v>
      </c>
      <c r="I27" s="24">
        <v>103</v>
      </c>
    </row>
    <row r="28" spans="1:9" x14ac:dyDescent="0.25">
      <c r="A28" s="6" t="s">
        <v>40</v>
      </c>
      <c r="B28" s="24">
        <v>0</v>
      </c>
      <c r="C28" s="24">
        <v>3</v>
      </c>
      <c r="D28" s="24">
        <v>0</v>
      </c>
      <c r="E28" s="24">
        <v>15</v>
      </c>
      <c r="F28" s="24">
        <v>1</v>
      </c>
      <c r="G28" s="24">
        <v>6</v>
      </c>
      <c r="H28" s="24">
        <v>0</v>
      </c>
      <c r="I28" s="24">
        <v>22</v>
      </c>
    </row>
    <row r="29" spans="1:9" x14ac:dyDescent="0.25">
      <c r="A29" s="6" t="s">
        <v>42</v>
      </c>
      <c r="B29" s="24">
        <v>4</v>
      </c>
      <c r="C29" s="24">
        <v>1</v>
      </c>
      <c r="D29" s="24">
        <v>3</v>
      </c>
      <c r="E29" s="24">
        <v>10</v>
      </c>
      <c r="F29" s="24">
        <v>0</v>
      </c>
      <c r="G29" s="24">
        <v>12</v>
      </c>
      <c r="H29" s="24">
        <v>0</v>
      </c>
      <c r="I29" s="24">
        <v>9</v>
      </c>
    </row>
    <row r="30" spans="1:9" x14ac:dyDescent="0.25">
      <c r="A30" s="6" t="s">
        <v>41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</row>
    <row r="31" spans="1:9" x14ac:dyDescent="0.25">
      <c r="A31" s="5" t="s">
        <v>32</v>
      </c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6" t="s">
        <v>5</v>
      </c>
      <c r="B32">
        <v>22</v>
      </c>
      <c r="C32">
        <v>93</v>
      </c>
      <c r="D32">
        <v>55</v>
      </c>
      <c r="E32">
        <v>226</v>
      </c>
      <c r="F32">
        <v>26</v>
      </c>
      <c r="G32">
        <v>115</v>
      </c>
      <c r="H32">
        <v>19</v>
      </c>
      <c r="I32">
        <v>141</v>
      </c>
    </row>
    <row r="33" spans="1:10" x14ac:dyDescent="0.25">
      <c r="A33" s="6" t="s">
        <v>4</v>
      </c>
    </row>
    <row r="34" spans="1:10" x14ac:dyDescent="0.25">
      <c r="B34" s="188" t="s">
        <v>47</v>
      </c>
      <c r="C34" s="188"/>
      <c r="D34" s="188" t="s">
        <v>46</v>
      </c>
      <c r="E34" s="188"/>
      <c r="F34" s="188" t="s">
        <v>44</v>
      </c>
      <c r="G34" s="188"/>
      <c r="H34" s="188" t="s">
        <v>45</v>
      </c>
      <c r="I34" s="188"/>
    </row>
    <row r="35" spans="1:10" x14ac:dyDescent="0.25">
      <c r="A35" s="25" t="s">
        <v>96</v>
      </c>
      <c r="B35" s="25" t="s">
        <v>35</v>
      </c>
      <c r="C35" s="25" t="s">
        <v>30</v>
      </c>
      <c r="D35" s="25" t="s">
        <v>35</v>
      </c>
      <c r="E35" s="25" t="s">
        <v>30</v>
      </c>
      <c r="F35" s="25" t="s">
        <v>35</v>
      </c>
      <c r="G35" s="25" t="s">
        <v>30</v>
      </c>
      <c r="H35" s="25" t="s">
        <v>35</v>
      </c>
      <c r="I35" s="25" t="s">
        <v>30</v>
      </c>
    </row>
    <row r="36" spans="1:10" x14ac:dyDescent="0.25">
      <c r="A36" s="26" t="s">
        <v>34</v>
      </c>
      <c r="B36" s="23"/>
      <c r="C36" s="23"/>
      <c r="D36" s="23"/>
      <c r="E36" s="23"/>
      <c r="F36" s="23"/>
      <c r="G36" s="23"/>
      <c r="H36" s="23"/>
      <c r="I36" s="23"/>
    </row>
    <row r="37" spans="1:10" x14ac:dyDescent="0.25">
      <c r="A37" s="27" t="s">
        <v>64</v>
      </c>
      <c r="B37" s="28">
        <v>8160</v>
      </c>
      <c r="C37" s="28">
        <v>1993</v>
      </c>
      <c r="D37" s="28">
        <v>12264</v>
      </c>
      <c r="E37" s="28">
        <v>3200</v>
      </c>
      <c r="F37" s="28">
        <v>10083</v>
      </c>
      <c r="G37" s="28">
        <v>2671</v>
      </c>
      <c r="H37" s="28">
        <v>13198</v>
      </c>
      <c r="I37" s="28">
        <v>3425</v>
      </c>
      <c r="J37">
        <f>SUM(B37:I37)</f>
        <v>54994</v>
      </c>
    </row>
    <row r="38" spans="1:10" x14ac:dyDescent="0.25">
      <c r="A38" s="27" t="s">
        <v>71</v>
      </c>
      <c r="B38" s="28">
        <v>657</v>
      </c>
      <c r="C38" s="28">
        <v>1073</v>
      </c>
      <c r="D38" s="28">
        <v>1630</v>
      </c>
      <c r="E38" s="28">
        <v>1806</v>
      </c>
      <c r="F38" s="28">
        <v>1725</v>
      </c>
      <c r="G38" s="28">
        <v>2056</v>
      </c>
      <c r="H38" s="28">
        <v>1546</v>
      </c>
      <c r="I38" s="28">
        <v>2149</v>
      </c>
      <c r="J38">
        <f t="shared" ref="J38:J49" si="0">SUM(B38:I38)</f>
        <v>12642</v>
      </c>
    </row>
    <row r="39" spans="1:10" x14ac:dyDescent="0.25">
      <c r="A39" s="26" t="s">
        <v>33</v>
      </c>
      <c r="B39" s="28"/>
      <c r="C39" s="28">
        <v>29</v>
      </c>
      <c r="D39" s="28"/>
      <c r="E39" s="28">
        <v>33</v>
      </c>
      <c r="F39" s="28"/>
      <c r="G39" s="28">
        <v>31</v>
      </c>
      <c r="H39" s="28"/>
      <c r="I39" s="28">
        <v>53</v>
      </c>
      <c r="J39">
        <f>SUM(B39:I39)</f>
        <v>146</v>
      </c>
    </row>
    <row r="40" spans="1:10" x14ac:dyDescent="0.25">
      <c r="A40" s="27" t="s">
        <v>39</v>
      </c>
      <c r="B40" s="29">
        <v>4</v>
      </c>
      <c r="C40" s="29"/>
      <c r="D40" s="29">
        <v>9</v>
      </c>
      <c r="E40" s="29"/>
      <c r="F40" s="29">
        <v>4</v>
      </c>
      <c r="G40" s="29"/>
      <c r="H40" s="29">
        <v>2</v>
      </c>
      <c r="I40" s="29"/>
      <c r="J40">
        <f t="shared" si="0"/>
        <v>19</v>
      </c>
    </row>
    <row r="41" spans="1:10" x14ac:dyDescent="0.25">
      <c r="A41" s="27" t="s">
        <v>40</v>
      </c>
      <c r="B41" s="29"/>
      <c r="C41" s="29"/>
      <c r="D41" s="29"/>
      <c r="E41" s="29"/>
      <c r="F41" s="29"/>
      <c r="G41" s="29"/>
      <c r="H41" s="29"/>
      <c r="I41" s="29"/>
      <c r="J41">
        <f t="shared" si="0"/>
        <v>0</v>
      </c>
    </row>
    <row r="42" spans="1:10" x14ac:dyDescent="0.25">
      <c r="A42" s="27" t="s">
        <v>42</v>
      </c>
      <c r="B42" s="29">
        <f>+B13+B29</f>
        <v>4</v>
      </c>
      <c r="C42" s="29">
        <v>0</v>
      </c>
      <c r="D42" s="29">
        <v>4</v>
      </c>
      <c r="E42" s="29">
        <v>0</v>
      </c>
      <c r="F42" s="29">
        <v>1</v>
      </c>
      <c r="G42" s="29">
        <v>0</v>
      </c>
      <c r="H42" s="29">
        <f>+H13+H29</f>
        <v>0</v>
      </c>
      <c r="I42" s="29">
        <v>0</v>
      </c>
      <c r="J42">
        <f t="shared" si="0"/>
        <v>9</v>
      </c>
    </row>
    <row r="43" spans="1:10" x14ac:dyDescent="0.25">
      <c r="A43" s="27" t="s">
        <v>41</v>
      </c>
      <c r="B43" s="29">
        <f t="shared" ref="B43:I43" si="1">+B14+B30</f>
        <v>0</v>
      </c>
      <c r="C43" s="29">
        <f t="shared" si="1"/>
        <v>0</v>
      </c>
      <c r="D43" s="29">
        <f t="shared" si="1"/>
        <v>0</v>
      </c>
      <c r="E43" s="29">
        <f t="shared" si="1"/>
        <v>0</v>
      </c>
      <c r="F43" s="29">
        <f t="shared" si="1"/>
        <v>0</v>
      </c>
      <c r="G43" s="29">
        <f t="shared" si="1"/>
        <v>0</v>
      </c>
      <c r="H43" s="29">
        <f t="shared" si="1"/>
        <v>0</v>
      </c>
      <c r="I43" s="29">
        <f t="shared" si="1"/>
        <v>0</v>
      </c>
      <c r="J43">
        <f t="shared" si="0"/>
        <v>0</v>
      </c>
    </row>
    <row r="44" spans="1:10" x14ac:dyDescent="0.25">
      <c r="A44" s="26" t="s">
        <v>32</v>
      </c>
      <c r="B44" s="28"/>
      <c r="C44" s="28"/>
      <c r="D44" s="28"/>
      <c r="E44" s="28"/>
      <c r="F44" s="28"/>
      <c r="G44" s="28"/>
      <c r="H44" s="28"/>
      <c r="I44" s="28"/>
      <c r="J44">
        <f t="shared" si="0"/>
        <v>0</v>
      </c>
    </row>
    <row r="45" spans="1:10" x14ac:dyDescent="0.25">
      <c r="A45" s="27" t="s">
        <v>0</v>
      </c>
      <c r="B45" s="28">
        <v>0</v>
      </c>
      <c r="C45" s="28">
        <v>91</v>
      </c>
      <c r="D45" s="28"/>
      <c r="E45" s="28">
        <v>130</v>
      </c>
      <c r="F45" s="28"/>
      <c r="G45" s="28">
        <v>103</v>
      </c>
      <c r="H45" s="28"/>
      <c r="I45" s="28">
        <v>169</v>
      </c>
      <c r="J45">
        <f t="shared" si="0"/>
        <v>493</v>
      </c>
    </row>
    <row r="46" spans="1:10" x14ac:dyDescent="0.25">
      <c r="A46" s="27" t="s">
        <v>3</v>
      </c>
      <c r="B46" s="28">
        <v>9</v>
      </c>
      <c r="C46" s="28">
        <v>4</v>
      </c>
      <c r="D46" s="28">
        <v>8</v>
      </c>
      <c r="E46" s="28">
        <v>19</v>
      </c>
      <c r="F46" s="28">
        <v>26</v>
      </c>
      <c r="G46" s="28">
        <v>11</v>
      </c>
      <c r="H46" s="28">
        <v>13</v>
      </c>
      <c r="I46" s="28">
        <v>23</v>
      </c>
      <c r="J46">
        <f t="shared" si="0"/>
        <v>113</v>
      </c>
    </row>
    <row r="47" spans="1:10" x14ac:dyDescent="0.25">
      <c r="A47" s="27" t="s">
        <v>5</v>
      </c>
      <c r="B47" s="28">
        <v>840</v>
      </c>
      <c r="C47" s="28">
        <v>995</v>
      </c>
      <c r="D47" s="28">
        <v>1580</v>
      </c>
      <c r="E47" s="28">
        <v>1678</v>
      </c>
      <c r="F47" s="28">
        <v>1052</v>
      </c>
      <c r="G47" s="28">
        <v>1147</v>
      </c>
      <c r="H47" s="28">
        <v>1552</v>
      </c>
      <c r="I47" s="28">
        <v>1511</v>
      </c>
      <c r="J47">
        <f t="shared" si="0"/>
        <v>10355</v>
      </c>
    </row>
    <row r="48" spans="1:10" x14ac:dyDescent="0.25">
      <c r="A48" s="27" t="s">
        <v>13</v>
      </c>
      <c r="B48" s="28">
        <v>2</v>
      </c>
      <c r="C48" s="28">
        <v>0</v>
      </c>
      <c r="D48" s="28">
        <v>2</v>
      </c>
      <c r="E48" s="28">
        <v>0</v>
      </c>
      <c r="F48" s="28">
        <v>10</v>
      </c>
      <c r="G48" s="28">
        <v>4</v>
      </c>
      <c r="H48" s="28">
        <v>4</v>
      </c>
      <c r="I48" s="28">
        <v>9</v>
      </c>
      <c r="J48">
        <f t="shared" si="0"/>
        <v>31</v>
      </c>
    </row>
    <row r="49" spans="1:10" x14ac:dyDescent="0.25">
      <c r="A49" s="27" t="s">
        <v>4</v>
      </c>
      <c r="B49" s="28">
        <v>29</v>
      </c>
      <c r="C49" s="28">
        <v>23</v>
      </c>
      <c r="D49" s="28">
        <v>36</v>
      </c>
      <c r="E49" s="28">
        <v>47</v>
      </c>
      <c r="F49" s="28">
        <v>32</v>
      </c>
      <c r="G49" s="28">
        <v>52</v>
      </c>
      <c r="H49" s="28">
        <v>17</v>
      </c>
      <c r="I49" s="28">
        <v>58</v>
      </c>
      <c r="J49">
        <f t="shared" si="0"/>
        <v>294</v>
      </c>
    </row>
    <row r="50" spans="1:10" x14ac:dyDescent="0.25">
      <c r="A50" s="30" t="s">
        <v>97</v>
      </c>
      <c r="B50" s="30"/>
      <c r="C50" s="30"/>
      <c r="D50" s="30"/>
      <c r="E50" s="30"/>
      <c r="F50" s="30"/>
      <c r="G50" s="30"/>
      <c r="H50" s="30"/>
      <c r="I50" s="30"/>
    </row>
    <row r="51" spans="1:10" x14ac:dyDescent="0.25">
      <c r="A51" s="31" t="s">
        <v>34</v>
      </c>
      <c r="B51" s="32"/>
      <c r="C51" s="32"/>
      <c r="D51" s="32"/>
      <c r="E51" s="32"/>
      <c r="F51" s="32"/>
      <c r="G51" s="32"/>
      <c r="H51" s="32"/>
      <c r="I51" s="32"/>
    </row>
    <row r="52" spans="1:10" x14ac:dyDescent="0.25">
      <c r="A52" s="33" t="s">
        <v>64</v>
      </c>
      <c r="B52" s="34">
        <f>+B6+B7+B22+B23</f>
        <v>5981</v>
      </c>
      <c r="C52" s="34">
        <f t="shared" ref="C52:I52" si="2">+C6+C7+C22+C23</f>
        <v>1559</v>
      </c>
      <c r="D52" s="34">
        <f t="shared" si="2"/>
        <v>982</v>
      </c>
      <c r="E52" s="34">
        <f t="shared" si="2"/>
        <v>498</v>
      </c>
      <c r="F52" s="34">
        <f t="shared" si="2"/>
        <v>937</v>
      </c>
      <c r="G52" s="34">
        <f t="shared" si="2"/>
        <v>331</v>
      </c>
      <c r="H52" s="34">
        <f t="shared" si="2"/>
        <v>1240</v>
      </c>
      <c r="I52" s="34">
        <f t="shared" si="2"/>
        <v>479</v>
      </c>
    </row>
    <row r="53" spans="1:10" x14ac:dyDescent="0.25">
      <c r="A53" s="33" t="s">
        <v>71</v>
      </c>
      <c r="B53" s="34">
        <f>+B8+B9+B24+B25</f>
        <v>657</v>
      </c>
      <c r="C53" s="34">
        <f t="shared" ref="C53:I53" si="3">+C8+C9+C24+C25</f>
        <v>1310</v>
      </c>
      <c r="D53" s="34">
        <f t="shared" si="3"/>
        <v>1636</v>
      </c>
      <c r="E53" s="34">
        <f t="shared" si="3"/>
        <v>2719</v>
      </c>
      <c r="F53" s="34">
        <f t="shared" si="3"/>
        <v>1759</v>
      </c>
      <c r="G53" s="34">
        <f t="shared" si="3"/>
        <v>2204</v>
      </c>
      <c r="H53" s="34">
        <f t="shared" si="3"/>
        <v>1597</v>
      </c>
      <c r="I53" s="34">
        <f t="shared" si="3"/>
        <v>2459</v>
      </c>
    </row>
    <row r="54" spans="1:10" x14ac:dyDescent="0.25">
      <c r="A54" s="31" t="s">
        <v>33</v>
      </c>
      <c r="B54" s="34"/>
      <c r="C54" s="34"/>
      <c r="D54" s="34"/>
      <c r="E54" s="34"/>
      <c r="F54" s="34"/>
      <c r="G54" s="34"/>
      <c r="H54" s="34"/>
      <c r="I54" s="34"/>
    </row>
    <row r="55" spans="1:10" x14ac:dyDescent="0.25">
      <c r="A55" s="33" t="s">
        <v>39</v>
      </c>
      <c r="B55" s="35">
        <f>+B11+B27</f>
        <v>1</v>
      </c>
      <c r="C55" s="35">
        <f t="shared" ref="C55:I55" si="4">+C11+C27</f>
        <v>85</v>
      </c>
      <c r="D55" s="35">
        <f t="shared" si="4"/>
        <v>12</v>
      </c>
      <c r="E55" s="35">
        <f t="shared" si="4"/>
        <v>114</v>
      </c>
      <c r="F55" s="35">
        <f t="shared" si="4"/>
        <v>10</v>
      </c>
      <c r="G55" s="35">
        <f t="shared" si="4"/>
        <v>93</v>
      </c>
      <c r="H55" s="35">
        <f t="shared" si="4"/>
        <v>2</v>
      </c>
      <c r="I55" s="35">
        <f t="shared" si="4"/>
        <v>122</v>
      </c>
      <c r="J55" s="93">
        <f>SUM(B55:I55)</f>
        <v>439</v>
      </c>
    </row>
    <row r="56" spans="1:10" x14ac:dyDescent="0.25">
      <c r="A56" s="33" t="s">
        <v>40</v>
      </c>
      <c r="B56" s="35">
        <f>+B12+B28</f>
        <v>0</v>
      </c>
      <c r="C56" s="35">
        <f t="shared" ref="C56:I56" si="5">+C12+C28</f>
        <v>5</v>
      </c>
      <c r="D56" s="35">
        <f t="shared" si="5"/>
        <v>2</v>
      </c>
      <c r="E56" s="35">
        <f t="shared" si="5"/>
        <v>15</v>
      </c>
      <c r="F56" s="35">
        <f t="shared" si="5"/>
        <v>1</v>
      </c>
      <c r="G56" s="35">
        <f t="shared" si="5"/>
        <v>8</v>
      </c>
      <c r="H56" s="35">
        <f t="shared" si="5"/>
        <v>0</v>
      </c>
      <c r="I56" s="35">
        <f t="shared" si="5"/>
        <v>24</v>
      </c>
      <c r="J56" s="93">
        <f>SUM(B56:I56)</f>
        <v>55</v>
      </c>
    </row>
    <row r="57" spans="1:10" x14ac:dyDescent="0.25">
      <c r="A57" s="33" t="s">
        <v>42</v>
      </c>
      <c r="B57" s="35">
        <f t="shared" ref="B57:I57" si="6">+B13+B29</f>
        <v>4</v>
      </c>
      <c r="C57" s="35">
        <f t="shared" si="6"/>
        <v>2</v>
      </c>
      <c r="D57" s="35">
        <f t="shared" si="6"/>
        <v>3</v>
      </c>
      <c r="E57" s="35">
        <f t="shared" si="6"/>
        <v>14</v>
      </c>
      <c r="F57" s="35">
        <f t="shared" si="6"/>
        <v>0</v>
      </c>
      <c r="G57" s="35">
        <f t="shared" si="6"/>
        <v>24</v>
      </c>
      <c r="H57" s="35">
        <f t="shared" si="6"/>
        <v>0</v>
      </c>
      <c r="I57" s="35">
        <f t="shared" si="6"/>
        <v>19</v>
      </c>
      <c r="J57" s="93">
        <f>SUM(B57:I57)</f>
        <v>66</v>
      </c>
    </row>
    <row r="58" spans="1:10" x14ac:dyDescent="0.25">
      <c r="A58" s="33" t="s">
        <v>41</v>
      </c>
      <c r="B58" s="35">
        <f t="shared" ref="B58:I58" si="7">+B14+B30</f>
        <v>0</v>
      </c>
      <c r="C58" s="35">
        <f t="shared" si="7"/>
        <v>0</v>
      </c>
      <c r="D58" s="35">
        <f t="shared" si="7"/>
        <v>0</v>
      </c>
      <c r="E58" s="35">
        <f t="shared" si="7"/>
        <v>0</v>
      </c>
      <c r="F58" s="35">
        <f t="shared" si="7"/>
        <v>0</v>
      </c>
      <c r="G58" s="35">
        <f t="shared" si="7"/>
        <v>0</v>
      </c>
      <c r="H58" s="35">
        <f t="shared" si="7"/>
        <v>0</v>
      </c>
      <c r="I58" s="35">
        <f t="shared" si="7"/>
        <v>0</v>
      </c>
    </row>
    <row r="59" spans="1:10" x14ac:dyDescent="0.25">
      <c r="A59" s="31" t="s">
        <v>32</v>
      </c>
      <c r="B59" s="34"/>
      <c r="C59" s="34"/>
      <c r="D59" s="34"/>
      <c r="E59" s="34"/>
      <c r="F59" s="34"/>
      <c r="G59" s="34"/>
      <c r="H59" s="34"/>
      <c r="I59" s="34"/>
    </row>
    <row r="60" spans="1:10" x14ac:dyDescent="0.25">
      <c r="A60" s="33" t="s">
        <v>0</v>
      </c>
      <c r="B60" s="34">
        <f>+B16</f>
        <v>0</v>
      </c>
      <c r="C60" s="34">
        <f t="shared" ref="C60:I60" si="8">+C16</f>
        <v>0</v>
      </c>
      <c r="D60" s="34">
        <f t="shared" si="8"/>
        <v>0</v>
      </c>
      <c r="E60" s="34">
        <f t="shared" si="8"/>
        <v>0</v>
      </c>
      <c r="F60" s="34">
        <f t="shared" si="8"/>
        <v>0</v>
      </c>
      <c r="G60" s="34">
        <f t="shared" si="8"/>
        <v>0</v>
      </c>
      <c r="H60" s="34">
        <f t="shared" si="8"/>
        <v>0</v>
      </c>
      <c r="I60" s="34">
        <f t="shared" si="8"/>
        <v>0</v>
      </c>
    </row>
    <row r="61" spans="1:10" x14ac:dyDescent="0.25">
      <c r="A61" s="33" t="s">
        <v>3</v>
      </c>
      <c r="B61" s="34"/>
      <c r="C61" s="34"/>
      <c r="D61" s="34"/>
      <c r="E61" s="34"/>
      <c r="F61" s="34"/>
      <c r="G61" s="34"/>
      <c r="H61" s="34"/>
      <c r="I61" s="34"/>
    </row>
    <row r="62" spans="1:10" x14ac:dyDescent="0.25">
      <c r="A62" s="33" t="s">
        <v>5</v>
      </c>
      <c r="B62" s="34">
        <f>+B18+B32</f>
        <v>840</v>
      </c>
      <c r="C62" s="34">
        <f t="shared" ref="C62:I62" si="9">+C18+C32</f>
        <v>191</v>
      </c>
      <c r="D62" s="34">
        <f t="shared" si="9"/>
        <v>1580</v>
      </c>
      <c r="E62" s="34">
        <f t="shared" si="9"/>
        <v>456</v>
      </c>
      <c r="F62" s="34">
        <f t="shared" si="9"/>
        <v>1051</v>
      </c>
      <c r="G62" s="34">
        <f t="shared" si="9"/>
        <v>249</v>
      </c>
      <c r="H62" s="34">
        <f t="shared" si="9"/>
        <v>1544</v>
      </c>
      <c r="I62" s="34">
        <f t="shared" si="9"/>
        <v>299</v>
      </c>
    </row>
    <row r="63" spans="1:10" x14ac:dyDescent="0.25">
      <c r="A63" s="33" t="s">
        <v>13</v>
      </c>
      <c r="B63" s="36"/>
      <c r="C63" s="36"/>
      <c r="D63" s="36"/>
      <c r="E63" s="36"/>
      <c r="F63" s="36"/>
      <c r="G63" s="36"/>
      <c r="H63" s="36"/>
      <c r="I63" s="36"/>
    </row>
    <row r="64" spans="1:10" x14ac:dyDescent="0.25">
      <c r="A64" s="37" t="s">
        <v>4</v>
      </c>
      <c r="B64" s="34"/>
      <c r="C64" s="34"/>
      <c r="D64" s="34"/>
      <c r="E64" s="34"/>
      <c r="F64" s="34"/>
      <c r="G64" s="34"/>
      <c r="H64" s="34"/>
      <c r="I64" s="34"/>
    </row>
    <row r="66" spans="1:9" x14ac:dyDescent="0.25">
      <c r="A66" s="25" t="s">
        <v>98</v>
      </c>
      <c r="B66" s="25" t="s">
        <v>35</v>
      </c>
      <c r="C66" s="25" t="s">
        <v>30</v>
      </c>
      <c r="D66" s="25" t="s">
        <v>35</v>
      </c>
      <c r="E66" s="25" t="s">
        <v>30</v>
      </c>
      <c r="F66" s="25" t="s">
        <v>35</v>
      </c>
      <c r="G66" s="25" t="s">
        <v>30</v>
      </c>
      <c r="H66" s="25" t="s">
        <v>35</v>
      </c>
      <c r="I66" s="25" t="s">
        <v>30</v>
      </c>
    </row>
    <row r="67" spans="1:9" x14ac:dyDescent="0.25">
      <c r="A67" s="26" t="s">
        <v>34</v>
      </c>
      <c r="B67" s="23"/>
      <c r="C67" s="23"/>
      <c r="D67" s="23"/>
      <c r="E67" s="23"/>
      <c r="F67" s="23"/>
      <c r="G67" s="23"/>
      <c r="H67" s="23"/>
      <c r="I67" s="23"/>
    </row>
    <row r="68" spans="1:9" x14ac:dyDescent="0.25">
      <c r="A68" s="27" t="s">
        <v>64</v>
      </c>
      <c r="B68" s="28">
        <f t="shared" ref="B68:B78" si="10">B37-B52</f>
        <v>2179</v>
      </c>
      <c r="C68" s="28">
        <f t="shared" ref="C68:I68" si="11">C37-C52</f>
        <v>434</v>
      </c>
      <c r="D68" s="28">
        <f t="shared" si="11"/>
        <v>11282</v>
      </c>
      <c r="E68" s="28">
        <f t="shared" si="11"/>
        <v>2702</v>
      </c>
      <c r="F68" s="28">
        <f t="shared" si="11"/>
        <v>9146</v>
      </c>
      <c r="G68" s="28">
        <f t="shared" si="11"/>
        <v>2340</v>
      </c>
      <c r="H68" s="28">
        <f t="shared" si="11"/>
        <v>11958</v>
      </c>
      <c r="I68" s="28">
        <f t="shared" si="11"/>
        <v>2946</v>
      </c>
    </row>
    <row r="69" spans="1:9" x14ac:dyDescent="0.25">
      <c r="A69" s="27" t="s">
        <v>71</v>
      </c>
      <c r="B69" s="28">
        <f t="shared" si="10"/>
        <v>0</v>
      </c>
      <c r="C69" s="28">
        <f t="shared" ref="C69:I78" si="12">C38-C53</f>
        <v>-237</v>
      </c>
      <c r="D69" s="28">
        <f t="shared" si="12"/>
        <v>-6</v>
      </c>
      <c r="E69" s="28">
        <f t="shared" si="12"/>
        <v>-913</v>
      </c>
      <c r="F69" s="28">
        <f t="shared" si="12"/>
        <v>-34</v>
      </c>
      <c r="G69" s="28">
        <f t="shared" si="12"/>
        <v>-148</v>
      </c>
      <c r="H69" s="28">
        <f t="shared" si="12"/>
        <v>-51</v>
      </c>
      <c r="I69" s="28">
        <f t="shared" si="12"/>
        <v>-310</v>
      </c>
    </row>
    <row r="70" spans="1:9" x14ac:dyDescent="0.25">
      <c r="A70" s="26" t="s">
        <v>33</v>
      </c>
      <c r="B70" s="28">
        <f t="shared" si="10"/>
        <v>0</v>
      </c>
      <c r="C70" s="28">
        <f t="shared" si="12"/>
        <v>29</v>
      </c>
      <c r="D70" s="28">
        <f t="shared" si="12"/>
        <v>0</v>
      </c>
      <c r="E70" s="28">
        <f t="shared" si="12"/>
        <v>33</v>
      </c>
      <c r="F70" s="28">
        <f t="shared" si="12"/>
        <v>0</v>
      </c>
      <c r="G70" s="28">
        <f t="shared" si="12"/>
        <v>31</v>
      </c>
      <c r="H70" s="28">
        <f t="shared" si="12"/>
        <v>0</v>
      </c>
      <c r="I70" s="28">
        <f t="shared" si="12"/>
        <v>53</v>
      </c>
    </row>
    <row r="71" spans="1:9" x14ac:dyDescent="0.25">
      <c r="A71" s="27" t="s">
        <v>39</v>
      </c>
      <c r="B71" s="28">
        <f t="shared" si="10"/>
        <v>3</v>
      </c>
      <c r="C71" s="28">
        <f t="shared" si="12"/>
        <v>-85</v>
      </c>
      <c r="D71" s="28">
        <f t="shared" si="12"/>
        <v>-3</v>
      </c>
      <c r="E71" s="28">
        <f t="shared" si="12"/>
        <v>-114</v>
      </c>
      <c r="F71" s="28">
        <f t="shared" si="12"/>
        <v>-6</v>
      </c>
      <c r="G71" s="28">
        <f t="shared" si="12"/>
        <v>-93</v>
      </c>
      <c r="H71" s="28">
        <f t="shared" si="12"/>
        <v>0</v>
      </c>
      <c r="I71" s="28">
        <f t="shared" si="12"/>
        <v>-122</v>
      </c>
    </row>
    <row r="72" spans="1:9" x14ac:dyDescent="0.25">
      <c r="A72" s="27" t="s">
        <v>40</v>
      </c>
      <c r="B72" s="28">
        <f t="shared" si="10"/>
        <v>0</v>
      </c>
      <c r="C72" s="28">
        <f t="shared" si="12"/>
        <v>-5</v>
      </c>
      <c r="D72" s="28">
        <f t="shared" si="12"/>
        <v>-2</v>
      </c>
      <c r="E72" s="28">
        <f t="shared" si="12"/>
        <v>-15</v>
      </c>
      <c r="F72" s="28">
        <f t="shared" si="12"/>
        <v>-1</v>
      </c>
      <c r="G72" s="28">
        <f t="shared" si="12"/>
        <v>-8</v>
      </c>
      <c r="H72" s="28">
        <f t="shared" si="12"/>
        <v>0</v>
      </c>
      <c r="I72" s="28">
        <f t="shared" si="12"/>
        <v>-24</v>
      </c>
    </row>
    <row r="73" spans="1:9" x14ac:dyDescent="0.25">
      <c r="A73" s="27" t="s">
        <v>42</v>
      </c>
      <c r="B73" s="28">
        <f t="shared" si="10"/>
        <v>0</v>
      </c>
      <c r="C73" s="28">
        <f t="shared" si="12"/>
        <v>-2</v>
      </c>
      <c r="D73" s="28">
        <f t="shared" si="12"/>
        <v>1</v>
      </c>
      <c r="E73" s="28">
        <f t="shared" si="12"/>
        <v>-14</v>
      </c>
      <c r="F73" s="28">
        <f t="shared" si="12"/>
        <v>1</v>
      </c>
      <c r="G73" s="28">
        <f t="shared" si="12"/>
        <v>-24</v>
      </c>
      <c r="H73" s="28">
        <f t="shared" si="12"/>
        <v>0</v>
      </c>
      <c r="I73" s="28">
        <f t="shared" si="12"/>
        <v>-19</v>
      </c>
    </row>
    <row r="74" spans="1:9" x14ac:dyDescent="0.25">
      <c r="A74" s="27" t="s">
        <v>41</v>
      </c>
      <c r="B74" s="28">
        <f t="shared" si="10"/>
        <v>0</v>
      </c>
      <c r="C74" s="28">
        <f t="shared" si="12"/>
        <v>0</v>
      </c>
      <c r="D74" s="28">
        <f t="shared" si="12"/>
        <v>0</v>
      </c>
      <c r="E74" s="28">
        <f t="shared" si="12"/>
        <v>0</v>
      </c>
      <c r="F74" s="28">
        <f t="shared" si="12"/>
        <v>0</v>
      </c>
      <c r="G74" s="28">
        <f t="shared" si="12"/>
        <v>0</v>
      </c>
      <c r="H74" s="28">
        <f t="shared" si="12"/>
        <v>0</v>
      </c>
      <c r="I74" s="28">
        <f t="shared" si="12"/>
        <v>0</v>
      </c>
    </row>
    <row r="75" spans="1:9" x14ac:dyDescent="0.25">
      <c r="A75" s="26" t="s">
        <v>32</v>
      </c>
      <c r="B75" s="28">
        <f t="shared" si="10"/>
        <v>0</v>
      </c>
      <c r="C75" s="28">
        <f t="shared" si="12"/>
        <v>0</v>
      </c>
      <c r="D75" s="28">
        <f t="shared" si="12"/>
        <v>0</v>
      </c>
      <c r="E75" s="28">
        <f t="shared" si="12"/>
        <v>0</v>
      </c>
      <c r="F75" s="28">
        <f t="shared" si="12"/>
        <v>0</v>
      </c>
      <c r="G75" s="28">
        <f t="shared" si="12"/>
        <v>0</v>
      </c>
      <c r="H75" s="28">
        <f t="shared" si="12"/>
        <v>0</v>
      </c>
      <c r="I75" s="28">
        <f t="shared" si="12"/>
        <v>0</v>
      </c>
    </row>
    <row r="76" spans="1:9" x14ac:dyDescent="0.25">
      <c r="A76" s="27" t="s">
        <v>0</v>
      </c>
      <c r="B76" s="28">
        <f t="shared" si="10"/>
        <v>0</v>
      </c>
      <c r="C76" s="28">
        <f t="shared" si="12"/>
        <v>91</v>
      </c>
      <c r="D76" s="28">
        <f t="shared" si="12"/>
        <v>0</v>
      </c>
      <c r="E76" s="28">
        <f t="shared" si="12"/>
        <v>130</v>
      </c>
      <c r="F76" s="28">
        <f t="shared" si="12"/>
        <v>0</v>
      </c>
      <c r="G76" s="28">
        <f t="shared" si="12"/>
        <v>103</v>
      </c>
      <c r="H76" s="28">
        <f t="shared" si="12"/>
        <v>0</v>
      </c>
      <c r="I76" s="28">
        <f t="shared" si="12"/>
        <v>169</v>
      </c>
    </row>
    <row r="77" spans="1:9" x14ac:dyDescent="0.25">
      <c r="A77" s="27" t="s">
        <v>3</v>
      </c>
      <c r="B77" s="28">
        <f t="shared" si="10"/>
        <v>9</v>
      </c>
      <c r="C77" s="28">
        <f t="shared" si="12"/>
        <v>4</v>
      </c>
      <c r="D77" s="28">
        <f t="shared" si="12"/>
        <v>8</v>
      </c>
      <c r="E77" s="28">
        <f t="shared" si="12"/>
        <v>19</v>
      </c>
      <c r="F77" s="28">
        <f t="shared" si="12"/>
        <v>26</v>
      </c>
      <c r="G77" s="28">
        <f t="shared" si="12"/>
        <v>11</v>
      </c>
      <c r="H77" s="28">
        <f t="shared" si="12"/>
        <v>13</v>
      </c>
      <c r="I77" s="28">
        <f t="shared" si="12"/>
        <v>23</v>
      </c>
    </row>
    <row r="78" spans="1:9" x14ac:dyDescent="0.25">
      <c r="A78" s="27" t="s">
        <v>5</v>
      </c>
      <c r="B78" s="28">
        <f t="shared" si="10"/>
        <v>0</v>
      </c>
      <c r="C78" s="28">
        <f t="shared" si="12"/>
        <v>804</v>
      </c>
      <c r="D78" s="28">
        <f t="shared" si="12"/>
        <v>0</v>
      </c>
      <c r="E78" s="28">
        <f t="shared" si="12"/>
        <v>1222</v>
      </c>
      <c r="F78" s="28">
        <f t="shared" si="12"/>
        <v>1</v>
      </c>
      <c r="G78" s="28">
        <f t="shared" si="12"/>
        <v>898</v>
      </c>
      <c r="H78" s="28">
        <f t="shared" si="12"/>
        <v>8</v>
      </c>
      <c r="I78" s="28">
        <f t="shared" si="12"/>
        <v>1212</v>
      </c>
    </row>
    <row r="79" spans="1:9" x14ac:dyDescent="0.25">
      <c r="A79" s="27" t="s">
        <v>13</v>
      </c>
      <c r="B79" s="28">
        <f t="shared" ref="B79:I79" si="13">B48-B63</f>
        <v>2</v>
      </c>
      <c r="C79" s="28">
        <f t="shared" si="13"/>
        <v>0</v>
      </c>
      <c r="D79" s="28">
        <f t="shared" si="13"/>
        <v>2</v>
      </c>
      <c r="E79" s="28">
        <f t="shared" si="13"/>
        <v>0</v>
      </c>
      <c r="F79" s="28">
        <f t="shared" si="13"/>
        <v>10</v>
      </c>
      <c r="G79" s="28">
        <f t="shared" si="13"/>
        <v>4</v>
      </c>
      <c r="H79" s="28">
        <f t="shared" si="13"/>
        <v>4</v>
      </c>
      <c r="I79" s="28">
        <f t="shared" si="13"/>
        <v>9</v>
      </c>
    </row>
    <row r="80" spans="1:9" x14ac:dyDescent="0.25">
      <c r="A80" s="27" t="s">
        <v>4</v>
      </c>
      <c r="B80" s="28">
        <f t="shared" ref="B80:I80" si="14">B49-B64</f>
        <v>29</v>
      </c>
      <c r="C80" s="28">
        <f t="shared" si="14"/>
        <v>23</v>
      </c>
      <c r="D80" s="28">
        <f t="shared" si="14"/>
        <v>36</v>
      </c>
      <c r="E80" s="28">
        <f t="shared" si="14"/>
        <v>47</v>
      </c>
      <c r="F80" s="28">
        <f t="shared" si="14"/>
        <v>32</v>
      </c>
      <c r="G80" s="28">
        <f t="shared" si="14"/>
        <v>52</v>
      </c>
      <c r="H80" s="28">
        <f t="shared" si="14"/>
        <v>17</v>
      </c>
      <c r="I80" s="28">
        <f t="shared" si="14"/>
        <v>58</v>
      </c>
    </row>
  </sheetData>
  <mergeCells count="9">
    <mergeCell ref="B1:I1"/>
    <mergeCell ref="B2:C2"/>
    <mergeCell ref="D2:E2"/>
    <mergeCell ref="F2:G2"/>
    <mergeCell ref="H2:I2"/>
    <mergeCell ref="B34:C34"/>
    <mergeCell ref="D34:E34"/>
    <mergeCell ref="F34:G34"/>
    <mergeCell ref="H34:I34"/>
  </mergeCells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workbookViewId="0">
      <pane xSplit="1" topLeftCell="H1" activePane="topRight" state="frozen"/>
      <selection activeCell="E13" sqref="E13"/>
      <selection pane="topRight" activeCell="E13" sqref="E13"/>
    </sheetView>
  </sheetViews>
  <sheetFormatPr defaultRowHeight="13.2" x14ac:dyDescent="0.25"/>
  <cols>
    <col min="1" max="1" width="33" customWidth="1"/>
    <col min="2" max="2" width="19" customWidth="1"/>
    <col min="3" max="3" width="20.109375" customWidth="1"/>
    <col min="4" max="5" width="22.6640625" customWidth="1"/>
    <col min="6" max="6" width="20.109375" customWidth="1"/>
    <col min="7" max="7" width="22.6640625" customWidth="1"/>
    <col min="8" max="8" width="17.6640625" customWidth="1"/>
    <col min="9" max="10" width="15.6640625" customWidth="1"/>
    <col min="11" max="12" width="10.109375" customWidth="1"/>
  </cols>
  <sheetData>
    <row r="1" spans="1:38" ht="22.8" x14ac:dyDescent="0.4">
      <c r="A1" s="86" t="s">
        <v>35</v>
      </c>
      <c r="H1" s="85"/>
      <c r="I1" s="85"/>
    </row>
    <row r="2" spans="1:38" x14ac:dyDescent="0.25">
      <c r="B2" s="173" t="s">
        <v>110</v>
      </c>
      <c r="C2" s="174"/>
      <c r="D2" s="173" t="s">
        <v>111</v>
      </c>
      <c r="E2" s="174"/>
      <c r="F2" s="173" t="s">
        <v>112</v>
      </c>
      <c r="G2" s="174"/>
      <c r="H2" s="173" t="s">
        <v>113</v>
      </c>
      <c r="I2" s="189"/>
      <c r="J2" s="87" t="s">
        <v>114</v>
      </c>
    </row>
    <row r="3" spans="1:38" x14ac:dyDescent="0.25">
      <c r="A3" s="88" t="s">
        <v>115</v>
      </c>
      <c r="B3" s="89" t="s">
        <v>63</v>
      </c>
      <c r="C3" s="89" t="s">
        <v>116</v>
      </c>
      <c r="D3" s="89" t="s">
        <v>63</v>
      </c>
      <c r="E3" s="89" t="s">
        <v>116</v>
      </c>
      <c r="F3" s="89" t="s">
        <v>63</v>
      </c>
      <c r="G3" s="89" t="s">
        <v>116</v>
      </c>
      <c r="H3" s="89" t="s">
        <v>63</v>
      </c>
      <c r="I3" s="89" t="s">
        <v>116</v>
      </c>
      <c r="J3" s="90" t="s">
        <v>92</v>
      </c>
    </row>
    <row r="4" spans="1:38" x14ac:dyDescent="0.25">
      <c r="A4" s="2"/>
      <c r="B4" s="2"/>
      <c r="C4" s="2"/>
      <c r="D4" s="2"/>
      <c r="E4" s="2"/>
      <c r="F4" s="2"/>
      <c r="G4" s="2"/>
    </row>
    <row r="5" spans="1:38" x14ac:dyDescent="0.25">
      <c r="A5" s="5" t="s">
        <v>95</v>
      </c>
      <c r="B5" s="91"/>
      <c r="C5" s="91"/>
      <c r="D5" s="91"/>
      <c r="E5" s="91"/>
      <c r="F5" s="91"/>
      <c r="G5" s="91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x14ac:dyDescent="0.25">
      <c r="A6" s="6" t="s">
        <v>64</v>
      </c>
      <c r="B6" s="39">
        <v>8160</v>
      </c>
      <c r="C6" s="39">
        <v>867868927</v>
      </c>
      <c r="D6" s="39">
        <v>12264</v>
      </c>
      <c r="E6" s="39">
        <v>1430792953</v>
      </c>
      <c r="F6" s="39">
        <v>10083</v>
      </c>
      <c r="G6" s="39">
        <v>878002281</v>
      </c>
      <c r="H6" s="39">
        <v>13198</v>
      </c>
      <c r="I6" s="39">
        <v>1733178545</v>
      </c>
      <c r="J6" s="39" t="s">
        <v>81</v>
      </c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 x14ac:dyDescent="0.25">
      <c r="A7" s="6" t="s">
        <v>71</v>
      </c>
      <c r="B7" s="39">
        <v>657</v>
      </c>
      <c r="C7" s="39">
        <v>6392800</v>
      </c>
      <c r="D7" s="39">
        <v>1630</v>
      </c>
      <c r="E7" s="39">
        <v>15194425</v>
      </c>
      <c r="F7" s="39">
        <v>1725</v>
      </c>
      <c r="G7" s="39">
        <v>17506625</v>
      </c>
      <c r="H7" s="39">
        <v>1546</v>
      </c>
      <c r="I7" s="39">
        <v>14286440</v>
      </c>
      <c r="J7" s="39" t="s">
        <v>82</v>
      </c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 x14ac:dyDescent="0.25">
      <c r="A8" s="5" t="s">
        <v>32</v>
      </c>
      <c r="B8" s="91"/>
      <c r="C8" s="91"/>
      <c r="D8" s="91"/>
      <c r="E8" s="91"/>
      <c r="F8" s="91"/>
      <c r="G8" s="39"/>
      <c r="H8" s="39"/>
      <c r="I8" s="39"/>
      <c r="J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 x14ac:dyDescent="0.25">
      <c r="A9" s="6" t="s">
        <v>5</v>
      </c>
      <c r="B9" s="39">
        <v>840</v>
      </c>
      <c r="C9" s="39">
        <v>20894000</v>
      </c>
      <c r="D9" s="39">
        <v>1580</v>
      </c>
      <c r="E9" s="39">
        <v>40911000</v>
      </c>
      <c r="F9" s="39">
        <v>1052</v>
      </c>
      <c r="G9" s="39">
        <v>25743000</v>
      </c>
      <c r="H9" s="39">
        <v>1552</v>
      </c>
      <c r="I9" s="39">
        <v>36444595</v>
      </c>
      <c r="J9" s="39" t="s">
        <v>99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 x14ac:dyDescent="0.25">
      <c r="A10" s="6" t="s">
        <v>4</v>
      </c>
      <c r="B10" s="39">
        <v>25</v>
      </c>
      <c r="C10" s="39">
        <v>1054250</v>
      </c>
      <c r="D10" s="39">
        <v>32</v>
      </c>
      <c r="E10" s="39">
        <v>697000</v>
      </c>
      <c r="F10" s="39">
        <v>21</v>
      </c>
      <c r="G10" s="39">
        <v>677000</v>
      </c>
      <c r="H10" s="39">
        <v>12</v>
      </c>
      <c r="I10" s="39">
        <v>258000</v>
      </c>
      <c r="J10" s="39" t="s">
        <v>100</v>
      </c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 x14ac:dyDescent="0.25">
      <c r="A11" s="6" t="s">
        <v>117</v>
      </c>
      <c r="B11" s="39">
        <v>4</v>
      </c>
      <c r="C11" s="39">
        <v>153000</v>
      </c>
      <c r="D11" s="39">
        <v>4</v>
      </c>
      <c r="E11" s="39">
        <v>177000</v>
      </c>
      <c r="F11" s="39">
        <v>11</v>
      </c>
      <c r="G11" s="39">
        <v>465000</v>
      </c>
      <c r="H11" s="39">
        <v>5</v>
      </c>
      <c r="I11" s="39">
        <v>225000</v>
      </c>
      <c r="J11" s="39" t="s">
        <v>100</v>
      </c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 x14ac:dyDescent="0.25">
      <c r="A12" s="6" t="s">
        <v>3</v>
      </c>
      <c r="B12" s="39">
        <v>9</v>
      </c>
      <c r="C12" s="39">
        <v>2700</v>
      </c>
      <c r="D12" s="39">
        <v>8</v>
      </c>
      <c r="E12" s="39">
        <v>2400</v>
      </c>
      <c r="F12" s="39">
        <v>26</v>
      </c>
      <c r="G12" s="39">
        <v>8400</v>
      </c>
      <c r="H12" s="39">
        <v>13</v>
      </c>
      <c r="I12" s="39">
        <v>3900</v>
      </c>
      <c r="J12" s="39" t="s">
        <v>101</v>
      </c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x14ac:dyDescent="0.25">
      <c r="A13" s="6" t="s">
        <v>0</v>
      </c>
      <c r="B13" s="39">
        <v>0</v>
      </c>
      <c r="C13" s="39">
        <v>0</v>
      </c>
      <c r="D13" s="39">
        <v>0</v>
      </c>
      <c r="E13" s="39">
        <v>0</v>
      </c>
      <c r="F13">
        <v>0</v>
      </c>
      <c r="G13" s="39">
        <v>0</v>
      </c>
      <c r="H13" s="39">
        <v>0</v>
      </c>
      <c r="I13" s="39">
        <v>0</v>
      </c>
      <c r="J13" s="39" t="s">
        <v>102</v>
      </c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 x14ac:dyDescent="0.25">
      <c r="A14" s="6" t="s">
        <v>13</v>
      </c>
      <c r="B14" s="39">
        <v>2</v>
      </c>
      <c r="C14" s="39">
        <v>5000</v>
      </c>
      <c r="D14" s="39">
        <v>2</v>
      </c>
      <c r="E14" s="39">
        <v>5000</v>
      </c>
      <c r="F14" s="39">
        <v>10</v>
      </c>
      <c r="G14" s="39">
        <v>25000</v>
      </c>
      <c r="H14" s="39">
        <v>4</v>
      </c>
      <c r="I14" s="39">
        <v>10000</v>
      </c>
      <c r="J14" s="39" t="s">
        <v>103</v>
      </c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 x14ac:dyDescent="0.25">
      <c r="A15" s="5" t="s">
        <v>33</v>
      </c>
      <c r="B15" s="91"/>
      <c r="C15" s="91"/>
      <c r="D15" s="91"/>
      <c r="E15" s="91"/>
      <c r="F15" s="91"/>
      <c r="G15" s="39"/>
      <c r="H15" s="39"/>
      <c r="I15" s="39"/>
      <c r="J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 x14ac:dyDescent="0.25">
      <c r="A16" s="6" t="s">
        <v>118</v>
      </c>
      <c r="B16" s="39">
        <v>0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 t="s">
        <v>100</v>
      </c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 x14ac:dyDescent="0.25">
      <c r="A17" s="6" t="s">
        <v>41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 t="s">
        <v>100</v>
      </c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 x14ac:dyDescent="0.25">
      <c r="B18" s="39"/>
      <c r="C18" s="39"/>
      <c r="D18" s="39"/>
      <c r="E18" s="39"/>
      <c r="F18" s="39"/>
      <c r="G18" s="39"/>
      <c r="H18" s="39"/>
      <c r="I18" s="39"/>
      <c r="J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 x14ac:dyDescent="0.25">
      <c r="B19" s="39"/>
      <c r="C19" s="39"/>
      <c r="D19" s="39"/>
      <c r="E19" s="39"/>
      <c r="F19" s="39"/>
      <c r="G19" s="39"/>
      <c r="H19" s="39"/>
      <c r="J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 x14ac:dyDescent="0.25">
      <c r="A20" s="2" t="s">
        <v>119</v>
      </c>
      <c r="B20" s="91">
        <v>5</v>
      </c>
      <c r="C20" s="91"/>
      <c r="D20" s="91">
        <v>7</v>
      </c>
      <c r="E20" s="91"/>
      <c r="F20" s="91">
        <v>7</v>
      </c>
      <c r="G20" s="39"/>
      <c r="H20" s="91">
        <v>14</v>
      </c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 x14ac:dyDescent="0.2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 x14ac:dyDescent="0.25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 x14ac:dyDescent="0.2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 ht="22.8" x14ac:dyDescent="0.4">
      <c r="A24" s="86" t="s">
        <v>30</v>
      </c>
    </row>
    <row r="25" spans="1:38" x14ac:dyDescent="0.25">
      <c r="B25" s="173" t="s">
        <v>110</v>
      </c>
      <c r="C25" s="174"/>
      <c r="D25" s="173" t="s">
        <v>111</v>
      </c>
      <c r="E25" s="174"/>
      <c r="F25" s="173" t="s">
        <v>112</v>
      </c>
      <c r="G25" s="174"/>
      <c r="H25" s="173" t="s">
        <v>113</v>
      </c>
      <c r="I25" s="174"/>
      <c r="J25" s="87" t="s">
        <v>114</v>
      </c>
    </row>
    <row r="26" spans="1:38" x14ac:dyDescent="0.25">
      <c r="A26" s="88" t="s">
        <v>115</v>
      </c>
      <c r="B26" s="89" t="s">
        <v>63</v>
      </c>
      <c r="C26" s="89" t="s">
        <v>116</v>
      </c>
      <c r="D26" s="89" t="s">
        <v>63</v>
      </c>
      <c r="E26" s="89" t="s">
        <v>116</v>
      </c>
      <c r="F26" s="89" t="s">
        <v>63</v>
      </c>
      <c r="G26" s="89" t="s">
        <v>116</v>
      </c>
      <c r="H26" s="89" t="s">
        <v>63</v>
      </c>
      <c r="I26" s="89" t="s">
        <v>116</v>
      </c>
      <c r="J26" s="90" t="s">
        <v>92</v>
      </c>
    </row>
    <row r="27" spans="1:38" x14ac:dyDescent="0.25">
      <c r="A27" s="2"/>
      <c r="B27" s="2"/>
      <c r="C27" s="2"/>
      <c r="D27" s="2"/>
      <c r="E27" s="2"/>
      <c r="F27" s="2"/>
      <c r="G27" s="2"/>
    </row>
    <row r="28" spans="1:38" x14ac:dyDescent="0.25">
      <c r="A28" s="5" t="s">
        <v>95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</row>
    <row r="29" spans="1:38" x14ac:dyDescent="0.25">
      <c r="A29" s="6" t="s">
        <v>64</v>
      </c>
      <c r="B29" s="39">
        <v>1993</v>
      </c>
      <c r="C29" s="39">
        <v>890462662</v>
      </c>
      <c r="D29" s="39">
        <v>3200</v>
      </c>
      <c r="E29" s="39">
        <v>1770313517</v>
      </c>
      <c r="F29" s="39">
        <v>2671</v>
      </c>
      <c r="G29" s="39">
        <v>1064343180</v>
      </c>
      <c r="H29" s="39">
        <v>3425</v>
      </c>
      <c r="I29" s="39">
        <v>3219027521</v>
      </c>
      <c r="J29" s="39" t="s">
        <v>81</v>
      </c>
      <c r="K29" s="39"/>
      <c r="L29" s="39"/>
      <c r="M29" s="39"/>
      <c r="N29" s="39"/>
      <c r="O29" s="39"/>
      <c r="P29" s="39"/>
    </row>
    <row r="30" spans="1:38" x14ac:dyDescent="0.25">
      <c r="A30" s="6" t="s">
        <v>71</v>
      </c>
      <c r="B30" s="39">
        <v>1073</v>
      </c>
      <c r="C30" s="39">
        <v>9653441</v>
      </c>
      <c r="D30" s="39">
        <v>1806</v>
      </c>
      <c r="E30" s="39">
        <v>37468366</v>
      </c>
      <c r="F30" s="39">
        <v>2056</v>
      </c>
      <c r="G30" s="39">
        <v>30644030</v>
      </c>
      <c r="H30" s="39">
        <v>2149</v>
      </c>
      <c r="I30" s="39">
        <v>23302801</v>
      </c>
      <c r="J30" s="39" t="s">
        <v>82</v>
      </c>
      <c r="K30" s="39"/>
      <c r="L30" s="39"/>
      <c r="M30" s="39"/>
      <c r="N30" s="39"/>
      <c r="O30" s="39"/>
      <c r="P30" s="39"/>
    </row>
    <row r="31" spans="1:38" x14ac:dyDescent="0.25">
      <c r="A31" s="5" t="s">
        <v>32</v>
      </c>
      <c r="B31" s="39"/>
      <c r="C31" s="39"/>
      <c r="D31" s="91"/>
      <c r="E31" s="91"/>
      <c r="F31" s="91"/>
      <c r="G31" s="39"/>
      <c r="H31" s="39"/>
      <c r="I31" s="39"/>
      <c r="J31" s="39"/>
      <c r="K31" s="39"/>
      <c r="L31" s="39"/>
      <c r="M31" s="39"/>
      <c r="N31" s="39"/>
      <c r="O31" s="39"/>
      <c r="P31" s="39"/>
    </row>
    <row r="32" spans="1:38" x14ac:dyDescent="0.25">
      <c r="A32" s="6" t="s">
        <v>5</v>
      </c>
      <c r="B32" s="39">
        <v>995</v>
      </c>
      <c r="C32" s="39">
        <v>69536383</v>
      </c>
      <c r="D32" s="39">
        <v>1678</v>
      </c>
      <c r="E32" s="39">
        <v>131872348</v>
      </c>
      <c r="F32" s="39">
        <v>1147</v>
      </c>
      <c r="G32" s="39">
        <v>82109720</v>
      </c>
      <c r="H32" s="39">
        <v>1511</v>
      </c>
      <c r="I32" s="39">
        <v>114536993</v>
      </c>
      <c r="J32" s="39" t="s">
        <v>99</v>
      </c>
      <c r="K32" s="39"/>
      <c r="L32" s="39"/>
      <c r="M32" s="39"/>
      <c r="N32" s="39"/>
      <c r="O32" s="39"/>
      <c r="P32" s="39"/>
    </row>
    <row r="33" spans="1:16" x14ac:dyDescent="0.25">
      <c r="A33" s="6" t="s">
        <v>4</v>
      </c>
      <c r="B33" s="39">
        <v>8</v>
      </c>
      <c r="C33" s="39">
        <v>691091</v>
      </c>
      <c r="D33" s="39">
        <v>39</v>
      </c>
      <c r="E33" s="39">
        <v>2157306</v>
      </c>
      <c r="F33" s="39">
        <v>34</v>
      </c>
      <c r="G33" s="39">
        <v>2376119.09</v>
      </c>
      <c r="H33" s="39">
        <v>24</v>
      </c>
      <c r="I33" s="39">
        <v>1716010</v>
      </c>
      <c r="J33" s="39" t="s">
        <v>100</v>
      </c>
      <c r="K33" s="39"/>
      <c r="L33" s="39"/>
      <c r="M33" s="39"/>
      <c r="N33" s="39"/>
      <c r="O33" s="39"/>
      <c r="P33" s="39"/>
    </row>
    <row r="34" spans="1:16" x14ac:dyDescent="0.25">
      <c r="A34" s="6" t="s">
        <v>117</v>
      </c>
      <c r="B34" s="39">
        <v>15</v>
      </c>
      <c r="C34" s="39">
        <v>1089373</v>
      </c>
      <c r="D34" s="39">
        <v>8</v>
      </c>
      <c r="E34" s="39">
        <v>357627</v>
      </c>
      <c r="F34" s="39">
        <v>18</v>
      </c>
      <c r="G34" s="39">
        <v>1166000</v>
      </c>
      <c r="H34" s="39">
        <v>34</v>
      </c>
      <c r="I34" s="39">
        <v>1765000</v>
      </c>
      <c r="J34" s="39" t="s">
        <v>100</v>
      </c>
      <c r="K34" s="39"/>
      <c r="L34" s="39"/>
      <c r="M34" s="39"/>
      <c r="N34" s="39"/>
      <c r="O34" s="39"/>
      <c r="P34" s="39"/>
    </row>
    <row r="35" spans="1:16" x14ac:dyDescent="0.25">
      <c r="A35" s="6" t="s">
        <v>3</v>
      </c>
      <c r="B35" s="39">
        <v>4</v>
      </c>
      <c r="C35" s="39">
        <v>46550</v>
      </c>
      <c r="D35" s="39">
        <v>19</v>
      </c>
      <c r="E35" s="39">
        <v>42950</v>
      </c>
      <c r="F35" s="39">
        <v>11</v>
      </c>
      <c r="G35" s="39">
        <v>112500</v>
      </c>
      <c r="H35" s="39">
        <v>23</v>
      </c>
      <c r="I35" s="39">
        <v>111600</v>
      </c>
      <c r="J35" s="39" t="s">
        <v>101</v>
      </c>
      <c r="K35" s="39"/>
      <c r="L35" s="39"/>
      <c r="M35" s="39"/>
      <c r="N35" s="39"/>
      <c r="O35" s="39"/>
      <c r="P35" s="39"/>
    </row>
    <row r="36" spans="1:16" x14ac:dyDescent="0.25">
      <c r="A36" s="6" t="s">
        <v>0</v>
      </c>
      <c r="B36" s="39">
        <v>91</v>
      </c>
      <c r="C36" s="39">
        <v>6275000</v>
      </c>
      <c r="D36" s="39">
        <v>130</v>
      </c>
      <c r="E36" s="39">
        <v>6398750</v>
      </c>
      <c r="F36" s="39">
        <v>103</v>
      </c>
      <c r="G36" s="39">
        <v>3718000</v>
      </c>
      <c r="H36" s="39">
        <v>169</v>
      </c>
      <c r="I36" s="39">
        <v>6618000</v>
      </c>
      <c r="J36" s="39" t="s">
        <v>102</v>
      </c>
      <c r="K36" s="39"/>
      <c r="L36" s="39"/>
      <c r="M36" s="39"/>
      <c r="N36" s="39"/>
      <c r="O36" s="39"/>
      <c r="P36" s="39"/>
    </row>
    <row r="37" spans="1:16" x14ac:dyDescent="0.25">
      <c r="A37" s="6" t="s">
        <v>13</v>
      </c>
      <c r="B37" s="39">
        <v>0</v>
      </c>
      <c r="C37" s="39">
        <v>0</v>
      </c>
      <c r="D37" s="39">
        <v>0</v>
      </c>
      <c r="E37" s="39">
        <v>0</v>
      </c>
      <c r="F37" s="39">
        <v>4</v>
      </c>
      <c r="G37" s="39">
        <v>9100</v>
      </c>
      <c r="H37" s="39">
        <v>9</v>
      </c>
      <c r="I37" s="39">
        <v>97570</v>
      </c>
      <c r="J37" s="39" t="s">
        <v>103</v>
      </c>
      <c r="K37" s="39"/>
      <c r="L37" s="39"/>
      <c r="M37" s="39"/>
      <c r="N37" s="39"/>
      <c r="O37" s="39"/>
      <c r="P37" s="39"/>
    </row>
    <row r="38" spans="1:16" x14ac:dyDescent="0.25">
      <c r="A38" s="5" t="s">
        <v>33</v>
      </c>
      <c r="B38" s="39"/>
      <c r="C38" s="39"/>
      <c r="D38" s="91"/>
      <c r="E38" s="91"/>
      <c r="F38" s="91"/>
      <c r="G38" s="39"/>
      <c r="H38" s="39"/>
      <c r="I38" s="39"/>
      <c r="J38" s="39"/>
      <c r="K38" s="39"/>
      <c r="L38" s="39"/>
      <c r="M38" s="39"/>
      <c r="N38" s="39"/>
      <c r="O38" s="39"/>
      <c r="P38" s="39"/>
    </row>
    <row r="39" spans="1:16" x14ac:dyDescent="0.25">
      <c r="A39" s="6" t="s">
        <v>118</v>
      </c>
      <c r="B39" s="39">
        <v>29</v>
      </c>
      <c r="C39" s="39">
        <v>59379.953999999998</v>
      </c>
      <c r="D39" s="39">
        <v>33</v>
      </c>
      <c r="E39" s="39">
        <v>23310.969000000001</v>
      </c>
      <c r="F39" s="39">
        <v>31</v>
      </c>
      <c r="G39" s="39">
        <v>213378.00200000001</v>
      </c>
      <c r="H39" s="39">
        <v>53</v>
      </c>
      <c r="I39" s="39">
        <v>19114.954999999998</v>
      </c>
      <c r="J39" s="39" t="s">
        <v>100</v>
      </c>
      <c r="K39" s="39"/>
      <c r="L39" s="39"/>
      <c r="M39" s="39"/>
      <c r="N39" s="39"/>
      <c r="O39" s="39"/>
      <c r="P39" s="39"/>
    </row>
    <row r="40" spans="1:16" x14ac:dyDescent="0.25">
      <c r="A40" s="6" t="s">
        <v>41</v>
      </c>
      <c r="B40" s="39">
        <v>0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 t="s">
        <v>100</v>
      </c>
      <c r="K40" s="39"/>
      <c r="L40" s="39"/>
      <c r="M40" s="39"/>
      <c r="N40" s="39"/>
      <c r="O40" s="39"/>
      <c r="P40" s="39"/>
    </row>
    <row r="41" spans="1:16" x14ac:dyDescent="0.25">
      <c r="A41" s="6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</row>
    <row r="42" spans="1:16" x14ac:dyDescent="0.25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</row>
    <row r="43" spans="1:16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</row>
    <row r="44" spans="1:16" ht="22.8" x14ac:dyDescent="0.4">
      <c r="A44" s="86" t="s">
        <v>120</v>
      </c>
    </row>
    <row r="45" spans="1:16" x14ac:dyDescent="0.25">
      <c r="B45" s="173" t="s">
        <v>110</v>
      </c>
      <c r="C45" s="174"/>
      <c r="D45" s="173" t="s">
        <v>111</v>
      </c>
      <c r="E45" s="174"/>
      <c r="F45" s="173" t="s">
        <v>112</v>
      </c>
      <c r="G45" s="174"/>
      <c r="H45" s="173" t="s">
        <v>113</v>
      </c>
      <c r="I45" s="174"/>
      <c r="J45" s="87" t="s">
        <v>114</v>
      </c>
    </row>
    <row r="46" spans="1:16" x14ac:dyDescent="0.25">
      <c r="A46" s="88" t="s">
        <v>115</v>
      </c>
      <c r="B46" s="89" t="s">
        <v>63</v>
      </c>
      <c r="C46" s="89" t="s">
        <v>116</v>
      </c>
      <c r="D46" s="89" t="s">
        <v>63</v>
      </c>
      <c r="E46" s="89" t="s">
        <v>116</v>
      </c>
      <c r="F46" s="89" t="s">
        <v>63</v>
      </c>
      <c r="G46" s="89" t="s">
        <v>116</v>
      </c>
      <c r="H46" s="89" t="s">
        <v>63</v>
      </c>
      <c r="I46" s="89" t="s">
        <v>116</v>
      </c>
      <c r="J46" s="90" t="s">
        <v>92</v>
      </c>
    </row>
    <row r="48" spans="1:16" x14ac:dyDescent="0.25">
      <c r="A48" s="5" t="s">
        <v>33</v>
      </c>
      <c r="B48" s="95"/>
      <c r="C48" s="95"/>
      <c r="D48" s="95"/>
      <c r="E48" s="95"/>
      <c r="F48" s="95"/>
      <c r="G48" s="95"/>
      <c r="H48" s="95"/>
      <c r="I48" s="95"/>
    </row>
    <row r="49" spans="1:10" x14ac:dyDescent="0.25">
      <c r="A49" s="6" t="s">
        <v>39</v>
      </c>
      <c r="B49" s="95">
        <v>4</v>
      </c>
      <c r="C49" s="95">
        <v>247000</v>
      </c>
      <c r="D49" s="95">
        <v>9</v>
      </c>
      <c r="E49" s="95">
        <v>492000</v>
      </c>
      <c r="F49" s="95">
        <v>4</v>
      </c>
      <c r="G49" s="95">
        <v>88000</v>
      </c>
      <c r="H49" s="95">
        <v>2</v>
      </c>
      <c r="I49" s="95">
        <v>220000</v>
      </c>
      <c r="J49" t="s">
        <v>121</v>
      </c>
    </row>
    <row r="50" spans="1:10" x14ac:dyDescent="0.25">
      <c r="A50" s="6" t="s">
        <v>40</v>
      </c>
      <c r="B50" s="95">
        <v>0</v>
      </c>
      <c r="C50" s="95">
        <v>0</v>
      </c>
      <c r="D50" s="95">
        <v>0</v>
      </c>
      <c r="E50" s="95">
        <v>0</v>
      </c>
      <c r="F50" s="95">
        <v>0</v>
      </c>
      <c r="G50" s="95">
        <v>0</v>
      </c>
      <c r="H50" s="95">
        <v>0</v>
      </c>
      <c r="I50" s="95">
        <v>0</v>
      </c>
    </row>
    <row r="51" spans="1:10" x14ac:dyDescent="0.25">
      <c r="A51" s="6" t="s">
        <v>42</v>
      </c>
      <c r="B51" s="95">
        <v>4</v>
      </c>
      <c r="C51" s="95">
        <v>910</v>
      </c>
      <c r="D51" s="95">
        <v>4</v>
      </c>
      <c r="E51" s="95">
        <v>12450</v>
      </c>
      <c r="F51" s="95">
        <v>1</v>
      </c>
      <c r="G51" s="95">
        <v>20</v>
      </c>
      <c r="H51" s="95">
        <v>0</v>
      </c>
      <c r="I51" s="95">
        <v>0</v>
      </c>
      <c r="J51" t="s">
        <v>122</v>
      </c>
    </row>
    <row r="53" spans="1:10" x14ac:dyDescent="0.25">
      <c r="A53" s="2" t="s">
        <v>123</v>
      </c>
      <c r="B53" s="2">
        <v>1</v>
      </c>
      <c r="C53" s="2"/>
      <c r="D53" s="2">
        <v>1</v>
      </c>
      <c r="E53" s="2"/>
      <c r="F53" s="2">
        <v>0</v>
      </c>
      <c r="G53" s="2"/>
      <c r="H53" s="2">
        <v>0</v>
      </c>
    </row>
    <row r="55" spans="1:10" x14ac:dyDescent="0.25">
      <c r="A55" s="4" t="s">
        <v>125</v>
      </c>
      <c r="C55" s="96">
        <f>C49*0.0022374</f>
        <v>552.63779999999997</v>
      </c>
      <c r="E55" s="96">
        <f>E49*0.0022374</f>
        <v>1100.8008</v>
      </c>
      <c r="G55" s="96">
        <f>G49*0.0022374</f>
        <v>196.8912</v>
      </c>
      <c r="I55" s="96">
        <f>I49*0.0022374</f>
        <v>492.22800000000001</v>
      </c>
    </row>
    <row r="58" spans="1:10" s="2" customFormat="1" x14ac:dyDescent="0.25">
      <c r="A58" s="5" t="s">
        <v>126</v>
      </c>
      <c r="C58" s="97">
        <f>C55+C51+C40+C39+C17+C16</f>
        <v>60842.591799999995</v>
      </c>
      <c r="E58" s="97">
        <f>E55+E51+E40+E39+E17+E16</f>
        <v>36861.769800000002</v>
      </c>
      <c r="G58" s="97">
        <f>G55+G51+G40+G39+G17+G16</f>
        <v>213594.89320000002</v>
      </c>
      <c r="I58" s="97">
        <f>I55+I51+I40+I39+I17+I16</f>
        <v>19607.182999999997</v>
      </c>
    </row>
    <row r="61" spans="1:10" ht="22.8" x14ac:dyDescent="0.4">
      <c r="A61" s="86" t="s">
        <v>35</v>
      </c>
      <c r="H61" s="85"/>
      <c r="I61" s="85"/>
    </row>
    <row r="62" spans="1:10" x14ac:dyDescent="0.25">
      <c r="B62" s="173" t="s">
        <v>110</v>
      </c>
      <c r="C62" s="174"/>
      <c r="D62" s="173" t="s">
        <v>111</v>
      </c>
      <c r="E62" s="174"/>
      <c r="F62" s="173" t="s">
        <v>112</v>
      </c>
      <c r="G62" s="174"/>
      <c r="H62" s="173" t="s">
        <v>113</v>
      </c>
      <c r="I62" s="189"/>
      <c r="J62" s="87" t="s">
        <v>114</v>
      </c>
    </row>
    <row r="63" spans="1:10" x14ac:dyDescent="0.25">
      <c r="A63" s="88" t="s">
        <v>115</v>
      </c>
      <c r="B63" s="89" t="s">
        <v>63</v>
      </c>
      <c r="C63" s="89" t="s">
        <v>116</v>
      </c>
      <c r="D63" s="89" t="s">
        <v>63</v>
      </c>
      <c r="E63" s="89" t="s">
        <v>116</v>
      </c>
      <c r="F63" s="89" t="s">
        <v>63</v>
      </c>
      <c r="G63" s="89" t="s">
        <v>116</v>
      </c>
      <c r="H63" s="89" t="s">
        <v>63</v>
      </c>
      <c r="I63" s="89" t="s">
        <v>116</v>
      </c>
      <c r="J63" s="90" t="s">
        <v>92</v>
      </c>
    </row>
    <row r="64" spans="1:10" x14ac:dyDescent="0.25">
      <c r="A64" s="2"/>
      <c r="B64" s="2"/>
      <c r="C64" s="2"/>
      <c r="D64" s="2"/>
      <c r="E64" s="2"/>
      <c r="F64" s="2"/>
      <c r="G64" s="2"/>
    </row>
    <row r="65" spans="1:38" x14ac:dyDescent="0.25">
      <c r="A65" s="5" t="s">
        <v>95</v>
      </c>
      <c r="B65" s="91"/>
      <c r="C65" s="91"/>
      <c r="D65" s="91"/>
      <c r="E65" s="91"/>
      <c r="F65" s="91"/>
      <c r="G65" s="91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 x14ac:dyDescent="0.25">
      <c r="A66" s="6" t="s">
        <v>64</v>
      </c>
      <c r="B66" s="39">
        <f t="shared" ref="B66:B75" si="0">B6+B29</f>
        <v>10153</v>
      </c>
      <c r="C66" s="39">
        <f t="shared" ref="C66:I66" si="1">C6+C29</f>
        <v>1758331589</v>
      </c>
      <c r="D66" s="39">
        <f t="shared" si="1"/>
        <v>15464</v>
      </c>
      <c r="E66" s="39">
        <f t="shared" si="1"/>
        <v>3201106470</v>
      </c>
      <c r="F66" s="39">
        <f t="shared" si="1"/>
        <v>12754</v>
      </c>
      <c r="G66" s="39">
        <f t="shared" si="1"/>
        <v>1942345461</v>
      </c>
      <c r="H66" s="39">
        <f t="shared" si="1"/>
        <v>16623</v>
      </c>
      <c r="I66" s="39">
        <f t="shared" si="1"/>
        <v>4952206066</v>
      </c>
      <c r="J66" s="39" t="s">
        <v>81</v>
      </c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 x14ac:dyDescent="0.25">
      <c r="A67" s="6" t="s">
        <v>71</v>
      </c>
      <c r="B67" s="39">
        <f t="shared" si="0"/>
        <v>1730</v>
      </c>
      <c r="C67" s="39">
        <f t="shared" ref="C67:I75" si="2">C7+C30</f>
        <v>16046241</v>
      </c>
      <c r="D67" s="39">
        <f t="shared" si="2"/>
        <v>3436</v>
      </c>
      <c r="E67" s="39">
        <f t="shared" si="2"/>
        <v>52662791</v>
      </c>
      <c r="F67" s="39">
        <f t="shared" si="2"/>
        <v>3781</v>
      </c>
      <c r="G67" s="39">
        <f t="shared" si="2"/>
        <v>48150655</v>
      </c>
      <c r="H67" s="39">
        <f t="shared" si="2"/>
        <v>3695</v>
      </c>
      <c r="I67" s="39">
        <f t="shared" si="2"/>
        <v>37589241</v>
      </c>
      <c r="J67" s="39" t="s">
        <v>82</v>
      </c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 x14ac:dyDescent="0.25">
      <c r="A68" s="5" t="s">
        <v>32</v>
      </c>
      <c r="B68" s="39">
        <f t="shared" si="0"/>
        <v>0</v>
      </c>
      <c r="C68" s="39">
        <f t="shared" si="2"/>
        <v>0</v>
      </c>
      <c r="D68" s="39">
        <f t="shared" si="2"/>
        <v>0</v>
      </c>
      <c r="E68" s="39">
        <f t="shared" si="2"/>
        <v>0</v>
      </c>
      <c r="F68" s="39">
        <f t="shared" si="2"/>
        <v>0</v>
      </c>
      <c r="G68" s="39">
        <f t="shared" si="2"/>
        <v>0</v>
      </c>
      <c r="H68" s="39">
        <f t="shared" si="2"/>
        <v>0</v>
      </c>
      <c r="I68" s="39">
        <f t="shared" si="2"/>
        <v>0</v>
      </c>
      <c r="J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 x14ac:dyDescent="0.25">
      <c r="A69" s="6" t="s">
        <v>5</v>
      </c>
      <c r="B69" s="39">
        <f t="shared" si="0"/>
        <v>1835</v>
      </c>
      <c r="C69" s="39">
        <f t="shared" si="2"/>
        <v>90430383</v>
      </c>
      <c r="D69" s="39">
        <f t="shared" si="2"/>
        <v>3258</v>
      </c>
      <c r="E69" s="39">
        <f t="shared" si="2"/>
        <v>172783348</v>
      </c>
      <c r="F69" s="39">
        <f t="shared" si="2"/>
        <v>2199</v>
      </c>
      <c r="G69" s="39">
        <f t="shared" si="2"/>
        <v>107852720</v>
      </c>
      <c r="H69" s="39">
        <f t="shared" si="2"/>
        <v>3063</v>
      </c>
      <c r="I69" s="39">
        <f t="shared" si="2"/>
        <v>150981588</v>
      </c>
      <c r="J69" s="39" t="s">
        <v>99</v>
      </c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 x14ac:dyDescent="0.25">
      <c r="A70" s="6" t="s">
        <v>4</v>
      </c>
      <c r="B70" s="39">
        <f t="shared" si="0"/>
        <v>33</v>
      </c>
      <c r="C70" s="39">
        <f t="shared" si="2"/>
        <v>1745341</v>
      </c>
      <c r="D70" s="39">
        <f t="shared" si="2"/>
        <v>71</v>
      </c>
      <c r="E70" s="39">
        <f t="shared" si="2"/>
        <v>2854306</v>
      </c>
      <c r="F70" s="39">
        <f t="shared" si="2"/>
        <v>55</v>
      </c>
      <c r="G70" s="39">
        <f t="shared" si="2"/>
        <v>3053119.09</v>
      </c>
      <c r="H70" s="39">
        <f t="shared" si="2"/>
        <v>36</v>
      </c>
      <c r="I70" s="39">
        <f t="shared" si="2"/>
        <v>1974010</v>
      </c>
      <c r="J70" s="39" t="s">
        <v>100</v>
      </c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 x14ac:dyDescent="0.25">
      <c r="A71" s="6" t="s">
        <v>117</v>
      </c>
      <c r="B71" s="39">
        <f t="shared" si="0"/>
        <v>19</v>
      </c>
      <c r="C71" s="39">
        <f t="shared" si="2"/>
        <v>1242373</v>
      </c>
      <c r="D71" s="39">
        <f t="shared" si="2"/>
        <v>12</v>
      </c>
      <c r="E71" s="39">
        <f t="shared" si="2"/>
        <v>534627</v>
      </c>
      <c r="F71" s="39">
        <f t="shared" si="2"/>
        <v>29</v>
      </c>
      <c r="G71" s="39">
        <f t="shared" si="2"/>
        <v>1631000</v>
      </c>
      <c r="H71" s="39">
        <f t="shared" si="2"/>
        <v>39</v>
      </c>
      <c r="I71" s="39">
        <f t="shared" si="2"/>
        <v>1990000</v>
      </c>
      <c r="J71" s="39" t="s">
        <v>100</v>
      </c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 x14ac:dyDescent="0.25">
      <c r="A72" s="6" t="s">
        <v>3</v>
      </c>
      <c r="B72" s="39">
        <f t="shared" si="0"/>
        <v>13</v>
      </c>
      <c r="C72" s="39">
        <f t="shared" si="2"/>
        <v>49250</v>
      </c>
      <c r="D72" s="39">
        <f t="shared" si="2"/>
        <v>27</v>
      </c>
      <c r="E72" s="39">
        <f t="shared" si="2"/>
        <v>45350</v>
      </c>
      <c r="F72" s="39">
        <f t="shared" si="2"/>
        <v>37</v>
      </c>
      <c r="G72" s="39">
        <f t="shared" si="2"/>
        <v>120900</v>
      </c>
      <c r="H72" s="39">
        <f t="shared" si="2"/>
        <v>36</v>
      </c>
      <c r="I72" s="39">
        <f t="shared" si="2"/>
        <v>115500</v>
      </c>
      <c r="J72" s="39" t="s">
        <v>101</v>
      </c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 x14ac:dyDescent="0.25">
      <c r="A73" s="6" t="s">
        <v>0</v>
      </c>
      <c r="B73" s="39">
        <f t="shared" si="0"/>
        <v>91</v>
      </c>
      <c r="C73" s="39">
        <f t="shared" si="2"/>
        <v>6275000</v>
      </c>
      <c r="D73" s="39">
        <f t="shared" si="2"/>
        <v>130</v>
      </c>
      <c r="E73" s="39">
        <f t="shared" si="2"/>
        <v>6398750</v>
      </c>
      <c r="F73" s="39">
        <f t="shared" si="2"/>
        <v>103</v>
      </c>
      <c r="G73" s="39">
        <f t="shared" si="2"/>
        <v>3718000</v>
      </c>
      <c r="H73" s="39">
        <f t="shared" si="2"/>
        <v>169</v>
      </c>
      <c r="I73" s="39">
        <f t="shared" si="2"/>
        <v>6618000</v>
      </c>
      <c r="J73" s="39" t="s">
        <v>102</v>
      </c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 x14ac:dyDescent="0.25">
      <c r="A74" s="6" t="s">
        <v>13</v>
      </c>
      <c r="B74" s="39">
        <f t="shared" si="0"/>
        <v>2</v>
      </c>
      <c r="C74" s="39">
        <f t="shared" si="2"/>
        <v>5000</v>
      </c>
      <c r="D74" s="39">
        <f t="shared" si="2"/>
        <v>2</v>
      </c>
      <c r="E74" s="39">
        <f t="shared" si="2"/>
        <v>5000</v>
      </c>
      <c r="F74" s="39">
        <f t="shared" si="2"/>
        <v>14</v>
      </c>
      <c r="G74" s="39">
        <f t="shared" si="2"/>
        <v>34100</v>
      </c>
      <c r="H74" s="39">
        <f t="shared" si="2"/>
        <v>13</v>
      </c>
      <c r="I74" s="39">
        <f t="shared" si="2"/>
        <v>107570</v>
      </c>
      <c r="J74" s="39" t="s">
        <v>103</v>
      </c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 x14ac:dyDescent="0.25">
      <c r="A75" s="5" t="s">
        <v>33</v>
      </c>
      <c r="B75" s="39">
        <f t="shared" si="0"/>
        <v>0</v>
      </c>
      <c r="C75" s="39">
        <f t="shared" si="2"/>
        <v>0</v>
      </c>
      <c r="D75" s="39">
        <f t="shared" si="2"/>
        <v>0</v>
      </c>
      <c r="E75" s="39">
        <f t="shared" si="2"/>
        <v>0</v>
      </c>
      <c r="F75" s="39">
        <f t="shared" si="2"/>
        <v>0</v>
      </c>
      <c r="G75" s="39">
        <f t="shared" si="2"/>
        <v>0</v>
      </c>
      <c r="H75" s="39">
        <f t="shared" si="2"/>
        <v>0</v>
      </c>
      <c r="I75" s="39">
        <f t="shared" si="2"/>
        <v>0</v>
      </c>
      <c r="J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 x14ac:dyDescent="0.25">
      <c r="A76" s="6" t="s">
        <v>118</v>
      </c>
      <c r="B76" s="39">
        <f t="shared" ref="B76:I76" si="3">B16+B39</f>
        <v>29</v>
      </c>
      <c r="C76" s="39">
        <f t="shared" si="3"/>
        <v>59379.953999999998</v>
      </c>
      <c r="D76" s="39">
        <f t="shared" si="3"/>
        <v>33</v>
      </c>
      <c r="E76" s="39">
        <f t="shared" si="3"/>
        <v>23310.969000000001</v>
      </c>
      <c r="F76" s="39">
        <f t="shared" si="3"/>
        <v>31</v>
      </c>
      <c r="G76" s="39">
        <f t="shared" si="3"/>
        <v>213378.00200000001</v>
      </c>
      <c r="H76" s="39">
        <f t="shared" si="3"/>
        <v>53</v>
      </c>
      <c r="I76" s="39">
        <f t="shared" si="3"/>
        <v>19114.954999999998</v>
      </c>
      <c r="J76" s="39" t="s">
        <v>100</v>
      </c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 x14ac:dyDescent="0.25">
      <c r="A77" s="6" t="s">
        <v>41</v>
      </c>
      <c r="B77" s="39">
        <f t="shared" ref="B77:I77" si="4">B17+B40</f>
        <v>0</v>
      </c>
      <c r="C77" s="39">
        <f t="shared" si="4"/>
        <v>0</v>
      </c>
      <c r="D77" s="39">
        <f t="shared" si="4"/>
        <v>0</v>
      </c>
      <c r="E77" s="39">
        <f t="shared" si="4"/>
        <v>0</v>
      </c>
      <c r="F77" s="39">
        <f t="shared" si="4"/>
        <v>0</v>
      </c>
      <c r="G77" s="39">
        <f t="shared" si="4"/>
        <v>0</v>
      </c>
      <c r="H77" s="39">
        <f t="shared" si="4"/>
        <v>0</v>
      </c>
      <c r="I77" s="39">
        <f t="shared" si="4"/>
        <v>0</v>
      </c>
      <c r="J77" s="39" t="s">
        <v>100</v>
      </c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 x14ac:dyDescent="0.25">
      <c r="B78" s="39"/>
      <c r="C78" s="39"/>
      <c r="D78" s="39"/>
      <c r="E78" s="39"/>
      <c r="F78" s="39"/>
      <c r="G78" s="39"/>
      <c r="H78" s="39"/>
      <c r="I78" s="39"/>
      <c r="J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</sheetData>
  <mergeCells count="16">
    <mergeCell ref="B45:C45"/>
    <mergeCell ref="D45:E45"/>
    <mergeCell ref="F45:G45"/>
    <mergeCell ref="H45:I45"/>
    <mergeCell ref="B62:C62"/>
    <mergeCell ref="D62:E62"/>
    <mergeCell ref="F62:G62"/>
    <mergeCell ref="H62:I62"/>
    <mergeCell ref="B2:C2"/>
    <mergeCell ref="D2:E2"/>
    <mergeCell ref="F2:G2"/>
    <mergeCell ref="H2:I2"/>
    <mergeCell ref="B25:C25"/>
    <mergeCell ref="D25:E25"/>
    <mergeCell ref="F25:G25"/>
    <mergeCell ref="H25:I25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L22" sqref="L22"/>
    </sheetView>
  </sheetViews>
  <sheetFormatPr defaultRowHeight="13.2" x14ac:dyDescent="0.25"/>
  <cols>
    <col min="1" max="1" width="20.109375" customWidth="1"/>
    <col min="2" max="2" width="20.5546875" customWidth="1"/>
    <col min="3" max="3" width="19.33203125" customWidth="1"/>
    <col min="4" max="4" width="19.44140625" customWidth="1"/>
    <col min="5" max="5" width="21.44140625" customWidth="1"/>
    <col min="6" max="6" width="24.109375" customWidth="1"/>
  </cols>
  <sheetData>
    <row r="1" spans="1:6" x14ac:dyDescent="0.25">
      <c r="B1" s="2" t="s">
        <v>17</v>
      </c>
      <c r="C1" s="2" t="s">
        <v>16</v>
      </c>
      <c r="D1" s="2" t="s">
        <v>14</v>
      </c>
      <c r="E1" s="2" t="s">
        <v>19</v>
      </c>
      <c r="F1" s="2" t="s">
        <v>20</v>
      </c>
    </row>
    <row r="2" spans="1:6" x14ac:dyDescent="0.25">
      <c r="A2" s="2" t="s">
        <v>2</v>
      </c>
    </row>
    <row r="3" spans="1:6" x14ac:dyDescent="0.25">
      <c r="A3" s="1" t="s">
        <v>0</v>
      </c>
      <c r="B3" t="s">
        <v>1</v>
      </c>
      <c r="C3" t="s">
        <v>18</v>
      </c>
    </row>
    <row r="4" spans="1:6" x14ac:dyDescent="0.25">
      <c r="A4" s="1" t="s">
        <v>22</v>
      </c>
      <c r="B4" t="s">
        <v>23</v>
      </c>
      <c r="D4" s="3" t="s">
        <v>24</v>
      </c>
    </row>
    <row r="5" spans="1:6" x14ac:dyDescent="0.25">
      <c r="A5" s="1" t="s">
        <v>21</v>
      </c>
      <c r="B5" t="s">
        <v>8</v>
      </c>
      <c r="C5" t="s">
        <v>18</v>
      </c>
    </row>
    <row r="6" spans="1:6" x14ac:dyDescent="0.25">
      <c r="A6" s="1" t="s">
        <v>28</v>
      </c>
      <c r="B6" t="s">
        <v>8</v>
      </c>
      <c r="C6" t="s">
        <v>18</v>
      </c>
    </row>
    <row r="7" spans="1:6" x14ac:dyDescent="0.25">
      <c r="A7" s="1" t="s">
        <v>29</v>
      </c>
    </row>
    <row r="8" spans="1:6" x14ac:dyDescent="0.25">
      <c r="A8" s="1" t="s">
        <v>6</v>
      </c>
      <c r="B8" t="s">
        <v>8</v>
      </c>
      <c r="C8" t="s">
        <v>18</v>
      </c>
    </row>
    <row r="9" spans="1:6" x14ac:dyDescent="0.25">
      <c r="A9" s="1" t="s">
        <v>3</v>
      </c>
      <c r="B9" t="s">
        <v>12</v>
      </c>
      <c r="C9" t="s">
        <v>18</v>
      </c>
    </row>
    <row r="10" spans="1:6" ht="12" customHeight="1" x14ac:dyDescent="0.25">
      <c r="A10" s="1" t="s">
        <v>5</v>
      </c>
      <c r="B10" t="s">
        <v>12</v>
      </c>
      <c r="C10" t="s">
        <v>18</v>
      </c>
    </row>
    <row r="11" spans="1:6" ht="12" customHeight="1" x14ac:dyDescent="0.25">
      <c r="A11" s="1" t="s">
        <v>13</v>
      </c>
      <c r="B11" t="s">
        <v>12</v>
      </c>
      <c r="C11" t="s">
        <v>18</v>
      </c>
    </row>
    <row r="12" spans="1:6" x14ac:dyDescent="0.25">
      <c r="A12" s="2" t="s">
        <v>7</v>
      </c>
    </row>
    <row r="13" spans="1:6" x14ac:dyDescent="0.25">
      <c r="A13" s="1" t="s">
        <v>21</v>
      </c>
      <c r="B13" t="s">
        <v>9</v>
      </c>
      <c r="C13" t="s">
        <v>18</v>
      </c>
      <c r="D13" t="s">
        <v>15</v>
      </c>
    </row>
    <row r="14" spans="1:6" x14ac:dyDescent="0.25">
      <c r="A14" s="1" t="s">
        <v>22</v>
      </c>
      <c r="B14" t="s">
        <v>23</v>
      </c>
      <c r="D14" s="3" t="s">
        <v>24</v>
      </c>
    </row>
    <row r="15" spans="1:6" x14ac:dyDescent="0.25">
      <c r="A15" s="1" t="s">
        <v>28</v>
      </c>
      <c r="B15" t="s">
        <v>10</v>
      </c>
      <c r="C15" t="s">
        <v>18</v>
      </c>
    </row>
    <row r="16" spans="1:6" x14ac:dyDescent="0.25">
      <c r="A16" s="1" t="s">
        <v>29</v>
      </c>
    </row>
    <row r="17" spans="1:6" x14ac:dyDescent="0.25">
      <c r="A17" s="1" t="s">
        <v>6</v>
      </c>
      <c r="B17" t="s">
        <v>11</v>
      </c>
      <c r="C17" t="s">
        <v>18</v>
      </c>
    </row>
    <row r="18" spans="1:6" x14ac:dyDescent="0.25">
      <c r="A18" s="1" t="s">
        <v>5</v>
      </c>
      <c r="B18" t="s">
        <v>12</v>
      </c>
      <c r="C18" t="s">
        <v>18</v>
      </c>
    </row>
    <row r="19" spans="1:6" x14ac:dyDescent="0.25">
      <c r="A19" s="1" t="s">
        <v>4</v>
      </c>
      <c r="B19" t="s">
        <v>12</v>
      </c>
      <c r="C19" t="s">
        <v>18</v>
      </c>
    </row>
    <row r="21" spans="1:6" x14ac:dyDescent="0.25">
      <c r="A21" s="2" t="s">
        <v>25</v>
      </c>
      <c r="E21" t="s">
        <v>26</v>
      </c>
      <c r="F21" t="s">
        <v>27</v>
      </c>
    </row>
    <row r="44" spans="6:7" x14ac:dyDescent="0.25">
      <c r="F44" t="s">
        <v>20</v>
      </c>
    </row>
    <row r="46" spans="6:7" x14ac:dyDescent="0.25">
      <c r="F46" s="2" t="s">
        <v>64</v>
      </c>
      <c r="G46" s="2">
        <f>SUM(G47:G50)</f>
        <v>27</v>
      </c>
    </row>
    <row r="47" spans="6:7" x14ac:dyDescent="0.25">
      <c r="F47" t="s">
        <v>73</v>
      </c>
      <c r="G47">
        <v>8</v>
      </c>
    </row>
    <row r="48" spans="6:7" x14ac:dyDescent="0.25">
      <c r="F48" t="s">
        <v>74</v>
      </c>
      <c r="G48">
        <v>13</v>
      </c>
    </row>
    <row r="49" spans="6:7" x14ac:dyDescent="0.25">
      <c r="F49" t="s">
        <v>75</v>
      </c>
      <c r="G49">
        <v>6</v>
      </c>
    </row>
    <row r="50" spans="6:7" x14ac:dyDescent="0.25">
      <c r="F50" t="s">
        <v>76</v>
      </c>
      <c r="G50">
        <v>0</v>
      </c>
    </row>
    <row r="52" spans="6:7" x14ac:dyDescent="0.25">
      <c r="F52" s="2" t="s">
        <v>71</v>
      </c>
      <c r="G52">
        <f>SUM(G53:G55)</f>
        <v>5</v>
      </c>
    </row>
    <row r="53" spans="6:7" x14ac:dyDescent="0.25">
      <c r="F53" t="s">
        <v>73</v>
      </c>
      <c r="G53">
        <v>3</v>
      </c>
    </row>
    <row r="54" spans="6:7" x14ac:dyDescent="0.25">
      <c r="F54" t="s">
        <v>74</v>
      </c>
      <c r="G54">
        <v>2</v>
      </c>
    </row>
    <row r="55" spans="6:7" x14ac:dyDescent="0.25">
      <c r="F55" t="s">
        <v>75</v>
      </c>
      <c r="G55">
        <v>0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Weekly Report</vt:lpstr>
      <vt:lpstr>Data</vt:lpstr>
      <vt:lpstr>WE 2-8 EOL Data</vt:lpstr>
      <vt:lpstr>WE 2-1 EOL Data</vt:lpstr>
      <vt:lpstr>WE 2-15 EOL Data</vt:lpstr>
      <vt:lpstr>EIM New Deals</vt:lpstr>
      <vt:lpstr>template from individuals</vt:lpstr>
      <vt:lpstr>template from eol</vt:lpstr>
      <vt:lpstr>Data People</vt:lpstr>
      <vt:lpstr>'EIM New Deals'!Print_Area</vt:lpstr>
      <vt:lpstr>'template from individuals'!Print_Area</vt:lpstr>
      <vt:lpstr>'Weekly Report'!Print_Area</vt:lpstr>
      <vt:lpstr>'EIM New Deals'!Print_Titles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smao</dc:creator>
  <cp:lastModifiedBy>Havlíček Jan</cp:lastModifiedBy>
  <cp:lastPrinted>2001-02-16T21:56:47Z</cp:lastPrinted>
  <dcterms:created xsi:type="dcterms:W3CDTF">2001-01-24T16:52:27Z</dcterms:created>
  <dcterms:modified xsi:type="dcterms:W3CDTF">2023-09-10T15:25:09Z</dcterms:modified>
</cp:coreProperties>
</file>