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188" yWindow="-48" windowWidth="8112" windowHeight="9132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O2" i="1"/>
  <c r="G4" i="1"/>
  <c r="H4" i="1"/>
  <c r="I4" i="1"/>
  <c r="J4" i="1"/>
  <c r="K4" i="1"/>
  <c r="L4" i="1"/>
  <c r="M4" i="1"/>
  <c r="N4" i="1"/>
  <c r="O4" i="1"/>
  <c r="P4" i="1"/>
  <c r="Q4" i="1"/>
  <c r="R4" i="1"/>
  <c r="H5" i="1"/>
  <c r="I5" i="1"/>
  <c r="J5" i="1"/>
  <c r="K5" i="1"/>
  <c r="L5" i="1"/>
  <c r="M5" i="1"/>
  <c r="N5" i="1"/>
  <c r="O5" i="1"/>
  <c r="P5" i="1"/>
  <c r="Q5" i="1"/>
  <c r="R5" i="1"/>
  <c r="H6" i="1"/>
  <c r="I6" i="1"/>
  <c r="J6" i="1"/>
  <c r="K6" i="1"/>
  <c r="L6" i="1"/>
  <c r="M6" i="1"/>
  <c r="N6" i="1"/>
  <c r="O6" i="1"/>
  <c r="P6" i="1"/>
  <c r="Q6" i="1"/>
  <c r="R6" i="1"/>
  <c r="H7" i="1"/>
  <c r="I7" i="1"/>
  <c r="J7" i="1"/>
  <c r="K7" i="1"/>
  <c r="L7" i="1"/>
  <c r="M7" i="1"/>
  <c r="N7" i="1"/>
  <c r="O7" i="1"/>
  <c r="P7" i="1"/>
  <c r="Q7" i="1"/>
  <c r="R7" i="1"/>
  <c r="H8" i="1"/>
  <c r="I8" i="1"/>
  <c r="J8" i="1"/>
  <c r="K8" i="1"/>
  <c r="L8" i="1"/>
  <c r="M8" i="1"/>
  <c r="N8" i="1"/>
  <c r="O8" i="1"/>
  <c r="P8" i="1"/>
  <c r="Q8" i="1"/>
  <c r="R8" i="1"/>
  <c r="H9" i="1"/>
  <c r="I9" i="1"/>
  <c r="J9" i="1"/>
  <c r="K9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N11" i="1"/>
  <c r="O11" i="1"/>
  <c r="P11" i="1"/>
  <c r="Q11" i="1"/>
  <c r="R11" i="1"/>
  <c r="M15" i="1"/>
  <c r="N15" i="1"/>
  <c r="O15" i="1"/>
  <c r="P15" i="1"/>
  <c r="Q15" i="1"/>
  <c r="R15" i="1"/>
  <c r="M16" i="1"/>
  <c r="N16" i="1"/>
  <c r="O16" i="1"/>
  <c r="P16" i="1"/>
  <c r="Q16" i="1"/>
  <c r="R16" i="1"/>
  <c r="P21" i="1"/>
  <c r="R21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T27" i="1"/>
  <c r="U27" i="1"/>
  <c r="V27" i="1"/>
  <c r="E28" i="1"/>
  <c r="G28" i="1"/>
  <c r="H28" i="1"/>
  <c r="I28" i="1"/>
  <c r="J28" i="1"/>
  <c r="K28" i="1"/>
  <c r="L28" i="1"/>
  <c r="M28" i="1"/>
  <c r="N28" i="1"/>
  <c r="O28" i="1"/>
  <c r="P28" i="1"/>
  <c r="Q28" i="1"/>
  <c r="R28" i="1"/>
  <c r="T28" i="1"/>
  <c r="U28" i="1"/>
  <c r="V28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U29" i="1"/>
  <c r="V29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/>
  <c r="U30" i="1"/>
  <c r="V30" i="1"/>
  <c r="E31" i="1"/>
  <c r="G31" i="1"/>
  <c r="H31" i="1"/>
  <c r="I31" i="1"/>
  <c r="J31" i="1"/>
  <c r="K31" i="1"/>
  <c r="L31" i="1"/>
  <c r="M31" i="1"/>
  <c r="N31" i="1"/>
  <c r="O31" i="1"/>
  <c r="P31" i="1"/>
  <c r="Q31" i="1"/>
  <c r="R31" i="1"/>
  <c r="T31" i="1"/>
  <c r="U31" i="1"/>
  <c r="V31" i="1"/>
  <c r="E32" i="1"/>
  <c r="G32" i="1"/>
  <c r="H32" i="1"/>
  <c r="I32" i="1"/>
  <c r="J32" i="1"/>
  <c r="K32" i="1"/>
  <c r="L32" i="1"/>
  <c r="M32" i="1"/>
  <c r="N32" i="1"/>
  <c r="O32" i="1"/>
  <c r="P32" i="1"/>
  <c r="Q32" i="1"/>
  <c r="R32" i="1"/>
  <c r="T32" i="1"/>
  <c r="U32" i="1"/>
  <c r="V32" i="1"/>
  <c r="E33" i="1"/>
  <c r="G33" i="1"/>
  <c r="H33" i="1"/>
  <c r="I33" i="1"/>
  <c r="J33" i="1"/>
  <c r="K33" i="1"/>
  <c r="L33" i="1"/>
  <c r="M33" i="1"/>
  <c r="N33" i="1"/>
  <c r="O33" i="1"/>
  <c r="P33" i="1"/>
  <c r="Q33" i="1"/>
  <c r="R33" i="1"/>
  <c r="T33" i="1"/>
  <c r="U33" i="1"/>
  <c r="V33" i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T34" i="1"/>
  <c r="U34" i="1"/>
  <c r="V34" i="1"/>
  <c r="E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R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Q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R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<sst xmlns="http://schemas.openxmlformats.org/spreadsheetml/2006/main" count="711" uniqueCount="185">
  <si>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</si>
  <si>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</si>
  <si>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</si>
  <si>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</si>
  <si>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</si>
  <si>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</si>
  <si>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</si>
  <si>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</si>
  <si>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</si>
  <si>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</si>
  <si>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</si>
  <si>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</si>
  <si>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</si>
  <si>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</si>
  <si>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</si>
  <si>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</si>
  <si>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</si>
  <si>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</si>
  <si>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</si>
  <si>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</si>
  <si>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</si>
  <si>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</si>
  <si>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</si>
  <si>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</si>
  <si>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</si>
  <si>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</si>
  <si>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</si>
  <si>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</si>
  <si>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</si>
  <si>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</si>
  <si>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</si>
  <si>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</si>
  <si>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</si>
  <si>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</si>
  <si>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</si>
  <si>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</si>
  <si>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</si>
  <si>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</si>
  <si>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</si>
  <si>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</si>
  <si>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</si>
  <si>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</si>
  <si>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</si>
  <si>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</si>
  <si>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</si>
  <si>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</si>
  <si>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</si>
  <si>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</si>
  <si>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</si>
  <si>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</si>
  <si>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</si>
  <si>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</si>
  <si>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</si>
  <si>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</si>
  <si>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</si>
  <si>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</si>
  <si>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</si>
  <si>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</si>
  <si>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</si>
  <si>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</si>
  <si>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</si>
  <si>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</si>
  <si>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</si>
  <si>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</si>
  <si>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</si>
  <si>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</si>
  <si>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</si>
  <si>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</si>
  <si>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</si>
  <si>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</si>
  <si>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</si>
  <si>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</si>
  <si>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</si>
  <si>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</si>
  <si>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</si>
  <si>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</si>
  <si>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</si>
  <si>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</si>
  <si>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</si>
  <si>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</si>
  <si>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</si>
  <si>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</si>
  <si>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</si>
  <si>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</si>
  <si>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</si>
  <si>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</si>
  <si>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</si>
  <si>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</si>
  <si>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</si>
  <si>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</si>
  <si>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</si>
  <si>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</si>
  <si>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</si>
  <si>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</si>
  <si>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</si>
  <si>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</si>
  <si>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</si>
  <si>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</si>
  <si>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</si>
  <si>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</si>
  <si>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</si>
  <si>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</si>
  <si>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</si>
  <si>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</si>
  <si>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</si>
  <si>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</si>
  <si>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</si>
  <si>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</si>
  <si>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</si>
  <si>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</si>
  <si>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</si>
  <si>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</si>
  <si>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</si>
  <si>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</si>
  <si>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</si>
  <si>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</si>
  <si>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</si>
  <si>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</si>
  <si>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</si>
  <si>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</si>
  <si>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</si>
  <si>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</si>
  <si>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</si>
  <si>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</si>
  <si>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</si>
  <si>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</si>
  <si>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</si>
  <si>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</si>
  <si>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</si>
  <si>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</si>
  <si>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</si>
  <si>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</si>
  <si>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</si>
  <si>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</si>
  <si>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</si>
  <si>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</si>
  <si>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</si>
  <si>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</si>
  <si>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</si>
  <si>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</si>
  <si>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</si>
  <si>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</si>
  <si>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</si>
  <si>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</si>
  <si>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</si>
  <si>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</si>
  <si>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</si>
  <si>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</si>
  <si>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</si>
  <si>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</si>
  <si>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</si>
  <si>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</si>
  <si>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</si>
  <si>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</si>
  <si>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</si>
  <si>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</si>
  <si>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</si>
  <si>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</si>
  <si>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</si>
  <si>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</si>
  <si>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</si>
  <si>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</si>
  <si>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</si>
  <si>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</si>
  <si>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</si>
  <si>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</si>
  <si>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</si>
  <si>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</si>
  <si>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</si>
  <si>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</si>
  <si>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</si>
  <si>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</si>
  <si>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</si>
  <si>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</si>
  <si>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</si>
  <si>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</si>
  <si>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</si>
  <si>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</si>
  <si>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</si>
  <si>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</si>
  <si>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</si>
  <si>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</si>
  <si>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</si>
  <si>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Georgeanne Hodges/HOU/ECT@ECT, Jan Johnson/GPGFIN/Enron@ENRON, Sally Beck/HOU/ECT@ECT, Cassandra Schultz/NA/Enron@Enron, Shona Wilson/NA/Enron@Enron; Gary Peng/GPGFIN/Enron@ENRON, Jennifer Nguyen/Corp/Enron@ENRON</t>
  </si>
  <si>
    <t>OLD MERCHANT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</si>
</sst>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33096085409234E-2"/>
          <c:y val="1.5706806282722516E-2"/>
          <c:w val="0.85053380782918142"/>
          <c:h val="0.94240837696335078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D-49A4-9A3E-3FCF291819D0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D-49A4-9A3E-3FCF291819D0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D-49A4-9A3E-3FCF291819D0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D-49A4-9A3E-3FCF291819D0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D-49A4-9A3E-3FCF291819D0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FD-49A4-9A3E-3FCF29181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32872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FD-49A4-9A3E-3FCF291819D0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120974926.65427142</c:v>
                </c:pt>
                <c:pt idx="3" formatCode="#,##0">
                  <c:v>140239932.15940842</c:v>
                </c:pt>
                <c:pt idx="4" formatCode="#,##0">
                  <c:v>82732949.127538696</c:v>
                </c:pt>
                <c:pt idx="5" formatCode="#,##0">
                  <c:v>67821094.583403334</c:v>
                </c:pt>
                <c:pt idx="6" formatCode="#,##0">
                  <c:v>70138855.204250321</c:v>
                </c:pt>
                <c:pt idx="7" formatCode="#,##0">
                  <c:v>78097185.239261568</c:v>
                </c:pt>
                <c:pt idx="8" formatCode="#,##0">
                  <c:v>74262911.027267873</c:v>
                </c:pt>
                <c:pt idx="9" formatCode="#,##0">
                  <c:v>86487904.563623056</c:v>
                </c:pt>
                <c:pt idx="10" formatCode="#,##0">
                  <c:v>67013578.423033617</c:v>
                </c:pt>
                <c:pt idx="11" formatCode="#,##0">
                  <c:v>65580201.581534423</c:v>
                </c:pt>
                <c:pt idx="12" formatCode="#,##0">
                  <c:v>64990707.88152647</c:v>
                </c:pt>
                <c:pt idx="13" formatCode="#,##0">
                  <c:v>70231223.061216578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FD-49A4-9A3E-3FCF29181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53132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32872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843416370106746E-2"/>
          <c:y val="2.617801047120419E-3"/>
          <c:w val="0.25088967971530246"/>
          <c:h val="0.23167539267015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0.7475</cdr:x>
      <cdr:y>0.0115</cdr:y>
    </cdr:from>
    <cdr:to>
      <cdr:x>0.93075</cdr:x>
      <cdr:y>0.09125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02248" y="66949"/>
          <a:ext cx="1569514" cy="464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33203125" style="28" hidden="1" customWidth="1"/>
    <col min="2" max="2" width="58.5546875" style="62" customWidth="1"/>
    <col min="3" max="3" width="18.5546875" style="62" hidden="1" customWidth="1"/>
    <col min="4" max="4" width="24.44140625" style="62" hidden="1" customWidth="1"/>
    <col min="5" max="5" width="12.33203125" style="35" customWidth="1"/>
    <col min="6" max="6" width="3.44140625" style="35" customWidth="1"/>
    <col min="7" max="18" width="12.33203125" style="100" customWidth="1"/>
    <col min="19" max="19" width="3.109375" customWidth="1"/>
    <col min="20" max="22" width="12.33203125" style="116" customWidth="1"/>
    <col min="23" max="23" width="3.664062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3"/>
  <sheetViews>
    <sheetView tabSelected="1" zoomScale="75" workbookViewId="0">
      <pane xSplit="6" ySplit="1" topLeftCell="L2" activePane="bottomRight" state="frozen"/>
      <selection activeCell="Q29" sqref="Q29"/>
      <selection pane="topRight" activeCell="Q29" sqref="Q29"/>
      <selection pane="bottomLeft" activeCell="Q29" sqref="Q29"/>
      <selection pane="bottomRight" activeCell="R42" sqref="R42"/>
    </sheetView>
  </sheetViews>
  <sheetFormatPr defaultColWidth="9.109375" defaultRowHeight="12" customHeight="1"/>
  <cols>
    <col min="1" max="1" width="54.44140625" style="144" customWidth="1"/>
    <col min="2" max="2" width="18.5546875" style="144" hidden="1" customWidth="1"/>
    <col min="3" max="3" width="15.5546875" style="144" hidden="1" customWidth="1"/>
    <col min="4" max="4" width="3.88671875" style="145" customWidth="1"/>
    <col min="5" max="5" width="10.88671875" style="145" customWidth="1"/>
    <col min="6" max="6" width="2.5546875" style="145" customWidth="1"/>
    <col min="7" max="18" width="12.109375" style="137" customWidth="1"/>
    <col min="19" max="19" width="2.109375" style="141" customWidth="1"/>
    <col min="20" max="22" width="12.109375" style="146" customWidth="1"/>
    <col min="23" max="23" width="3.6640625" style="141" customWidth="1"/>
    <col min="24" max="16384" width="9.109375" style="141"/>
  </cols>
  <sheetData>
    <row r="1" spans="1:23" ht="12" customHeight="1">
      <c r="A1" s="138"/>
      <c r="B1" s="136"/>
      <c r="C1" s="136"/>
      <c r="D1" s="174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7" t="s">
        <v>19</v>
      </c>
      <c r="B2" s="148" t="s">
        <v>141</v>
      </c>
      <c r="C2" s="148" t="s">
        <v>142</v>
      </c>
      <c r="D2" s="176" t="s">
        <v>173</v>
      </c>
      <c r="E2" s="149"/>
      <c r="F2" s="150"/>
      <c r="G2" s="151">
        <v>23648142</v>
      </c>
      <c r="H2" s="151">
        <v>18913435</v>
      </c>
      <c r="I2" s="151">
        <v>28703135</v>
      </c>
      <c r="J2" s="151">
        <v>45126975</v>
      </c>
      <c r="K2" s="151">
        <v>45127067.338270202</v>
      </c>
      <c r="L2" s="151">
        <v>49267360.557144597</v>
      </c>
      <c r="M2" s="151">
        <v>42872948.8941392</v>
      </c>
      <c r="N2" s="151">
        <v>72747412.997819006</v>
      </c>
      <c r="O2" s="151">
        <f>47000252.7202917</f>
        <v>47000252.720291696</v>
      </c>
      <c r="P2" s="151">
        <v>27755226.331254099</v>
      </c>
      <c r="Q2" s="151">
        <v>71551459.746203199</v>
      </c>
      <c r="R2" s="152">
        <v>58748587.761360802</v>
      </c>
      <c r="S2" s="138"/>
      <c r="T2" s="138"/>
      <c r="U2" s="138"/>
      <c r="V2" s="138"/>
      <c r="W2" s="138"/>
    </row>
    <row r="3" spans="1:23" ht="12" customHeight="1">
      <c r="A3" s="153" t="s">
        <v>20</v>
      </c>
      <c r="B3" s="154" t="s">
        <v>141</v>
      </c>
      <c r="C3" s="154" t="s">
        <v>142</v>
      </c>
      <c r="D3" s="177" t="s">
        <v>173</v>
      </c>
      <c r="E3" s="155"/>
      <c r="F3" s="156"/>
      <c r="G3" s="157">
        <v>2662112</v>
      </c>
      <c r="H3" s="157">
        <v>2447886</v>
      </c>
      <c r="I3" s="157">
        <v>2285580</v>
      </c>
      <c r="J3" s="157">
        <v>3078240</v>
      </c>
      <c r="K3" s="157">
        <v>2846150.1720883301</v>
      </c>
      <c r="L3" s="157">
        <v>1934817.84020596</v>
      </c>
      <c r="M3" s="157">
        <v>2569586.0976314899</v>
      </c>
      <c r="N3" s="157">
        <v>4156867.8790297401</v>
      </c>
      <c r="O3" s="157">
        <v>4910305.1171028502</v>
      </c>
      <c r="P3" s="157">
        <v>2969502.4430899601</v>
      </c>
      <c r="Q3" s="157">
        <v>7528489.4444763102</v>
      </c>
      <c r="R3" s="158">
        <v>3941018.3529363102</v>
      </c>
      <c r="S3" s="138"/>
      <c r="T3" s="138"/>
      <c r="U3" s="138"/>
      <c r="V3" s="138"/>
      <c r="W3" s="138"/>
    </row>
    <row r="4" spans="1:23" ht="12" customHeight="1">
      <c r="A4" s="153" t="s">
        <v>21</v>
      </c>
      <c r="B4" s="154" t="s">
        <v>141</v>
      </c>
      <c r="C4" s="154" t="s">
        <v>142</v>
      </c>
      <c r="D4" s="177" t="s">
        <v>173</v>
      </c>
      <c r="E4" s="155"/>
      <c r="F4" s="156"/>
      <c r="G4" s="157">
        <f>7589.8558170981*1000</f>
        <v>7589855.8170980997</v>
      </c>
      <c r="H4" s="157">
        <f>6950.63828900979*1000</f>
        <v>6950638.2890097899</v>
      </c>
      <c r="I4" s="157">
        <f>7060.14736265567*1000</f>
        <v>7060147.3626556695</v>
      </c>
      <c r="J4" s="157">
        <f>13910.5867087569*1000</f>
        <v>13910586.708756901</v>
      </c>
      <c r="K4" s="157">
        <f>12636.5841175892*1000</f>
        <v>12636584.1175892</v>
      </c>
      <c r="L4" s="157">
        <f>12932.4706021279*1000</f>
        <v>12932470.6021279</v>
      </c>
      <c r="M4" s="157">
        <f>14984.0014353593*1000</f>
        <v>14984001.435359299</v>
      </c>
      <c r="N4" s="157">
        <f>15417.1298752834*1000</f>
        <v>15417129.875283401</v>
      </c>
      <c r="O4" s="157">
        <f>16552.2442717714*1000</f>
        <v>16552244.271771401</v>
      </c>
      <c r="P4" s="157">
        <f>14243.4885282984*1000</f>
        <v>14243488.5282984</v>
      </c>
      <c r="Q4" s="157">
        <f>15646*1000</f>
        <v>15646000</v>
      </c>
      <c r="R4" s="158">
        <f>1000*17930</f>
        <v>17930000</v>
      </c>
      <c r="S4" s="138"/>
      <c r="T4" s="138"/>
      <c r="U4" s="138"/>
      <c r="V4" s="138"/>
      <c r="W4" s="138"/>
    </row>
    <row r="5" spans="1:23" ht="12" customHeight="1">
      <c r="A5" s="153" t="s">
        <v>82</v>
      </c>
      <c r="B5" s="154" t="s">
        <v>141</v>
      </c>
      <c r="C5" s="154" t="s">
        <v>142</v>
      </c>
      <c r="D5" s="177" t="s">
        <v>173</v>
      </c>
      <c r="E5" s="155"/>
      <c r="F5" s="156"/>
      <c r="G5" s="157">
        <v>1936000</v>
      </c>
      <c r="H5" s="157">
        <f>2104.88069699243*1000</f>
        <v>2104880.6969924299</v>
      </c>
      <c r="I5" s="157">
        <f>1908.82298517186*1000</f>
        <v>1908822.9851718599</v>
      </c>
      <c r="J5" s="157">
        <f>1898.64963246316*1000</f>
        <v>1898649.63246316</v>
      </c>
      <c r="K5" s="157">
        <f>1246.45088192924*1000</f>
        <v>1246450.88192924</v>
      </c>
      <c r="L5" s="157">
        <f>1242.07137353124*1000</f>
        <v>1242071.37353124</v>
      </c>
      <c r="M5" s="157">
        <f>1359.75620686751*1000</f>
        <v>1359756.20686751</v>
      </c>
      <c r="N5" s="157">
        <f>1329.30534*1000</f>
        <v>1329305.3399999999</v>
      </c>
      <c r="O5" s="157">
        <f>1267.75592*1000</f>
        <v>1267755.9200000002</v>
      </c>
      <c r="P5" s="157">
        <f>1388.62009*1000</f>
        <v>1388620.0899999999</v>
      </c>
      <c r="Q5" s="157">
        <f>1962.80789*1000</f>
        <v>1962807.8900000001</v>
      </c>
      <c r="R5" s="158">
        <f>1000*1769.07871</f>
        <v>1769078.71</v>
      </c>
      <c r="S5" s="138"/>
      <c r="T5" s="138"/>
      <c r="U5" s="138"/>
      <c r="V5" s="138"/>
      <c r="W5" s="138"/>
    </row>
    <row r="6" spans="1:23" ht="12" customHeight="1">
      <c r="A6" s="153" t="s">
        <v>83</v>
      </c>
      <c r="B6" s="154" t="s">
        <v>141</v>
      </c>
      <c r="C6" s="154" t="s">
        <v>142</v>
      </c>
      <c r="D6" s="177" t="s">
        <v>173</v>
      </c>
      <c r="E6" s="155"/>
      <c r="F6" s="156"/>
      <c r="G6" s="157">
        <v>208000</v>
      </c>
      <c r="H6" s="157">
        <f>211*1000</f>
        <v>211000</v>
      </c>
      <c r="I6" s="157">
        <f>617*1000</f>
        <v>617000</v>
      </c>
      <c r="J6" s="157">
        <f>310.375*1000</f>
        <v>310375</v>
      </c>
      <c r="K6" s="157">
        <f>300.099096904298*1000</f>
        <v>300099.096904298</v>
      </c>
      <c r="L6" s="157">
        <f>763*1000</f>
        <v>763000</v>
      </c>
      <c r="M6" s="157">
        <f>313.914727602778*1000</f>
        <v>313914.727602778</v>
      </c>
      <c r="N6" s="157">
        <f>420.23624*1000</f>
        <v>420236.24</v>
      </c>
      <c r="O6" s="157">
        <f>444.00061*1000</f>
        <v>444000.61</v>
      </c>
      <c r="P6" s="157">
        <f>400.83395*1000</f>
        <v>400833.95</v>
      </c>
      <c r="Q6" s="157">
        <f>1000*440.48528</f>
        <v>440485.27999999997</v>
      </c>
      <c r="R6" s="158">
        <f>1000*444.30535</f>
        <v>444305.35</v>
      </c>
      <c r="S6" s="138"/>
      <c r="T6" s="138"/>
      <c r="U6" s="138"/>
      <c r="V6" s="138"/>
      <c r="W6" s="138"/>
    </row>
    <row r="7" spans="1:23" ht="12" customHeight="1">
      <c r="A7" s="153" t="s">
        <v>84</v>
      </c>
      <c r="B7" s="154" t="s">
        <v>141</v>
      </c>
      <c r="C7" s="154" t="s">
        <v>142</v>
      </c>
      <c r="D7" s="177" t="s">
        <v>173</v>
      </c>
      <c r="E7" s="155"/>
      <c r="F7" s="156"/>
      <c r="G7" s="157">
        <v>201000</v>
      </c>
      <c r="H7" s="157">
        <f>169.393115477633*1000</f>
        <v>169393.11547763299</v>
      </c>
      <c r="I7" s="157">
        <f>117.904900665046*1000</f>
        <v>117904.90066504601</v>
      </c>
      <c r="J7" s="157">
        <f>164.113650638791*1000</f>
        <v>164113.650638791</v>
      </c>
      <c r="K7" s="157">
        <f>38.2751745749971*1000</f>
        <v>38275.174574997101</v>
      </c>
      <c r="L7" s="157">
        <f>119.454*1000</f>
        <v>119454</v>
      </c>
      <c r="M7" s="157">
        <f>168.104*1000</f>
        <v>168104</v>
      </c>
      <c r="N7" s="157">
        <f>329.52547*1000</f>
        <v>329525.46999999997</v>
      </c>
      <c r="O7" s="157">
        <f>360.35069*1000</f>
        <v>360350.69</v>
      </c>
      <c r="P7" s="157">
        <f>382.2602*1000</f>
        <v>382260.2</v>
      </c>
      <c r="Q7" s="157">
        <f>1000*145.39142</f>
        <v>145391.42000000001</v>
      </c>
      <c r="R7" s="158">
        <f>1000*284.1883</f>
        <v>284188.30000000005</v>
      </c>
      <c r="S7" s="138"/>
      <c r="T7" s="138"/>
      <c r="U7" s="138"/>
      <c r="V7" s="138"/>
      <c r="W7" s="138"/>
    </row>
    <row r="8" spans="1:23" ht="12" customHeight="1">
      <c r="A8" s="153" t="s">
        <v>92</v>
      </c>
      <c r="B8" s="154" t="s">
        <v>141</v>
      </c>
      <c r="C8" s="154" t="s">
        <v>142</v>
      </c>
      <c r="D8" s="177" t="s">
        <v>173</v>
      </c>
      <c r="E8" s="155"/>
      <c r="F8" s="156"/>
      <c r="G8" s="157">
        <v>394000</v>
      </c>
      <c r="H8" s="157">
        <f>227.938440303285*1000</f>
        <v>227938.440303285</v>
      </c>
      <c r="I8" s="157">
        <f>477.394374170693*1000</f>
        <v>477394.37417069305</v>
      </c>
      <c r="J8" s="157">
        <f>449.119355109042*1000</f>
        <v>449119.35510904196</v>
      </c>
      <c r="K8" s="157">
        <f>328.064709990273*1000</f>
        <v>328064.709990273</v>
      </c>
      <c r="L8" s="157">
        <f>404.324730065462*1000</f>
        <v>404324.730065462</v>
      </c>
      <c r="M8" s="157">
        <f>687.039619822875*1000</f>
        <v>687039.61982287501</v>
      </c>
      <c r="N8" s="157">
        <f>591.419858261914*1000</f>
        <v>591419.85826191399</v>
      </c>
      <c r="O8" s="157">
        <f>486.483*1000</f>
        <v>486483</v>
      </c>
      <c r="P8" s="157">
        <f>508.539*1000</f>
        <v>508539</v>
      </c>
      <c r="Q8" s="157">
        <f>1000*392.6758</f>
        <v>392675.8</v>
      </c>
      <c r="R8" s="158">
        <f>1000*773.98985</f>
        <v>773989.85000000009</v>
      </c>
      <c r="S8" s="138"/>
      <c r="T8" s="138"/>
      <c r="U8" s="138"/>
      <c r="V8" s="138"/>
      <c r="W8" s="138"/>
    </row>
    <row r="9" spans="1:23" ht="12" customHeight="1">
      <c r="A9" s="153" t="s">
        <v>148</v>
      </c>
      <c r="B9" s="154" t="s">
        <v>141</v>
      </c>
      <c r="C9" s="154" t="s">
        <v>142</v>
      </c>
      <c r="D9" s="177" t="s">
        <v>173</v>
      </c>
      <c r="E9" s="155"/>
      <c r="F9" s="156"/>
      <c r="G9" s="157">
        <v>958000</v>
      </c>
      <c r="H9" s="157">
        <f>3036.533*1000</f>
        <v>3036533</v>
      </c>
      <c r="I9" s="157">
        <f>3555.784*1000</f>
        <v>3555784</v>
      </c>
      <c r="J9" s="157">
        <f>3806.912*1000</f>
        <v>3806912</v>
      </c>
      <c r="K9" s="157">
        <f>3094.43395605016*1000</f>
        <v>3094433.9560501599</v>
      </c>
      <c r="L9" s="157">
        <f>3989.14883549286*1000</f>
        <v>3989148.8354928601</v>
      </c>
      <c r="M9" s="157">
        <f>3819.44382187732*1000</f>
        <v>3819443.8218773198</v>
      </c>
      <c r="N9" s="157">
        <f>3542.05774*1000</f>
        <v>3542057.74</v>
      </c>
      <c r="O9" s="157">
        <f>4596.13534*1000</f>
        <v>4596135.34</v>
      </c>
      <c r="P9" s="157">
        <f>3645.84074*1000</f>
        <v>3645840.74</v>
      </c>
      <c r="Q9" s="157">
        <f>1000*7643.21354</f>
        <v>7643213.54</v>
      </c>
      <c r="R9" s="158">
        <f>1000*7568.89083</f>
        <v>7568890.8300000001</v>
      </c>
      <c r="S9" s="138"/>
      <c r="T9" s="138"/>
      <c r="U9" s="138"/>
      <c r="V9" s="138"/>
      <c r="W9" s="138"/>
    </row>
    <row r="10" spans="1:23" ht="12" customHeight="1">
      <c r="A10" s="153" t="s">
        <v>170</v>
      </c>
      <c r="B10" s="154"/>
      <c r="C10" s="154"/>
      <c r="D10" s="177" t="s">
        <v>173</v>
      </c>
      <c r="E10" s="155"/>
      <c r="F10" s="156"/>
      <c r="G10" s="157">
        <v>0</v>
      </c>
      <c r="H10" s="157">
        <v>0</v>
      </c>
      <c r="I10" s="157">
        <v>0</v>
      </c>
      <c r="J10" s="157">
        <v>1062.8399999999999</v>
      </c>
      <c r="K10" s="157">
        <v>0</v>
      </c>
      <c r="L10" s="157">
        <f>5.20629002060415*1000</f>
        <v>5206.2900206041495</v>
      </c>
      <c r="M10" s="157">
        <f>3*1000</f>
        <v>3000</v>
      </c>
      <c r="N10" s="157">
        <f>25.8491909609698*1000</f>
        <v>25849.190960969801</v>
      </c>
      <c r="O10" s="157">
        <f>25.18481*1000</f>
        <v>25184.809999999998</v>
      </c>
      <c r="P10" s="157">
        <f>23.41524*1000</f>
        <v>23415.24</v>
      </c>
      <c r="Q10" s="157">
        <f>1000*19.4488</f>
        <v>19448.8</v>
      </c>
      <c r="R10" s="158">
        <f>1000*11.97367</f>
        <v>11973.67</v>
      </c>
      <c r="S10" s="138"/>
      <c r="T10" s="138"/>
      <c r="U10" s="138"/>
      <c r="V10" s="138"/>
      <c r="W10" s="138"/>
    </row>
    <row r="11" spans="1:23" ht="12" customHeight="1">
      <c r="A11" s="153" t="s">
        <v>181</v>
      </c>
      <c r="B11" s="154"/>
      <c r="C11" s="154"/>
      <c r="D11" s="177" t="s">
        <v>173</v>
      </c>
      <c r="E11" s="155"/>
      <c r="F11" s="156"/>
      <c r="G11" s="157">
        <v>0</v>
      </c>
      <c r="H11" s="157">
        <v>0</v>
      </c>
      <c r="I11" s="157">
        <v>0</v>
      </c>
      <c r="J11" s="157">
        <v>0</v>
      </c>
      <c r="K11" s="157">
        <v>0</v>
      </c>
      <c r="L11" s="157">
        <v>0</v>
      </c>
      <c r="M11" s="157">
        <v>0</v>
      </c>
      <c r="N11" s="157">
        <f>6049*1000</f>
        <v>6049000</v>
      </c>
      <c r="O11" s="157">
        <f>5678.70872*1000</f>
        <v>5678708.7199999997</v>
      </c>
      <c r="P11" s="157">
        <f>5933.2796*1000</f>
        <v>5933279.5999999996</v>
      </c>
      <c r="Q11" s="157">
        <f>1000*4372</f>
        <v>4372000</v>
      </c>
      <c r="R11" s="158">
        <f>1000*4419.0853</f>
        <v>4419085.3</v>
      </c>
      <c r="S11" s="138"/>
      <c r="T11" s="138"/>
      <c r="U11" s="138"/>
      <c r="V11" s="138"/>
      <c r="W11" s="138"/>
    </row>
    <row r="12" spans="1:23" ht="12" customHeight="1">
      <c r="A12" s="159" t="s">
        <v>171</v>
      </c>
      <c r="B12" s="160"/>
      <c r="C12" s="160"/>
      <c r="D12" s="178" t="s">
        <v>173</v>
      </c>
      <c r="E12" s="161"/>
      <c r="F12" s="162"/>
      <c r="G12" s="163">
        <v>344837</v>
      </c>
      <c r="H12" s="163">
        <v>341647</v>
      </c>
      <c r="I12" s="163">
        <v>44776</v>
      </c>
      <c r="J12" s="163">
        <v>404498</v>
      </c>
      <c r="K12" s="163">
        <v>218347</v>
      </c>
      <c r="L12" s="163">
        <v>267347</v>
      </c>
      <c r="M12" s="163">
        <v>535856</v>
      </c>
      <c r="N12" s="163">
        <v>296991</v>
      </c>
      <c r="O12" s="163">
        <v>270675</v>
      </c>
      <c r="P12" s="163">
        <v>196688</v>
      </c>
      <c r="Q12" s="163">
        <v>329856</v>
      </c>
      <c r="R12" s="164">
        <v>336155</v>
      </c>
      <c r="S12" s="138"/>
      <c r="T12" s="138"/>
      <c r="U12" s="138"/>
      <c r="V12" s="138"/>
      <c r="W12" s="138"/>
    </row>
    <row r="13" spans="1:23" ht="12" customHeight="1">
      <c r="A13" s="165" t="s">
        <v>1</v>
      </c>
      <c r="B13" s="166" t="s">
        <v>141</v>
      </c>
      <c r="C13" s="166" t="s">
        <v>1</v>
      </c>
      <c r="D13" s="179" t="s">
        <v>174</v>
      </c>
      <c r="E13" s="167"/>
      <c r="F13" s="168"/>
      <c r="G13" s="169">
        <v>337257</v>
      </c>
      <c r="H13" s="169">
        <v>198338.76</v>
      </c>
      <c r="I13" s="169">
        <v>44211.57</v>
      </c>
      <c r="J13" s="169">
        <v>34722.6</v>
      </c>
      <c r="K13" s="169">
        <v>153500.99</v>
      </c>
      <c r="L13" s="169">
        <v>68031.61</v>
      </c>
      <c r="M13" s="169">
        <v>106613.64</v>
      </c>
      <c r="N13" s="169">
        <v>129377.47</v>
      </c>
      <c r="O13" s="169">
        <v>58028.31</v>
      </c>
      <c r="P13" s="169">
        <v>194706.94</v>
      </c>
      <c r="Q13" s="169">
        <v>50966.9</v>
      </c>
      <c r="R13" s="170">
        <v>252688.76</v>
      </c>
      <c r="S13" s="138"/>
      <c r="T13" s="138"/>
      <c r="U13" s="138"/>
      <c r="V13" s="138"/>
      <c r="W13" s="138"/>
    </row>
    <row r="14" spans="1:23" ht="12" customHeight="1">
      <c r="A14" s="165" t="s">
        <v>4</v>
      </c>
      <c r="B14" s="166" t="s">
        <v>141</v>
      </c>
      <c r="C14" s="166" t="s">
        <v>4</v>
      </c>
      <c r="D14" s="179" t="s">
        <v>175</v>
      </c>
      <c r="E14" s="167"/>
      <c r="F14" s="168"/>
      <c r="G14" s="169">
        <v>23005</v>
      </c>
      <c r="H14" s="169">
        <v>475061.02</v>
      </c>
      <c r="I14" s="169">
        <v>140591.07</v>
      </c>
      <c r="J14" s="169">
        <v>94820.49</v>
      </c>
      <c r="K14" s="169">
        <v>24845.1</v>
      </c>
      <c r="L14" s="169">
        <v>45618.29</v>
      </c>
      <c r="M14" s="169">
        <v>28666.7</v>
      </c>
      <c r="N14" s="169">
        <v>123803.19</v>
      </c>
      <c r="O14" s="169">
        <v>54812.6</v>
      </c>
      <c r="P14" s="169">
        <v>199235.86</v>
      </c>
      <c r="Q14" s="169">
        <v>34587.550000000003</v>
      </c>
      <c r="R14" s="170">
        <v>236780.04</v>
      </c>
      <c r="S14" s="138"/>
      <c r="T14" s="138"/>
      <c r="U14" s="138"/>
      <c r="V14" s="138"/>
      <c r="W14" s="138"/>
    </row>
    <row r="15" spans="1:23" ht="12" customHeight="1">
      <c r="A15" s="147" t="s">
        <v>88</v>
      </c>
      <c r="B15" s="148" t="s">
        <v>141</v>
      </c>
      <c r="C15" s="148" t="s">
        <v>143</v>
      </c>
      <c r="D15" s="176" t="s">
        <v>176</v>
      </c>
      <c r="E15" s="149"/>
      <c r="F15" s="150"/>
      <c r="G15" s="151">
        <v>2370000</v>
      </c>
      <c r="H15" s="151">
        <v>3553353.17</v>
      </c>
      <c r="I15" s="151">
        <v>3969964</v>
      </c>
      <c r="J15" s="151">
        <v>2575452</v>
      </c>
      <c r="K15" s="151">
        <v>3209793</v>
      </c>
      <c r="L15" s="151">
        <v>2439474</v>
      </c>
      <c r="M15" s="151">
        <f>1267.492*1000</f>
        <v>1267492</v>
      </c>
      <c r="N15" s="151">
        <f>1634.628*1000</f>
        <v>1634628</v>
      </c>
      <c r="O15" s="151">
        <f>2032.215*100</f>
        <v>203221.5</v>
      </c>
      <c r="P15" s="151">
        <f>890.943*1000</f>
        <v>890943</v>
      </c>
      <c r="Q15" s="151">
        <f>1000*532.645</f>
        <v>532645</v>
      </c>
      <c r="R15" s="152">
        <f>1000*821.57716</f>
        <v>821577.16</v>
      </c>
      <c r="S15" s="138"/>
      <c r="T15" s="138"/>
      <c r="U15" s="138"/>
      <c r="V15" s="138"/>
      <c r="W15" s="138"/>
    </row>
    <row r="16" spans="1:23" ht="12" customHeight="1">
      <c r="A16" s="153" t="s">
        <v>89</v>
      </c>
      <c r="B16" s="154" t="s">
        <v>141</v>
      </c>
      <c r="C16" s="154" t="s">
        <v>143</v>
      </c>
      <c r="D16" s="177" t="s">
        <v>176</v>
      </c>
      <c r="E16" s="155"/>
      <c r="F16" s="156"/>
      <c r="G16" s="157">
        <v>695000</v>
      </c>
      <c r="H16" s="157">
        <v>1001529</v>
      </c>
      <c r="I16" s="157">
        <v>928360.3</v>
      </c>
      <c r="J16" s="157">
        <v>1569135</v>
      </c>
      <c r="K16" s="157">
        <v>1179471</v>
      </c>
      <c r="L16" s="157">
        <v>935173</v>
      </c>
      <c r="M16" s="157">
        <f>791.65*1000</f>
        <v>791650</v>
      </c>
      <c r="N16" s="157">
        <f>944.468*1000</f>
        <v>944468</v>
      </c>
      <c r="O16" s="157">
        <f>435.557*1000</f>
        <v>435557</v>
      </c>
      <c r="P16" s="157">
        <f>452.455*1000</f>
        <v>452455</v>
      </c>
      <c r="Q16" s="157">
        <f>1000*341.398</f>
        <v>341398</v>
      </c>
      <c r="R16" s="158">
        <f>806.2952*1000</f>
        <v>806295.20000000007</v>
      </c>
      <c r="S16" s="138"/>
      <c r="T16" s="138"/>
      <c r="U16" s="138"/>
      <c r="V16" s="138"/>
      <c r="W16" s="138"/>
    </row>
    <row r="17" spans="1:23" ht="12" customHeight="1">
      <c r="A17" s="153" t="s">
        <v>90</v>
      </c>
      <c r="B17" s="154" t="s">
        <v>141</v>
      </c>
      <c r="C17" s="154" t="s">
        <v>143</v>
      </c>
      <c r="D17" s="177" t="s">
        <v>176</v>
      </c>
      <c r="E17" s="155"/>
      <c r="F17" s="156"/>
      <c r="G17" s="157">
        <v>119911136.19040079</v>
      </c>
      <c r="H17" s="157">
        <v>139445086.63917992</v>
      </c>
      <c r="I17" s="157">
        <v>80231710.804782763</v>
      </c>
      <c r="J17" s="157">
        <v>66391245.084697865</v>
      </c>
      <c r="K17" s="157">
        <v>69632080.421878234</v>
      </c>
      <c r="L17" s="157">
        <v>77867611.547012046</v>
      </c>
      <c r="M17" s="157">
        <v>73541114.451100364</v>
      </c>
      <c r="N17" s="157">
        <v>85909099.604766086</v>
      </c>
      <c r="O17" s="157">
        <v>66983312.534666263</v>
      </c>
      <c r="P17" s="157">
        <v>62341523.636207126</v>
      </c>
      <c r="Q17" s="157">
        <v>62553992.85278862</v>
      </c>
      <c r="R17" s="158">
        <v>61548814.779901341</v>
      </c>
      <c r="S17" s="138"/>
      <c r="T17" s="138"/>
      <c r="U17" s="138"/>
      <c r="V17" s="138"/>
      <c r="W17" s="138"/>
    </row>
    <row r="18" spans="1:23" ht="12" customHeight="1">
      <c r="A18" s="153" t="s">
        <v>166</v>
      </c>
      <c r="B18" s="171"/>
      <c r="C18" s="171"/>
      <c r="D18" s="177" t="s">
        <v>176</v>
      </c>
      <c r="E18" s="155"/>
      <c r="F18" s="156"/>
      <c r="G18" s="157">
        <v>527738.93953507789</v>
      </c>
      <c r="H18" s="157">
        <v>673738.34277057182</v>
      </c>
      <c r="I18" s="157">
        <v>696109.31189176149</v>
      </c>
      <c r="J18" s="157">
        <v>706350.16162710218</v>
      </c>
      <c r="K18" s="157">
        <v>668354.64652597439</v>
      </c>
      <c r="L18" s="157">
        <v>593065.41475694126</v>
      </c>
      <c r="M18" s="172">
        <v>551205.44941819285</v>
      </c>
      <c r="N18" s="172">
        <v>534335.02923317591</v>
      </c>
      <c r="O18" s="172">
        <v>433754.79742022417</v>
      </c>
      <c r="P18" s="172">
        <v>544190.95782007603</v>
      </c>
      <c r="Q18" s="172">
        <v>571903.30538393545</v>
      </c>
      <c r="R18" s="173">
        <v>574992.40377090289</v>
      </c>
      <c r="S18" s="138"/>
      <c r="T18" s="138"/>
      <c r="U18" s="138"/>
      <c r="V18" s="138"/>
      <c r="W18" s="138"/>
    </row>
    <row r="19" spans="1:23" ht="12" customHeight="1">
      <c r="A19" s="159" t="s">
        <v>91</v>
      </c>
      <c r="B19" s="160" t="s">
        <v>141</v>
      </c>
      <c r="C19" s="160" t="s">
        <v>143</v>
      </c>
      <c r="D19" s="178" t="s">
        <v>176</v>
      </c>
      <c r="E19" s="161"/>
      <c r="F19" s="162"/>
      <c r="G19" s="163">
        <v>15807399</v>
      </c>
      <c r="H19" s="163">
        <v>14429937</v>
      </c>
      <c r="I19" s="163">
        <v>19761235.221908528</v>
      </c>
      <c r="J19" s="163">
        <v>13502199.020573074</v>
      </c>
      <c r="K19" s="163">
        <v>7661055.0583879231</v>
      </c>
      <c r="L19" s="163">
        <v>5350523.8749476541</v>
      </c>
      <c r="M19" s="163">
        <v>10205261.70139838</v>
      </c>
      <c r="N19" s="163">
        <v>9794626</v>
      </c>
      <c r="O19" s="163">
        <v>1906930.2139045221</v>
      </c>
      <c r="P19" s="163">
        <v>20322466.175050478</v>
      </c>
      <c r="Q19" s="163">
        <v>17608598.820861347</v>
      </c>
      <c r="R19" s="164">
        <v>33801070.613517359</v>
      </c>
      <c r="S19" s="138"/>
      <c r="T19" s="138"/>
      <c r="U19" s="138"/>
      <c r="V19" s="138"/>
      <c r="W19" s="138"/>
    </row>
    <row r="20" spans="1:23" ht="12" customHeight="1">
      <c r="A20" s="147" t="s">
        <v>172</v>
      </c>
      <c r="B20" s="148" t="s">
        <v>144</v>
      </c>
      <c r="C20" s="148" t="s">
        <v>142</v>
      </c>
      <c r="D20" s="176" t="s">
        <v>177</v>
      </c>
      <c r="E20" s="149"/>
      <c r="F20" s="150"/>
      <c r="G20" s="151">
        <v>1271876</v>
      </c>
      <c r="H20" s="151">
        <v>1286033</v>
      </c>
      <c r="I20" s="151">
        <v>1129837</v>
      </c>
      <c r="J20" s="151">
        <v>1398726</v>
      </c>
      <c r="K20" s="151">
        <v>1302426</v>
      </c>
      <c r="L20" s="151">
        <v>4640987</v>
      </c>
      <c r="M20" s="151">
        <v>3665832.3808277161</v>
      </c>
      <c r="N20" s="151">
        <v>1878793.6829457886</v>
      </c>
      <c r="O20" s="151">
        <v>1627931.2321953282</v>
      </c>
      <c r="P20" s="151">
        <v>1384847</v>
      </c>
      <c r="Q20" s="151">
        <v>1560666.9937321672</v>
      </c>
      <c r="R20" s="152">
        <v>2436472.391641859</v>
      </c>
      <c r="S20" s="138"/>
      <c r="T20" s="138"/>
      <c r="U20" s="138"/>
      <c r="V20" s="138"/>
      <c r="W20" s="138"/>
    </row>
    <row r="21" spans="1:23" ht="12" customHeight="1">
      <c r="A21" s="153" t="s">
        <v>168</v>
      </c>
      <c r="B21" s="154"/>
      <c r="C21" s="154"/>
      <c r="D21" s="177" t="s">
        <v>177</v>
      </c>
      <c r="E21" s="155"/>
      <c r="F21" s="156"/>
      <c r="G21" s="157">
        <v>1059913</v>
      </c>
      <c r="H21" s="157">
        <v>1118196</v>
      </c>
      <c r="I21" s="157">
        <v>1007307</v>
      </c>
      <c r="J21" s="157">
        <v>887542</v>
      </c>
      <c r="K21" s="157">
        <v>937883</v>
      </c>
      <c r="L21" s="157">
        <v>1088435</v>
      </c>
      <c r="M21" s="157">
        <v>941834</v>
      </c>
      <c r="N21" s="157">
        <v>967697</v>
      </c>
      <c r="O21" s="157">
        <v>874915</v>
      </c>
      <c r="P21" s="131">
        <f>AVERAGE(O21,Q21)</f>
        <v>726886</v>
      </c>
      <c r="Q21" s="157">
        <v>578857</v>
      </c>
      <c r="R21" s="131">
        <f>AVERAGE(Q21,S21)</f>
        <v>578857</v>
      </c>
      <c r="S21" s="138"/>
      <c r="T21" s="138"/>
      <c r="U21" s="138"/>
      <c r="V21" s="138"/>
      <c r="W21" s="138"/>
    </row>
    <row r="22" spans="1:23" ht="12" customHeight="1">
      <c r="A22" s="159" t="s">
        <v>107</v>
      </c>
      <c r="B22" s="160" t="s">
        <v>144</v>
      </c>
      <c r="C22" s="160" t="s">
        <v>142</v>
      </c>
      <c r="D22" s="178" t="s">
        <v>177</v>
      </c>
      <c r="E22" s="161"/>
      <c r="F22" s="162"/>
      <c r="G22" s="163">
        <v>557224</v>
      </c>
      <c r="H22" s="163">
        <v>540440</v>
      </c>
      <c r="I22" s="163">
        <v>546888</v>
      </c>
      <c r="J22" s="163">
        <v>516371</v>
      </c>
      <c r="K22" s="163">
        <v>1476919</v>
      </c>
      <c r="L22" s="163">
        <v>1800788</v>
      </c>
      <c r="M22" s="163">
        <v>1564407</v>
      </c>
      <c r="N22" s="163">
        <v>728269</v>
      </c>
      <c r="O22" s="163">
        <v>695918</v>
      </c>
      <c r="P22" s="163">
        <v>584193</v>
      </c>
      <c r="Q22" s="163">
        <v>0</v>
      </c>
      <c r="R22" s="163">
        <v>0</v>
      </c>
      <c r="S22" s="138"/>
      <c r="T22" s="138"/>
      <c r="U22" s="138"/>
      <c r="V22" s="138"/>
      <c r="W22" s="138"/>
    </row>
    <row r="23" spans="1:23" ht="12" customHeight="1">
      <c r="A23" s="165" t="s">
        <v>97</v>
      </c>
      <c r="B23" s="166" t="s">
        <v>144</v>
      </c>
      <c r="C23" s="166" t="s">
        <v>1</v>
      </c>
      <c r="D23" s="179" t="s">
        <v>178</v>
      </c>
      <c r="E23" s="167"/>
      <c r="F23" s="168"/>
      <c r="G23" s="169">
        <v>1633506.52</v>
      </c>
      <c r="H23" s="169">
        <v>1654695.87</v>
      </c>
      <c r="I23" s="169">
        <v>1092013.53</v>
      </c>
      <c r="J23" s="169">
        <v>1030597.8</v>
      </c>
      <c r="K23" s="169">
        <v>1001385.49</v>
      </c>
      <c r="L23" s="169">
        <v>1006790.08</v>
      </c>
      <c r="M23" s="169">
        <v>976871.77</v>
      </c>
      <c r="N23" s="169">
        <v>920897.47</v>
      </c>
      <c r="O23" s="169">
        <v>942823.63</v>
      </c>
      <c r="P23" s="169">
        <v>861596.36</v>
      </c>
      <c r="Q23" s="169">
        <v>865780.66</v>
      </c>
      <c r="R23" s="170">
        <v>853.04</v>
      </c>
      <c r="S23" s="138"/>
      <c r="T23" s="138"/>
      <c r="U23" s="138"/>
      <c r="V23" s="138"/>
      <c r="W23" s="138"/>
    </row>
    <row r="24" spans="1:23" ht="12" customHeight="1">
      <c r="A24" s="165" t="s">
        <v>96</v>
      </c>
      <c r="B24" s="166" t="s">
        <v>144</v>
      </c>
      <c r="C24" s="166" t="s">
        <v>4</v>
      </c>
      <c r="D24" s="179" t="s">
        <v>179</v>
      </c>
      <c r="E24" s="167"/>
      <c r="F24" s="168"/>
      <c r="G24" s="169">
        <v>4053418.52</v>
      </c>
      <c r="H24" s="169">
        <v>3993940.33</v>
      </c>
      <c r="I24" s="169">
        <v>5162478.12</v>
      </c>
      <c r="J24" s="169">
        <v>5256057.1399999997</v>
      </c>
      <c r="K24" s="169">
        <v>9779357.9299999997</v>
      </c>
      <c r="L24" s="169">
        <v>9961765.7300000004</v>
      </c>
      <c r="M24" s="169">
        <v>9622113.8000000007</v>
      </c>
      <c r="N24" s="169">
        <v>9797984.0099999998</v>
      </c>
      <c r="O24" s="169">
        <v>9716361.3699999992</v>
      </c>
      <c r="P24" s="169">
        <v>9573588.1600000001</v>
      </c>
      <c r="Q24" s="169">
        <v>8367919.6200000001</v>
      </c>
      <c r="R24" s="170">
        <v>7545462.5700000003</v>
      </c>
      <c r="S24" s="138"/>
      <c r="T24" s="138"/>
      <c r="U24" s="138"/>
      <c r="V24" s="138"/>
      <c r="W24" s="138"/>
    </row>
    <row r="25" spans="1:23" ht="12" customHeight="1">
      <c r="A25" s="165" t="s">
        <v>169</v>
      </c>
      <c r="B25" s="166" t="s">
        <v>144</v>
      </c>
      <c r="C25" s="166" t="s">
        <v>143</v>
      </c>
      <c r="D25" s="179" t="s">
        <v>180</v>
      </c>
      <c r="E25" s="167"/>
      <c r="F25" s="168"/>
      <c r="G25" s="169">
        <v>6484975.5085939178</v>
      </c>
      <c r="H25" s="169">
        <v>6063146.141290566</v>
      </c>
      <c r="I25" s="169">
        <v>5869876.9519873196</v>
      </c>
      <c r="J25" s="169">
        <v>5138342.9733006591</v>
      </c>
      <c r="K25" s="169">
        <v>5035345.9989426136</v>
      </c>
      <c r="L25" s="169">
        <v>4637306.766167813</v>
      </c>
      <c r="M25" s="169">
        <v>5935964.6287387116</v>
      </c>
      <c r="N25" s="169">
        <v>6038105.5113469642</v>
      </c>
      <c r="O25" s="169">
        <v>5798342.5759273041</v>
      </c>
      <c r="P25" s="169">
        <v>6005385.0075540086</v>
      </c>
      <c r="Q25" s="169">
        <v>6354009.556133437</v>
      </c>
      <c r="R25" s="169">
        <v>6768797.8520967122</v>
      </c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5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5"/>
      <c r="E27" s="182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2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2">
        <f t="shared" si="0"/>
        <v>52983009.885311328</v>
      </c>
      <c r="M27" s="134">
        <f t="shared" ref="M27:R27" si="1">SQRT(SUMSQ(SUM(M2:M3),M4:M12))</f>
        <v>48029858.932196639</v>
      </c>
      <c r="N27" s="134">
        <f t="shared" si="1"/>
        <v>78762832.429473579</v>
      </c>
      <c r="O27" s="182">
        <f t="shared" si="1"/>
        <v>54993633.789610617</v>
      </c>
      <c r="P27" s="134">
        <f t="shared" si="1"/>
        <v>34610905.623136342</v>
      </c>
      <c r="Q27" s="134">
        <f t="shared" si="1"/>
        <v>81119047.920318365</v>
      </c>
      <c r="R27" s="182">
        <f t="shared" si="1"/>
        <v>65821030.466011576</v>
      </c>
      <c r="S27" s="136"/>
      <c r="T27" s="142">
        <f t="shared" ref="T27:T34" si="2">AVERAGE($G27:$R27)</f>
        <v>49891230.647443086</v>
      </c>
      <c r="U27" s="142">
        <f t="shared" ref="U27:U34" si="3">MAX($G27:$R27)</f>
        <v>81119047.920318365</v>
      </c>
      <c r="V27" s="142">
        <f t="shared" ref="V27:V34" si="4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5"/>
      <c r="E28" s="182">
        <f>'1999'!R29</f>
        <v>402833.5</v>
      </c>
      <c r="F28" s="139"/>
      <c r="G28" s="134">
        <f t="shared" ref="G28:L29" si="5">G13</f>
        <v>337257</v>
      </c>
      <c r="H28" s="134">
        <f t="shared" si="5"/>
        <v>198338.76</v>
      </c>
      <c r="I28" s="182">
        <f t="shared" si="5"/>
        <v>44211.57</v>
      </c>
      <c r="J28" s="134">
        <f t="shared" si="5"/>
        <v>34722.6</v>
      </c>
      <c r="K28" s="134">
        <f t="shared" si="5"/>
        <v>153500.99</v>
      </c>
      <c r="L28" s="182">
        <f t="shared" si="5"/>
        <v>68031.61</v>
      </c>
      <c r="M28" s="134">
        <f t="shared" ref="M28:O29" si="6">M13</f>
        <v>106613.64</v>
      </c>
      <c r="N28" s="134">
        <f t="shared" si="6"/>
        <v>129377.47</v>
      </c>
      <c r="O28" s="182">
        <f t="shared" si="6"/>
        <v>58028.31</v>
      </c>
      <c r="P28" s="134">
        <f t="shared" ref="P28:R29" si="7">P13</f>
        <v>194706.94</v>
      </c>
      <c r="Q28" s="134">
        <f t="shared" si="7"/>
        <v>50966.9</v>
      </c>
      <c r="R28" s="182">
        <f t="shared" si="7"/>
        <v>252688.76</v>
      </c>
      <c r="S28" s="136"/>
      <c r="T28" s="142">
        <f t="shared" si="2"/>
        <v>135703.71249999999</v>
      </c>
      <c r="U28" s="142">
        <f t="shared" si="3"/>
        <v>337257</v>
      </c>
      <c r="V28" s="142">
        <f t="shared" si="4"/>
        <v>34722.6</v>
      </c>
      <c r="W28" s="136"/>
    </row>
    <row r="29" spans="1:23" ht="12" customHeight="1">
      <c r="A29" s="140" t="s">
        <v>140</v>
      </c>
      <c r="B29" s="136"/>
      <c r="C29" s="136"/>
      <c r="D29" s="175"/>
      <c r="E29" s="182">
        <f>'1999'!R30</f>
        <v>88015.32</v>
      </c>
      <c r="F29" s="139"/>
      <c r="G29" s="134">
        <f t="shared" si="5"/>
        <v>23005</v>
      </c>
      <c r="H29" s="134">
        <f t="shared" si="5"/>
        <v>475061.02</v>
      </c>
      <c r="I29" s="182">
        <f t="shared" si="5"/>
        <v>140591.07</v>
      </c>
      <c r="J29" s="134">
        <f t="shared" si="5"/>
        <v>94820.49</v>
      </c>
      <c r="K29" s="134">
        <f t="shared" si="5"/>
        <v>24845.1</v>
      </c>
      <c r="L29" s="182">
        <f t="shared" si="5"/>
        <v>45618.29</v>
      </c>
      <c r="M29" s="134">
        <f t="shared" si="6"/>
        <v>28666.7</v>
      </c>
      <c r="N29" s="134">
        <f t="shared" si="6"/>
        <v>123803.19</v>
      </c>
      <c r="O29" s="182">
        <f t="shared" si="6"/>
        <v>54812.6</v>
      </c>
      <c r="P29" s="134">
        <f t="shared" si="7"/>
        <v>199235.86</v>
      </c>
      <c r="Q29" s="134">
        <f t="shared" si="7"/>
        <v>34587.550000000003</v>
      </c>
      <c r="R29" s="182">
        <f t="shared" si="7"/>
        <v>236780.04</v>
      </c>
      <c r="S29" s="136"/>
      <c r="T29" s="142">
        <f t="shared" si="2"/>
        <v>123485.57583333335</v>
      </c>
      <c r="U29" s="142">
        <f t="shared" si="3"/>
        <v>475061.02</v>
      </c>
      <c r="V29" s="142">
        <f t="shared" si="4"/>
        <v>23005</v>
      </c>
      <c r="W29" s="136"/>
    </row>
    <row r="30" spans="1:23" ht="12" customHeight="1">
      <c r="A30" s="140" t="s">
        <v>139</v>
      </c>
      <c r="B30" s="136"/>
      <c r="C30" s="136"/>
      <c r="D30" s="175"/>
      <c r="E30" s="182">
        <f>'1999'!R31</f>
        <v>26425551.596895989</v>
      </c>
      <c r="F30" s="139"/>
      <c r="G30" s="134">
        <f t="shared" ref="G30:L30" si="8">SQRT(SUMSQ(G15:G19))</f>
        <v>120974926.65427142</v>
      </c>
      <c r="H30" s="134">
        <f t="shared" si="8"/>
        <v>140239932.15940842</v>
      </c>
      <c r="I30" s="182">
        <f t="shared" si="8"/>
        <v>82732949.127538696</v>
      </c>
      <c r="J30" s="134">
        <f t="shared" si="8"/>
        <v>67821094.583403334</v>
      </c>
      <c r="K30" s="134">
        <f t="shared" si="8"/>
        <v>70138855.204250321</v>
      </c>
      <c r="L30" s="182">
        <f t="shared" si="8"/>
        <v>78097185.239261568</v>
      </c>
      <c r="M30" s="134">
        <f t="shared" ref="M30:R30" si="9">SQRT(SUMSQ(M15:M19))</f>
        <v>74262911.027267873</v>
      </c>
      <c r="N30" s="134">
        <f t="shared" si="9"/>
        <v>86487904.563623056</v>
      </c>
      <c r="O30" s="182">
        <f t="shared" si="9"/>
        <v>67013578.423033617</v>
      </c>
      <c r="P30" s="134">
        <f t="shared" si="9"/>
        <v>65580201.581534423</v>
      </c>
      <c r="Q30" s="134">
        <f t="shared" si="9"/>
        <v>64990707.88152647</v>
      </c>
      <c r="R30" s="182">
        <f t="shared" si="9"/>
        <v>70231223.061216578</v>
      </c>
      <c r="S30" s="136"/>
      <c r="T30" s="142">
        <f t="shared" si="2"/>
        <v>82380955.79219465</v>
      </c>
      <c r="U30" s="142">
        <f t="shared" si="3"/>
        <v>140239932.15940842</v>
      </c>
      <c r="V30" s="142">
        <f t="shared" si="4"/>
        <v>64990707.88152647</v>
      </c>
      <c r="W30" s="136"/>
    </row>
    <row r="31" spans="1:23" ht="12" customHeight="1">
      <c r="A31" s="140" t="s">
        <v>163</v>
      </c>
      <c r="B31" s="136"/>
      <c r="C31" s="136"/>
      <c r="D31" s="175"/>
      <c r="E31" s="182">
        <f>'1999'!R32</f>
        <v>1388846.8352633419</v>
      </c>
      <c r="F31" s="139"/>
      <c r="G31" s="134">
        <f t="shared" ref="G31:L31" si="10">SQRT(SUMSQ(G20:G22))</f>
        <v>1746877.9903361883</v>
      </c>
      <c r="H31" s="134">
        <f t="shared" si="10"/>
        <v>1787825.0935438287</v>
      </c>
      <c r="I31" s="182">
        <f t="shared" si="10"/>
        <v>1609436.399290758</v>
      </c>
      <c r="J31" s="134">
        <f t="shared" si="10"/>
        <v>1735166.9183340834</v>
      </c>
      <c r="K31" s="134">
        <f t="shared" si="10"/>
        <v>2181106.9986880515</v>
      </c>
      <c r="L31" s="182">
        <f t="shared" si="10"/>
        <v>5095712.7572438773</v>
      </c>
      <c r="M31" s="134">
        <f t="shared" ref="M31:R31" si="11">SQRT(SUMSQ(M20:M22))</f>
        <v>4095454.50341351</v>
      </c>
      <c r="N31" s="134">
        <f t="shared" si="11"/>
        <v>2235325.2388068722</v>
      </c>
      <c r="O31" s="182">
        <f t="shared" si="11"/>
        <v>1974826.1231576819</v>
      </c>
      <c r="P31" s="134">
        <f t="shared" si="11"/>
        <v>1669564.5934356658</v>
      </c>
      <c r="Q31" s="134">
        <f t="shared" si="11"/>
        <v>1664559.0682742384</v>
      </c>
      <c r="R31" s="182">
        <f t="shared" si="11"/>
        <v>2504290.9458930683</v>
      </c>
      <c r="S31" s="136"/>
      <c r="T31" s="142">
        <f t="shared" si="2"/>
        <v>2358345.5525348191</v>
      </c>
      <c r="U31" s="142">
        <f t="shared" si="3"/>
        <v>5095712.7572438773</v>
      </c>
      <c r="V31" s="142">
        <f t="shared" si="4"/>
        <v>1609436.399290758</v>
      </c>
      <c r="W31" s="136"/>
    </row>
    <row r="32" spans="1:23" ht="12" customHeight="1">
      <c r="A32" s="140" t="s">
        <v>160</v>
      </c>
      <c r="B32" s="136"/>
      <c r="C32" s="136"/>
      <c r="D32" s="175"/>
      <c r="E32" s="182">
        <f>'1999'!R33</f>
        <v>1745908.45</v>
      </c>
      <c r="F32" s="139"/>
      <c r="G32" s="134">
        <f t="shared" ref="G32:L34" si="12">G23</f>
        <v>1633506.52</v>
      </c>
      <c r="H32" s="134">
        <f t="shared" si="12"/>
        <v>1654695.87</v>
      </c>
      <c r="I32" s="182">
        <f t="shared" si="12"/>
        <v>1092013.53</v>
      </c>
      <c r="J32" s="134">
        <f t="shared" si="12"/>
        <v>1030597.8</v>
      </c>
      <c r="K32" s="134">
        <f t="shared" si="12"/>
        <v>1001385.49</v>
      </c>
      <c r="L32" s="182">
        <f t="shared" si="12"/>
        <v>1006790.08</v>
      </c>
      <c r="M32" s="134">
        <f t="shared" ref="M32:O34" si="13">M23</f>
        <v>976871.77</v>
      </c>
      <c r="N32" s="134">
        <f t="shared" si="13"/>
        <v>920897.47</v>
      </c>
      <c r="O32" s="182">
        <f t="shared" si="13"/>
        <v>942823.63</v>
      </c>
      <c r="P32" s="134">
        <f t="shared" ref="P32:R34" si="14">P23</f>
        <v>861596.36</v>
      </c>
      <c r="Q32" s="134">
        <f t="shared" si="14"/>
        <v>865780.66</v>
      </c>
      <c r="R32" s="182">
        <f t="shared" si="14"/>
        <v>853.04</v>
      </c>
      <c r="S32" s="136"/>
      <c r="T32" s="142">
        <f t="shared" si="2"/>
        <v>998984.35166666668</v>
      </c>
      <c r="U32" s="142">
        <f t="shared" si="3"/>
        <v>1654695.87</v>
      </c>
      <c r="V32" s="142">
        <f t="shared" si="4"/>
        <v>853.04</v>
      </c>
      <c r="W32" s="136"/>
    </row>
    <row r="33" spans="1:23" ht="12" customHeight="1">
      <c r="A33" s="140" t="s">
        <v>161</v>
      </c>
      <c r="B33" s="136"/>
      <c r="C33" s="136"/>
      <c r="D33" s="175"/>
      <c r="E33" s="182">
        <f>'1999'!R34</f>
        <v>3589218.36</v>
      </c>
      <c r="F33" s="139"/>
      <c r="G33" s="134">
        <f t="shared" si="12"/>
        <v>4053418.52</v>
      </c>
      <c r="H33" s="134">
        <f t="shared" si="12"/>
        <v>3993940.33</v>
      </c>
      <c r="I33" s="182">
        <f t="shared" si="12"/>
        <v>5162478.12</v>
      </c>
      <c r="J33" s="134">
        <f t="shared" si="12"/>
        <v>5256057.1399999997</v>
      </c>
      <c r="K33" s="134">
        <f t="shared" si="12"/>
        <v>9779357.9299999997</v>
      </c>
      <c r="L33" s="182">
        <f t="shared" si="12"/>
        <v>9961765.7300000004</v>
      </c>
      <c r="M33" s="134">
        <f t="shared" si="13"/>
        <v>9622113.8000000007</v>
      </c>
      <c r="N33" s="134">
        <f t="shared" si="13"/>
        <v>9797984.0099999998</v>
      </c>
      <c r="O33" s="182">
        <f t="shared" si="13"/>
        <v>9716361.3699999992</v>
      </c>
      <c r="P33" s="134">
        <f t="shared" si="14"/>
        <v>9573588.1600000001</v>
      </c>
      <c r="Q33" s="134">
        <f t="shared" si="14"/>
        <v>8367919.6200000001</v>
      </c>
      <c r="R33" s="182">
        <f t="shared" si="14"/>
        <v>7545462.5700000003</v>
      </c>
      <c r="S33" s="136"/>
      <c r="T33" s="142">
        <f t="shared" si="2"/>
        <v>7735870.6083333315</v>
      </c>
      <c r="U33" s="142">
        <f t="shared" si="3"/>
        <v>9961765.7300000004</v>
      </c>
      <c r="V33" s="142">
        <f t="shared" si="4"/>
        <v>3993940.33</v>
      </c>
      <c r="W33" s="136"/>
    </row>
    <row r="34" spans="1:23" ht="12" customHeight="1">
      <c r="A34" s="140" t="s">
        <v>162</v>
      </c>
      <c r="B34" s="136"/>
      <c r="C34" s="136"/>
      <c r="D34" s="175"/>
      <c r="E34" s="182">
        <f>'1999'!R35</f>
        <v>2833349.5571878199</v>
      </c>
      <c r="F34" s="139"/>
      <c r="G34" s="134">
        <f t="shared" si="12"/>
        <v>6484975.5085939178</v>
      </c>
      <c r="H34" s="134">
        <f t="shared" si="12"/>
        <v>6063146.141290566</v>
      </c>
      <c r="I34" s="182">
        <f t="shared" si="12"/>
        <v>5869876.9519873196</v>
      </c>
      <c r="J34" s="134">
        <f t="shared" si="12"/>
        <v>5138342.9733006591</v>
      </c>
      <c r="K34" s="134">
        <f t="shared" si="12"/>
        <v>5035345.9989426136</v>
      </c>
      <c r="L34" s="182">
        <f t="shared" si="12"/>
        <v>4637306.766167813</v>
      </c>
      <c r="M34" s="134">
        <f t="shared" si="13"/>
        <v>5935964.6287387116</v>
      </c>
      <c r="N34" s="134">
        <f t="shared" si="13"/>
        <v>6038105.5113469642</v>
      </c>
      <c r="O34" s="182">
        <f t="shared" si="13"/>
        <v>5798342.5759273041</v>
      </c>
      <c r="P34" s="134">
        <f t="shared" si="14"/>
        <v>6005385.0075540086</v>
      </c>
      <c r="Q34" s="134">
        <f t="shared" si="14"/>
        <v>6354009.556133437</v>
      </c>
      <c r="R34" s="182">
        <f t="shared" si="14"/>
        <v>6768797.8520967122</v>
      </c>
      <c r="S34" s="136"/>
      <c r="T34" s="142">
        <f t="shared" si="2"/>
        <v>5844133.2893400015</v>
      </c>
      <c r="U34" s="142">
        <f t="shared" si="3"/>
        <v>6768797.8520967122</v>
      </c>
      <c r="V34" s="142">
        <f t="shared" si="4"/>
        <v>4637306.766167813</v>
      </c>
      <c r="W34" s="136"/>
    </row>
    <row r="35" spans="1:23" ht="12" customHeight="1">
      <c r="A35" s="136"/>
      <c r="B35" s="136"/>
      <c r="C35" s="136"/>
      <c r="D35" s="133"/>
      <c r="E35" s="183"/>
      <c r="F35" s="139"/>
      <c r="G35" s="133"/>
      <c r="H35" s="133"/>
      <c r="I35" s="183"/>
      <c r="J35" s="133"/>
      <c r="K35" s="133"/>
      <c r="L35" s="183"/>
      <c r="M35" s="133"/>
      <c r="N35" s="133"/>
      <c r="O35" s="183"/>
      <c r="P35" s="133"/>
      <c r="Q35" s="133"/>
      <c r="R35" s="183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4">
        <f>SQRT(SUMSQ(E27:E34))</f>
        <v>34118295.575245224</v>
      </c>
      <c r="F36" s="139"/>
      <c r="G36" s="135">
        <f t="shared" ref="G36:L36" si="15">SQRT(SUMSQ(G27:G34))</f>
        <v>124314565.66410546</v>
      </c>
      <c r="H36" s="135">
        <f t="shared" si="15"/>
        <v>142283736.2010169</v>
      </c>
      <c r="I36" s="184">
        <f t="shared" si="15"/>
        <v>89088213.870955393</v>
      </c>
      <c r="J36" s="135">
        <f t="shared" si="15"/>
        <v>84815363.746043429</v>
      </c>
      <c r="K36" s="135">
        <f t="shared" si="15"/>
        <v>86710567.895597041</v>
      </c>
      <c r="L36" s="184">
        <f t="shared" si="15"/>
        <v>95153022.513230473</v>
      </c>
      <c r="M36" s="135">
        <f t="shared" ref="M36:R36" si="16">SQRT(SUMSQ(M27:M34))</f>
        <v>89260334.234400421</v>
      </c>
      <c r="N36" s="135">
        <f t="shared" si="16"/>
        <v>117567331.40536608</v>
      </c>
      <c r="O36" s="184">
        <f t="shared" si="16"/>
        <v>87452519.298565611</v>
      </c>
      <c r="P36" s="135">
        <f t="shared" si="16"/>
        <v>75033347.698301449</v>
      </c>
      <c r="Q36" s="135">
        <f t="shared" si="16"/>
        <v>104489289.8320854</v>
      </c>
      <c r="R36" s="184">
        <f t="shared" si="16"/>
        <v>96819289.216074795</v>
      </c>
      <c r="S36" s="136"/>
      <c r="T36" s="135">
        <f>SQRT(SUMSQ(T27:T34))</f>
        <v>96831543.354370847</v>
      </c>
      <c r="U36" s="135">
        <f>SQRT(SUMSQ(U27:U34))</f>
        <v>162547333.53881767</v>
      </c>
      <c r="V36" s="135">
        <f>SQRT(SUMSQ(V27:V34))</f>
        <v>69154541.875542536</v>
      </c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1:23" ht="12" customHeight="1">
      <c r="S40" s="146"/>
    </row>
    <row r="41" spans="1:23" ht="12" hidden="1" customHeight="1">
      <c r="A41" s="153" t="s">
        <v>184</v>
      </c>
      <c r="B41" s="154" t="s">
        <v>141</v>
      </c>
      <c r="C41" s="154" t="s">
        <v>143</v>
      </c>
      <c r="D41" s="177" t="s">
        <v>176</v>
      </c>
      <c r="E41" s="155"/>
      <c r="F41" s="156"/>
      <c r="G41" s="157">
        <v>26048012.091239177</v>
      </c>
      <c r="H41" s="157">
        <v>24266449.572300147</v>
      </c>
      <c r="I41" s="157">
        <v>24253012.890979193</v>
      </c>
      <c r="J41" s="157">
        <v>28471216.824584</v>
      </c>
      <c r="K41" s="157">
        <v>27164142.144670229</v>
      </c>
      <c r="L41" s="157">
        <v>23161707.613819055</v>
      </c>
      <c r="M41" s="157">
        <v>22278214.381934978</v>
      </c>
      <c r="N41" s="157">
        <v>16691362.955604</v>
      </c>
      <c r="O41" s="157">
        <v>27929747</v>
      </c>
      <c r="P41" s="157">
        <v>17693726.030022006</v>
      </c>
      <c r="Q41" s="157">
        <v>16209438</v>
      </c>
      <c r="R41" s="158">
        <v>28875326.72950273</v>
      </c>
    </row>
    <row r="42" spans="1:23" ht="12" customHeight="1"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23" ht="12" customHeight="1"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</sheetData>
  <pageMargins left="0.18" right="0.17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ColWidth="9.109375" defaultRowHeight="10.199999999999999"/>
  <cols>
    <col min="1" max="1" width="42" style="28" customWidth="1"/>
    <col min="2" max="2" width="13.88671875" style="36" customWidth="1"/>
    <col min="3" max="3" width="11.5546875" style="28" customWidth="1"/>
    <col min="4" max="4" width="12.44140625" style="28" customWidth="1"/>
    <col min="5" max="5" width="38.44140625" style="91" customWidth="1"/>
    <col min="6" max="8" width="20.33203125" style="28" customWidth="1"/>
    <col min="9" max="9" width="5.5546875" style="28" hidden="1" customWidth="1"/>
    <col min="10" max="10" width="9.109375" style="28" hidden="1" customWidth="1"/>
    <col min="11" max="11" width="9.109375" style="36" hidden="1" customWidth="1"/>
    <col min="12" max="13" width="9.109375" style="28" hidden="1" customWidth="1"/>
    <col min="14" max="14" width="4.109375" style="28" customWidth="1"/>
    <col min="15" max="16" width="8.44140625" style="28" customWidth="1"/>
    <col min="17" max="18" width="8.44140625" style="36" customWidth="1"/>
    <col min="19" max="16384" width="9.109375" style="28"/>
  </cols>
  <sheetData>
    <row r="1" spans="1:18" ht="13.8" thickBot="1">
      <c r="A1" s="35" t="s">
        <v>18</v>
      </c>
    </row>
    <row r="2" spans="1:18" ht="24.9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0.8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0.8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3.2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0.8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0.8" thickBot="1">
      <c r="F41" s="34"/>
    </row>
    <row r="42" spans="1:18">
      <c r="C42" s="97" t="s">
        <v>135</v>
      </c>
    </row>
    <row r="43" spans="1:18" ht="10.8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ColWidth="9.109375" defaultRowHeight="10.199999999999999"/>
  <cols>
    <col min="1" max="1" width="10.6640625" style="2" customWidth="1"/>
    <col min="2" max="2" width="5.6640625" style="2" customWidth="1"/>
    <col min="3" max="3" width="14.88671875" style="2" customWidth="1"/>
    <col min="4" max="4" width="10.6640625" style="2" customWidth="1"/>
    <col min="5" max="5" width="2.6640625" style="2" customWidth="1"/>
    <col min="6" max="6" width="20.5546875" style="2" customWidth="1"/>
    <col min="7" max="7" width="6.88671875" style="2" customWidth="1"/>
    <col min="8" max="8" width="6.6640625" style="2" customWidth="1"/>
    <col min="9" max="9" width="15.5546875" style="3" customWidth="1"/>
    <col min="10" max="10" width="24" style="2" customWidth="1"/>
    <col min="11" max="12" width="9.109375" style="2"/>
    <col min="13" max="13" width="9.88671875" style="2" bestFit="1" customWidth="1"/>
    <col min="14" max="14" width="11.109375" style="2" bestFit="1" customWidth="1"/>
    <col min="15" max="16384" width="9.109375" style="2"/>
  </cols>
  <sheetData>
    <row r="1" spans="1:14" ht="13.2">
      <c r="A1" s="1" t="s">
        <v>18</v>
      </c>
    </row>
    <row r="2" spans="1:14" ht="24.9" customHeight="1">
      <c r="A2" s="13" t="s">
        <v>15</v>
      </c>
      <c r="B2" s="185" t="s">
        <v>23</v>
      </c>
      <c r="C2" s="185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3.2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20.399999999999999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3.2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3.2"/>
  <cols>
    <col min="1" max="1" width="2.6640625" customWidth="1"/>
    <col min="2" max="2" width="5.6640625" customWidth="1"/>
    <col min="4" max="4" width="10.6640625" bestFit="1" customWidth="1"/>
    <col min="6" max="6" width="3.6640625" customWidth="1"/>
    <col min="7" max="7" width="20.5546875" bestFit="1" customWidth="1"/>
    <col min="8" max="8" width="7" bestFit="1" customWidth="1"/>
    <col min="10" max="10" width="15.554687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8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8" thickBot="1">
      <c r="A3" s="2"/>
      <c r="B3" s="186">
        <v>36250</v>
      </c>
      <c r="C3" s="187"/>
      <c r="D3" s="187"/>
      <c r="E3" s="187"/>
      <c r="F3" s="187"/>
      <c r="G3" s="187"/>
      <c r="H3" s="187"/>
      <c r="I3" s="187"/>
      <c r="J3" s="187"/>
      <c r="K3" s="188"/>
    </row>
    <row r="4" spans="1:11" ht="21">
      <c r="A4" s="2"/>
      <c r="B4" s="64" t="s">
        <v>15</v>
      </c>
      <c r="C4" s="189" t="s">
        <v>23</v>
      </c>
      <c r="D4" s="189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8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8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8" thickBot="1">
      <c r="A23" s="2"/>
      <c r="B23" s="186">
        <v>36160</v>
      </c>
      <c r="C23" s="187"/>
      <c r="D23" s="187"/>
      <c r="E23" s="187"/>
      <c r="F23" s="187"/>
      <c r="G23" s="187"/>
      <c r="H23" s="187"/>
      <c r="I23" s="187"/>
      <c r="J23" s="187"/>
      <c r="K23" s="188"/>
    </row>
    <row r="24" spans="1:11" ht="21">
      <c r="A24" s="2"/>
      <c r="B24" s="64" t="s">
        <v>15</v>
      </c>
      <c r="C24" s="189" t="s">
        <v>23</v>
      </c>
      <c r="D24" s="189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8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20" sqref="A20"/>
    </sheetView>
  </sheetViews>
  <sheetFormatPr defaultRowHeight="13.2"/>
  <cols>
    <col min="1" max="1" width="178.6640625" customWidth="1"/>
  </cols>
  <sheetData>
    <row r="1" spans="1:1">
      <c r="A1" t="s">
        <v>105</v>
      </c>
    </row>
    <row r="4" spans="1:1">
      <c r="A4" s="180" t="s">
        <v>182</v>
      </c>
    </row>
    <row r="5" spans="1:1" ht="26.4">
      <c r="A5" s="181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Havlíček Jan</cp:lastModifiedBy>
  <cp:lastPrinted>2001-01-22T19:06:37Z</cp:lastPrinted>
  <dcterms:created xsi:type="dcterms:W3CDTF">1998-04-20T23:59:16Z</dcterms:created>
  <dcterms:modified xsi:type="dcterms:W3CDTF">2023-09-10T15:25:24Z</dcterms:modified>
</cp:coreProperties>
</file>