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180" windowHeight="8832" tabRatio="811" firstSheet="3" activeTab="7"/>
  </bookViews>
  <sheets>
    <sheet name="Bloomfield Invoices" sheetId="1" r:id="rId1"/>
    <sheet name="Bisti Invoices" sheetId="2" r:id="rId2"/>
    <sheet name="B&amp;B Totals" sheetId="3" r:id="rId3"/>
    <sheet name="BB_LF&amp;CF" sheetId="3" r:id="rId4"/>
    <sheet name="TW O&amp;M Expense" sheetId="1916" r:id="rId5"/>
    <sheet name="TW O&amp;M Detail" sheetId="2" r:id="rId6"/>
    <sheet name="Gallup Power Invoices" sheetId="5" r:id="rId7"/>
    <sheet name="Gallup Totals" sheetId="6" r:id="rId8"/>
    <sheet name="TW Demand Revenue" sheetId="4" r:id="rId9"/>
    <sheet name="Gallup Rebate" sheetId="58221" r:id="rId10"/>
  </sheets>
  <definedNames>
    <definedName name="_xlnm.Print_Area" localSheetId="2">'B&amp;B Totals'!$A$1:$Y$62</definedName>
    <definedName name="_xlnm.Print_Area" localSheetId="1">'Bisti Invoices'!$A$1:$P$52</definedName>
    <definedName name="_xlnm.Print_Area" localSheetId="8">'TW Demand Revenue'!$A$1:$P$24</definedName>
    <definedName name="_xlnm.Print_Area" localSheetId="5">'TW O&amp;M Detail'!$A$1:$AL$67</definedName>
    <definedName name="_xlnm.Print_Titles" localSheetId="9">'Gallup Rebate'!$A:$A</definedName>
    <definedName name="_xlnm.Print_Titles" localSheetId="5">'TW O&amp;M Detail'!$A:$A</definedName>
  </definedNames>
  <calcPr calcId="92512" fullCalcOnLoad="1"/>
</workbook>
</file>

<file path=xl/calcChain.xml><?xml version="1.0" encoding="utf-8"?>
<calcChain xmlns="http://schemas.openxmlformats.org/spreadsheetml/2006/main">
  <c r="A3" i="3" l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20" i="3"/>
  <c r="C20" i="3"/>
  <c r="D20" i="3"/>
  <c r="E20" i="3"/>
  <c r="F20" i="3"/>
  <c r="G20" i="3"/>
  <c r="H20" i="3"/>
  <c r="I20" i="3"/>
  <c r="J20" i="3"/>
  <c r="K20" i="3"/>
  <c r="L20" i="3"/>
  <c r="M20" i="3"/>
  <c r="P20" i="3"/>
  <c r="Q20" i="3"/>
  <c r="R20" i="3"/>
  <c r="S20" i="3"/>
  <c r="T20" i="3"/>
  <c r="U20" i="3"/>
  <c r="V20" i="3"/>
  <c r="W20" i="3"/>
  <c r="X20" i="3"/>
  <c r="Y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7" i="3"/>
  <c r="D27" i="3"/>
  <c r="E27" i="3"/>
  <c r="F27" i="3"/>
  <c r="G27" i="3"/>
  <c r="H27" i="3"/>
  <c r="I27" i="3"/>
  <c r="J27" i="3"/>
  <c r="K27" i="3"/>
  <c r="L27" i="3"/>
  <c r="M27" i="3"/>
  <c r="K29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3" i="3"/>
  <c r="K43" i="3"/>
  <c r="L43" i="3"/>
  <c r="M43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40" i="3"/>
  <c r="K40" i="3"/>
  <c r="G41" i="3"/>
  <c r="K41" i="3"/>
  <c r="G42" i="3"/>
  <c r="K42" i="3"/>
  <c r="G43" i="3"/>
  <c r="K43" i="3"/>
  <c r="G44" i="3"/>
  <c r="K44" i="3"/>
  <c r="G45" i="3"/>
  <c r="K45" i="3"/>
  <c r="G46" i="3"/>
  <c r="K46" i="3"/>
  <c r="G47" i="3"/>
  <c r="K47" i="3"/>
  <c r="G48" i="3"/>
  <c r="K48" i="3"/>
  <c r="G49" i="3"/>
  <c r="K49" i="3"/>
  <c r="G50" i="3"/>
  <c r="K50" i="3"/>
  <c r="G51" i="3"/>
  <c r="K51" i="3"/>
  <c r="G52" i="3"/>
  <c r="K52" i="3"/>
  <c r="G53" i="3"/>
  <c r="K53" i="3"/>
  <c r="G54" i="3"/>
  <c r="K54" i="3"/>
  <c r="G55" i="3"/>
  <c r="K55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G66" i="3"/>
  <c r="K66" i="3"/>
  <c r="G67" i="3"/>
  <c r="K67" i="3"/>
  <c r="G68" i="3"/>
  <c r="K68" i="3"/>
  <c r="G69" i="3"/>
  <c r="K69" i="3"/>
  <c r="G70" i="3"/>
  <c r="K70" i="3"/>
  <c r="G71" i="3"/>
  <c r="K71" i="3"/>
  <c r="G72" i="3"/>
  <c r="K72" i="3"/>
  <c r="G73" i="3"/>
  <c r="K73" i="3"/>
  <c r="G74" i="3"/>
  <c r="K74" i="3"/>
  <c r="G75" i="3"/>
  <c r="K75" i="3"/>
  <c r="G76" i="3"/>
  <c r="K76" i="3"/>
  <c r="G77" i="3"/>
  <c r="K77" i="3"/>
  <c r="G78" i="3"/>
  <c r="K78" i="3"/>
  <c r="G79" i="3"/>
  <c r="K79" i="3"/>
  <c r="G80" i="3"/>
  <c r="K80" i="3"/>
  <c r="G81" i="3"/>
  <c r="K81" i="3"/>
  <c r="G82" i="3"/>
  <c r="K82" i="3"/>
  <c r="G83" i="3"/>
  <c r="K83" i="3"/>
  <c r="G84" i="3"/>
  <c r="K84" i="3"/>
  <c r="G85" i="3"/>
  <c r="K85" i="3"/>
  <c r="G86" i="3"/>
  <c r="K86" i="3"/>
  <c r="G87" i="3"/>
  <c r="K87" i="3"/>
  <c r="G88" i="3"/>
  <c r="K88" i="3"/>
  <c r="G89" i="3"/>
  <c r="K89" i="3"/>
  <c r="G90" i="3"/>
  <c r="K90" i="3"/>
  <c r="G91" i="3"/>
  <c r="K91" i="3"/>
  <c r="G92" i="3"/>
  <c r="K92" i="3"/>
  <c r="G93" i="3"/>
  <c r="K93" i="3"/>
  <c r="G94" i="3"/>
  <c r="K94" i="3"/>
  <c r="G95" i="3"/>
  <c r="K95" i="3"/>
  <c r="G96" i="3"/>
  <c r="K96" i="3"/>
  <c r="G97" i="3"/>
  <c r="K97" i="3"/>
  <c r="G98" i="3"/>
  <c r="K98" i="3"/>
  <c r="G99" i="3"/>
  <c r="K99" i="3"/>
  <c r="G100" i="3"/>
  <c r="K100" i="3"/>
  <c r="G101" i="3"/>
  <c r="K101" i="3"/>
  <c r="G102" i="3"/>
  <c r="K102" i="3"/>
  <c r="G103" i="3"/>
  <c r="K103" i="3"/>
  <c r="G104" i="3"/>
  <c r="K104" i="3"/>
  <c r="A3" i="2"/>
  <c r="B8" i="2"/>
  <c r="C8" i="2"/>
  <c r="D8" i="2"/>
  <c r="E8" i="2"/>
  <c r="F8" i="2"/>
  <c r="G8" i="2"/>
  <c r="H8" i="2"/>
  <c r="I8" i="2"/>
  <c r="J8" i="2"/>
  <c r="K8" i="2"/>
  <c r="L8" i="2"/>
  <c r="M8" i="2"/>
  <c r="O8" i="2"/>
  <c r="P8" i="2"/>
  <c r="C9" i="2"/>
  <c r="D9" i="2"/>
  <c r="E9" i="2"/>
  <c r="F9" i="2"/>
  <c r="G9" i="2"/>
  <c r="H9" i="2"/>
  <c r="I9" i="2"/>
  <c r="J9" i="2"/>
  <c r="K9" i="2"/>
  <c r="L9" i="2"/>
  <c r="M9" i="2"/>
  <c r="O9" i="2"/>
  <c r="P9" i="2"/>
  <c r="O10" i="2"/>
  <c r="P10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O12" i="2"/>
  <c r="P12" i="2"/>
  <c r="O15" i="2"/>
  <c r="C16" i="2"/>
  <c r="D16" i="2"/>
  <c r="E16" i="2"/>
  <c r="F16" i="2"/>
  <c r="G16" i="2"/>
  <c r="H16" i="2"/>
  <c r="I16" i="2"/>
  <c r="J16" i="2"/>
  <c r="K16" i="2"/>
  <c r="L16" i="2"/>
  <c r="M16" i="2"/>
  <c r="O16" i="2"/>
  <c r="K18" i="2"/>
  <c r="A3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6" i="1"/>
  <c r="C16" i="1"/>
  <c r="D16" i="1"/>
  <c r="E16" i="1"/>
  <c r="F16" i="1"/>
  <c r="G16" i="1"/>
  <c r="H16" i="1"/>
  <c r="I16" i="1"/>
  <c r="J16" i="1"/>
  <c r="K16" i="1"/>
  <c r="L16" i="1"/>
  <c r="M16" i="1"/>
  <c r="F2" i="5"/>
  <c r="G2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B13" i="5"/>
  <c r="O13" i="5"/>
  <c r="P13" i="5"/>
  <c r="B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P26" i="5"/>
  <c r="O27" i="5"/>
  <c r="P27" i="5"/>
  <c r="P28" i="5"/>
  <c r="O29" i="5"/>
  <c r="P29" i="5"/>
  <c r="P31" i="5"/>
  <c r="O32" i="5"/>
  <c r="P32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F2" i="58221"/>
  <c r="G2" i="58221"/>
  <c r="O7" i="58221"/>
  <c r="N8" i="58221"/>
  <c r="O8" i="58221"/>
  <c r="O9" i="58221"/>
  <c r="N10" i="58221"/>
  <c r="O10" i="58221"/>
  <c r="O12" i="58221"/>
  <c r="N13" i="58221"/>
  <c r="O13" i="58221"/>
  <c r="O14" i="58221"/>
  <c r="B15" i="58221"/>
  <c r="C15" i="58221"/>
  <c r="D15" i="58221"/>
  <c r="E15" i="58221"/>
  <c r="F15" i="58221"/>
  <c r="G15" i="58221"/>
  <c r="H15" i="58221"/>
  <c r="I15" i="58221"/>
  <c r="J15" i="58221"/>
  <c r="K15" i="58221"/>
  <c r="L15" i="58221"/>
  <c r="M15" i="58221"/>
  <c r="N15" i="58221"/>
  <c r="O15" i="58221"/>
  <c r="P15" i="58221"/>
  <c r="Q15" i="58221"/>
  <c r="R15" i="58221"/>
  <c r="S15" i="58221"/>
  <c r="T15" i="58221"/>
  <c r="U15" i="58221"/>
  <c r="V15" i="58221"/>
  <c r="W15" i="58221"/>
  <c r="X15" i="58221"/>
  <c r="Y15" i="58221"/>
  <c r="Z15" i="58221"/>
  <c r="AA15" i="58221"/>
  <c r="B16" i="58221"/>
  <c r="C16" i="58221"/>
  <c r="D16" i="58221"/>
  <c r="E16" i="58221"/>
  <c r="F16" i="58221"/>
  <c r="G16" i="58221"/>
  <c r="H16" i="58221"/>
  <c r="I16" i="58221"/>
  <c r="J16" i="58221"/>
  <c r="K16" i="58221"/>
  <c r="L16" i="58221"/>
  <c r="M16" i="58221"/>
  <c r="P16" i="58221"/>
  <c r="Q16" i="58221"/>
  <c r="R16" i="58221"/>
  <c r="S16" i="58221"/>
  <c r="T16" i="58221"/>
  <c r="U16" i="58221"/>
  <c r="V16" i="58221"/>
  <c r="W16" i="58221"/>
  <c r="X16" i="58221"/>
  <c r="Y16" i="58221"/>
  <c r="Z16" i="58221"/>
  <c r="AA16" i="58221"/>
  <c r="B23" i="58221"/>
  <c r="C23" i="58221"/>
  <c r="D23" i="58221"/>
  <c r="E23" i="58221"/>
  <c r="F23" i="58221"/>
  <c r="G23" i="58221"/>
  <c r="H23" i="58221"/>
  <c r="I23" i="58221"/>
  <c r="J23" i="58221"/>
  <c r="K23" i="58221"/>
  <c r="L23" i="58221"/>
  <c r="M23" i="58221"/>
  <c r="N23" i="58221"/>
  <c r="O23" i="58221"/>
  <c r="P23" i="58221"/>
  <c r="Q23" i="58221"/>
  <c r="R23" i="58221"/>
  <c r="S23" i="58221"/>
  <c r="T23" i="58221"/>
  <c r="U23" i="58221"/>
  <c r="V23" i="58221"/>
  <c r="W23" i="58221"/>
  <c r="X23" i="58221"/>
  <c r="Y23" i="58221"/>
  <c r="Z23" i="58221"/>
  <c r="AA23" i="58221"/>
  <c r="B24" i="58221"/>
  <c r="C24" i="58221"/>
  <c r="D24" i="58221"/>
  <c r="E24" i="58221"/>
  <c r="F24" i="58221"/>
  <c r="G24" i="58221"/>
  <c r="H24" i="58221"/>
  <c r="I24" i="58221"/>
  <c r="J24" i="58221"/>
  <c r="K24" i="58221"/>
  <c r="L24" i="58221"/>
  <c r="M24" i="58221"/>
  <c r="N24" i="58221"/>
  <c r="O24" i="58221"/>
  <c r="P24" i="58221"/>
  <c r="Q24" i="58221"/>
  <c r="R24" i="58221"/>
  <c r="S24" i="58221"/>
  <c r="T24" i="58221"/>
  <c r="U24" i="58221"/>
  <c r="V24" i="58221"/>
  <c r="W24" i="58221"/>
  <c r="X24" i="58221"/>
  <c r="Y24" i="58221"/>
  <c r="Z24" i="58221"/>
  <c r="AA24" i="58221"/>
  <c r="B25" i="58221"/>
  <c r="C25" i="58221"/>
  <c r="D25" i="58221"/>
  <c r="E25" i="58221"/>
  <c r="F25" i="58221"/>
  <c r="G25" i="58221"/>
  <c r="H25" i="58221"/>
  <c r="I25" i="58221"/>
  <c r="J25" i="58221"/>
  <c r="K25" i="58221"/>
  <c r="L25" i="58221"/>
  <c r="M25" i="58221"/>
  <c r="P25" i="58221"/>
  <c r="Q25" i="58221"/>
  <c r="R25" i="58221"/>
  <c r="S25" i="58221"/>
  <c r="T25" i="58221"/>
  <c r="U25" i="58221"/>
  <c r="V25" i="58221"/>
  <c r="W25" i="58221"/>
  <c r="X25" i="58221"/>
  <c r="Y25" i="58221"/>
  <c r="Z25" i="58221"/>
  <c r="AA25" i="58221"/>
  <c r="B26" i="58221"/>
  <c r="C26" i="58221"/>
  <c r="D26" i="58221"/>
  <c r="E26" i="58221"/>
  <c r="F26" i="58221"/>
  <c r="G26" i="58221"/>
  <c r="H26" i="58221"/>
  <c r="I26" i="58221"/>
  <c r="J26" i="58221"/>
  <c r="K26" i="58221"/>
  <c r="L26" i="58221"/>
  <c r="M26" i="58221"/>
  <c r="N26" i="58221"/>
  <c r="O26" i="58221"/>
  <c r="P26" i="58221"/>
  <c r="Q26" i="58221"/>
  <c r="R26" i="58221"/>
  <c r="S26" i="58221"/>
  <c r="T26" i="58221"/>
  <c r="U26" i="58221"/>
  <c r="V26" i="58221"/>
  <c r="W26" i="58221"/>
  <c r="X26" i="58221"/>
  <c r="Y26" i="58221"/>
  <c r="Z26" i="58221"/>
  <c r="AA26" i="58221"/>
  <c r="B27" i="58221"/>
  <c r="C27" i="58221"/>
  <c r="D27" i="58221"/>
  <c r="E27" i="58221"/>
  <c r="F27" i="58221"/>
  <c r="G27" i="58221"/>
  <c r="H27" i="58221"/>
  <c r="I27" i="58221"/>
  <c r="J27" i="58221"/>
  <c r="K27" i="58221"/>
  <c r="L27" i="58221"/>
  <c r="M27" i="58221"/>
  <c r="N27" i="58221"/>
  <c r="O27" i="58221"/>
  <c r="P27" i="58221"/>
  <c r="Q27" i="58221"/>
  <c r="R27" i="58221"/>
  <c r="S27" i="58221"/>
  <c r="T27" i="58221"/>
  <c r="U27" i="58221"/>
  <c r="V27" i="58221"/>
  <c r="W27" i="58221"/>
  <c r="X27" i="58221"/>
  <c r="Y27" i="58221"/>
  <c r="Z27" i="58221"/>
  <c r="AA27" i="58221"/>
  <c r="B28" i="58221"/>
  <c r="C28" i="58221"/>
  <c r="D28" i="58221"/>
  <c r="E28" i="58221"/>
  <c r="F28" i="58221"/>
  <c r="G28" i="58221"/>
  <c r="H28" i="58221"/>
  <c r="I28" i="58221"/>
  <c r="J28" i="58221"/>
  <c r="K28" i="58221"/>
  <c r="L28" i="58221"/>
  <c r="M28" i="58221"/>
  <c r="P28" i="58221"/>
  <c r="Q28" i="58221"/>
  <c r="R28" i="58221"/>
  <c r="S28" i="58221"/>
  <c r="T28" i="58221"/>
  <c r="U28" i="58221"/>
  <c r="V28" i="58221"/>
  <c r="W28" i="58221"/>
  <c r="X28" i="58221"/>
  <c r="Y28" i="58221"/>
  <c r="Z28" i="58221"/>
  <c r="AA28" i="58221"/>
  <c r="B30" i="58221"/>
  <c r="C30" i="58221"/>
  <c r="D30" i="58221"/>
  <c r="E30" i="58221"/>
  <c r="F30" i="58221"/>
  <c r="G30" i="58221"/>
  <c r="H30" i="58221"/>
  <c r="I30" i="58221"/>
  <c r="J30" i="58221"/>
  <c r="K30" i="58221"/>
  <c r="L30" i="58221"/>
  <c r="M30" i="58221"/>
  <c r="P30" i="58221"/>
  <c r="Q30" i="58221"/>
  <c r="R30" i="58221"/>
  <c r="S30" i="58221"/>
  <c r="T30" i="58221"/>
  <c r="U30" i="58221"/>
  <c r="V30" i="58221"/>
  <c r="W30" i="58221"/>
  <c r="X30" i="58221"/>
  <c r="Y30" i="58221"/>
  <c r="Z30" i="58221"/>
  <c r="AA30" i="58221"/>
  <c r="B34" i="58221"/>
  <c r="N34" i="58221"/>
  <c r="O34" i="58221"/>
  <c r="P34" i="58221"/>
  <c r="B35" i="58221"/>
  <c r="N35" i="58221"/>
  <c r="O35" i="58221"/>
  <c r="P35" i="58221"/>
  <c r="B36" i="58221"/>
  <c r="C36" i="58221"/>
  <c r="D36" i="58221"/>
  <c r="E36" i="58221"/>
  <c r="F36" i="58221"/>
  <c r="G36" i="58221"/>
  <c r="H36" i="58221"/>
  <c r="I36" i="58221"/>
  <c r="J36" i="58221"/>
  <c r="K36" i="58221"/>
  <c r="L36" i="58221"/>
  <c r="M36" i="58221"/>
  <c r="N36" i="58221"/>
  <c r="O36" i="58221"/>
  <c r="P36" i="58221"/>
  <c r="Q36" i="58221"/>
  <c r="R36" i="58221"/>
  <c r="S36" i="58221"/>
  <c r="T36" i="58221"/>
  <c r="U36" i="58221"/>
  <c r="V36" i="58221"/>
  <c r="W36" i="58221"/>
  <c r="X36" i="58221"/>
  <c r="Y36" i="58221"/>
  <c r="Z36" i="58221"/>
  <c r="AA36" i="58221"/>
  <c r="B37" i="58221"/>
  <c r="C37" i="58221"/>
  <c r="D37" i="58221"/>
  <c r="E37" i="58221"/>
  <c r="F37" i="58221"/>
  <c r="G37" i="58221"/>
  <c r="H37" i="58221"/>
  <c r="I37" i="58221"/>
  <c r="J37" i="58221"/>
  <c r="K37" i="58221"/>
  <c r="L37" i="58221"/>
  <c r="M37" i="58221"/>
  <c r="P37" i="58221"/>
  <c r="Q37" i="58221"/>
  <c r="R37" i="58221"/>
  <c r="S37" i="58221"/>
  <c r="T37" i="58221"/>
  <c r="U37" i="58221"/>
  <c r="V37" i="58221"/>
  <c r="W37" i="58221"/>
  <c r="X37" i="58221"/>
  <c r="Y37" i="58221"/>
  <c r="Z37" i="58221"/>
  <c r="AA37" i="58221"/>
  <c r="B38" i="58221"/>
  <c r="C38" i="58221"/>
  <c r="D38" i="58221"/>
  <c r="E38" i="58221"/>
  <c r="F38" i="58221"/>
  <c r="G38" i="58221"/>
  <c r="H38" i="58221"/>
  <c r="I38" i="58221"/>
  <c r="J38" i="58221"/>
  <c r="K38" i="58221"/>
  <c r="L38" i="58221"/>
  <c r="M38" i="58221"/>
  <c r="P38" i="58221"/>
  <c r="Q38" i="58221"/>
  <c r="R38" i="58221"/>
  <c r="S38" i="58221"/>
  <c r="T38" i="58221"/>
  <c r="U38" i="58221"/>
  <c r="V38" i="58221"/>
  <c r="W38" i="58221"/>
  <c r="X38" i="58221"/>
  <c r="Y38" i="58221"/>
  <c r="Z38" i="58221"/>
  <c r="AA38" i="58221"/>
  <c r="B39" i="58221"/>
  <c r="C39" i="58221"/>
  <c r="D39" i="58221"/>
  <c r="E39" i="58221"/>
  <c r="F39" i="58221"/>
  <c r="G39" i="58221"/>
  <c r="H39" i="58221"/>
  <c r="I39" i="58221"/>
  <c r="J39" i="58221"/>
  <c r="K39" i="58221"/>
  <c r="L39" i="58221"/>
  <c r="M39" i="58221"/>
  <c r="P39" i="58221"/>
  <c r="Q39" i="58221"/>
  <c r="R39" i="58221"/>
  <c r="S39" i="58221"/>
  <c r="T39" i="58221"/>
  <c r="U39" i="58221"/>
  <c r="V39" i="58221"/>
  <c r="W39" i="58221"/>
  <c r="X39" i="58221"/>
  <c r="Y39" i="58221"/>
  <c r="Z39" i="58221"/>
  <c r="AA39" i="58221"/>
  <c r="B40" i="58221"/>
  <c r="C40" i="58221"/>
  <c r="D40" i="58221"/>
  <c r="E40" i="58221"/>
  <c r="F40" i="58221"/>
  <c r="G40" i="58221"/>
  <c r="H40" i="58221"/>
  <c r="I40" i="58221"/>
  <c r="J40" i="58221"/>
  <c r="K40" i="58221"/>
  <c r="L40" i="58221"/>
  <c r="M40" i="58221"/>
  <c r="P40" i="58221"/>
  <c r="Q40" i="58221"/>
  <c r="R40" i="58221"/>
  <c r="S40" i="58221"/>
  <c r="T40" i="58221"/>
  <c r="U40" i="58221"/>
  <c r="V40" i="58221"/>
  <c r="W40" i="58221"/>
  <c r="X40" i="58221"/>
  <c r="Y40" i="58221"/>
  <c r="Z40" i="58221"/>
  <c r="AA40" i="58221"/>
  <c r="B41" i="58221"/>
  <c r="C41" i="58221"/>
  <c r="D41" i="58221"/>
  <c r="E41" i="58221"/>
  <c r="F41" i="58221"/>
  <c r="G41" i="58221"/>
  <c r="H41" i="58221"/>
  <c r="I41" i="58221"/>
  <c r="J41" i="58221"/>
  <c r="K41" i="58221"/>
  <c r="L41" i="58221"/>
  <c r="M41" i="58221"/>
  <c r="P41" i="58221"/>
  <c r="Q41" i="58221"/>
  <c r="R41" i="58221"/>
  <c r="S41" i="58221"/>
  <c r="T41" i="58221"/>
  <c r="U41" i="58221"/>
  <c r="V41" i="58221"/>
  <c r="W41" i="58221"/>
  <c r="X41" i="58221"/>
  <c r="Y41" i="58221"/>
  <c r="Z41" i="58221"/>
  <c r="AA41" i="58221"/>
  <c r="B43" i="58221"/>
  <c r="C43" i="58221"/>
  <c r="D43" i="58221"/>
  <c r="E43" i="58221"/>
  <c r="F43" i="58221"/>
  <c r="G43" i="58221"/>
  <c r="H43" i="58221"/>
  <c r="I43" i="58221"/>
  <c r="J43" i="58221"/>
  <c r="K43" i="58221"/>
  <c r="L43" i="58221"/>
  <c r="M43" i="58221"/>
  <c r="N43" i="58221"/>
  <c r="O43" i="58221"/>
  <c r="P43" i="58221"/>
  <c r="Q43" i="58221"/>
  <c r="R43" i="58221"/>
  <c r="S43" i="58221"/>
  <c r="T43" i="58221"/>
  <c r="U43" i="58221"/>
  <c r="V43" i="58221"/>
  <c r="W43" i="58221"/>
  <c r="X43" i="58221"/>
  <c r="Y43" i="58221"/>
  <c r="Z43" i="58221"/>
  <c r="AA43" i="58221"/>
  <c r="D44" i="58221"/>
  <c r="G44" i="58221"/>
  <c r="J44" i="58221"/>
  <c r="M44" i="58221"/>
  <c r="R44" i="58221"/>
  <c r="U44" i="58221"/>
  <c r="X44" i="58221"/>
  <c r="AA44" i="58221"/>
  <c r="A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A3" i="4"/>
  <c r="O7" i="4"/>
  <c r="P7" i="4"/>
  <c r="Q7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P9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P11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P20" i="4"/>
  <c r="A3" i="2"/>
  <c r="F6" i="2"/>
  <c r="I6" i="2"/>
  <c r="L6" i="2"/>
  <c r="O6" i="2"/>
  <c r="R6" i="2"/>
  <c r="U6" i="2"/>
  <c r="X6" i="2"/>
  <c r="AA6" i="2"/>
  <c r="AD6" i="2"/>
  <c r="AG6" i="2"/>
  <c r="AJ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C19" i="2"/>
  <c r="D19" i="2"/>
  <c r="F19" i="2"/>
  <c r="G19" i="2"/>
  <c r="I19" i="2"/>
  <c r="J19" i="2"/>
  <c r="L19" i="2"/>
  <c r="M19" i="2"/>
  <c r="O19" i="2"/>
  <c r="P19" i="2"/>
  <c r="R19" i="2"/>
  <c r="S19" i="2"/>
  <c r="U19" i="2"/>
  <c r="V19" i="2"/>
  <c r="X19" i="2"/>
  <c r="Y19" i="2"/>
  <c r="AA19" i="2"/>
  <c r="AB19" i="2"/>
  <c r="AD19" i="2"/>
  <c r="AE19" i="2"/>
  <c r="AG19" i="2"/>
  <c r="AH19" i="2"/>
  <c r="AJ19" i="2"/>
  <c r="AK19" i="2"/>
  <c r="C20" i="2"/>
  <c r="D20" i="2"/>
  <c r="F20" i="2"/>
  <c r="G20" i="2"/>
  <c r="I20" i="2"/>
  <c r="J20" i="2"/>
  <c r="L20" i="2"/>
  <c r="M20" i="2"/>
  <c r="O20" i="2"/>
  <c r="P20" i="2"/>
  <c r="R20" i="2"/>
  <c r="S20" i="2"/>
  <c r="U20" i="2"/>
  <c r="V20" i="2"/>
  <c r="X20" i="2"/>
  <c r="Y20" i="2"/>
  <c r="AA20" i="2"/>
  <c r="AB20" i="2"/>
  <c r="AD20" i="2"/>
  <c r="AE20" i="2"/>
  <c r="AG20" i="2"/>
  <c r="AH20" i="2"/>
  <c r="AJ20" i="2"/>
  <c r="AK20" i="2"/>
  <c r="C23" i="2"/>
  <c r="D23" i="2"/>
  <c r="F23" i="2"/>
  <c r="G23" i="2"/>
  <c r="I23" i="2"/>
  <c r="J23" i="2"/>
  <c r="L23" i="2"/>
  <c r="M23" i="2"/>
  <c r="O23" i="2"/>
  <c r="P23" i="2"/>
  <c r="R23" i="2"/>
  <c r="S23" i="2"/>
  <c r="U23" i="2"/>
  <c r="V23" i="2"/>
  <c r="X23" i="2"/>
  <c r="Y23" i="2"/>
  <c r="AA23" i="2"/>
  <c r="AB23" i="2"/>
  <c r="AD23" i="2"/>
  <c r="AE23" i="2"/>
  <c r="AG23" i="2"/>
  <c r="AH23" i="2"/>
  <c r="AJ23" i="2"/>
  <c r="AK23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C30" i="2"/>
  <c r="D30" i="2"/>
  <c r="F30" i="2"/>
  <c r="G30" i="2"/>
  <c r="I30" i="2"/>
  <c r="J30" i="2"/>
  <c r="L30" i="2"/>
  <c r="M30" i="2"/>
  <c r="O30" i="2"/>
  <c r="P30" i="2"/>
  <c r="R30" i="2"/>
  <c r="S30" i="2"/>
  <c r="U30" i="2"/>
  <c r="V30" i="2"/>
  <c r="X30" i="2"/>
  <c r="Y30" i="2"/>
  <c r="AA30" i="2"/>
  <c r="AB30" i="2"/>
  <c r="AD30" i="2"/>
  <c r="AE30" i="2"/>
  <c r="AG30" i="2"/>
  <c r="AH30" i="2"/>
  <c r="AJ30" i="2"/>
  <c r="AK30" i="2"/>
  <c r="F31" i="2"/>
  <c r="G31" i="2"/>
  <c r="I31" i="2"/>
  <c r="J31" i="2"/>
  <c r="L31" i="2"/>
  <c r="M31" i="2"/>
  <c r="O31" i="2"/>
  <c r="P31" i="2"/>
  <c r="R31" i="2"/>
  <c r="S31" i="2"/>
  <c r="U31" i="2"/>
  <c r="V31" i="2"/>
  <c r="X31" i="2"/>
  <c r="Y31" i="2"/>
  <c r="AA31" i="2"/>
  <c r="AB31" i="2"/>
  <c r="AD31" i="2"/>
  <c r="AE31" i="2"/>
  <c r="AG31" i="2"/>
  <c r="AH31" i="2"/>
  <c r="AJ31" i="2"/>
  <c r="AK31" i="2"/>
  <c r="C32" i="2"/>
  <c r="D32" i="2"/>
  <c r="F32" i="2"/>
  <c r="G32" i="2"/>
  <c r="I32" i="2"/>
  <c r="J32" i="2"/>
  <c r="L32" i="2"/>
  <c r="M32" i="2"/>
  <c r="O32" i="2"/>
  <c r="P32" i="2"/>
  <c r="R32" i="2"/>
  <c r="S32" i="2"/>
  <c r="U32" i="2"/>
  <c r="V32" i="2"/>
  <c r="X32" i="2"/>
  <c r="Y32" i="2"/>
  <c r="AA32" i="2"/>
  <c r="AB32" i="2"/>
  <c r="AD32" i="2"/>
  <c r="AE32" i="2"/>
  <c r="AG32" i="2"/>
  <c r="AH32" i="2"/>
  <c r="AJ32" i="2"/>
  <c r="AK32" i="2"/>
  <c r="C33" i="2"/>
  <c r="D33" i="2"/>
  <c r="F33" i="2"/>
  <c r="G33" i="2"/>
  <c r="I33" i="2"/>
  <c r="J33" i="2"/>
  <c r="L33" i="2"/>
  <c r="M33" i="2"/>
  <c r="O33" i="2"/>
  <c r="P33" i="2"/>
  <c r="R33" i="2"/>
  <c r="S33" i="2"/>
  <c r="U33" i="2"/>
  <c r="V33" i="2"/>
  <c r="X33" i="2"/>
  <c r="Y33" i="2"/>
  <c r="AA33" i="2"/>
  <c r="AB33" i="2"/>
  <c r="AD33" i="2"/>
  <c r="AE33" i="2"/>
  <c r="AG33" i="2"/>
  <c r="AH33" i="2"/>
  <c r="AJ33" i="2"/>
  <c r="AK33" i="2"/>
  <c r="E35" i="2"/>
  <c r="H35" i="2"/>
  <c r="K35" i="2"/>
  <c r="N35" i="2"/>
  <c r="Q35" i="2"/>
  <c r="T35" i="2"/>
  <c r="W35" i="2"/>
  <c r="Z35" i="2"/>
  <c r="AC35" i="2"/>
  <c r="AF35" i="2"/>
  <c r="AI35" i="2"/>
  <c r="AL35" i="2"/>
  <c r="F38" i="2"/>
  <c r="I38" i="2"/>
  <c r="L38" i="2"/>
  <c r="O38" i="2"/>
  <c r="R38" i="2"/>
  <c r="U38" i="2"/>
  <c r="X38" i="2"/>
  <c r="AA38" i="2"/>
  <c r="AD38" i="2"/>
  <c r="AG38" i="2"/>
  <c r="AJ38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C51" i="2"/>
  <c r="D51" i="2"/>
  <c r="F51" i="2"/>
  <c r="G51" i="2"/>
  <c r="I51" i="2"/>
  <c r="J51" i="2"/>
  <c r="L51" i="2"/>
  <c r="M51" i="2"/>
  <c r="O51" i="2"/>
  <c r="P51" i="2"/>
  <c r="R51" i="2"/>
  <c r="S51" i="2"/>
  <c r="U51" i="2"/>
  <c r="V51" i="2"/>
  <c r="X51" i="2"/>
  <c r="Y51" i="2"/>
  <c r="AA51" i="2"/>
  <c r="AB51" i="2"/>
  <c r="AD51" i="2"/>
  <c r="AE51" i="2"/>
  <c r="AG51" i="2"/>
  <c r="AH51" i="2"/>
  <c r="AJ51" i="2"/>
  <c r="AK51" i="2"/>
  <c r="C52" i="2"/>
  <c r="D52" i="2"/>
  <c r="F52" i="2"/>
  <c r="G52" i="2"/>
  <c r="I52" i="2"/>
  <c r="J52" i="2"/>
  <c r="L52" i="2"/>
  <c r="M52" i="2"/>
  <c r="O52" i="2"/>
  <c r="P52" i="2"/>
  <c r="R52" i="2"/>
  <c r="S52" i="2"/>
  <c r="U52" i="2"/>
  <c r="V52" i="2"/>
  <c r="X52" i="2"/>
  <c r="Y52" i="2"/>
  <c r="AA52" i="2"/>
  <c r="AB52" i="2"/>
  <c r="AD52" i="2"/>
  <c r="AE52" i="2"/>
  <c r="AG52" i="2"/>
  <c r="AH52" i="2"/>
  <c r="AJ52" i="2"/>
  <c r="AK52" i="2"/>
  <c r="C55" i="2"/>
  <c r="D55" i="2"/>
  <c r="F55" i="2"/>
  <c r="G55" i="2"/>
  <c r="I55" i="2"/>
  <c r="J55" i="2"/>
  <c r="L55" i="2"/>
  <c r="M55" i="2"/>
  <c r="O55" i="2"/>
  <c r="P55" i="2"/>
  <c r="R55" i="2"/>
  <c r="S55" i="2"/>
  <c r="U55" i="2"/>
  <c r="V55" i="2"/>
  <c r="X55" i="2"/>
  <c r="Y55" i="2"/>
  <c r="AA55" i="2"/>
  <c r="AB55" i="2"/>
  <c r="AD55" i="2"/>
  <c r="AE55" i="2"/>
  <c r="AG55" i="2"/>
  <c r="AH55" i="2"/>
  <c r="AJ55" i="2"/>
  <c r="AK55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C62" i="2"/>
  <c r="D62" i="2"/>
  <c r="F62" i="2"/>
  <c r="G62" i="2"/>
  <c r="I62" i="2"/>
  <c r="J62" i="2"/>
  <c r="L62" i="2"/>
  <c r="M62" i="2"/>
  <c r="O62" i="2"/>
  <c r="P62" i="2"/>
  <c r="R62" i="2"/>
  <c r="S62" i="2"/>
  <c r="U62" i="2"/>
  <c r="V62" i="2"/>
  <c r="X62" i="2"/>
  <c r="Y62" i="2"/>
  <c r="AA62" i="2"/>
  <c r="AB62" i="2"/>
  <c r="AD62" i="2"/>
  <c r="AE62" i="2"/>
  <c r="AG62" i="2"/>
  <c r="AH62" i="2"/>
  <c r="AJ62" i="2"/>
  <c r="AK62" i="2"/>
  <c r="C63" i="2"/>
  <c r="D63" i="2"/>
  <c r="F63" i="2"/>
  <c r="G63" i="2"/>
  <c r="I63" i="2"/>
  <c r="J63" i="2"/>
  <c r="L63" i="2"/>
  <c r="M63" i="2"/>
  <c r="O63" i="2"/>
  <c r="P63" i="2"/>
  <c r="R63" i="2"/>
  <c r="S63" i="2"/>
  <c r="U63" i="2"/>
  <c r="V63" i="2"/>
  <c r="X63" i="2"/>
  <c r="Y63" i="2"/>
  <c r="AA63" i="2"/>
  <c r="AB63" i="2"/>
  <c r="AD63" i="2"/>
  <c r="AE63" i="2"/>
  <c r="AG63" i="2"/>
  <c r="AH63" i="2"/>
  <c r="AJ63" i="2"/>
  <c r="AK63" i="2"/>
  <c r="C64" i="2"/>
  <c r="D64" i="2"/>
  <c r="F64" i="2"/>
  <c r="G64" i="2"/>
  <c r="I64" i="2"/>
  <c r="J64" i="2"/>
  <c r="L64" i="2"/>
  <c r="M64" i="2"/>
  <c r="O64" i="2"/>
  <c r="P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C65" i="2"/>
  <c r="D65" i="2"/>
  <c r="F65" i="2"/>
  <c r="G65" i="2"/>
  <c r="I65" i="2"/>
  <c r="J65" i="2"/>
  <c r="L65" i="2"/>
  <c r="M65" i="2"/>
  <c r="O65" i="2"/>
  <c r="P65" i="2"/>
  <c r="R65" i="2"/>
  <c r="S65" i="2"/>
  <c r="U65" i="2"/>
  <c r="V65" i="2"/>
  <c r="X65" i="2"/>
  <c r="Y65" i="2"/>
  <c r="AA65" i="2"/>
  <c r="AB65" i="2"/>
  <c r="AD65" i="2"/>
  <c r="AE65" i="2"/>
  <c r="AG65" i="2"/>
  <c r="AH65" i="2"/>
  <c r="AJ65" i="2"/>
  <c r="AK65" i="2"/>
  <c r="E67" i="2"/>
  <c r="H67" i="2"/>
  <c r="K67" i="2"/>
  <c r="N67" i="2"/>
  <c r="Q67" i="2"/>
  <c r="T67" i="2"/>
  <c r="W67" i="2"/>
  <c r="Z67" i="2"/>
  <c r="AC67" i="2"/>
  <c r="AF67" i="2"/>
  <c r="AI67" i="2"/>
  <c r="AL67" i="2"/>
  <c r="A3" i="1916"/>
  <c r="O7" i="1916"/>
  <c r="P7" i="1916"/>
  <c r="O8" i="1916"/>
  <c r="P8" i="1916"/>
  <c r="B9" i="1916"/>
  <c r="B11" i="1916"/>
  <c r="C11" i="1916"/>
  <c r="D11" i="1916"/>
  <c r="E11" i="1916"/>
  <c r="F11" i="1916"/>
  <c r="G11" i="1916"/>
  <c r="H11" i="1916"/>
  <c r="I11" i="1916"/>
  <c r="J11" i="1916"/>
  <c r="K11" i="1916"/>
  <c r="L11" i="1916"/>
  <c r="M11" i="1916"/>
  <c r="O11" i="1916"/>
  <c r="P11" i="1916"/>
  <c r="B14" i="1916"/>
  <c r="C14" i="1916"/>
  <c r="D14" i="1916"/>
  <c r="E14" i="1916"/>
  <c r="F14" i="1916"/>
  <c r="G14" i="1916"/>
  <c r="H14" i="1916"/>
  <c r="I14" i="1916"/>
  <c r="J14" i="1916"/>
  <c r="K14" i="1916"/>
  <c r="L14" i="1916"/>
  <c r="M14" i="1916"/>
  <c r="B15" i="1916"/>
  <c r="C15" i="1916"/>
  <c r="D15" i="1916"/>
  <c r="E15" i="1916"/>
  <c r="F15" i="1916"/>
  <c r="G15" i="1916"/>
  <c r="H15" i="1916"/>
  <c r="I15" i="1916"/>
  <c r="J15" i="1916"/>
  <c r="K15" i="1916"/>
  <c r="L15" i="1916"/>
  <c r="M15" i="1916"/>
  <c r="B16" i="1916"/>
  <c r="C16" i="1916"/>
  <c r="D16" i="1916"/>
  <c r="E16" i="1916"/>
  <c r="F16" i="1916"/>
  <c r="G16" i="1916"/>
  <c r="H16" i="1916"/>
  <c r="I16" i="1916"/>
  <c r="J16" i="1916"/>
  <c r="K16" i="1916"/>
  <c r="L16" i="1916"/>
  <c r="M16" i="1916"/>
  <c r="B17" i="1916"/>
  <c r="C17" i="1916"/>
  <c r="D17" i="1916"/>
  <c r="E17" i="1916"/>
  <c r="F17" i="1916"/>
  <c r="G17" i="1916"/>
  <c r="H17" i="1916"/>
  <c r="I17" i="1916"/>
  <c r="J17" i="1916"/>
  <c r="K17" i="1916"/>
  <c r="L17" i="1916"/>
  <c r="M17" i="1916"/>
  <c r="O17" i="1916"/>
  <c r="B21" i="1916"/>
  <c r="C21" i="1916"/>
  <c r="D21" i="1916"/>
  <c r="E21" i="1916"/>
  <c r="F21" i="1916"/>
  <c r="G21" i="1916"/>
  <c r="H21" i="1916"/>
  <c r="I21" i="1916"/>
  <c r="J21" i="1916"/>
  <c r="K21" i="1916"/>
  <c r="L21" i="1916"/>
  <c r="M21" i="1916"/>
  <c r="B22" i="1916"/>
  <c r="C22" i="1916"/>
  <c r="D22" i="1916"/>
  <c r="E22" i="1916"/>
  <c r="F22" i="1916"/>
  <c r="G22" i="1916"/>
  <c r="H22" i="1916"/>
  <c r="I22" i="1916"/>
  <c r="J22" i="1916"/>
  <c r="K22" i="1916"/>
  <c r="L22" i="1916"/>
  <c r="M22" i="1916"/>
  <c r="B23" i="1916"/>
  <c r="C23" i="1916"/>
  <c r="D23" i="1916"/>
  <c r="E23" i="1916"/>
  <c r="F23" i="1916"/>
  <c r="G23" i="1916"/>
  <c r="H23" i="1916"/>
  <c r="I23" i="1916"/>
  <c r="J23" i="1916"/>
  <c r="K23" i="1916"/>
  <c r="L23" i="1916"/>
  <c r="M23" i="1916"/>
  <c r="O23" i="1916"/>
  <c r="B25" i="1916"/>
  <c r="C25" i="1916"/>
  <c r="D25" i="1916"/>
  <c r="E25" i="1916"/>
  <c r="F25" i="1916"/>
  <c r="G25" i="1916"/>
  <c r="H25" i="1916"/>
  <c r="I25" i="1916"/>
  <c r="J25" i="1916"/>
  <c r="K25" i="1916"/>
  <c r="L25" i="1916"/>
  <c r="M25" i="1916"/>
  <c r="O25" i="1916"/>
  <c r="B28" i="1916"/>
  <c r="C28" i="1916"/>
  <c r="D28" i="1916"/>
  <c r="E28" i="1916"/>
  <c r="F28" i="1916"/>
  <c r="G28" i="1916"/>
  <c r="H28" i="1916"/>
  <c r="I28" i="1916"/>
  <c r="J28" i="1916"/>
  <c r="K28" i="1916"/>
  <c r="L28" i="1916"/>
  <c r="M28" i="1916"/>
  <c r="B29" i="1916"/>
  <c r="C29" i="1916"/>
  <c r="D29" i="1916"/>
  <c r="E29" i="1916"/>
  <c r="F29" i="1916"/>
  <c r="G29" i="1916"/>
  <c r="H29" i="1916"/>
  <c r="I29" i="1916"/>
  <c r="J29" i="1916"/>
  <c r="K29" i="1916"/>
  <c r="L29" i="1916"/>
  <c r="M29" i="1916"/>
  <c r="B30" i="1916"/>
  <c r="C30" i="1916"/>
  <c r="D30" i="1916"/>
  <c r="E30" i="1916"/>
  <c r="F30" i="1916"/>
  <c r="G30" i="1916"/>
  <c r="H30" i="1916"/>
  <c r="I30" i="1916"/>
  <c r="J30" i="1916"/>
  <c r="K30" i="1916"/>
  <c r="L30" i="1916"/>
  <c r="M30" i="1916"/>
  <c r="O30" i="1916"/>
  <c r="B35" i="1916"/>
  <c r="C35" i="1916"/>
  <c r="D35" i="1916"/>
  <c r="E35" i="1916"/>
  <c r="F35" i="1916"/>
  <c r="G35" i="1916"/>
  <c r="H35" i="1916"/>
  <c r="I35" i="1916"/>
  <c r="J35" i="1916"/>
  <c r="K35" i="1916"/>
  <c r="L35" i="1916"/>
  <c r="M35" i="1916"/>
  <c r="O35" i="1916"/>
  <c r="P35" i="1916"/>
  <c r="B36" i="1916"/>
  <c r="C36" i="1916"/>
  <c r="D36" i="1916"/>
  <c r="E36" i="1916"/>
  <c r="F36" i="1916"/>
  <c r="G36" i="1916"/>
  <c r="H36" i="1916"/>
  <c r="I36" i="1916"/>
  <c r="J36" i="1916"/>
  <c r="K36" i="1916"/>
  <c r="L36" i="1916"/>
  <c r="M36" i="1916"/>
  <c r="O36" i="1916"/>
  <c r="P36" i="1916"/>
  <c r="B37" i="1916"/>
  <c r="C37" i="1916"/>
  <c r="D37" i="1916"/>
  <c r="E37" i="1916"/>
  <c r="F37" i="1916"/>
  <c r="G37" i="1916"/>
  <c r="H37" i="1916"/>
  <c r="I37" i="1916"/>
  <c r="J37" i="1916"/>
  <c r="K37" i="1916"/>
  <c r="L37" i="1916"/>
  <c r="M37" i="1916"/>
  <c r="B38" i="1916"/>
  <c r="C38" i="1916"/>
  <c r="D38" i="1916"/>
  <c r="E38" i="1916"/>
  <c r="F38" i="1916"/>
  <c r="G38" i="1916"/>
  <c r="H38" i="1916"/>
  <c r="I38" i="1916"/>
  <c r="J38" i="1916"/>
  <c r="K38" i="1916"/>
  <c r="L38" i="1916"/>
  <c r="M38" i="1916"/>
  <c r="O38" i="1916"/>
  <c r="P38" i="1916"/>
</calcChain>
</file>

<file path=xl/comments1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Patrick:</t>
        </r>
        <r>
          <rPr>
            <sz val="8"/>
            <color indexed="81"/>
            <rFont val="Tahoma"/>
            <family val="2"/>
          </rPr>
          <t xml:space="preserve">
From City of Farmington Statements for 2001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for 2001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 for 2001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for 2001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4.xml><?xml version="1.0" encoding="utf-8"?>
<comments xmlns="http://schemas.openxmlformats.org/spreadsheetml/2006/main">
  <authors>
    <author>Patrick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TW invoices to ENA for 2001.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</t>
        </r>
      </text>
    </comment>
  </commentList>
</comments>
</file>

<file path=xl/comments5.xml><?xml version="1.0" encoding="utf-8"?>
<comments xmlns="http://schemas.openxmlformats.org/spreadsheetml/2006/main">
  <authors>
    <author>Patrick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Use PRIOR MONTH invoice (for February O&amp;M, refer to January invoice)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Figures based on previous month's power invoice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Use PRIOR MONTH invoice (i.e. for February O&amp;M, refer to January invoice)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Figures based on previous month's power invoice</t>
        </r>
      </text>
    </comment>
  </commentList>
</comments>
</file>

<file path=xl/comments6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Continental Divide Electric Coop Statements for 2001</t>
        </r>
      </text>
    </comment>
  </commentList>
</comments>
</file>

<file path=xl/comments7.xml><?xml version="1.0" encoding="utf-8"?>
<comments xmlns="http://schemas.openxmlformats.org/spreadsheetml/2006/main">
  <authors>
    <author>Patrick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 for 2001.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</t>
        </r>
      </text>
    </comment>
  </commentList>
</comments>
</file>

<file path=xl/sharedStrings.xml><?xml version="1.0" encoding="utf-8"?>
<sst xmlns="http://schemas.openxmlformats.org/spreadsheetml/2006/main" count="681" uniqueCount="193">
  <si>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</si>
  <si>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</si>
  <si>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</si>
  <si>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</si>
  <si>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</si>
  <si>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</si>
  <si>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</si>
  <si>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</si>
  <si>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</si>
  <si>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</si>
  <si>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</si>
  <si>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</t>
  </si>
  <si>
    <t>Totals</t>
  </si>
  <si>
    <t>2001 Average</t>
  </si>
  <si>
    <t>Dec</t>
  </si>
  <si>
    <t xml:space="preserve">Total </t>
  </si>
  <si>
    <t>Average</t>
  </si>
  <si>
    <t>Actuals</t>
  </si>
  <si>
    <t>Minimum System Charge</t>
  </si>
  <si>
    <t>NTUA 2001 Summary</t>
  </si>
  <si>
    <t>ROW/CPI Charge</t>
  </si>
  <si>
    <t>Bisti Demand Revenue</t>
  </si>
  <si>
    <t>Bloomfield Demand Revenue</t>
  </si>
  <si>
    <t>Total Demand Revenue</t>
  </si>
  <si>
    <t>2001 Contract Terms</t>
  </si>
  <si>
    <t>2002 Total Demand Revenue</t>
  </si>
  <si>
    <t xml:space="preserve">2001 ENA Revenue </t>
  </si>
  <si>
    <t>ENA/Bisti &amp; Bloomfield Compressor Stations</t>
  </si>
  <si>
    <t>2002 Contract Terms</t>
  </si>
  <si>
    <t>2002 Revenue Forecast</t>
  </si>
  <si>
    <t>2001 ENA Demand Revenue</t>
  </si>
  <si>
    <t>Bisti O&amp;M Expense</t>
  </si>
  <si>
    <t>Bloomfield O&amp;M Expense</t>
  </si>
  <si>
    <t>2001 TW O&amp;M Expense</t>
  </si>
  <si>
    <t>Days per month</t>
  </si>
  <si>
    <t xml:space="preserve"> </t>
  </si>
  <si>
    <t>Percent Load Factor</t>
  </si>
  <si>
    <t>Bisti A/C  $168,122 monthly Jan - Oct</t>
  </si>
  <si>
    <t>Bisti A/C $173,662 for Nov - Dec &amp; to Oct. 02</t>
  </si>
  <si>
    <t>Bisti Min gas 125,215 - 121,176/month</t>
  </si>
  <si>
    <t>Bisti demand charge $66k</t>
  </si>
  <si>
    <t>Bisti O&amp;M .004703 x hp-hr or approx $29k/month</t>
  </si>
  <si>
    <t>Delivered Hp-hrs (meter x 1.34)</t>
  </si>
  <si>
    <t>Calculated O&amp;M amount</t>
  </si>
  <si>
    <t>Bisti O&amp;M factor</t>
  </si>
  <si>
    <t>Bloomfield O&amp;M factor</t>
  </si>
  <si>
    <t>KVAR Charge</t>
  </si>
  <si>
    <t>Taxes (5.75%)</t>
  </si>
  <si>
    <t>Total kwh</t>
  </si>
  <si>
    <t>$/kwh</t>
  </si>
  <si>
    <t>Cost Adjustment</t>
  </si>
  <si>
    <t>Farmington 2001 Summary</t>
  </si>
  <si>
    <t>Total O&amp;M Pmt to TW</t>
  </si>
  <si>
    <t>Actual over/(under) pmt to TW</t>
  </si>
  <si>
    <t>Total over/(under) pmt to TW</t>
  </si>
  <si>
    <t>Total Bisti &amp; Bloomfield Summary</t>
  </si>
  <si>
    <t>kwh Expense</t>
  </si>
  <si>
    <t>Loadside Generation</t>
  </si>
  <si>
    <t>Loadside $MWh</t>
  </si>
  <si>
    <t>Loadside Generation MWh</t>
  </si>
  <si>
    <t>$/MWh</t>
  </si>
  <si>
    <t>Total MWh</t>
  </si>
  <si>
    <t>MWh * Rate</t>
  </si>
  <si>
    <t>Power Totals</t>
  </si>
  <si>
    <t>Bloomfield</t>
  </si>
  <si>
    <t>Bisti</t>
  </si>
  <si>
    <t>Power Totals (kwh)</t>
  </si>
  <si>
    <t>Total</t>
  </si>
  <si>
    <t>Bloomfield Actuals (kwh)</t>
  </si>
  <si>
    <t>Bisti Actuals (Mwh)</t>
  </si>
  <si>
    <t>ECS/Gallup Compressor Station</t>
  </si>
  <si>
    <t>Demand (kw)</t>
  </si>
  <si>
    <t>Transmission</t>
  </si>
  <si>
    <t>Distribution</t>
  </si>
  <si>
    <t>Energy (kwh)</t>
  </si>
  <si>
    <t>Generation</t>
  </si>
  <si>
    <t>Continental Divide Electric Coop (CDEC) 2001 Summary</t>
  </si>
  <si>
    <t>Generation Rate</t>
  </si>
  <si>
    <t>Generation kw</t>
  </si>
  <si>
    <t>Generation kwh</t>
  </si>
  <si>
    <t>Distribution Rate</t>
  </si>
  <si>
    <t>Distribution kwh</t>
  </si>
  <si>
    <t>Transmission Rate</t>
  </si>
  <si>
    <t>Transmission kw</t>
  </si>
  <si>
    <t>Gross Receipts Tax</t>
  </si>
  <si>
    <t>NMPUC Charge</t>
  </si>
  <si>
    <t>Total CDEC Expense</t>
  </si>
  <si>
    <t>Total Gallup Summary</t>
  </si>
  <si>
    <t>Gallup Actuals (kwh)</t>
  </si>
  <si>
    <t>Demand Generation</t>
  </si>
  <si>
    <t>Demand Tranmission</t>
  </si>
  <si>
    <t>Energy Generation</t>
  </si>
  <si>
    <t>Energy Distribution</t>
  </si>
  <si>
    <t>Bloomfield (7,000 HP)</t>
  </si>
  <si>
    <t>Bisti (10,000 HP)</t>
  </si>
  <si>
    <t>Gallup (10,000 HP)</t>
  </si>
  <si>
    <t>ECS LLC/Gallup Compressor Station</t>
  </si>
  <si>
    <t>ECS (LLC)/Bisti, Bloomfield &amp; Gallup Compressor Stations</t>
  </si>
  <si>
    <t>Gallup Demand Revenue</t>
  </si>
  <si>
    <t>Gallup O&amp;M Expense</t>
  </si>
  <si>
    <t>Gallup O&amp;M factor</t>
  </si>
  <si>
    <t>NEEDS TO BE LOOKED AT</t>
  </si>
  <si>
    <t xml:space="preserve">total  </t>
  </si>
  <si>
    <t>resulting $/kwh</t>
  </si>
  <si>
    <t>kwh * Rate</t>
  </si>
  <si>
    <t>2001 TW O&amp;M Detail</t>
  </si>
  <si>
    <t>HP</t>
  </si>
  <si>
    <t>MMBTU/day</t>
  </si>
  <si>
    <t>Conversion factor</t>
  </si>
  <si>
    <t>Shaft Energy/HP-hour</t>
  </si>
  <si>
    <t>Monthly Contract Qty</t>
  </si>
  <si>
    <t>Total MMBTU/mo</t>
  </si>
  <si>
    <t>O&amp;M Conversion factor</t>
  </si>
  <si>
    <t xml:space="preserve">Load factor </t>
  </si>
  <si>
    <t>MMBTU's</t>
  </si>
  <si>
    <t>MMBTU's - HP-hour chrg</t>
  </si>
  <si>
    <t>JANAURY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</si>
  <si>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</si>
  <si>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</si>
  <si>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</si>
  <si>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</si>
  <si>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</si>
  <si>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</si>
  <si>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</si>
  <si>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</si>
  <si>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</si>
  <si>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</si>
  <si>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</si>
  <si>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KWH Per Invoice</t>
  </si>
  <si>
    <t>ECS LLC/Bloomfield Compressor Station</t>
  </si>
  <si>
    <t>ECS LLC/Bisti Compressor Station</t>
  </si>
  <si>
    <t>Actual Inputs</t>
  </si>
  <si>
    <t>ECS LLC Compressor Sites</t>
  </si>
  <si>
    <t>Conversion Factor</t>
  </si>
  <si>
    <t>O&amp;M Conversion Factor</t>
  </si>
  <si>
    <t>Load
Factor</t>
  </si>
  <si>
    <t>Conversion
Factor</t>
  </si>
  <si>
    <t>0.50 or lower</t>
  </si>
  <si>
    <t>Conversion
Factor
($HPhr)</t>
  </si>
  <si>
    <t>HP*(days x 24hrs)</t>
  </si>
  <si>
    <t>Fixed Value (constant)</t>
  </si>
  <si>
    <t>check</t>
  </si>
  <si>
    <t>O&amp;M Expense - True Up</t>
  </si>
  <si>
    <t>Current Month Estimate</t>
  </si>
  <si>
    <t>Previous Month Estimate</t>
  </si>
  <si>
    <t>True Up Difference</t>
  </si>
  <si>
    <t>Total TW Invoice</t>
  </si>
  <si>
    <t>Projected Input</t>
  </si>
  <si>
    <t>Gallup</t>
  </si>
  <si>
    <t xml:space="preserve">Total  </t>
  </si>
  <si>
    <t>Total Demand Charge</t>
  </si>
  <si>
    <t>TOTAL</t>
  </si>
  <si>
    <t>CDEC Demand (kw)</t>
  </si>
  <si>
    <t>DC (10,000 kwh)</t>
  </si>
  <si>
    <t>Current Energy Charge (Rate 21)</t>
  </si>
  <si>
    <t>Initial Energy Charge (Rate 21)</t>
  </si>
  <si>
    <t>Current Total Rate</t>
  </si>
  <si>
    <t>Initial Total Rate</t>
  </si>
  <si>
    <t>Buy Down Energy Charge</t>
  </si>
  <si>
    <t>Excess Energy Charges</t>
  </si>
  <si>
    <t>Total Excess Energy Charges</t>
  </si>
  <si>
    <t>Total Rebate Amount</t>
  </si>
  <si>
    <t>Gallup Coincidental Peak Demand Rebates 2001 Summary</t>
  </si>
  <si>
    <t>Quarterly Distirbution</t>
  </si>
  <si>
    <t>2001 Actuals/2002 Forecast</t>
  </si>
  <si>
    <t>2001 O&amp;M Expenses</t>
  </si>
  <si>
    <t>Bisti/Bloomfield</t>
  </si>
  <si>
    <t>Actual Load Factor Determination</t>
  </si>
  <si>
    <t>Actual Gas Volume</t>
  </si>
  <si>
    <t>Bloomfield CF to MMBtu</t>
  </si>
  <si>
    <t>Bisti CF to MMBtu</t>
  </si>
  <si>
    <t>MMBtu Shortage / (Excess)</t>
  </si>
  <si>
    <t>Nominated Gas Volumes</t>
  </si>
  <si>
    <t>Bloomfield MMBtu</t>
  </si>
  <si>
    <t>Bisti MMBtu</t>
  </si>
  <si>
    <t>Gallup MMBtu's (60% LF)</t>
  </si>
  <si>
    <t>Fixed A/C &amp; add'nl MMBtu's</t>
  </si>
  <si>
    <t>Gas Volume True-Up</t>
  </si>
  <si>
    <t>"need Dec &amp; Nov 00"</t>
  </si>
  <si>
    <t>Gas Vol. True-up -MMBtu's</t>
  </si>
  <si>
    <t>Actual Nominated Volumes</t>
  </si>
  <si>
    <t>ECS Add'l / (Excess Vol's)</t>
  </si>
  <si>
    <t>total monthly MMBtu's</t>
  </si>
  <si>
    <t>Actual Gas Vol Analysis</t>
  </si>
  <si>
    <t>MMBtu's (from 2 months prior)</t>
  </si>
  <si>
    <t>Actual Hp-hrs Used</t>
  </si>
  <si>
    <t>?</t>
  </si>
  <si>
    <t>Bloomfield MMBtu's (2 mnth shift)</t>
  </si>
  <si>
    <t>Bisti MMBtu's (2 mnth shift)</t>
  </si>
  <si>
    <t>Gallup MMBtu (2 mnth shift)</t>
  </si>
  <si>
    <t>Total West Texas Hub MMBtu's</t>
  </si>
  <si>
    <t>Daily MMBtu Totals</t>
  </si>
  <si>
    <t>Gas Nomination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</si>
</sst>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8" formatCode="_(&quot;$&quot;* #,##0_);_(&quot;$&quot;* \(#,##0\);_(&quot;$&quot;* &quot;-&quot;??_);_(@_)"/>
    <numFmt numFmtId="170" formatCode="_(* #,##0_);_(* \(#,##0\);_(* &quot;-&quot;??_);_(@_)"/>
    <numFmt numFmtId="172" formatCode="_(&quot;$&quot;* #,##0.00000_);_(&quot;$&quot;* \(#,##0.00000\);_(&quot;$&quot;* &quot;-&quot;?????_);_(@_)"/>
    <numFmt numFmtId="174" formatCode="_(&quot;$&quot;* #,##0.000000_);_(&quot;$&quot;* \(#,##0.000000\);_(&quot;$&quot;* &quot;-&quot;??????_);_(@_)"/>
    <numFmt numFmtId="177" formatCode="_(&quot;$&quot;* #,##0.0000_);_(&quot;$&quot;* \(#,##0.0000\);_(&quot;$&quot;* &quot;-&quot;??_);_(@_)"/>
    <numFmt numFmtId="179" formatCode="0.00000"/>
    <numFmt numFmtId="180" formatCode="#,##0.0000"/>
    <numFmt numFmtId="181" formatCode="&quot;$&quot;#,##0.00"/>
    <numFmt numFmtId="182" formatCode="#,##0.00000"/>
    <numFmt numFmtId="183" formatCode="0.000000"/>
    <numFmt numFmtId="184" formatCode="0.00_);[Red]\(0.00\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6">
    <xf numFmtId="0" fontId="0" fillId="0" borderId="0" xfId="0"/>
    <xf numFmtId="0" fontId="2" fillId="0" borderId="0" xfId="0" applyFont="1"/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3" fillId="0" borderId="0" xfId="0" quotePrefix="1" applyFont="1"/>
    <xf numFmtId="0" fontId="4" fillId="0" borderId="0" xfId="0" applyFont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44" fontId="5" fillId="2" borderId="2" xfId="0" applyNumberFormat="1" applyFont="1" applyFill="1" applyBorder="1" applyAlignment="1">
      <alignment horizontal="right"/>
    </xf>
    <xf numFmtId="44" fontId="5" fillId="2" borderId="2" xfId="0" applyNumberFormat="1" applyFont="1" applyFill="1" applyBorder="1"/>
    <xf numFmtId="44" fontId="5" fillId="0" borderId="0" xfId="0" applyNumberFormat="1" applyFont="1"/>
    <xf numFmtId="38" fontId="5" fillId="0" borderId="2" xfId="0" applyNumberFormat="1" applyFont="1" applyBorder="1"/>
    <xf numFmtId="38" fontId="5" fillId="0" borderId="0" xfId="0" applyNumberFormat="1" applyFont="1"/>
    <xf numFmtId="44" fontId="5" fillId="0" borderId="2" xfId="0" applyNumberFormat="1" applyFont="1" applyBorder="1"/>
    <xf numFmtId="38" fontId="5" fillId="0" borderId="0" xfId="0" applyNumberFormat="1" applyFont="1" applyBorder="1" applyAlignment="1">
      <alignment horizontal="right"/>
    </xf>
    <xf numFmtId="38" fontId="5" fillId="0" borderId="0" xfId="0" applyNumberFormat="1" applyFont="1" applyBorder="1"/>
    <xf numFmtId="0" fontId="5" fillId="0" borderId="0" xfId="0" applyFont="1" applyAlignment="1">
      <alignment horizontal="right"/>
    </xf>
    <xf numFmtId="164" fontId="5" fillId="0" borderId="0" xfId="0" applyNumberFormat="1" applyFont="1"/>
    <xf numFmtId="44" fontId="5" fillId="0" borderId="2" xfId="0" applyNumberFormat="1" applyFont="1" applyBorder="1" applyAlignment="1">
      <alignment horizontal="right"/>
    </xf>
    <xf numFmtId="44" fontId="5" fillId="0" borderId="0" xfId="0" applyNumberFormat="1" applyFont="1" applyFill="1" applyBorder="1" applyAlignment="1">
      <alignment horizontal="right"/>
    </xf>
    <xf numFmtId="44" fontId="5" fillId="0" borderId="0" xfId="0" applyNumberFormat="1" applyFont="1" applyFill="1" applyBorder="1"/>
    <xf numFmtId="44" fontId="5" fillId="0" borderId="0" xfId="0" applyNumberFormat="1" applyFont="1" applyFill="1"/>
    <xf numFmtId="44" fontId="4" fillId="0" borderId="0" xfId="0" applyNumberFormat="1" applyFont="1" applyFill="1" applyBorder="1"/>
    <xf numFmtId="0" fontId="5" fillId="0" borderId="0" xfId="0" applyFont="1" applyAlignment="1">
      <alignment horizontal="center"/>
    </xf>
    <xf numFmtId="44" fontId="5" fillId="0" borderId="3" xfId="0" applyNumberFormat="1" applyFont="1" applyBorder="1"/>
    <xf numFmtId="0" fontId="6" fillId="0" borderId="0" xfId="0" applyFont="1"/>
    <xf numFmtId="0" fontId="6" fillId="0" borderId="1" xfId="0" applyFont="1" applyBorder="1"/>
    <xf numFmtId="0" fontId="3" fillId="0" borderId="0" xfId="0" quotePrefix="1" applyFont="1" applyAlignment="1">
      <alignment horizontal="center"/>
    </xf>
    <xf numFmtId="0" fontId="4" fillId="0" borderId="2" xfId="0" applyFont="1" applyBorder="1" applyAlignment="1">
      <alignment horizontal="right"/>
    </xf>
    <xf numFmtId="0" fontId="7" fillId="0" borderId="0" xfId="0" applyFont="1"/>
    <xf numFmtId="14" fontId="7" fillId="0" borderId="1" xfId="0" applyNumberFormat="1" applyFont="1" applyBorder="1" applyAlignment="1">
      <alignment horizontal="left"/>
    </xf>
    <xf numFmtId="165" fontId="5" fillId="0" borderId="2" xfId="0" applyNumberFormat="1" applyFont="1" applyBorder="1" applyAlignment="1">
      <alignment horizontal="right"/>
    </xf>
    <xf numFmtId="165" fontId="5" fillId="0" borderId="0" xfId="0" applyNumberFormat="1" applyFont="1"/>
    <xf numFmtId="10" fontId="5" fillId="0" borderId="2" xfId="0" applyNumberFormat="1" applyFont="1" applyBorder="1" applyAlignment="1">
      <alignment horizontal="right"/>
    </xf>
    <xf numFmtId="10" fontId="5" fillId="0" borderId="0" xfId="0" applyNumberFormat="1" applyFont="1"/>
    <xf numFmtId="10" fontId="4" fillId="0" borderId="0" xfId="0" applyNumberFormat="1" applyFont="1"/>
    <xf numFmtId="44" fontId="5" fillId="0" borderId="0" xfId="0" applyNumberFormat="1" applyFont="1" applyBorder="1"/>
    <xf numFmtId="38" fontId="5" fillId="2" borderId="0" xfId="0" applyNumberFormat="1" applyFont="1" applyFill="1" applyBorder="1" applyAlignment="1">
      <alignment horizontal="right"/>
    </xf>
    <xf numFmtId="44" fontId="5" fillId="2" borderId="0" xfId="0" applyNumberFormat="1" applyFont="1" applyFill="1" applyBorder="1"/>
    <xf numFmtId="42" fontId="6" fillId="0" borderId="0" xfId="0" applyNumberFormat="1" applyFont="1"/>
    <xf numFmtId="42" fontId="5" fillId="0" borderId="0" xfId="0" applyNumberFormat="1" applyFont="1"/>
    <xf numFmtId="42" fontId="5" fillId="0" borderId="0" xfId="0" applyNumberFormat="1" applyFont="1" applyFill="1"/>
    <xf numFmtId="42" fontId="0" fillId="0" borderId="0" xfId="0" applyNumberFormat="1"/>
    <xf numFmtId="0" fontId="5" fillId="3" borderId="0" xfId="0" applyFont="1" applyFill="1" applyAlignment="1">
      <alignment horizontal="right"/>
    </xf>
    <xf numFmtId="44" fontId="5" fillId="3" borderId="3" xfId="0" applyNumberFormat="1" applyFont="1" applyFill="1" applyBorder="1"/>
    <xf numFmtId="44" fontId="5" fillId="3" borderId="0" xfId="0" applyNumberFormat="1" applyFont="1" applyFill="1"/>
    <xf numFmtId="44" fontId="5" fillId="3" borderId="2" xfId="0" applyNumberFormat="1" applyFont="1" applyFill="1" applyBorder="1"/>
    <xf numFmtId="38" fontId="5" fillId="0" borderId="0" xfId="0" applyNumberFormat="1" applyFont="1" applyFill="1"/>
    <xf numFmtId="38" fontId="5" fillId="0" borderId="0" xfId="0" applyNumberFormat="1" applyFont="1" applyFill="1" applyBorder="1"/>
    <xf numFmtId="10" fontId="5" fillId="0" borderId="0" xfId="0" applyNumberFormat="1" applyFont="1" applyBorder="1" applyAlignment="1">
      <alignment horizontal="right"/>
    </xf>
    <xf numFmtId="10" fontId="4" fillId="0" borderId="0" xfId="0" applyNumberFormat="1" applyFont="1" applyBorder="1"/>
    <xf numFmtId="0" fontId="10" fillId="0" borderId="0" xfId="0" applyFont="1"/>
    <xf numFmtId="0" fontId="10" fillId="0" borderId="0" xfId="0" applyFont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/>
    <xf numFmtId="172" fontId="5" fillId="0" borderId="2" xfId="0" applyNumberFormat="1" applyFont="1" applyBorder="1"/>
    <xf numFmtId="172" fontId="5" fillId="0" borderId="0" xfId="0" applyNumberFormat="1" applyFont="1" applyBorder="1"/>
    <xf numFmtId="44" fontId="5" fillId="0" borderId="4" xfId="0" applyNumberFormat="1" applyFont="1" applyFill="1" applyBorder="1"/>
    <xf numFmtId="0" fontId="5" fillId="4" borderId="0" xfId="0" applyFont="1" applyFill="1"/>
    <xf numFmtId="38" fontId="5" fillId="4" borderId="0" xfId="0" applyNumberFormat="1" applyFont="1" applyFill="1"/>
    <xf numFmtId="44" fontId="5" fillId="4" borderId="0" xfId="0" applyNumberFormat="1" applyFont="1" applyFill="1" applyBorder="1" applyAlignment="1">
      <alignment horizontal="right"/>
    </xf>
    <xf numFmtId="168" fontId="5" fillId="4" borderId="0" xfId="0" applyNumberFormat="1" applyFont="1" applyFill="1" applyBorder="1"/>
    <xf numFmtId="44" fontId="4" fillId="4" borderId="0" xfId="0" applyNumberFormat="1" applyFont="1" applyFill="1" applyBorder="1"/>
    <xf numFmtId="170" fontId="5" fillId="4" borderId="0" xfId="1" applyNumberFormat="1" applyFont="1" applyFill="1"/>
    <xf numFmtId="168" fontId="5" fillId="4" borderId="0" xfId="0" applyNumberFormat="1" applyFont="1" applyFill="1"/>
    <xf numFmtId="44" fontId="5" fillId="4" borderId="5" xfId="0" applyNumberFormat="1" applyFont="1" applyFill="1" applyBorder="1" applyAlignment="1">
      <alignment horizontal="right"/>
    </xf>
    <xf numFmtId="168" fontId="5" fillId="4" borderId="5" xfId="0" applyNumberFormat="1" applyFont="1" applyFill="1" applyBorder="1"/>
    <xf numFmtId="168" fontId="5" fillId="4" borderId="5" xfId="2" applyNumberFormat="1" applyFont="1" applyFill="1" applyBorder="1"/>
    <xf numFmtId="0" fontId="5" fillId="4" borderId="5" xfId="0" applyFont="1" applyFill="1" applyBorder="1"/>
    <xf numFmtId="44" fontId="4" fillId="4" borderId="5" xfId="0" applyNumberFormat="1" applyFont="1" applyFill="1" applyBorder="1"/>
    <xf numFmtId="10" fontId="5" fillId="4" borderId="0" xfId="0" applyNumberFormat="1" applyFont="1" applyFill="1" applyBorder="1" applyAlignment="1">
      <alignment horizontal="right"/>
    </xf>
    <xf numFmtId="164" fontId="5" fillId="4" borderId="0" xfId="3" applyNumberFormat="1" applyFont="1" applyFill="1" applyBorder="1"/>
    <xf numFmtId="0" fontId="13" fillId="4" borderId="0" xfId="0" applyFont="1" applyFill="1"/>
    <xf numFmtId="168" fontId="13" fillId="4" borderId="0" xfId="0" applyNumberFormat="1" applyFont="1" applyFill="1"/>
    <xf numFmtId="44" fontId="14" fillId="4" borderId="0" xfId="0" applyNumberFormat="1" applyFont="1" applyFill="1" applyBorder="1"/>
    <xf numFmtId="44" fontId="5" fillId="0" borderId="2" xfId="0" applyNumberFormat="1" applyFont="1" applyFill="1" applyBorder="1"/>
    <xf numFmtId="38" fontId="5" fillId="4" borderId="0" xfId="0" applyNumberFormat="1" applyFont="1" applyFill="1" applyBorder="1"/>
    <xf numFmtId="10" fontId="5" fillId="0" borderId="6" xfId="0" applyNumberFormat="1" applyFont="1" applyBorder="1" applyAlignment="1">
      <alignment horizontal="right"/>
    </xf>
    <xf numFmtId="40" fontId="5" fillId="0" borderId="2" xfId="0" applyNumberFormat="1" applyFont="1" applyBorder="1" applyAlignment="1">
      <alignment horizontal="right"/>
    </xf>
    <xf numFmtId="40" fontId="5" fillId="0" borderId="2" xfId="0" applyNumberFormat="1" applyFont="1" applyBorder="1"/>
    <xf numFmtId="40" fontId="5" fillId="0" borderId="7" xfId="0" applyNumberFormat="1" applyFont="1" applyBorder="1"/>
    <xf numFmtId="40" fontId="4" fillId="0" borderId="2" xfId="0" applyNumberFormat="1" applyFont="1" applyBorder="1"/>
    <xf numFmtId="40" fontId="4" fillId="0" borderId="0" xfId="0" applyNumberFormat="1" applyFont="1"/>
    <xf numFmtId="40" fontId="5" fillId="0" borderId="0" xfId="0" applyNumberFormat="1" applyFont="1"/>
    <xf numFmtId="44" fontId="5" fillId="0" borderId="7" xfId="0" applyNumberFormat="1" applyFont="1" applyBorder="1"/>
    <xf numFmtId="44" fontId="4" fillId="0" borderId="2" xfId="0" applyNumberFormat="1" applyFont="1" applyBorder="1"/>
    <xf numFmtId="44" fontId="4" fillId="0" borderId="0" xfId="0" applyNumberFormat="1" applyFont="1"/>
    <xf numFmtId="44" fontId="4" fillId="2" borderId="2" xfId="0" applyNumberFormat="1" applyFont="1" applyFill="1" applyBorder="1"/>
    <xf numFmtId="0" fontId="4" fillId="0" borderId="8" xfId="0" applyFont="1" applyBorder="1"/>
    <xf numFmtId="165" fontId="4" fillId="0" borderId="2" xfId="0" applyNumberFormat="1" applyFont="1" applyBorder="1"/>
    <xf numFmtId="165" fontId="4" fillId="0" borderId="0" xfId="0" applyNumberFormat="1" applyFont="1"/>
    <xf numFmtId="44" fontId="5" fillId="0" borderId="6" xfId="0" applyNumberFormat="1" applyFont="1" applyBorder="1"/>
    <xf numFmtId="44" fontId="4" fillId="0" borderId="6" xfId="0" applyNumberFormat="1" applyFont="1" applyBorder="1"/>
    <xf numFmtId="0" fontId="15" fillId="0" borderId="0" xfId="0" applyFont="1" applyFill="1" applyAlignment="1">
      <alignment horizontal="right"/>
    </xf>
    <xf numFmtId="10" fontId="15" fillId="0" borderId="0" xfId="0" applyNumberFormat="1" applyFont="1" applyBorder="1" applyAlignment="1">
      <alignment horizontal="right"/>
    </xf>
    <xf numFmtId="38" fontId="0" fillId="0" borderId="0" xfId="0" applyNumberFormat="1"/>
    <xf numFmtId="38" fontId="5" fillId="0" borderId="3" xfId="0" applyNumberFormat="1" applyFont="1" applyBorder="1"/>
    <xf numFmtId="38" fontId="4" fillId="1" borderId="2" xfId="0" applyNumberFormat="1" applyFont="1" applyFill="1" applyBorder="1"/>
    <xf numFmtId="44" fontId="5" fillId="1" borderId="2" xfId="0" applyNumberFormat="1" applyFont="1" applyFill="1" applyBorder="1"/>
    <xf numFmtId="44" fontId="4" fillId="1" borderId="2" xfId="0" applyNumberFormat="1" applyFont="1" applyFill="1" applyBorder="1"/>
    <xf numFmtId="44" fontId="4" fillId="0" borderId="8" xfId="0" applyNumberFormat="1" applyFont="1" applyFill="1" applyBorder="1"/>
    <xf numFmtId="0" fontId="5" fillId="1" borderId="2" xfId="0" applyFont="1" applyFill="1" applyBorder="1"/>
    <xf numFmtId="172" fontId="5" fillId="0" borderId="2" xfId="0" applyNumberFormat="1" applyFont="1" applyBorder="1" applyAlignment="1">
      <alignment horizontal="right"/>
    </xf>
    <xf numFmtId="172" fontId="5" fillId="0" borderId="0" xfId="0" applyNumberFormat="1" applyFont="1"/>
    <xf numFmtId="172" fontId="5" fillId="1" borderId="2" xfId="0" applyNumberFormat="1" applyFont="1" applyFill="1" applyBorder="1"/>
    <xf numFmtId="174" fontId="5" fillId="0" borderId="2" xfId="0" applyNumberFormat="1" applyFont="1" applyBorder="1"/>
    <xf numFmtId="44" fontId="4" fillId="0" borderId="0" xfId="0" applyNumberFormat="1" applyFont="1" applyFill="1"/>
    <xf numFmtId="44" fontId="5" fillId="1" borderId="0" xfId="0" applyNumberFormat="1" applyFont="1" applyFill="1" applyBorder="1"/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/>
    <xf numFmtId="44" fontId="5" fillId="0" borderId="5" xfId="0" applyNumberFormat="1" applyFont="1" applyFill="1" applyBorder="1"/>
    <xf numFmtId="0" fontId="5" fillId="0" borderId="5" xfId="0" applyFont="1" applyFill="1" applyBorder="1"/>
    <xf numFmtId="0" fontId="13" fillId="0" borderId="0" xfId="0" applyFont="1" applyFill="1"/>
    <xf numFmtId="0" fontId="0" fillId="0" borderId="0" xfId="0" applyFill="1"/>
    <xf numFmtId="44" fontId="5" fillId="5" borderId="0" xfId="0" applyNumberFormat="1" applyFont="1" applyFill="1" applyBorder="1" applyAlignment="1">
      <alignment horizontal="right"/>
    </xf>
    <xf numFmtId="0" fontId="5" fillId="5" borderId="0" xfId="0" applyFont="1" applyFill="1"/>
    <xf numFmtId="44" fontId="4" fillId="2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/>
    <xf numFmtId="44" fontId="4" fillId="2" borderId="8" xfId="0" applyNumberFormat="1" applyFont="1" applyFill="1" applyBorder="1"/>
    <xf numFmtId="177" fontId="4" fillId="2" borderId="0" xfId="0" applyNumberFormat="1" applyFont="1" applyFill="1" applyBorder="1"/>
    <xf numFmtId="44" fontId="13" fillId="0" borderId="0" xfId="0" applyNumberFormat="1" applyFont="1" applyFill="1" applyBorder="1" applyAlignment="1">
      <alignment horizontal="right"/>
    </xf>
    <xf numFmtId="44" fontId="13" fillId="0" borderId="0" xfId="0" applyNumberFormat="1" applyFont="1" applyFill="1" applyBorder="1"/>
    <xf numFmtId="38" fontId="4" fillId="0" borderId="0" xfId="0" applyNumberFormat="1" applyFont="1" applyBorder="1" applyAlignment="1">
      <alignment horizontal="right"/>
    </xf>
    <xf numFmtId="38" fontId="5" fillId="1" borderId="0" xfId="0" applyNumberFormat="1" applyFont="1" applyFill="1" applyBorder="1"/>
    <xf numFmtId="44" fontId="5" fillId="0" borderId="0" xfId="0" applyNumberFormat="1" applyFont="1" applyBorder="1" applyAlignment="1">
      <alignment horizontal="right"/>
    </xf>
    <xf numFmtId="44" fontId="13" fillId="0" borderId="0" xfId="0" applyNumberFormat="1" applyFont="1" applyBorder="1" applyAlignment="1">
      <alignment horizontal="right"/>
    </xf>
    <xf numFmtId="44" fontId="13" fillId="0" borderId="0" xfId="0" applyNumberFormat="1" applyFont="1" applyBorder="1"/>
    <xf numFmtId="44" fontId="4" fillId="0" borderId="0" xfId="0" applyNumberFormat="1" applyFont="1" applyBorder="1" applyAlignment="1">
      <alignment horizontal="right"/>
    </xf>
    <xf numFmtId="44" fontId="5" fillId="6" borderId="0" xfId="0" applyNumberFormat="1" applyFont="1" applyFill="1" applyBorder="1" applyAlignment="1">
      <alignment horizontal="right"/>
    </xf>
    <xf numFmtId="44" fontId="5" fillId="6" borderId="0" xfId="0" applyNumberFormat="1" applyFont="1" applyFill="1" applyBorder="1"/>
    <xf numFmtId="0" fontId="5" fillId="0" borderId="0" xfId="0" applyFont="1" applyBorder="1" applyAlignment="1">
      <alignment horizontal="right"/>
    </xf>
    <xf numFmtId="0" fontId="5" fillId="1" borderId="0" xfId="0" applyFont="1" applyFill="1" applyBorder="1"/>
    <xf numFmtId="172" fontId="5" fillId="0" borderId="0" xfId="0" applyNumberFormat="1" applyFont="1" applyBorder="1" applyAlignment="1">
      <alignment horizontal="right"/>
    </xf>
    <xf numFmtId="44" fontId="13" fillId="0" borderId="5" xfId="0" applyNumberFormat="1" applyFont="1" applyFill="1" applyBorder="1" applyAlignment="1">
      <alignment horizontal="right"/>
    </xf>
    <xf numFmtId="44" fontId="13" fillId="0" borderId="5" xfId="0" applyNumberFormat="1" applyFont="1" applyFill="1" applyBorder="1"/>
    <xf numFmtId="0" fontId="15" fillId="0" borderId="0" xfId="0" applyFont="1" applyBorder="1" applyAlignment="1">
      <alignment horizontal="right"/>
    </xf>
    <xf numFmtId="164" fontId="5" fillId="0" borderId="0" xfId="0" applyNumberFormat="1" applyFont="1" applyBorder="1"/>
    <xf numFmtId="0" fontId="5" fillId="0" borderId="0" xfId="0" applyFont="1" applyBorder="1"/>
    <xf numFmtId="40" fontId="5" fillId="0" borderId="0" xfId="0" applyNumberFormat="1" applyFont="1" applyBorder="1" applyAlignment="1">
      <alignment horizontal="right"/>
    </xf>
    <xf numFmtId="40" fontId="5" fillId="0" borderId="0" xfId="0" applyNumberFormat="1" applyFont="1" applyBorder="1"/>
    <xf numFmtId="44" fontId="5" fillId="0" borderId="5" xfId="0" applyNumberFormat="1" applyFont="1" applyBorder="1" applyAlignment="1">
      <alignment horizontal="right"/>
    </xf>
    <xf numFmtId="44" fontId="5" fillId="0" borderId="5" xfId="0" applyNumberFormat="1" applyFont="1" applyBorder="1"/>
    <xf numFmtId="0" fontId="5" fillId="0" borderId="9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4" fontId="5" fillId="0" borderId="9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79" fontId="5" fillId="0" borderId="9" xfId="0" applyNumberFormat="1" applyFont="1" applyBorder="1" applyAlignment="1">
      <alignment horizontal="center"/>
    </xf>
    <xf numFmtId="179" fontId="13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80" fontId="5" fillId="0" borderId="9" xfId="0" applyNumberFormat="1" applyFont="1" applyBorder="1" applyAlignment="1">
      <alignment horizontal="center"/>
    </xf>
    <xf numFmtId="180" fontId="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1" xfId="0" applyFont="1" applyBorder="1"/>
    <xf numFmtId="184" fontId="2" fillId="0" borderId="0" xfId="0" applyNumberFormat="1" applyFont="1"/>
    <xf numFmtId="4" fontId="5" fillId="0" borderId="2" xfId="0" applyNumberFormat="1" applyFont="1" applyBorder="1" applyAlignment="1">
      <alignment horizontal="center" wrapText="1"/>
    </xf>
    <xf numFmtId="182" fontId="5" fillId="0" borderId="2" xfId="0" applyNumberFormat="1" applyFont="1" applyBorder="1" applyAlignment="1">
      <alignment horizontal="center" wrapText="1"/>
    </xf>
    <xf numFmtId="183" fontId="5" fillId="0" borderId="2" xfId="0" applyNumberFormat="1" applyFont="1" applyBorder="1" applyAlignment="1">
      <alignment horizontal="center" wrapText="1"/>
    </xf>
    <xf numFmtId="4" fontId="5" fillId="0" borderId="2" xfId="0" applyNumberFormat="1" applyFont="1" applyBorder="1" applyAlignment="1">
      <alignment horizontal="center"/>
    </xf>
    <xf numFmtId="182" fontId="5" fillId="0" borderId="2" xfId="0" applyNumberFormat="1" applyFont="1" applyBorder="1" applyAlignment="1">
      <alignment horizontal="center"/>
    </xf>
    <xf numFmtId="184" fontId="5" fillId="0" borderId="2" xfId="0" applyNumberFormat="1" applyFont="1" applyBorder="1" applyAlignment="1">
      <alignment horizontal="center"/>
    </xf>
    <xf numFmtId="183" fontId="5" fillId="0" borderId="2" xfId="0" applyNumberFormat="1" applyFont="1" applyBorder="1" applyAlignment="1">
      <alignment horizontal="center"/>
    </xf>
    <xf numFmtId="184" fontId="5" fillId="0" borderId="0" xfId="0" applyNumberFormat="1" applyFont="1"/>
    <xf numFmtId="4" fontId="5" fillId="0" borderId="8" xfId="0" applyNumberFormat="1" applyFont="1" applyBorder="1" applyAlignment="1">
      <alignment horizontal="center"/>
    </xf>
    <xf numFmtId="182" fontId="5" fillId="0" borderId="8" xfId="0" applyNumberFormat="1" applyFont="1" applyBorder="1" applyAlignment="1">
      <alignment horizontal="center"/>
    </xf>
    <xf numFmtId="184" fontId="5" fillId="0" borderId="4" xfId="0" applyNumberFormat="1" applyFont="1" applyBorder="1" applyAlignment="1">
      <alignment horizontal="center" wrapText="1"/>
    </xf>
    <xf numFmtId="2" fontId="5" fillId="7" borderId="0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Fill="1" applyAlignment="1">
      <alignment horizontal="center"/>
    </xf>
    <xf numFmtId="44" fontId="5" fillId="0" borderId="0" xfId="0" applyNumberFormat="1" applyFont="1" applyAlignment="1">
      <alignment horizontal="center"/>
    </xf>
    <xf numFmtId="44" fontId="5" fillId="0" borderId="0" xfId="0" applyNumberFormat="1" applyFont="1" applyFill="1" applyAlignment="1">
      <alignment horizontal="center"/>
    </xf>
    <xf numFmtId="44" fontId="4" fillId="8" borderId="3" xfId="0" applyNumberFormat="1" applyFont="1" applyFill="1" applyBorder="1"/>
    <xf numFmtId="44" fontId="4" fillId="0" borderId="3" xfId="0" applyNumberFormat="1" applyFont="1" applyFill="1" applyBorder="1"/>
    <xf numFmtId="181" fontId="4" fillId="0" borderId="9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5" fillId="8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2" fontId="5" fillId="0" borderId="0" xfId="0" applyNumberFormat="1" applyFont="1" applyBorder="1" applyAlignment="1">
      <alignment horizontal="center" wrapText="1"/>
    </xf>
    <xf numFmtId="182" fontId="5" fillId="0" borderId="0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5" fillId="0" borderId="2" xfId="0" applyNumberFormat="1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center"/>
    </xf>
    <xf numFmtId="179" fontId="5" fillId="0" borderId="2" xfId="0" applyNumberFormat="1" applyFont="1" applyBorder="1" applyAlignment="1">
      <alignment horizontal="center"/>
    </xf>
    <xf numFmtId="183" fontId="2" fillId="0" borderId="10" xfId="0" applyNumberFormat="1" applyFont="1" applyBorder="1"/>
    <xf numFmtId="0" fontId="0" fillId="0" borderId="10" xfId="0" applyBorder="1"/>
    <xf numFmtId="183" fontId="5" fillId="0" borderId="10" xfId="0" applyNumberFormat="1" applyFont="1" applyBorder="1" applyAlignment="1">
      <alignment horizontal="center" wrapText="1"/>
    </xf>
    <xf numFmtId="0" fontId="5" fillId="0" borderId="10" xfId="0" applyFont="1" applyBorder="1"/>
    <xf numFmtId="183" fontId="5" fillId="0" borderId="10" xfId="0" applyNumberFormat="1" applyFont="1" applyBorder="1"/>
    <xf numFmtId="2" fontId="5" fillId="4" borderId="2" xfId="0" applyNumberFormat="1" applyFont="1" applyFill="1" applyBorder="1" applyAlignment="1">
      <alignment horizontal="center"/>
    </xf>
    <xf numFmtId="179" fontId="5" fillId="4" borderId="2" xfId="0" applyNumberFormat="1" applyFont="1" applyFill="1" applyBorder="1" applyAlignment="1">
      <alignment horizontal="center"/>
    </xf>
    <xf numFmtId="17" fontId="5" fillId="0" borderId="0" xfId="0" applyNumberFormat="1" applyFont="1" applyAlignment="1"/>
    <xf numFmtId="44" fontId="4" fillId="0" borderId="0" xfId="0" applyNumberFormat="1" applyFont="1" applyFill="1" applyBorder="1" applyAlignment="1">
      <alignment horizontal="right"/>
    </xf>
    <xf numFmtId="44" fontId="4" fillId="0" borderId="2" xfId="0" applyNumberFormat="1" applyFont="1" applyFill="1" applyBorder="1"/>
    <xf numFmtId="44" fontId="5" fillId="0" borderId="9" xfId="0" applyNumberFormat="1" applyFont="1" applyBorder="1"/>
    <xf numFmtId="44" fontId="4" fillId="0" borderId="11" xfId="0" applyNumberFormat="1" applyFont="1" applyBorder="1"/>
    <xf numFmtId="44" fontId="4" fillId="0" borderId="0" xfId="0" applyNumberFormat="1" applyFont="1" applyBorder="1"/>
    <xf numFmtId="0" fontId="6" fillId="0" borderId="0" xfId="0" applyFont="1" applyBorder="1"/>
    <xf numFmtId="172" fontId="0" fillId="0" borderId="0" xfId="0" applyNumberFormat="1"/>
    <xf numFmtId="44" fontId="15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44" fontId="4" fillId="0" borderId="8" xfId="0" applyNumberFormat="1" applyFont="1" applyBorder="1"/>
    <xf numFmtId="44" fontId="4" fillId="0" borderId="9" xfId="0" applyNumberFormat="1" applyFont="1" applyBorder="1"/>
    <xf numFmtId="0" fontId="15" fillId="0" borderId="0" xfId="0" applyFont="1" applyAlignment="1">
      <alignment horizontal="right"/>
    </xf>
    <xf numFmtId="38" fontId="15" fillId="0" borderId="0" xfId="0" applyNumberFormat="1" applyFont="1" applyBorder="1" applyAlignment="1">
      <alignment horizontal="right"/>
    </xf>
    <xf numFmtId="0" fontId="5" fillId="0" borderId="4" xfId="0" applyFont="1" applyBorder="1"/>
    <xf numFmtId="0" fontId="5" fillId="2" borderId="0" xfId="0" applyFont="1" applyFill="1" applyBorder="1" applyAlignment="1">
      <alignment horizontal="center"/>
    </xf>
    <xf numFmtId="17" fontId="5" fillId="2" borderId="4" xfId="0" applyNumberFormat="1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3" fontId="16" fillId="3" borderId="0" xfId="0" applyNumberFormat="1" applyFont="1" applyFill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79" fontId="5" fillId="0" borderId="12" xfId="0" applyNumberFormat="1" applyFont="1" applyBorder="1" applyAlignment="1">
      <alignment horizontal="center"/>
    </xf>
    <xf numFmtId="180" fontId="5" fillId="0" borderId="1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4" fillId="8" borderId="4" xfId="0" applyNumberFormat="1" applyFont="1" applyFill="1" applyBorder="1" applyAlignment="1">
      <alignment horizontal="center"/>
    </xf>
    <xf numFmtId="44" fontId="4" fillId="8" borderId="0" xfId="0" applyNumberFormat="1" applyFont="1" applyFill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44" fontId="5" fillId="0" borderId="4" xfId="0" applyNumberFormat="1" applyFont="1" applyBorder="1"/>
    <xf numFmtId="44" fontId="4" fillId="8" borderId="13" xfId="0" applyNumberFormat="1" applyFont="1" applyFill="1" applyBorder="1"/>
    <xf numFmtId="181" fontId="4" fillId="0" borderId="0" xfId="0" applyNumberFormat="1" applyFont="1" applyBorder="1" applyAlignment="1">
      <alignment horizontal="center"/>
    </xf>
    <xf numFmtId="44" fontId="4" fillId="0" borderId="4" xfId="0" applyNumberFormat="1" applyFont="1" applyFill="1" applyBorder="1" applyAlignment="1">
      <alignment horizontal="center"/>
    </xf>
    <xf numFmtId="44" fontId="4" fillId="0" borderId="0" xfId="0" applyNumberFormat="1" applyFont="1" applyFill="1" applyBorder="1" applyAlignment="1">
      <alignment horizontal="center"/>
    </xf>
    <xf numFmtId="44" fontId="5" fillId="0" borderId="4" xfId="0" applyNumberFormat="1" applyFont="1" applyFill="1" applyBorder="1" applyAlignment="1">
      <alignment horizontal="center"/>
    </xf>
    <xf numFmtId="4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44" fontId="4" fillId="0" borderId="13" xfId="0" applyNumberFormat="1" applyFont="1" applyFill="1" applyBorder="1"/>
    <xf numFmtId="3" fontId="5" fillId="5" borderId="4" xfId="0" applyNumberFormat="1" applyFont="1" applyFill="1" applyBorder="1" applyAlignment="1">
      <alignment horizontal="center"/>
    </xf>
    <xf numFmtId="3" fontId="5" fillId="5" borderId="0" xfId="0" applyNumberFormat="1" applyFont="1" applyFill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3" fontId="5" fillId="9" borderId="4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79" fontId="0" fillId="4" borderId="0" xfId="0" applyNumberForma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182" fontId="2" fillId="0" borderId="0" xfId="0" applyNumberFormat="1" applyFont="1" applyFill="1"/>
    <xf numFmtId="0" fontId="2" fillId="0" borderId="0" xfId="0" applyFont="1" applyFill="1"/>
    <xf numFmtId="165" fontId="5" fillId="0" borderId="0" xfId="0" applyNumberFormat="1" applyFont="1" applyFill="1" applyBorder="1" applyAlignment="1">
      <alignment horizontal="right"/>
    </xf>
    <xf numFmtId="40" fontId="5" fillId="0" borderId="0" xfId="0" applyNumberFormat="1" applyFont="1" applyFill="1" applyBorder="1"/>
    <xf numFmtId="165" fontId="5" fillId="0" borderId="0" xfId="0" applyNumberFormat="1" applyFont="1" applyFill="1"/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8" fontId="15" fillId="4" borderId="0" xfId="0" applyNumberFormat="1" applyFont="1" applyFill="1" applyBorder="1" applyAlignment="1">
      <alignment horizontal="right" wrapText="1"/>
    </xf>
    <xf numFmtId="170" fontId="0" fillId="0" borderId="0" xfId="1" applyNumberFormat="1" applyFont="1"/>
    <xf numFmtId="0" fontId="17" fillId="0" borderId="0" xfId="0" applyFont="1" applyAlignment="1">
      <alignment horizontal="right"/>
    </xf>
    <xf numFmtId="0" fontId="0" fillId="2" borderId="0" xfId="0" applyFill="1"/>
    <xf numFmtId="179" fontId="0" fillId="2" borderId="0" xfId="0" applyNumberFormat="1" applyFill="1"/>
    <xf numFmtId="0" fontId="17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170" fontId="18" fillId="0" borderId="5" xfId="1" applyNumberFormat="1" applyFont="1" applyBorder="1"/>
    <xf numFmtId="0" fontId="0" fillId="0" borderId="5" xfId="0" applyBorder="1"/>
    <xf numFmtId="170" fontId="0" fillId="0" borderId="5" xfId="1" applyNumberFormat="1" applyFont="1" applyBorder="1"/>
    <xf numFmtId="0" fontId="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164" fontId="5" fillId="0" borderId="10" xfId="0" applyNumberFormat="1" applyFont="1" applyBorder="1"/>
    <xf numFmtId="0" fontId="5" fillId="0" borderId="18" xfId="0" applyFont="1" applyBorder="1"/>
    <xf numFmtId="0" fontId="5" fillId="1" borderId="10" xfId="0" applyFont="1" applyFill="1" applyBorder="1"/>
    <xf numFmtId="0" fontId="5" fillId="1" borderId="18" xfId="0" applyFont="1" applyFill="1" applyBorder="1"/>
    <xf numFmtId="44" fontId="5" fillId="0" borderId="10" xfId="0" applyNumberFormat="1" applyFont="1" applyBorder="1"/>
    <xf numFmtId="44" fontId="5" fillId="0" borderId="18" xfId="0" applyNumberFormat="1" applyFont="1" applyBorder="1"/>
    <xf numFmtId="38" fontId="5" fillId="0" borderId="10" xfId="0" applyNumberFormat="1" applyFont="1" applyBorder="1"/>
    <xf numFmtId="38" fontId="5" fillId="0" borderId="18" xfId="0" applyNumberFormat="1" applyFont="1" applyBorder="1"/>
    <xf numFmtId="172" fontId="5" fillId="0" borderId="10" xfId="0" applyNumberFormat="1" applyFont="1" applyBorder="1"/>
    <xf numFmtId="172" fontId="5" fillId="0" borderId="18" xfId="0" applyNumberFormat="1" applyFont="1" applyBorder="1"/>
    <xf numFmtId="0" fontId="5" fillId="0" borderId="19" xfId="0" applyFont="1" applyBorder="1" applyAlignment="1">
      <alignment horizontal="right"/>
    </xf>
    <xf numFmtId="0" fontId="5" fillId="0" borderId="20" xfId="0" applyFont="1" applyBorder="1" applyAlignment="1">
      <alignment horizontal="right"/>
    </xf>
    <xf numFmtId="38" fontId="5" fillId="0" borderId="21" xfId="0" applyNumberFormat="1" applyFont="1" applyBorder="1"/>
    <xf numFmtId="38" fontId="5" fillId="0" borderId="22" xfId="0" applyNumberFormat="1" applyFont="1" applyBorder="1"/>
    <xf numFmtId="38" fontId="5" fillId="4" borderId="10" xfId="0" applyNumberFormat="1" applyFont="1" applyFill="1" applyBorder="1"/>
    <xf numFmtId="38" fontId="5" fillId="4" borderId="18" xfId="0" applyNumberFormat="1" applyFont="1" applyFill="1" applyBorder="1"/>
    <xf numFmtId="164" fontId="5" fillId="4" borderId="10" xfId="3" applyNumberFormat="1" applyFont="1" applyFill="1" applyBorder="1"/>
    <xf numFmtId="164" fontId="5" fillId="4" borderId="18" xfId="3" applyNumberFormat="1" applyFont="1" applyFill="1" applyBorder="1"/>
    <xf numFmtId="0" fontId="0" fillId="0" borderId="0" xfId="0" applyBorder="1"/>
    <xf numFmtId="0" fontId="0" fillId="0" borderId="18" xfId="0" applyBorder="1"/>
    <xf numFmtId="170" fontId="0" fillId="0" borderId="10" xfId="1" applyNumberFormat="1" applyFont="1" applyBorder="1"/>
    <xf numFmtId="170" fontId="0" fillId="0" borderId="0" xfId="1" applyNumberFormat="1" applyFont="1" applyBorder="1"/>
    <xf numFmtId="170" fontId="0" fillId="0" borderId="18" xfId="1" applyNumberFormat="1" applyFont="1" applyBorder="1"/>
    <xf numFmtId="38" fontId="0" fillId="0" borderId="10" xfId="0" applyNumberFormat="1" applyBorder="1"/>
    <xf numFmtId="38" fontId="0" fillId="0" borderId="0" xfId="0" applyNumberFormat="1" applyBorder="1"/>
    <xf numFmtId="38" fontId="0" fillId="0" borderId="18" xfId="0" applyNumberFormat="1" applyBorder="1"/>
    <xf numFmtId="170" fontId="0" fillId="0" borderId="23" xfId="1" applyNumberFormat="1" applyFont="1" applyBorder="1"/>
    <xf numFmtId="0" fontId="0" fillId="2" borderId="0" xfId="0" applyFill="1" applyBorder="1"/>
    <xf numFmtId="0" fontId="0" fillId="2" borderId="18" xfId="0" applyFill="1" applyBorder="1"/>
    <xf numFmtId="170" fontId="0" fillId="0" borderId="24" xfId="1" applyNumberFormat="1" applyFont="1" applyBorder="1"/>
    <xf numFmtId="170" fontId="0" fillId="3" borderId="0" xfId="0" applyNumberFormat="1" applyFill="1"/>
    <xf numFmtId="170" fontId="0" fillId="3" borderId="25" xfId="0" applyNumberFormat="1" applyFill="1" applyBorder="1"/>
    <xf numFmtId="170" fontId="0" fillId="3" borderId="1" xfId="0" applyNumberFormat="1" applyFill="1" applyBorder="1"/>
    <xf numFmtId="170" fontId="0" fillId="3" borderId="26" xfId="0" applyNumberFormat="1" applyFill="1" applyBorder="1"/>
    <xf numFmtId="0" fontId="17" fillId="3" borderId="10" xfId="0" applyFont="1" applyFill="1" applyBorder="1" applyAlignment="1">
      <alignment horizontal="right"/>
    </xf>
    <xf numFmtId="0" fontId="0" fillId="3" borderId="0" xfId="0" applyFill="1" applyBorder="1"/>
    <xf numFmtId="0" fontId="0" fillId="3" borderId="18" xfId="0" applyFill="1" applyBorder="1"/>
    <xf numFmtId="0" fontId="15" fillId="3" borderId="10" xfId="0" applyFont="1" applyFill="1" applyBorder="1" applyAlignment="1">
      <alignment horizontal="right"/>
    </xf>
    <xf numFmtId="170" fontId="0" fillId="3" borderId="0" xfId="1" applyNumberFormat="1" applyFont="1" applyFill="1" applyBorder="1"/>
    <xf numFmtId="170" fontId="0" fillId="3" borderId="18" xfId="1" applyNumberFormat="1" applyFont="1" applyFill="1" applyBorder="1"/>
    <xf numFmtId="0" fontId="0" fillId="3" borderId="10" xfId="0" applyFill="1" applyBorder="1"/>
    <xf numFmtId="0" fontId="0" fillId="3" borderId="25" xfId="0" applyFill="1" applyBorder="1"/>
    <xf numFmtId="0" fontId="0" fillId="3" borderId="1" xfId="0" applyFill="1" applyBorder="1"/>
    <xf numFmtId="0" fontId="0" fillId="3" borderId="26" xfId="0" applyFill="1" applyBorder="1"/>
    <xf numFmtId="170" fontId="0" fillId="3" borderId="1" xfId="1" applyNumberFormat="1" applyFont="1" applyFill="1" applyBorder="1"/>
    <xf numFmtId="170" fontId="0" fillId="3" borderId="26" xfId="1" applyNumberFormat="1" applyFont="1" applyFill="1" applyBorder="1"/>
    <xf numFmtId="0" fontId="5" fillId="3" borderId="10" xfId="0" applyFont="1" applyFill="1" applyBorder="1"/>
    <xf numFmtId="0" fontId="15" fillId="3" borderId="25" xfId="0" applyFont="1" applyFill="1" applyBorder="1" applyAlignment="1">
      <alignment horizontal="right"/>
    </xf>
    <xf numFmtId="0" fontId="17" fillId="3" borderId="25" xfId="0" applyFont="1" applyFill="1" applyBorder="1" applyAlignment="1">
      <alignment horizontal="right"/>
    </xf>
    <xf numFmtId="170" fontId="0" fillId="3" borderId="0" xfId="0" applyNumberFormat="1" applyFill="1" applyBorder="1"/>
    <xf numFmtId="10" fontId="17" fillId="0" borderId="0" xfId="0" applyNumberFormat="1" applyFont="1" applyFill="1" applyBorder="1" applyAlignment="1">
      <alignment horizontal="right"/>
    </xf>
    <xf numFmtId="9" fontId="5" fillId="0" borderId="0" xfId="3" applyNumberFormat="1" applyFont="1" applyFill="1" applyBorder="1"/>
    <xf numFmtId="38" fontId="5" fillId="0" borderId="0" xfId="0" applyNumberFormat="1" applyFont="1" applyFill="1" applyBorder="1" applyAlignment="1">
      <alignment horizontal="right"/>
    </xf>
    <xf numFmtId="38" fontId="5" fillId="0" borderId="5" xfId="0" applyNumberFormat="1" applyFont="1" applyFill="1" applyBorder="1" applyAlignment="1">
      <alignment horizontal="right"/>
    </xf>
    <xf numFmtId="38" fontId="5" fillId="0" borderId="5" xfId="0" applyNumberFormat="1" applyFont="1" applyFill="1" applyBorder="1"/>
    <xf numFmtId="10" fontId="15" fillId="4" borderId="0" xfId="0" applyNumberFormat="1" applyFont="1" applyFill="1" applyBorder="1" applyAlignment="1">
      <alignment horizontal="right"/>
    </xf>
    <xf numFmtId="0" fontId="15" fillId="4" borderId="0" xfId="0" applyFont="1" applyFill="1" applyAlignment="1">
      <alignment horizontal="right"/>
    </xf>
    <xf numFmtId="0" fontId="0" fillId="0" borderId="1" xfId="0" applyFill="1" applyBorder="1"/>
    <xf numFmtId="0" fontId="0" fillId="0" borderId="26" xfId="0" applyFill="1" applyBorder="1"/>
    <xf numFmtId="0" fontId="17" fillId="0" borderId="10" xfId="0" applyFont="1" applyFill="1" applyBorder="1" applyAlignment="1">
      <alignment horizontal="right"/>
    </xf>
    <xf numFmtId="170" fontId="0" fillId="0" borderId="0" xfId="1" applyNumberFormat="1" applyFont="1" applyFill="1" applyBorder="1"/>
    <xf numFmtId="170" fontId="0" fillId="0" borderId="18" xfId="1" applyNumberFormat="1" applyFont="1" applyFill="1" applyBorder="1"/>
    <xf numFmtId="179" fontId="0" fillId="0" borderId="0" xfId="0" applyNumberFormat="1" applyFill="1"/>
    <xf numFmtId="0" fontId="17" fillId="4" borderId="27" xfId="0" applyFont="1" applyFill="1" applyBorder="1" applyAlignment="1">
      <alignment horizontal="right" wrapText="1"/>
    </xf>
    <xf numFmtId="170" fontId="0" fillId="4" borderId="28" xfId="1" applyNumberFormat="1" applyFont="1" applyFill="1" applyBorder="1"/>
    <xf numFmtId="170" fontId="0" fillId="4" borderId="29" xfId="1" applyNumberFormat="1" applyFont="1" applyFill="1" applyBorder="1"/>
    <xf numFmtId="0" fontId="17" fillId="4" borderId="10" xfId="0" applyFont="1" applyFill="1" applyBorder="1" applyAlignment="1">
      <alignment horizontal="right"/>
    </xf>
    <xf numFmtId="170" fontId="0" fillId="4" borderId="0" xfId="1" applyNumberFormat="1" applyFont="1" applyFill="1" applyBorder="1"/>
    <xf numFmtId="170" fontId="0" fillId="4" borderId="18" xfId="1" applyNumberFormat="1" applyFont="1" applyFill="1" applyBorder="1"/>
    <xf numFmtId="0" fontId="17" fillId="2" borderId="27" xfId="0" applyFont="1" applyFill="1" applyBorder="1" applyAlignment="1">
      <alignment horizontal="right"/>
    </xf>
    <xf numFmtId="38" fontId="0" fillId="2" borderId="28" xfId="0" applyNumberFormat="1" applyFill="1" applyBorder="1"/>
    <xf numFmtId="38" fontId="0" fillId="2" borderId="29" xfId="0" applyNumberFormat="1" applyFill="1" applyBorder="1"/>
    <xf numFmtId="0" fontId="17" fillId="2" borderId="10" xfId="0" applyFont="1" applyFill="1" applyBorder="1" applyAlignment="1">
      <alignment horizontal="right"/>
    </xf>
    <xf numFmtId="38" fontId="0" fillId="2" borderId="0" xfId="0" applyNumberFormat="1" applyFill="1" applyBorder="1"/>
    <xf numFmtId="38" fontId="0" fillId="2" borderId="18" xfId="0" applyNumberFormat="1" applyFill="1" applyBorder="1"/>
    <xf numFmtId="170" fontId="0" fillId="2" borderId="0" xfId="1" applyNumberFormat="1" applyFont="1" applyFill="1"/>
    <xf numFmtId="170" fontId="0" fillId="2" borderId="10" xfId="1" applyNumberFormat="1" applyFont="1" applyFill="1" applyBorder="1"/>
    <xf numFmtId="170" fontId="0" fillId="4" borderId="0" xfId="1" applyNumberFormat="1" applyFont="1" applyFill="1"/>
    <xf numFmtId="170" fontId="0" fillId="4" borderId="10" xfId="1" applyNumberFormat="1" applyFont="1" applyFill="1" applyBorder="1"/>
    <xf numFmtId="0" fontId="17" fillId="10" borderId="0" xfId="0" applyFont="1" applyFill="1"/>
    <xf numFmtId="0" fontId="5" fillId="0" borderId="2" xfId="0" applyFont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614090908534655"/>
          <c:y val="3.5885303700701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9463036819389"/>
          <c:y val="0.16746475060327204"/>
          <c:w val="0.86090330918031066"/>
          <c:h val="0.71531372043397623"/>
        </c:manualLayout>
      </c:layout>
      <c:lineChart>
        <c:grouping val="standard"/>
        <c:varyColors val="0"/>
        <c:ser>
          <c:idx val="0"/>
          <c:order val="0"/>
          <c:tx>
            <c:strRef>
              <c:f>'Bloomfield Invoices'!$A$15</c:f>
              <c:strCache>
                <c:ptCount val="1"/>
                <c:pt idx="0">
                  <c:v>Total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'Bloomfield Invoices'!$B$14:$M$14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'Bloomfield Invoices'!$B$15:$M$15</c:f>
              <c:numCache>
                <c:formatCode>#,##0</c:formatCode>
                <c:ptCount val="12"/>
                <c:pt idx="0">
                  <c:v>3259000</c:v>
                </c:pt>
                <c:pt idx="1">
                  <c:v>2972000</c:v>
                </c:pt>
                <c:pt idx="2">
                  <c:v>3367000</c:v>
                </c:pt>
                <c:pt idx="3">
                  <c:v>3455000</c:v>
                </c:pt>
                <c:pt idx="4">
                  <c:v>3547000</c:v>
                </c:pt>
                <c:pt idx="5">
                  <c:v>3711000</c:v>
                </c:pt>
                <c:pt idx="6">
                  <c:v>3787000</c:v>
                </c:pt>
                <c:pt idx="7">
                  <c:v>4019000</c:v>
                </c:pt>
                <c:pt idx="8">
                  <c:v>3911000</c:v>
                </c:pt>
                <c:pt idx="9">
                  <c:v>4155000</c:v>
                </c:pt>
                <c:pt idx="10">
                  <c:v>3905000</c:v>
                </c:pt>
                <c:pt idx="11">
                  <c:v>3906000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A6-4538-92CE-2C6720A6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9344"/>
        <c:axId val="1"/>
      </c:lineChart>
      <c:catAx>
        <c:axId val="149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8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MWh</a:t>
            </a:r>
          </a:p>
        </c:rich>
      </c:tx>
      <c:layout>
        <c:manualLayout>
          <c:xMode val="edge"/>
          <c:yMode val="edge"/>
          <c:x val="0.45988291274785248"/>
          <c:y val="3.5377460342868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79302641187802E-2"/>
          <c:y val="0.16037782022100547"/>
          <c:w val="0.91878735121326272"/>
          <c:h val="0.7264171857069071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'Bisti Invoices'!$B$14:$M$14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'Bisti Invoices'!$B$15:$M$15</c:f>
              <c:numCache>
                <c:formatCode>#,##0.00_);[Red]\(#,##0.00\)</c:formatCode>
                <c:ptCount val="12"/>
                <c:pt idx="0" formatCode="#,##0_);[Red]\(#,##0\)">
                  <c:v>4807.6139999999996</c:v>
                </c:pt>
                <c:pt idx="1">
                  <c:v>4339.9769999999999</c:v>
                </c:pt>
                <c:pt idx="2">
                  <c:v>4308.0290000000005</c:v>
                </c:pt>
                <c:pt idx="3">
                  <c:v>4149.5619999999999</c:v>
                </c:pt>
                <c:pt idx="4">
                  <c:v>4109.8810000000003</c:v>
                </c:pt>
                <c:pt idx="5">
                  <c:v>4566.7839999999997</c:v>
                </c:pt>
                <c:pt idx="6">
                  <c:v>4999.3140000000003</c:v>
                </c:pt>
                <c:pt idx="7">
                  <c:v>4707.8339999999998</c:v>
                </c:pt>
                <c:pt idx="8">
                  <c:v>4093.7849999999999</c:v>
                </c:pt>
                <c:pt idx="9">
                  <c:v>4220.28</c:v>
                </c:pt>
                <c:pt idx="10">
                  <c:v>4289.1000000000004</c:v>
                </c:pt>
                <c:pt idx="11">
                  <c:v>4427.8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FC-44C2-A558-6423678E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12888"/>
        <c:axId val="1"/>
      </c:lineChart>
      <c:catAx>
        <c:axId val="18021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2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statement subtotals</a:t>
            </a:r>
          </a:p>
        </c:rich>
      </c:tx>
      <c:layout>
        <c:manualLayout>
          <c:xMode val="edge"/>
          <c:yMode val="edge"/>
          <c:x val="0.4475528990642017"/>
          <c:y val="3.78379252221932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215569482639422E-2"/>
          <c:y val="0.17567608138875426"/>
          <c:w val="0.93197805401721545"/>
          <c:h val="0.6972989076661322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'Bisti Invoices'!$B$6:$M$6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'Bisti Invoices'!$B$12:$M$12</c:f>
              <c:numCache>
                <c:formatCode>_("$"* #,##0.00_);_("$"* \(#,##0.00\);_("$"* "-"??_);_(@_)</c:formatCode>
                <c:ptCount val="12"/>
                <c:pt idx="0">
                  <c:v>190997.96399999998</c:v>
                </c:pt>
                <c:pt idx="1">
                  <c:v>178839.402</c:v>
                </c:pt>
                <c:pt idx="2">
                  <c:v>178008.75400000002</c:v>
                </c:pt>
                <c:pt idx="3">
                  <c:v>173888.61199999999</c:v>
                </c:pt>
                <c:pt idx="4">
                  <c:v>172856.90600000002</c:v>
                </c:pt>
                <c:pt idx="5">
                  <c:v>184736.38399999999</c:v>
                </c:pt>
                <c:pt idx="6">
                  <c:v>203374.13399999999</c:v>
                </c:pt>
                <c:pt idx="7">
                  <c:v>301967.34400000004</c:v>
                </c:pt>
                <c:pt idx="8">
                  <c:v>172438.41</c:v>
                </c:pt>
                <c:pt idx="9">
                  <c:v>195060.37</c:v>
                </c:pt>
                <c:pt idx="10">
                  <c:v>177516.6</c:v>
                </c:pt>
                <c:pt idx="11">
                  <c:v>181122.8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23-4333-A30E-B5EB18176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72312"/>
        <c:axId val="1"/>
      </c:lineChart>
      <c:catAx>
        <c:axId val="18017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72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(kw)</a:t>
            </a:r>
          </a:p>
        </c:rich>
      </c:tx>
      <c:layout>
        <c:manualLayout>
          <c:xMode val="edge"/>
          <c:yMode val="edge"/>
          <c:x val="0.43934437952110533"/>
          <c:y val="3.5629495005259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338820851162498E-2"/>
          <c:y val="0.1781474750262988"/>
          <c:w val="0.89508220603926703"/>
          <c:h val="0.68171100443396992"/>
        </c:manualLayout>
      </c:layout>
      <c:lineChart>
        <c:grouping val="standard"/>
        <c:varyColors val="0"/>
        <c:ser>
          <c:idx val="0"/>
          <c:order val="0"/>
          <c:tx>
            <c:strRef>
              <c:f>'Gallup Power Invoices'!$A$27</c:f>
              <c:strCache>
                <c:ptCount val="1"/>
                <c:pt idx="0">
                  <c:v>Generation kw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Invoices'!$B$27:$M$27</c:f>
              <c:numCache>
                <c:formatCode>#,##0_);[Red]\(#,##0\)</c:formatCode>
                <c:ptCount val="12"/>
                <c:pt idx="0">
                  <c:v>5434</c:v>
                </c:pt>
                <c:pt idx="1">
                  <c:v>5088</c:v>
                </c:pt>
                <c:pt idx="2">
                  <c:v>7075</c:v>
                </c:pt>
                <c:pt idx="3">
                  <c:v>6797</c:v>
                </c:pt>
                <c:pt idx="4">
                  <c:v>8256</c:v>
                </c:pt>
                <c:pt idx="5">
                  <c:v>4973</c:v>
                </c:pt>
                <c:pt idx="6">
                  <c:v>6931</c:v>
                </c:pt>
                <c:pt idx="7">
                  <c:v>7930</c:v>
                </c:pt>
                <c:pt idx="8">
                  <c:v>19</c:v>
                </c:pt>
                <c:pt idx="9">
                  <c:v>5549</c:v>
                </c:pt>
                <c:pt idx="10">
                  <c:v>7411</c:v>
                </c:pt>
                <c:pt idx="11">
                  <c:v>5318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06-4332-A127-FB11C27D0487}"/>
            </c:ext>
          </c:extLst>
        </c:ser>
        <c:ser>
          <c:idx val="1"/>
          <c:order val="1"/>
          <c:tx>
            <c:strRef>
              <c:f>'Gallup Power Invoices'!$A$29</c:f>
              <c:strCache>
                <c:ptCount val="1"/>
                <c:pt idx="0">
                  <c:v>Transmission kw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Invoices'!$B$29:$M$29</c:f>
              <c:numCache>
                <c:formatCode>#,##0_);[Red]\(#,##0\)</c:formatCode>
                <c:ptCount val="12"/>
                <c:pt idx="0">
                  <c:v>6778</c:v>
                </c:pt>
                <c:pt idx="1">
                  <c:v>7344</c:v>
                </c:pt>
                <c:pt idx="2">
                  <c:v>7661</c:v>
                </c:pt>
                <c:pt idx="3">
                  <c:v>6787</c:v>
                </c:pt>
                <c:pt idx="4">
                  <c:v>8698</c:v>
                </c:pt>
                <c:pt idx="5">
                  <c:v>8410</c:v>
                </c:pt>
                <c:pt idx="6">
                  <c:v>8218</c:v>
                </c:pt>
                <c:pt idx="7">
                  <c:v>7968</c:v>
                </c:pt>
                <c:pt idx="8">
                  <c:v>7910</c:v>
                </c:pt>
                <c:pt idx="9">
                  <c:v>9331</c:v>
                </c:pt>
                <c:pt idx="10">
                  <c:v>9120</c:v>
                </c:pt>
                <c:pt idx="11">
                  <c:v>6106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06-4332-A127-FB11C27D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63200"/>
        <c:axId val="1"/>
      </c:lineChart>
      <c:catAx>
        <c:axId val="1800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63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32797033170318"/>
          <c:y val="0.91924097113570169"/>
          <c:w val="0.30601101061171521"/>
          <c:h val="5.9382491675432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(kwh)</a:t>
            </a:r>
          </a:p>
        </c:rich>
      </c:tx>
      <c:layout>
        <c:manualLayout>
          <c:xMode val="edge"/>
          <c:yMode val="edge"/>
          <c:x val="0.44117657618541672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58846760791684E-2"/>
          <c:y val="0.17857153237277504"/>
          <c:w val="0.88627472193692602"/>
          <c:h val="0.63333370148210888"/>
        </c:manualLayout>
      </c:layout>
      <c:lineChart>
        <c:grouping val="standard"/>
        <c:varyColors val="0"/>
        <c:ser>
          <c:idx val="0"/>
          <c:order val="0"/>
          <c:tx>
            <c:strRef>
              <c:f>'Gallup Power Invoices'!$A$32</c:f>
              <c:strCache>
                <c:ptCount val="1"/>
                <c:pt idx="0">
                  <c:v>Generation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Invoices'!$B$32:$M$32</c:f>
              <c:numCache>
                <c:formatCode>#,##0_);[Red]\(#,##0\)</c:formatCode>
                <c:ptCount val="12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57-471F-986E-0782D015807A}"/>
            </c:ext>
          </c:extLst>
        </c:ser>
        <c:ser>
          <c:idx val="1"/>
          <c:order val="1"/>
          <c:tx>
            <c:strRef>
              <c:f>'Gallup Power Invoices'!$A$34</c:f>
              <c:strCache>
                <c:ptCount val="1"/>
                <c:pt idx="0">
                  <c:v>Distribution kwh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Invoices'!$B$34:$M$34</c:f>
              <c:numCache>
                <c:formatCode>#,##0_);[Red]\(#,##0\)</c:formatCode>
                <c:ptCount val="12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57-471F-986E-0782D015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65824"/>
        <c:axId val="1"/>
      </c:lineChart>
      <c:catAx>
        <c:axId val="1800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65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98048813296766"/>
          <c:y val="0.91904815327854872"/>
          <c:w val="0.27745104680105098"/>
          <c:h val="5.9523844124258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160020</xdr:rowOff>
    </xdr:from>
    <xdr:to>
      <xdr:col>7</xdr:col>
      <xdr:colOff>0</xdr:colOff>
      <xdr:row>37</xdr:row>
      <xdr:rowOff>160020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579120</xdr:colOff>
      <xdr:row>41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61</xdr:row>
      <xdr:rowOff>121920</xdr:rowOff>
    </xdr:from>
    <xdr:to>
      <xdr:col>14</xdr:col>
      <xdr:colOff>91440</xdr:colOff>
      <xdr:row>78</xdr:row>
      <xdr:rowOff>91440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7620</xdr:rowOff>
    </xdr:from>
    <xdr:to>
      <xdr:col>5</xdr:col>
      <xdr:colOff>815340</xdr:colOff>
      <xdr:row>54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34</xdr:row>
      <xdr:rowOff>160020</xdr:rowOff>
    </xdr:from>
    <xdr:to>
      <xdr:col>13</xdr:col>
      <xdr:colOff>342900</xdr:colOff>
      <xdr:row>54</xdr:row>
      <xdr:rowOff>7620</xdr:rowOff>
    </xdr:to>
    <xdr:graphicFrame macro="">
      <xdr:nvGraphicFramePr>
        <xdr:cNvPr id="92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zoomScale="90" zoomScaleNormal="90" zoomScaleSheetLayoutView="90" workbookViewId="0">
      <selection activeCell="K29" sqref="K29"/>
    </sheetView>
  </sheetViews>
  <sheetFormatPr defaultRowHeight="13.2" x14ac:dyDescent="0.25"/>
  <cols>
    <col min="1" max="1" width="16.6640625" customWidth="1"/>
    <col min="2" max="13" width="12" bestFit="1" customWidth="1"/>
  </cols>
  <sheetData>
    <row r="1" spans="1:13" x14ac:dyDescent="0.25">
      <c r="A1" s="1" t="s">
        <v>129</v>
      </c>
    </row>
    <row r="2" spans="1:13" x14ac:dyDescent="0.25">
      <c r="A2" s="1" t="s">
        <v>51</v>
      </c>
    </row>
    <row r="3" spans="1:13" ht="13.8" thickBot="1" x14ac:dyDescent="0.3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13" x14ac:dyDescent="0.25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</row>
    <row r="6" spans="1:13" x14ac:dyDescent="0.25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</row>
    <row r="7" spans="1:13" x14ac:dyDescent="0.25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9" t="s">
        <v>56</v>
      </c>
      <c r="B8" s="14">
        <v>118410.44</v>
      </c>
      <c r="C8" s="14">
        <v>106164.54</v>
      </c>
      <c r="D8" s="14">
        <v>120266.04</v>
      </c>
      <c r="E8" s="14">
        <v>123407.64</v>
      </c>
      <c r="F8" s="14">
        <v>126692.04</v>
      </c>
      <c r="G8" s="14">
        <v>132546.84</v>
      </c>
      <c r="H8" s="14">
        <v>135260.04</v>
      </c>
      <c r="I8" s="14">
        <v>143542.44</v>
      </c>
      <c r="J8" s="14">
        <v>139686.84</v>
      </c>
      <c r="K8" s="14">
        <v>148397.64000000001</v>
      </c>
      <c r="L8" s="76">
        <v>139476.92000000001</v>
      </c>
      <c r="M8" s="76">
        <v>139506.20000000001</v>
      </c>
    </row>
    <row r="9" spans="1:13" x14ac:dyDescent="0.25">
      <c r="A9" s="19" t="s">
        <v>46</v>
      </c>
      <c r="B9" s="14">
        <v>94.9</v>
      </c>
      <c r="C9" s="14">
        <v>246.45</v>
      </c>
      <c r="D9" s="14">
        <v>1294.8499999999999</v>
      </c>
      <c r="E9" s="14">
        <v>111.45</v>
      </c>
      <c r="F9" s="14">
        <v>103.4</v>
      </c>
      <c r="G9" s="14">
        <v>1598.6</v>
      </c>
      <c r="H9" s="14">
        <v>1581.8</v>
      </c>
      <c r="I9" s="14">
        <v>1180.25</v>
      </c>
      <c r="J9" s="14">
        <v>1197.05</v>
      </c>
      <c r="K9" s="14">
        <v>1153.7</v>
      </c>
      <c r="L9" s="76">
        <v>196.9</v>
      </c>
      <c r="M9" s="76">
        <v>46.9</v>
      </c>
    </row>
    <row r="10" spans="1:13" x14ac:dyDescent="0.25">
      <c r="A10" s="19" t="s">
        <v>50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12057</v>
      </c>
      <c r="J10" s="14">
        <v>11733</v>
      </c>
      <c r="K10" s="14">
        <v>12465</v>
      </c>
      <c r="L10" s="76">
        <v>11715</v>
      </c>
      <c r="M10" s="76">
        <v>11718</v>
      </c>
    </row>
    <row r="11" spans="1:13" x14ac:dyDescent="0.25">
      <c r="A11" s="19" t="s">
        <v>47</v>
      </c>
      <c r="B11" s="14">
        <f t="shared" ref="B11:H11" si="0">(B8+B9)*0.0575</f>
        <v>6814.0570500000003</v>
      </c>
      <c r="C11" s="14">
        <f t="shared" si="0"/>
        <v>6118.6319249999997</v>
      </c>
      <c r="D11" s="14">
        <f t="shared" si="0"/>
        <v>6989.7511750000003</v>
      </c>
      <c r="E11" s="14">
        <f t="shared" si="0"/>
        <v>7102.347675</v>
      </c>
      <c r="F11" s="14">
        <f t="shared" si="0"/>
        <v>7290.7377999999999</v>
      </c>
      <c r="G11" s="14">
        <f t="shared" si="0"/>
        <v>7713.3628000000008</v>
      </c>
      <c r="H11" s="14">
        <f t="shared" si="0"/>
        <v>7868.4058000000005</v>
      </c>
      <c r="I11" s="14">
        <f>(I8+I9+I10)*0.0575</f>
        <v>9014.8321750000014</v>
      </c>
      <c r="J11" s="14">
        <f>(J8+J9+J10)*0.0575</f>
        <v>8775.4711749999988</v>
      </c>
      <c r="K11" s="14">
        <f>(K8+K9+K10)*0.0575</f>
        <v>9315.9395500000028</v>
      </c>
      <c r="L11" s="14">
        <f>(L8+L9+L10)*0.0575</f>
        <v>8704.8571500000016</v>
      </c>
      <c r="M11" s="14">
        <f>(M8+M9+M10)*0.0575</f>
        <v>8698.0882500000007</v>
      </c>
    </row>
    <row r="12" spans="1:13" x14ac:dyDescent="0.25">
      <c r="A12" s="9" t="s">
        <v>11</v>
      </c>
      <c r="B12" s="10">
        <f>SUM(B8:B11)</f>
        <v>125319.39705</v>
      </c>
      <c r="C12" s="10">
        <f t="shared" ref="C12:M12" si="1">SUM(C8:C11)</f>
        <v>112529.62192499998</v>
      </c>
      <c r="D12" s="10">
        <f t="shared" si="1"/>
        <v>128550.641175</v>
      </c>
      <c r="E12" s="10">
        <f t="shared" si="1"/>
        <v>130621.43767499999</v>
      </c>
      <c r="F12" s="10">
        <f t="shared" si="1"/>
        <v>134086.17779999998</v>
      </c>
      <c r="G12" s="10">
        <f t="shared" si="1"/>
        <v>141858.8028</v>
      </c>
      <c r="H12" s="10">
        <f t="shared" si="1"/>
        <v>144710.2458</v>
      </c>
      <c r="I12" s="10">
        <f t="shared" si="1"/>
        <v>165794.52217499999</v>
      </c>
      <c r="J12" s="10">
        <f t="shared" si="1"/>
        <v>161392.36117499997</v>
      </c>
      <c r="K12" s="10">
        <f t="shared" si="1"/>
        <v>171332.27955000004</v>
      </c>
      <c r="L12" s="10">
        <f t="shared" si="1"/>
        <v>160093.67715</v>
      </c>
      <c r="M12" s="10">
        <f t="shared" si="1"/>
        <v>159969.18825000001</v>
      </c>
    </row>
    <row r="13" spans="1:13" x14ac:dyDescent="0.25">
      <c r="A13" s="17"/>
      <c r="B13" s="1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17"/>
      <c r="B14" s="7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7" t="s">
        <v>10</v>
      </c>
      <c r="M14" s="7" t="s">
        <v>14</v>
      </c>
    </row>
    <row r="15" spans="1:13" x14ac:dyDescent="0.25">
      <c r="A15" s="54" t="s">
        <v>48</v>
      </c>
      <c r="B15" s="55">
        <v>3259000</v>
      </c>
      <c r="C15" s="55">
        <v>2972000</v>
      </c>
      <c r="D15" s="55">
        <v>3367000</v>
      </c>
      <c r="E15" s="55">
        <v>3455000</v>
      </c>
      <c r="F15" s="55">
        <v>3547000</v>
      </c>
      <c r="G15" s="55">
        <v>3711000</v>
      </c>
      <c r="H15" s="55">
        <v>3787000</v>
      </c>
      <c r="I15" s="55">
        <v>4019000</v>
      </c>
      <c r="J15" s="55">
        <v>3911000</v>
      </c>
      <c r="K15" s="55">
        <v>4155000</v>
      </c>
      <c r="L15" s="55">
        <v>3905000</v>
      </c>
      <c r="M15" s="55">
        <v>3906000</v>
      </c>
    </row>
    <row r="16" spans="1:13" x14ac:dyDescent="0.25">
      <c r="A16" s="34" t="s">
        <v>49</v>
      </c>
      <c r="B16" s="56">
        <f t="shared" ref="B16:M16" si="2">B8/B15</f>
        <v>3.6333366063209575E-2</v>
      </c>
      <c r="C16" s="56">
        <f>C8/C15</f>
        <v>3.5721581426648719E-2</v>
      </c>
      <c r="D16" s="56">
        <f t="shared" si="2"/>
        <v>3.5719049599049597E-2</v>
      </c>
      <c r="E16" s="56">
        <f t="shared" si="2"/>
        <v>3.5718564399421129E-2</v>
      </c>
      <c r="F16" s="56">
        <f t="shared" si="2"/>
        <v>3.5718082886946716E-2</v>
      </c>
      <c r="G16" s="56">
        <f t="shared" si="2"/>
        <v>3.5717283751010506E-2</v>
      </c>
      <c r="H16" s="56">
        <f t="shared" si="2"/>
        <v>3.5716936889358335E-2</v>
      </c>
      <c r="I16" s="56">
        <f t="shared" si="2"/>
        <v>3.5715959193829312E-2</v>
      </c>
      <c r="J16" s="56">
        <f t="shared" si="2"/>
        <v>3.5716399897724363E-2</v>
      </c>
      <c r="K16" s="56">
        <f t="shared" si="2"/>
        <v>3.5715436823104699E-2</v>
      </c>
      <c r="L16" s="56">
        <f t="shared" si="2"/>
        <v>3.5717521126760569E-2</v>
      </c>
      <c r="M16" s="56">
        <f t="shared" si="2"/>
        <v>3.571587301587302E-2</v>
      </c>
    </row>
    <row r="17" spans="1:13" x14ac:dyDescent="0.25">
      <c r="A17" s="5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x14ac:dyDescent="0.25">
      <c r="A18" s="5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x14ac:dyDescent="0.25">
      <c r="A19" s="50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</sheetData>
  <mergeCells count="1">
    <mergeCell ref="B5:M5"/>
  </mergeCells>
  <phoneticPr fontId="0" type="noConversion"/>
  <pageMargins left="0.5" right="0.5" top="0.75" bottom="0.5" header="0.5" footer="0.5"/>
  <pageSetup paperSize="5" scale="97" orientation="landscape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A13" zoomScale="90" zoomScaleNormal="90" workbookViewId="0">
      <pane xSplit="1" topLeftCell="B1" activePane="topRight" state="frozen"/>
      <selection pane="topRight" activeCell="B24" sqref="B24"/>
    </sheetView>
  </sheetViews>
  <sheetFormatPr defaultRowHeight="13.2" x14ac:dyDescent="0.25"/>
  <cols>
    <col min="1" max="1" width="27.88671875" customWidth="1"/>
    <col min="2" max="2" width="16.5546875" bestFit="1" customWidth="1"/>
    <col min="3" max="3" width="15.88671875" bestFit="1" customWidth="1"/>
    <col min="4" max="4" width="15.5546875" bestFit="1" customWidth="1"/>
    <col min="5" max="5" width="15.88671875" bestFit="1" customWidth="1"/>
    <col min="6" max="6" width="15.109375" bestFit="1" customWidth="1"/>
    <col min="7" max="7" width="15.5546875" bestFit="1" customWidth="1"/>
    <col min="8" max="8" width="16.33203125" bestFit="1" customWidth="1"/>
    <col min="9" max="9" width="15.88671875" bestFit="1" customWidth="1"/>
    <col min="10" max="10" width="14.44140625" bestFit="1" customWidth="1"/>
    <col min="11" max="13" width="16" bestFit="1" customWidth="1"/>
    <col min="14" max="14" width="17.33203125" bestFit="1" customWidth="1"/>
    <col min="15" max="17" width="14.88671875" bestFit="1" customWidth="1"/>
    <col min="18" max="18" width="15.44140625" bestFit="1" customWidth="1"/>
    <col min="19" max="19" width="14.88671875" bestFit="1" customWidth="1"/>
    <col min="20" max="20" width="14.6640625" bestFit="1" customWidth="1"/>
    <col min="21" max="22" width="14.88671875" bestFit="1" customWidth="1"/>
    <col min="23" max="23" width="14.6640625" bestFit="1" customWidth="1"/>
    <col min="24" max="24" width="15.88671875" bestFit="1" customWidth="1"/>
    <col min="25" max="25" width="14.6640625" bestFit="1" customWidth="1"/>
    <col min="26" max="27" width="14.88671875" bestFit="1" customWidth="1"/>
  </cols>
  <sheetData>
    <row r="1" spans="1:27" x14ac:dyDescent="0.25">
      <c r="A1" s="1" t="s">
        <v>96</v>
      </c>
    </row>
    <row r="2" spans="1:27" x14ac:dyDescent="0.25">
      <c r="A2" s="1" t="s">
        <v>162</v>
      </c>
      <c r="F2">
        <f>0.005+0.05878</f>
        <v>6.3780000000000003E-2</v>
      </c>
      <c r="G2">
        <f>F2-0.0615</f>
        <v>2.2800000000000042E-3</v>
      </c>
    </row>
    <row r="3" spans="1:27" ht="13.8" thickBot="1" x14ac:dyDescent="0.3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5" spans="1:27" x14ac:dyDescent="0.25">
      <c r="A5" s="132" t="s">
        <v>164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N5" s="8" t="s">
        <v>67</v>
      </c>
      <c r="O5" s="8" t="s">
        <v>13</v>
      </c>
      <c r="P5" s="7" t="s">
        <v>0</v>
      </c>
      <c r="Q5" s="7" t="s">
        <v>1</v>
      </c>
      <c r="R5" s="7" t="s">
        <v>2</v>
      </c>
      <c r="S5" s="7" t="s">
        <v>3</v>
      </c>
      <c r="T5" s="7" t="s">
        <v>4</v>
      </c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14</v>
      </c>
    </row>
    <row r="6" spans="1:27" x14ac:dyDescent="0.25">
      <c r="A6" s="124" t="s">
        <v>71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02"/>
      <c r="O6" s="102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x14ac:dyDescent="0.25">
      <c r="A7" s="126" t="s">
        <v>77</v>
      </c>
      <c r="B7" s="37">
        <v>8.86</v>
      </c>
      <c r="C7" s="37">
        <v>8.86</v>
      </c>
      <c r="D7" s="37">
        <v>8.86</v>
      </c>
      <c r="E7" s="37">
        <v>8.86</v>
      </c>
      <c r="F7" s="37">
        <v>8.86</v>
      </c>
      <c r="G7" s="37">
        <v>8.86</v>
      </c>
      <c r="H7" s="37">
        <v>8.86</v>
      </c>
      <c r="I7" s="37">
        <v>8.86</v>
      </c>
      <c r="J7" s="37">
        <v>8.86</v>
      </c>
      <c r="K7" s="37">
        <v>8.86</v>
      </c>
      <c r="L7" s="37">
        <v>8.86</v>
      </c>
      <c r="M7" s="37">
        <v>8.86</v>
      </c>
      <c r="N7" s="99"/>
      <c r="O7" s="14">
        <f>AVERAGE(B7:M7)</f>
        <v>8.86</v>
      </c>
      <c r="P7" s="37">
        <v>8.86</v>
      </c>
      <c r="Q7" s="37">
        <v>8.86</v>
      </c>
      <c r="R7" s="37">
        <v>8.86</v>
      </c>
      <c r="S7" s="37">
        <v>8.86</v>
      </c>
      <c r="T7" s="37">
        <v>8.86</v>
      </c>
      <c r="U7" s="37">
        <v>8.86</v>
      </c>
      <c r="V7" s="37">
        <v>8.86</v>
      </c>
      <c r="W7" s="37">
        <v>8.86</v>
      </c>
      <c r="X7" s="37">
        <v>8.86</v>
      </c>
      <c r="Y7" s="37">
        <v>8.86</v>
      </c>
      <c r="Z7" s="37">
        <v>8.86</v>
      </c>
      <c r="AA7" s="37">
        <v>8.86</v>
      </c>
    </row>
    <row r="8" spans="1:27" x14ac:dyDescent="0.25">
      <c r="A8" s="15" t="s">
        <v>78</v>
      </c>
      <c r="B8" s="16">
        <v>5434</v>
      </c>
      <c r="C8" s="16">
        <v>5088</v>
      </c>
      <c r="D8" s="16">
        <v>7075</v>
      </c>
      <c r="E8" s="16">
        <v>6797</v>
      </c>
      <c r="F8" s="16">
        <v>8256</v>
      </c>
      <c r="G8" s="16">
        <v>4973</v>
      </c>
      <c r="H8" s="16">
        <v>6931</v>
      </c>
      <c r="I8" s="16">
        <v>7930</v>
      </c>
      <c r="J8" s="16">
        <v>19</v>
      </c>
      <c r="K8" s="16">
        <v>5549</v>
      </c>
      <c r="L8" s="16">
        <v>7411</v>
      </c>
      <c r="M8" s="16">
        <v>5318</v>
      </c>
      <c r="N8" s="12">
        <f>SUM(B8:M8)</f>
        <v>70781</v>
      </c>
      <c r="O8" s="12">
        <f>AVERAGE(B8:M8)</f>
        <v>5898.416666666667</v>
      </c>
      <c r="P8" s="16">
        <v>5434</v>
      </c>
      <c r="Q8" s="16">
        <v>5088</v>
      </c>
      <c r="R8" s="16">
        <v>7075</v>
      </c>
      <c r="S8" s="16">
        <v>6797</v>
      </c>
      <c r="T8" s="16">
        <v>8256</v>
      </c>
      <c r="U8" s="16">
        <v>4973</v>
      </c>
      <c r="V8" s="16">
        <v>6931</v>
      </c>
      <c r="W8" s="16">
        <v>7930</v>
      </c>
      <c r="X8" s="16">
        <v>19</v>
      </c>
      <c r="Y8" s="16">
        <v>5549</v>
      </c>
      <c r="Z8" s="16">
        <v>7411</v>
      </c>
      <c r="AA8" s="16">
        <v>5318</v>
      </c>
    </row>
    <row r="9" spans="1:27" x14ac:dyDescent="0.25">
      <c r="A9" s="126" t="s">
        <v>82</v>
      </c>
      <c r="B9" s="37">
        <v>3.35</v>
      </c>
      <c r="C9" s="37">
        <v>3.35</v>
      </c>
      <c r="D9" s="37">
        <v>3.35</v>
      </c>
      <c r="E9" s="37">
        <v>3.35</v>
      </c>
      <c r="F9" s="37">
        <v>3.35</v>
      </c>
      <c r="G9" s="37">
        <v>3.35</v>
      </c>
      <c r="H9" s="37">
        <v>3.35</v>
      </c>
      <c r="I9" s="37">
        <v>3.35</v>
      </c>
      <c r="J9" s="37">
        <v>3.35</v>
      </c>
      <c r="K9" s="37">
        <v>3.35</v>
      </c>
      <c r="L9" s="37">
        <v>3.35</v>
      </c>
      <c r="M9" s="37">
        <v>3.35</v>
      </c>
      <c r="N9" s="99"/>
      <c r="O9" s="14">
        <f>AVERAGE(B9:M9)</f>
        <v>3.350000000000001</v>
      </c>
      <c r="P9" s="37">
        <v>3.35</v>
      </c>
      <c r="Q9" s="37">
        <v>3.35</v>
      </c>
      <c r="R9" s="37">
        <v>3.35</v>
      </c>
      <c r="S9" s="37">
        <v>3.35</v>
      </c>
      <c r="T9" s="37">
        <v>3.35</v>
      </c>
      <c r="U9" s="37">
        <v>3.35</v>
      </c>
      <c r="V9" s="37">
        <v>3.35</v>
      </c>
      <c r="W9" s="37">
        <v>3.35</v>
      </c>
      <c r="X9" s="37">
        <v>3.35</v>
      </c>
      <c r="Y9" s="37">
        <v>3.35</v>
      </c>
      <c r="Z9" s="37">
        <v>3.35</v>
      </c>
      <c r="AA9" s="37">
        <v>3.35</v>
      </c>
    </row>
    <row r="10" spans="1:27" x14ac:dyDescent="0.25">
      <c r="A10" s="15" t="s">
        <v>83</v>
      </c>
      <c r="B10" s="16">
        <v>6778</v>
      </c>
      <c r="C10" s="16">
        <v>7344</v>
      </c>
      <c r="D10" s="16">
        <v>7661</v>
      </c>
      <c r="E10" s="16">
        <v>6787</v>
      </c>
      <c r="F10" s="16">
        <v>8698</v>
      </c>
      <c r="G10" s="16">
        <v>8410</v>
      </c>
      <c r="H10" s="16">
        <v>8218</v>
      </c>
      <c r="I10" s="16">
        <v>7968</v>
      </c>
      <c r="J10" s="16">
        <v>7910</v>
      </c>
      <c r="K10" s="16">
        <v>9331</v>
      </c>
      <c r="L10" s="16">
        <v>9120</v>
      </c>
      <c r="M10" s="16">
        <v>6106</v>
      </c>
      <c r="N10" s="12">
        <f>SUM(B10:M10)</f>
        <v>94331</v>
      </c>
      <c r="O10" s="12">
        <f>AVERAGE(B10:M10)</f>
        <v>7860.916666666667</v>
      </c>
      <c r="P10" s="16">
        <v>6778</v>
      </c>
      <c r="Q10" s="16">
        <v>7344</v>
      </c>
      <c r="R10" s="16">
        <v>7661</v>
      </c>
      <c r="S10" s="16">
        <v>6787</v>
      </c>
      <c r="T10" s="16">
        <v>8698</v>
      </c>
      <c r="U10" s="16">
        <v>8410</v>
      </c>
      <c r="V10" s="16">
        <v>8218</v>
      </c>
      <c r="W10" s="16">
        <v>7968</v>
      </c>
      <c r="X10" s="16">
        <v>7910</v>
      </c>
      <c r="Y10" s="16">
        <v>9331</v>
      </c>
      <c r="Z10" s="16">
        <v>9120</v>
      </c>
      <c r="AA10" s="16">
        <v>6106</v>
      </c>
    </row>
    <row r="11" spans="1:27" x14ac:dyDescent="0.25">
      <c r="A11" s="129" t="s">
        <v>74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02"/>
      <c r="O11" s="102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x14ac:dyDescent="0.25">
      <c r="A12" s="134" t="s">
        <v>77</v>
      </c>
      <c r="B12" s="57">
        <v>1.562E-2</v>
      </c>
      <c r="C12" s="57">
        <v>1.562E-2</v>
      </c>
      <c r="D12" s="57">
        <v>1.562E-2</v>
      </c>
      <c r="E12" s="57">
        <v>1.562E-2</v>
      </c>
      <c r="F12" s="57">
        <v>1.562E-2</v>
      </c>
      <c r="G12" s="57">
        <v>1.562E-2</v>
      </c>
      <c r="H12" s="57">
        <v>1.562E-2</v>
      </c>
      <c r="I12" s="57">
        <v>1.562E-2</v>
      </c>
      <c r="J12" s="57">
        <v>1.562E-2</v>
      </c>
      <c r="K12" s="57">
        <v>1.562E-2</v>
      </c>
      <c r="L12" s="57">
        <v>1.562E-2</v>
      </c>
      <c r="M12" s="57">
        <v>1.562E-2</v>
      </c>
      <c r="N12" s="105"/>
      <c r="O12" s="106">
        <f>AVERAGE(B12:M12)</f>
        <v>1.5619999999999997E-2</v>
      </c>
      <c r="P12" s="57">
        <v>1.562E-2</v>
      </c>
      <c r="Q12" s="57">
        <v>1.562E-2</v>
      </c>
      <c r="R12" s="57">
        <v>1.562E-2</v>
      </c>
      <c r="S12" s="57">
        <v>1.562E-2</v>
      </c>
      <c r="T12" s="57">
        <v>1.562E-2</v>
      </c>
      <c r="U12" s="57">
        <v>1.562E-2</v>
      </c>
      <c r="V12" s="57">
        <v>1.562E-2</v>
      </c>
      <c r="W12" s="57">
        <v>1.562E-2</v>
      </c>
      <c r="X12" s="57">
        <v>1.562E-2</v>
      </c>
      <c r="Y12" s="57">
        <v>1.562E-2</v>
      </c>
      <c r="Z12" s="57">
        <v>1.562E-2</v>
      </c>
      <c r="AA12" s="57">
        <v>1.562E-2</v>
      </c>
    </row>
    <row r="13" spans="1:27" x14ac:dyDescent="0.25">
      <c r="A13" s="15" t="s">
        <v>79</v>
      </c>
      <c r="B13" s="16">
        <v>4540992</v>
      </c>
      <c r="C13" s="16">
        <v>3956054</v>
      </c>
      <c r="D13" s="16">
        <v>4430942</v>
      </c>
      <c r="E13" s="16">
        <v>4401499</v>
      </c>
      <c r="F13" s="16">
        <v>3422650</v>
      </c>
      <c r="G13" s="16">
        <v>5199282</v>
      </c>
      <c r="H13" s="16">
        <v>5285904</v>
      </c>
      <c r="I13" s="16">
        <v>3574762</v>
      </c>
      <c r="J13" s="16">
        <v>1217290</v>
      </c>
      <c r="K13" s="16">
        <v>5319072</v>
      </c>
      <c r="L13" s="16">
        <v>5044762</v>
      </c>
      <c r="M13" s="16">
        <v>4509437</v>
      </c>
      <c r="N13" s="12">
        <f>SUM(B13:M13)</f>
        <v>50902646</v>
      </c>
      <c r="O13" s="12">
        <f>AVERAGE(B13:M13)</f>
        <v>4241887.166666667</v>
      </c>
      <c r="P13" s="16">
        <v>4540992</v>
      </c>
      <c r="Q13" s="16">
        <v>3956054</v>
      </c>
      <c r="R13" s="16">
        <v>4430942</v>
      </c>
      <c r="S13" s="16">
        <v>4401499</v>
      </c>
      <c r="T13" s="16">
        <v>3422650</v>
      </c>
      <c r="U13" s="16">
        <v>5199282</v>
      </c>
      <c r="V13" s="16">
        <v>5285904</v>
      </c>
      <c r="W13" s="16">
        <v>3574762</v>
      </c>
      <c r="X13" s="16">
        <v>1217290</v>
      </c>
      <c r="Y13" s="16">
        <v>5319072</v>
      </c>
      <c r="Z13" s="16">
        <v>5044762</v>
      </c>
      <c r="AA13" s="16">
        <v>4509437</v>
      </c>
    </row>
    <row r="14" spans="1:27" x14ac:dyDescent="0.25">
      <c r="A14" s="134" t="s">
        <v>80</v>
      </c>
      <c r="B14" s="57">
        <v>4.4999999999999997E-3</v>
      </c>
      <c r="C14" s="57">
        <v>4.4999999999999997E-3</v>
      </c>
      <c r="D14" s="57">
        <v>4.4999999999999997E-3</v>
      </c>
      <c r="E14" s="57">
        <v>4.4999999999999997E-3</v>
      </c>
      <c r="F14" s="57">
        <v>4.4999999999999997E-3</v>
      </c>
      <c r="G14" s="57">
        <v>4.4999999999999997E-3</v>
      </c>
      <c r="H14" s="57">
        <v>4.4999999999999997E-3</v>
      </c>
      <c r="I14" s="57">
        <v>4.4999999999999997E-3</v>
      </c>
      <c r="J14" s="57">
        <v>4.4999999999999997E-3</v>
      </c>
      <c r="K14" s="57">
        <v>4.4999999999999997E-3</v>
      </c>
      <c r="L14" s="57">
        <v>4.4999999999999997E-3</v>
      </c>
      <c r="M14" s="57">
        <v>4.4999999999999997E-3</v>
      </c>
      <c r="N14" s="105"/>
      <c r="O14" s="106">
        <f>AVERAGE(B14:M14)</f>
        <v>4.4999999999999988E-3</v>
      </c>
      <c r="P14" s="57">
        <v>4.4999999999999997E-3</v>
      </c>
      <c r="Q14" s="57">
        <v>4.4999999999999997E-3</v>
      </c>
      <c r="R14" s="57">
        <v>4.4999999999999997E-3</v>
      </c>
      <c r="S14" s="57">
        <v>4.4999999999999997E-3</v>
      </c>
      <c r="T14" s="57">
        <v>4.4999999999999997E-3</v>
      </c>
      <c r="U14" s="57">
        <v>4.4999999999999997E-3</v>
      </c>
      <c r="V14" s="57">
        <v>4.4999999999999997E-3</v>
      </c>
      <c r="W14" s="57">
        <v>4.4999999999999997E-3</v>
      </c>
      <c r="X14" s="57">
        <v>4.4999999999999997E-3</v>
      </c>
      <c r="Y14" s="57">
        <v>4.4999999999999997E-3</v>
      </c>
      <c r="Z14" s="57">
        <v>4.4999999999999997E-3</v>
      </c>
      <c r="AA14" s="57">
        <v>4.4999999999999997E-3</v>
      </c>
    </row>
    <row r="15" spans="1:27" x14ac:dyDescent="0.25">
      <c r="A15" s="15" t="s">
        <v>81</v>
      </c>
      <c r="B15" s="16">
        <f>B13</f>
        <v>4540992</v>
      </c>
      <c r="C15" s="16">
        <f t="shared" ref="C15:M15" si="0">C13</f>
        <v>3956054</v>
      </c>
      <c r="D15" s="16">
        <f t="shared" si="0"/>
        <v>4430942</v>
      </c>
      <c r="E15" s="16">
        <f t="shared" si="0"/>
        <v>4401499</v>
      </c>
      <c r="F15" s="16">
        <f t="shared" si="0"/>
        <v>3422650</v>
      </c>
      <c r="G15" s="16">
        <f t="shared" si="0"/>
        <v>5199282</v>
      </c>
      <c r="H15" s="16">
        <f t="shared" si="0"/>
        <v>5285904</v>
      </c>
      <c r="I15" s="16">
        <f t="shared" si="0"/>
        <v>3574762</v>
      </c>
      <c r="J15" s="16">
        <f t="shared" si="0"/>
        <v>1217290</v>
      </c>
      <c r="K15" s="16">
        <f t="shared" si="0"/>
        <v>5319072</v>
      </c>
      <c r="L15" s="16">
        <f t="shared" si="0"/>
        <v>5044762</v>
      </c>
      <c r="M15" s="16">
        <f t="shared" si="0"/>
        <v>4509437</v>
      </c>
      <c r="N15" s="12">
        <f>SUM(B15:M15)</f>
        <v>50902646</v>
      </c>
      <c r="O15" s="12">
        <f>AVERAGE(B15:M15)</f>
        <v>4241887.166666667</v>
      </c>
      <c r="P15" s="16">
        <f>P13</f>
        <v>4540992</v>
      </c>
      <c r="Q15" s="16">
        <f t="shared" ref="Q15:AA15" si="1">Q13</f>
        <v>3956054</v>
      </c>
      <c r="R15" s="16">
        <f t="shared" si="1"/>
        <v>4430942</v>
      </c>
      <c r="S15" s="16">
        <f t="shared" si="1"/>
        <v>4401499</v>
      </c>
      <c r="T15" s="16">
        <f t="shared" si="1"/>
        <v>3422650</v>
      </c>
      <c r="U15" s="16">
        <f t="shared" si="1"/>
        <v>5199282</v>
      </c>
      <c r="V15" s="16">
        <f t="shared" si="1"/>
        <v>5285904</v>
      </c>
      <c r="W15" s="16">
        <f t="shared" si="1"/>
        <v>3574762</v>
      </c>
      <c r="X15" s="16">
        <f t="shared" si="1"/>
        <v>1217290</v>
      </c>
      <c r="Y15" s="16">
        <f t="shared" si="1"/>
        <v>5319072</v>
      </c>
      <c r="Z15" s="16">
        <f t="shared" si="1"/>
        <v>5044762</v>
      </c>
      <c r="AA15" s="16">
        <f t="shared" si="1"/>
        <v>4509437</v>
      </c>
    </row>
    <row r="16" spans="1:27" s="6" customFormat="1" ht="11.4" x14ac:dyDescent="0.2">
      <c r="A16" s="7" t="s">
        <v>156</v>
      </c>
      <c r="B16" s="56">
        <f>B12+B14</f>
        <v>2.0119999999999999E-2</v>
      </c>
      <c r="C16" s="56">
        <f t="shared" ref="C16:M16" si="2">C12+C14</f>
        <v>2.0119999999999999E-2</v>
      </c>
      <c r="D16" s="56">
        <f t="shared" si="2"/>
        <v>2.0119999999999999E-2</v>
      </c>
      <c r="E16" s="56">
        <f t="shared" si="2"/>
        <v>2.0119999999999999E-2</v>
      </c>
      <c r="F16" s="56">
        <f t="shared" si="2"/>
        <v>2.0119999999999999E-2</v>
      </c>
      <c r="G16" s="56">
        <f t="shared" si="2"/>
        <v>2.0119999999999999E-2</v>
      </c>
      <c r="H16" s="56">
        <f t="shared" si="2"/>
        <v>2.0119999999999999E-2</v>
      </c>
      <c r="I16" s="56">
        <f t="shared" si="2"/>
        <v>2.0119999999999999E-2</v>
      </c>
      <c r="J16" s="56">
        <f t="shared" si="2"/>
        <v>2.0119999999999999E-2</v>
      </c>
      <c r="K16" s="56">
        <f t="shared" si="2"/>
        <v>2.0119999999999999E-2</v>
      </c>
      <c r="L16" s="56">
        <f t="shared" si="2"/>
        <v>2.0119999999999999E-2</v>
      </c>
      <c r="M16" s="56">
        <f t="shared" si="2"/>
        <v>2.0119999999999999E-2</v>
      </c>
      <c r="P16" s="56">
        <f>P12+P14</f>
        <v>2.0119999999999999E-2</v>
      </c>
      <c r="Q16" s="56">
        <f t="shared" ref="Q16:AA16" si="3">Q12+Q14</f>
        <v>2.0119999999999999E-2</v>
      </c>
      <c r="R16" s="56">
        <f t="shared" si="3"/>
        <v>2.0119999999999999E-2</v>
      </c>
      <c r="S16" s="56">
        <f t="shared" si="3"/>
        <v>2.0119999999999999E-2</v>
      </c>
      <c r="T16" s="56">
        <f t="shared" si="3"/>
        <v>2.0119999999999999E-2</v>
      </c>
      <c r="U16" s="56">
        <f t="shared" si="3"/>
        <v>2.0119999999999999E-2</v>
      </c>
      <c r="V16" s="56">
        <f t="shared" si="3"/>
        <v>2.0119999999999999E-2</v>
      </c>
      <c r="W16" s="56">
        <f t="shared" si="3"/>
        <v>2.0119999999999999E-2</v>
      </c>
      <c r="X16" s="56">
        <f t="shared" si="3"/>
        <v>2.0119999999999999E-2</v>
      </c>
      <c r="Y16" s="56">
        <f t="shared" si="3"/>
        <v>2.0119999999999999E-2</v>
      </c>
      <c r="Z16" s="56">
        <f t="shared" si="3"/>
        <v>2.0119999999999999E-2</v>
      </c>
      <c r="AA16" s="56">
        <f t="shared" si="3"/>
        <v>2.0119999999999999E-2</v>
      </c>
    </row>
    <row r="17" spans="1:27" s="208" customFormat="1" x14ac:dyDescent="0.25">
      <c r="A17" s="103" t="s">
        <v>157</v>
      </c>
      <c r="B17" s="56">
        <v>1.762E-2</v>
      </c>
      <c r="C17" s="56">
        <v>1.762E-2</v>
      </c>
      <c r="D17" s="56">
        <v>1.762E-2</v>
      </c>
      <c r="E17" s="56">
        <v>1.762E-2</v>
      </c>
      <c r="F17" s="56">
        <v>1.762E-2</v>
      </c>
      <c r="G17" s="56">
        <v>1.762E-2</v>
      </c>
      <c r="H17" s="56">
        <v>1.762E-2</v>
      </c>
      <c r="I17" s="56">
        <v>1.762E-2</v>
      </c>
      <c r="J17" s="56">
        <v>1.762E-2</v>
      </c>
      <c r="K17" s="56">
        <v>1.762E-2</v>
      </c>
      <c r="L17" s="56">
        <v>1.762E-2</v>
      </c>
      <c r="M17" s="56">
        <v>1.762E-2</v>
      </c>
      <c r="P17" s="56">
        <v>1.762E-2</v>
      </c>
      <c r="Q17" s="56">
        <v>1.762E-2</v>
      </c>
      <c r="R17" s="56">
        <v>1.762E-2</v>
      </c>
      <c r="S17" s="56">
        <v>1.762E-2</v>
      </c>
      <c r="T17" s="56">
        <v>1.762E-2</v>
      </c>
      <c r="U17" s="56">
        <v>1.762E-2</v>
      </c>
      <c r="V17" s="56">
        <v>1.762E-2</v>
      </c>
      <c r="W17" s="56">
        <v>1.762E-2</v>
      </c>
      <c r="X17" s="56">
        <v>1.762E-2</v>
      </c>
      <c r="Y17" s="56">
        <v>1.762E-2</v>
      </c>
      <c r="Z17" s="56">
        <v>1.762E-2</v>
      </c>
      <c r="AA17" s="56">
        <v>1.762E-2</v>
      </c>
    </row>
    <row r="18" spans="1:27" x14ac:dyDescent="0.25">
      <c r="A18" s="6"/>
      <c r="B18" s="365">
        <v>2001</v>
      </c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6"/>
      <c r="O18" s="6"/>
      <c r="P18" s="365">
        <v>2001</v>
      </c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</row>
    <row r="19" spans="1:27" x14ac:dyDescent="0.25">
      <c r="A19" s="17" t="s">
        <v>17</v>
      </c>
      <c r="B19" s="7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  <c r="K19" s="7" t="s">
        <v>9</v>
      </c>
      <c r="L19" s="7" t="s">
        <v>10</v>
      </c>
      <c r="M19" s="7" t="s">
        <v>14</v>
      </c>
      <c r="N19" s="8" t="s">
        <v>67</v>
      </c>
      <c r="O19" s="8" t="s">
        <v>13</v>
      </c>
      <c r="P19" s="7" t="s">
        <v>0</v>
      </c>
      <c r="Q19" s="7" t="s">
        <v>1</v>
      </c>
      <c r="R19" s="7" t="s">
        <v>2</v>
      </c>
      <c r="S19" s="7" t="s">
        <v>3</v>
      </c>
      <c r="T19" s="7" t="s">
        <v>4</v>
      </c>
      <c r="U19" s="7" t="s">
        <v>5</v>
      </c>
      <c r="V19" s="7" t="s">
        <v>6</v>
      </c>
      <c r="W19" s="7" t="s">
        <v>7</v>
      </c>
      <c r="X19" s="7" t="s">
        <v>8</v>
      </c>
      <c r="Y19" s="7" t="s">
        <v>9</v>
      </c>
      <c r="Z19" s="7" t="s">
        <v>10</v>
      </c>
      <c r="AA19" s="7" t="s">
        <v>14</v>
      </c>
    </row>
    <row r="20" spans="1:27" x14ac:dyDescent="0.25">
      <c r="A20" s="202" t="s">
        <v>153</v>
      </c>
      <c r="B20" s="21">
        <v>130721</v>
      </c>
      <c r="C20" s="21">
        <v>130721</v>
      </c>
      <c r="D20" s="21">
        <v>130721</v>
      </c>
      <c r="E20" s="21">
        <v>130721</v>
      </c>
      <c r="F20" s="21">
        <v>130721</v>
      </c>
      <c r="G20" s="21">
        <v>130721</v>
      </c>
      <c r="H20" s="21">
        <v>130721</v>
      </c>
      <c r="I20" s="21">
        <v>130721</v>
      </c>
      <c r="J20" s="21">
        <v>130721</v>
      </c>
      <c r="K20" s="21">
        <v>130721</v>
      </c>
      <c r="L20" s="21">
        <v>130721</v>
      </c>
      <c r="M20" s="21">
        <v>130721</v>
      </c>
      <c r="N20" s="86"/>
      <c r="O20" s="86"/>
      <c r="P20" s="21">
        <v>130721</v>
      </c>
      <c r="Q20" s="21">
        <v>130721</v>
      </c>
      <c r="R20" s="21">
        <v>130721</v>
      </c>
      <c r="S20" s="21">
        <v>130721</v>
      </c>
      <c r="T20" s="21">
        <v>130721</v>
      </c>
      <c r="U20" s="21">
        <v>130721</v>
      </c>
      <c r="V20" s="21">
        <v>130721</v>
      </c>
      <c r="W20" s="21">
        <v>130721</v>
      </c>
      <c r="X20" s="21">
        <v>130721</v>
      </c>
      <c r="Y20" s="21">
        <v>130721</v>
      </c>
      <c r="Z20" s="21">
        <v>130721</v>
      </c>
      <c r="AA20" s="21">
        <v>130721</v>
      </c>
    </row>
    <row r="21" spans="1:27" x14ac:dyDescent="0.25">
      <c r="A21" s="17"/>
      <c r="B21" s="1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5"/>
      <c r="O21" s="5"/>
      <c r="P21" s="1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214" t="s">
        <v>152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98"/>
      <c r="O22" s="98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</row>
    <row r="23" spans="1:27" x14ac:dyDescent="0.25">
      <c r="A23" s="126" t="s">
        <v>75</v>
      </c>
      <c r="B23" s="37">
        <f t="shared" ref="B23:M23" si="4">B7*B8</f>
        <v>48145.24</v>
      </c>
      <c r="C23" s="37">
        <f t="shared" si="4"/>
        <v>45079.68</v>
      </c>
      <c r="D23" s="37">
        <f t="shared" si="4"/>
        <v>62684.499999999993</v>
      </c>
      <c r="E23" s="37">
        <f t="shared" si="4"/>
        <v>60221.42</v>
      </c>
      <c r="F23" s="37">
        <f t="shared" si="4"/>
        <v>73148.159999999989</v>
      </c>
      <c r="G23" s="37">
        <f t="shared" si="4"/>
        <v>44060.78</v>
      </c>
      <c r="H23" s="37">
        <f t="shared" si="4"/>
        <v>61408.659999999996</v>
      </c>
      <c r="I23" s="37">
        <f t="shared" si="4"/>
        <v>70259.799999999988</v>
      </c>
      <c r="J23" s="37">
        <f t="shared" si="4"/>
        <v>168.33999999999997</v>
      </c>
      <c r="K23" s="37">
        <f t="shared" si="4"/>
        <v>49164.14</v>
      </c>
      <c r="L23" s="37">
        <f t="shared" si="4"/>
        <v>65661.459999999992</v>
      </c>
      <c r="M23" s="37">
        <f t="shared" si="4"/>
        <v>47117.479999999996</v>
      </c>
      <c r="N23" s="86">
        <f>SUM(B23:M23)</f>
        <v>627119.65999999992</v>
      </c>
      <c r="O23" s="86">
        <f>AVERAGE(B23:M23)</f>
        <v>52259.971666666657</v>
      </c>
      <c r="P23" s="37">
        <f t="shared" ref="P23:AA23" si="5">P7*P8</f>
        <v>48145.24</v>
      </c>
      <c r="Q23" s="37">
        <f t="shared" si="5"/>
        <v>45079.68</v>
      </c>
      <c r="R23" s="37">
        <f t="shared" si="5"/>
        <v>62684.499999999993</v>
      </c>
      <c r="S23" s="37">
        <f t="shared" si="5"/>
        <v>60221.42</v>
      </c>
      <c r="T23" s="37">
        <f t="shared" si="5"/>
        <v>73148.159999999989</v>
      </c>
      <c r="U23" s="37">
        <f t="shared" si="5"/>
        <v>44060.78</v>
      </c>
      <c r="V23" s="37">
        <f t="shared" si="5"/>
        <v>61408.659999999996</v>
      </c>
      <c r="W23" s="37">
        <f t="shared" si="5"/>
        <v>70259.799999999988</v>
      </c>
      <c r="X23" s="37">
        <f t="shared" si="5"/>
        <v>168.33999999999997</v>
      </c>
      <c r="Y23" s="37">
        <f t="shared" si="5"/>
        <v>49164.14</v>
      </c>
      <c r="Z23" s="37">
        <f t="shared" si="5"/>
        <v>65661.459999999992</v>
      </c>
      <c r="AA23" s="37">
        <f t="shared" si="5"/>
        <v>47117.479999999996</v>
      </c>
    </row>
    <row r="24" spans="1:27" x14ac:dyDescent="0.25">
      <c r="A24" s="126" t="s">
        <v>72</v>
      </c>
      <c r="B24" s="204">
        <f t="shared" ref="B24:M24" si="6">B9*B10</f>
        <v>22706.3</v>
      </c>
      <c r="C24" s="204">
        <f t="shared" si="6"/>
        <v>24602.400000000001</v>
      </c>
      <c r="D24" s="204">
        <f t="shared" si="6"/>
        <v>25664.350000000002</v>
      </c>
      <c r="E24" s="204">
        <f t="shared" si="6"/>
        <v>22736.45</v>
      </c>
      <c r="F24" s="204">
        <f t="shared" si="6"/>
        <v>29138.3</v>
      </c>
      <c r="G24" s="204">
        <f t="shared" si="6"/>
        <v>28173.5</v>
      </c>
      <c r="H24" s="204">
        <f t="shared" si="6"/>
        <v>27530.3</v>
      </c>
      <c r="I24" s="204">
        <f t="shared" si="6"/>
        <v>26692.799999999999</v>
      </c>
      <c r="J24" s="204">
        <f t="shared" si="6"/>
        <v>26498.5</v>
      </c>
      <c r="K24" s="204">
        <f t="shared" si="6"/>
        <v>31258.850000000002</v>
      </c>
      <c r="L24" s="204">
        <f t="shared" si="6"/>
        <v>30552</v>
      </c>
      <c r="M24" s="204">
        <f t="shared" si="6"/>
        <v>20455.100000000002</v>
      </c>
      <c r="N24" s="86">
        <f>SUM(B24:M24)</f>
        <v>316008.84999999992</v>
      </c>
      <c r="O24" s="86">
        <f>AVERAGE(B24:M24)</f>
        <v>26334.070833333328</v>
      </c>
      <c r="P24" s="204">
        <f t="shared" ref="P24:AA24" si="7">P9*P10</f>
        <v>22706.3</v>
      </c>
      <c r="Q24" s="204">
        <f t="shared" si="7"/>
        <v>24602.400000000001</v>
      </c>
      <c r="R24" s="204">
        <f t="shared" si="7"/>
        <v>25664.350000000002</v>
      </c>
      <c r="S24" s="204">
        <f t="shared" si="7"/>
        <v>22736.45</v>
      </c>
      <c r="T24" s="204">
        <f t="shared" si="7"/>
        <v>29138.3</v>
      </c>
      <c r="U24" s="204">
        <f t="shared" si="7"/>
        <v>28173.5</v>
      </c>
      <c r="V24" s="204">
        <f t="shared" si="7"/>
        <v>27530.3</v>
      </c>
      <c r="W24" s="204">
        <f t="shared" si="7"/>
        <v>26692.799999999999</v>
      </c>
      <c r="X24" s="204">
        <f t="shared" si="7"/>
        <v>26498.5</v>
      </c>
      <c r="Y24" s="204">
        <f t="shared" si="7"/>
        <v>31258.850000000002</v>
      </c>
      <c r="Z24" s="204">
        <f t="shared" si="7"/>
        <v>30552</v>
      </c>
      <c r="AA24" s="204">
        <f t="shared" si="7"/>
        <v>20455.100000000002</v>
      </c>
    </row>
    <row r="25" spans="1:27" s="110" customFormat="1" x14ac:dyDescent="0.25">
      <c r="A25" s="20" t="s">
        <v>149</v>
      </c>
      <c r="B25" s="21">
        <f>B23+B24</f>
        <v>70851.539999999994</v>
      </c>
      <c r="C25" s="21">
        <f t="shared" ref="C25:M25" si="8">C23+C24</f>
        <v>69682.080000000002</v>
      </c>
      <c r="D25" s="21">
        <f t="shared" si="8"/>
        <v>88348.849999999991</v>
      </c>
      <c r="E25" s="21">
        <f t="shared" si="8"/>
        <v>82957.87</v>
      </c>
      <c r="F25" s="21">
        <f t="shared" si="8"/>
        <v>102286.45999999999</v>
      </c>
      <c r="G25" s="21">
        <f t="shared" si="8"/>
        <v>72234.28</v>
      </c>
      <c r="H25" s="21">
        <f t="shared" si="8"/>
        <v>88938.959999999992</v>
      </c>
      <c r="I25" s="21">
        <f t="shared" si="8"/>
        <v>96952.599999999991</v>
      </c>
      <c r="J25" s="21">
        <f t="shared" si="8"/>
        <v>26666.84</v>
      </c>
      <c r="K25" s="21">
        <f t="shared" si="8"/>
        <v>80422.990000000005</v>
      </c>
      <c r="L25" s="21">
        <f t="shared" si="8"/>
        <v>96213.459999999992</v>
      </c>
      <c r="M25" s="21">
        <f t="shared" si="8"/>
        <v>67572.58</v>
      </c>
      <c r="N25" s="203"/>
      <c r="O25" s="203"/>
      <c r="P25" s="21">
        <f t="shared" ref="P25:AA25" si="9">P23+P24</f>
        <v>70851.539999999994</v>
      </c>
      <c r="Q25" s="21">
        <f t="shared" si="9"/>
        <v>69682.080000000002</v>
      </c>
      <c r="R25" s="21">
        <f t="shared" si="9"/>
        <v>88348.849999999991</v>
      </c>
      <c r="S25" s="21">
        <f t="shared" si="9"/>
        <v>82957.87</v>
      </c>
      <c r="T25" s="21">
        <f t="shared" si="9"/>
        <v>102286.45999999999</v>
      </c>
      <c r="U25" s="21">
        <f t="shared" si="9"/>
        <v>72234.28</v>
      </c>
      <c r="V25" s="21">
        <f t="shared" si="9"/>
        <v>88938.959999999992</v>
      </c>
      <c r="W25" s="21">
        <f t="shared" si="9"/>
        <v>96952.599999999991</v>
      </c>
      <c r="X25" s="21">
        <f t="shared" si="9"/>
        <v>26666.84</v>
      </c>
      <c r="Y25" s="21">
        <f t="shared" si="9"/>
        <v>80422.990000000005</v>
      </c>
      <c r="Z25" s="21">
        <f t="shared" si="9"/>
        <v>96213.459999999992</v>
      </c>
      <c r="AA25" s="21">
        <f t="shared" si="9"/>
        <v>67572.58</v>
      </c>
    </row>
    <row r="26" spans="1:27" s="110" customFormat="1" x14ac:dyDescent="0.25">
      <c r="A26" s="20" t="s">
        <v>85</v>
      </c>
      <c r="B26" s="21">
        <f>B25*0.005</f>
        <v>354.2577</v>
      </c>
      <c r="C26" s="21">
        <f t="shared" ref="C26:M26" si="10">C25*0.005</f>
        <v>348.41040000000004</v>
      </c>
      <c r="D26" s="21">
        <f t="shared" si="10"/>
        <v>441.74424999999997</v>
      </c>
      <c r="E26" s="21">
        <f t="shared" si="10"/>
        <v>414.78935000000001</v>
      </c>
      <c r="F26" s="21">
        <f t="shared" si="10"/>
        <v>511.4323</v>
      </c>
      <c r="G26" s="21">
        <f t="shared" si="10"/>
        <v>361.17140000000001</v>
      </c>
      <c r="H26" s="21">
        <f t="shared" si="10"/>
        <v>444.69479999999999</v>
      </c>
      <c r="I26" s="21">
        <f t="shared" si="10"/>
        <v>484.76299999999998</v>
      </c>
      <c r="J26" s="21">
        <f t="shared" si="10"/>
        <v>133.33420000000001</v>
      </c>
      <c r="K26" s="21">
        <f t="shared" si="10"/>
        <v>402.11495000000002</v>
      </c>
      <c r="L26" s="21">
        <f t="shared" si="10"/>
        <v>481.06729999999999</v>
      </c>
      <c r="M26" s="21">
        <f t="shared" si="10"/>
        <v>337.86290000000002</v>
      </c>
      <c r="N26" s="203">
        <f>SUM(B26:M26)</f>
        <v>4715.6425500000005</v>
      </c>
      <c r="O26" s="203">
        <f>AVERAGE(B26:M26)</f>
        <v>392.97021250000006</v>
      </c>
      <c r="P26" s="21">
        <f t="shared" ref="P26:AA26" si="11">P25*0.005</f>
        <v>354.2577</v>
      </c>
      <c r="Q26" s="21">
        <f t="shared" si="11"/>
        <v>348.41040000000004</v>
      </c>
      <c r="R26" s="21">
        <f t="shared" si="11"/>
        <v>441.74424999999997</v>
      </c>
      <c r="S26" s="21">
        <f t="shared" si="11"/>
        <v>414.78935000000001</v>
      </c>
      <c r="T26" s="21">
        <f t="shared" si="11"/>
        <v>511.4323</v>
      </c>
      <c r="U26" s="21">
        <f t="shared" si="11"/>
        <v>361.17140000000001</v>
      </c>
      <c r="V26" s="21">
        <f t="shared" si="11"/>
        <v>444.69479999999999</v>
      </c>
      <c r="W26" s="21">
        <f t="shared" si="11"/>
        <v>484.76299999999998</v>
      </c>
      <c r="X26" s="21">
        <f t="shared" si="11"/>
        <v>133.33420000000001</v>
      </c>
      <c r="Y26" s="21">
        <f t="shared" si="11"/>
        <v>402.11495000000002</v>
      </c>
      <c r="Z26" s="21">
        <f t="shared" si="11"/>
        <v>481.06729999999999</v>
      </c>
      <c r="AA26" s="21">
        <f t="shared" si="11"/>
        <v>337.86290000000002</v>
      </c>
    </row>
    <row r="27" spans="1:27" x14ac:dyDescent="0.25">
      <c r="A27" s="20" t="s">
        <v>84</v>
      </c>
      <c r="B27" s="21">
        <f>(B25+B26)*0.05875</f>
        <v>4183.3406148749991</v>
      </c>
      <c r="C27" s="21">
        <f t="shared" ref="C27:M27" si="12">(C25+C26)*0.05875</f>
        <v>4114.291310999999</v>
      </c>
      <c r="D27" s="21">
        <f t="shared" si="12"/>
        <v>5216.4474121874991</v>
      </c>
      <c r="E27" s="21">
        <f t="shared" si="12"/>
        <v>4898.1437368124998</v>
      </c>
      <c r="F27" s="21">
        <f t="shared" si="12"/>
        <v>6039.3761726249995</v>
      </c>
      <c r="G27" s="21">
        <f t="shared" si="12"/>
        <v>4264.9827697500004</v>
      </c>
      <c r="H27" s="21">
        <f t="shared" si="12"/>
        <v>5251.2897194999987</v>
      </c>
      <c r="I27" s="21">
        <f t="shared" si="12"/>
        <v>5724.4450762499991</v>
      </c>
      <c r="J27" s="21">
        <f t="shared" si="12"/>
        <v>1574.5102342499999</v>
      </c>
      <c r="K27" s="21">
        <f t="shared" si="12"/>
        <v>4748.4749158125005</v>
      </c>
      <c r="L27" s="21">
        <f t="shared" si="12"/>
        <v>5680.8034788749992</v>
      </c>
      <c r="M27" s="21">
        <f t="shared" si="12"/>
        <v>3989.7385203749996</v>
      </c>
      <c r="N27" s="86">
        <f>SUM(B27:M27)</f>
        <v>55685.843962312494</v>
      </c>
      <c r="O27" s="86">
        <f>AVERAGE(B27:M27)</f>
        <v>4640.4869968593748</v>
      </c>
      <c r="P27" s="21">
        <f t="shared" ref="P27:AA27" si="13">(P25+P26)*0.05875</f>
        <v>4183.3406148749991</v>
      </c>
      <c r="Q27" s="21">
        <f t="shared" si="13"/>
        <v>4114.291310999999</v>
      </c>
      <c r="R27" s="21">
        <f t="shared" si="13"/>
        <v>5216.4474121874991</v>
      </c>
      <c r="S27" s="21">
        <f t="shared" si="13"/>
        <v>4898.1437368124998</v>
      </c>
      <c r="T27" s="21">
        <f t="shared" si="13"/>
        <v>6039.3761726249995</v>
      </c>
      <c r="U27" s="21">
        <f t="shared" si="13"/>
        <v>4264.9827697500004</v>
      </c>
      <c r="V27" s="21">
        <f t="shared" si="13"/>
        <v>5251.2897194999987</v>
      </c>
      <c r="W27" s="21">
        <f t="shared" si="13"/>
        <v>5724.4450762499991</v>
      </c>
      <c r="X27" s="21">
        <f t="shared" si="13"/>
        <v>1574.5102342499999</v>
      </c>
      <c r="Y27" s="21">
        <f t="shared" si="13"/>
        <v>4748.4749158125005</v>
      </c>
      <c r="Z27" s="21">
        <f t="shared" si="13"/>
        <v>5680.8034788749992</v>
      </c>
      <c r="AA27" s="21">
        <f t="shared" si="13"/>
        <v>3989.7385203749996</v>
      </c>
    </row>
    <row r="28" spans="1:27" x14ac:dyDescent="0.25">
      <c r="A28" s="202" t="s">
        <v>150</v>
      </c>
      <c r="B28" s="21">
        <f>SUM(B25:B27)</f>
        <v>75389.138314874988</v>
      </c>
      <c r="C28" s="21">
        <f t="shared" ref="C28:M28" si="14">SUM(C25:C27)</f>
        <v>74144.781710999989</v>
      </c>
      <c r="D28" s="21">
        <f t="shared" si="14"/>
        <v>94007.04166218749</v>
      </c>
      <c r="E28" s="21">
        <f t="shared" si="14"/>
        <v>88270.803086812506</v>
      </c>
      <c r="F28" s="21">
        <f t="shared" si="14"/>
        <v>108837.26847262499</v>
      </c>
      <c r="G28" s="21">
        <f t="shared" si="14"/>
        <v>76860.434169750006</v>
      </c>
      <c r="H28" s="21">
        <f t="shared" si="14"/>
        <v>94634.944519499986</v>
      </c>
      <c r="I28" s="21">
        <f t="shared" si="14"/>
        <v>103161.80807625</v>
      </c>
      <c r="J28" s="21">
        <f t="shared" si="14"/>
        <v>28374.684434250001</v>
      </c>
      <c r="K28" s="21">
        <f t="shared" si="14"/>
        <v>85573.579865812513</v>
      </c>
      <c r="L28" s="21">
        <f t="shared" si="14"/>
        <v>102375.33077887498</v>
      </c>
      <c r="M28" s="21">
        <f t="shared" si="14"/>
        <v>71900.181420374996</v>
      </c>
      <c r="N28" s="86"/>
      <c r="O28" s="86"/>
      <c r="P28" s="21">
        <f t="shared" ref="P28:AA28" si="15">SUM(P25:P27)</f>
        <v>75389.138314874988</v>
      </c>
      <c r="Q28" s="21">
        <f t="shared" si="15"/>
        <v>74144.781710999989</v>
      </c>
      <c r="R28" s="21">
        <f t="shared" si="15"/>
        <v>94007.04166218749</v>
      </c>
      <c r="S28" s="21">
        <f t="shared" si="15"/>
        <v>88270.803086812506</v>
      </c>
      <c r="T28" s="21">
        <f t="shared" si="15"/>
        <v>108837.26847262499</v>
      </c>
      <c r="U28" s="21">
        <f t="shared" si="15"/>
        <v>76860.434169750006</v>
      </c>
      <c r="V28" s="21">
        <f t="shared" si="15"/>
        <v>94634.944519499986</v>
      </c>
      <c r="W28" s="21">
        <f t="shared" si="15"/>
        <v>103161.80807625</v>
      </c>
      <c r="X28" s="21">
        <f t="shared" si="15"/>
        <v>28374.684434250001</v>
      </c>
      <c r="Y28" s="21">
        <f t="shared" si="15"/>
        <v>85573.579865812513</v>
      </c>
      <c r="Z28" s="21">
        <f t="shared" si="15"/>
        <v>102375.33077887498</v>
      </c>
      <c r="AA28" s="21">
        <f t="shared" si="15"/>
        <v>71900.181420374996</v>
      </c>
    </row>
    <row r="30" spans="1:27" s="1" customFormat="1" x14ac:dyDescent="0.25">
      <c r="A30" s="202" t="s">
        <v>151</v>
      </c>
      <c r="B30" s="23">
        <f>B20-B28</f>
        <v>55331.861685125012</v>
      </c>
      <c r="C30" s="23">
        <f t="shared" ref="C30:M30" si="16">C20-C28</f>
        <v>56576.218289000011</v>
      </c>
      <c r="D30" s="23">
        <f t="shared" si="16"/>
        <v>36713.95833781251</v>
      </c>
      <c r="E30" s="23">
        <f t="shared" si="16"/>
        <v>42450.196913187494</v>
      </c>
      <c r="F30" s="23">
        <f t="shared" si="16"/>
        <v>21883.731527375014</v>
      </c>
      <c r="G30" s="23">
        <f t="shared" si="16"/>
        <v>53860.565830249994</v>
      </c>
      <c r="H30" s="23">
        <f t="shared" si="16"/>
        <v>36086.055480500014</v>
      </c>
      <c r="I30" s="23">
        <f t="shared" si="16"/>
        <v>27559.191923749997</v>
      </c>
      <c r="J30" s="23">
        <f t="shared" si="16"/>
        <v>102346.31556575</v>
      </c>
      <c r="K30" s="23">
        <f t="shared" si="16"/>
        <v>45147.420134187487</v>
      </c>
      <c r="L30" s="23">
        <f t="shared" si="16"/>
        <v>28345.669221125019</v>
      </c>
      <c r="M30" s="23">
        <f t="shared" si="16"/>
        <v>58820.818579625004</v>
      </c>
      <c r="N30" s="86"/>
      <c r="O30" s="86"/>
      <c r="P30" s="23">
        <f>P20-P28</f>
        <v>55331.861685125012</v>
      </c>
      <c r="Q30" s="23">
        <f t="shared" ref="Q30:AA30" si="17">Q20-Q28</f>
        <v>56576.218289000011</v>
      </c>
      <c r="R30" s="23">
        <f t="shared" si="17"/>
        <v>36713.95833781251</v>
      </c>
      <c r="S30" s="23">
        <f t="shared" si="17"/>
        <v>42450.196913187494</v>
      </c>
      <c r="T30" s="23">
        <f t="shared" si="17"/>
        <v>21883.731527375014</v>
      </c>
      <c r="U30" s="23">
        <f t="shared" si="17"/>
        <v>53860.565830249994</v>
      </c>
      <c r="V30" s="23">
        <f t="shared" si="17"/>
        <v>36086.055480500014</v>
      </c>
      <c r="W30" s="23">
        <f t="shared" si="17"/>
        <v>27559.191923749997</v>
      </c>
      <c r="X30" s="23">
        <f t="shared" si="17"/>
        <v>102346.31556575</v>
      </c>
      <c r="Y30" s="23">
        <f t="shared" si="17"/>
        <v>45147.420134187487</v>
      </c>
      <c r="Z30" s="23">
        <f t="shared" si="17"/>
        <v>28345.669221125019</v>
      </c>
      <c r="AA30" s="23">
        <f t="shared" si="17"/>
        <v>58820.818579625004</v>
      </c>
    </row>
    <row r="31" spans="1:27" x14ac:dyDescent="0.25">
      <c r="A31" s="202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1"/>
      <c r="O31" s="21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5">
      <c r="A32" s="209" t="s">
        <v>159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212"/>
      <c r="O32" s="212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</row>
    <row r="33" spans="1:27" x14ac:dyDescent="0.25">
      <c r="A33" s="129" t="s">
        <v>74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0"/>
      <c r="O33" s="100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</row>
    <row r="34" spans="1:27" x14ac:dyDescent="0.25">
      <c r="A34" s="126" t="s">
        <v>75</v>
      </c>
      <c r="B34" s="37">
        <f>B12*B13</f>
        <v>70930.295039999997</v>
      </c>
      <c r="C34" s="37">
        <v>61793.563480000004</v>
      </c>
      <c r="D34" s="37">
        <v>69211.314039999997</v>
      </c>
      <c r="E34" s="37">
        <v>68751.414380000002</v>
      </c>
      <c r="F34" s="37">
        <v>53461.792999999998</v>
      </c>
      <c r="G34" s="37">
        <v>81212.784840000008</v>
      </c>
      <c r="H34" s="37">
        <v>82565.820479999995</v>
      </c>
      <c r="I34" s="37">
        <v>55837.782440000003</v>
      </c>
      <c r="J34" s="37">
        <v>19014.069800000001</v>
      </c>
      <c r="K34" s="37">
        <v>83083.904640000008</v>
      </c>
      <c r="L34" s="37">
        <v>78799.182440000004</v>
      </c>
      <c r="M34" s="37">
        <v>70437.405939999997</v>
      </c>
      <c r="N34" s="86">
        <f>SUM(B34:M34)</f>
        <v>795099.33051999996</v>
      </c>
      <c r="O34" s="86">
        <f>AVERAGE(B34:M34)</f>
        <v>66258.27754333333</v>
      </c>
      <c r="P34" s="37">
        <f>P12*P13</f>
        <v>70930.295039999997</v>
      </c>
      <c r="Q34" s="37">
        <v>61793.563480000004</v>
      </c>
      <c r="R34" s="37">
        <v>69211.314039999997</v>
      </c>
      <c r="S34" s="37">
        <v>68751.414380000002</v>
      </c>
      <c r="T34" s="37">
        <v>53461.792999999998</v>
      </c>
      <c r="U34" s="37">
        <v>81212.784840000008</v>
      </c>
      <c r="V34" s="37">
        <v>82565.820479999995</v>
      </c>
      <c r="W34" s="37">
        <v>55837.782440000003</v>
      </c>
      <c r="X34" s="37">
        <v>19014.069800000001</v>
      </c>
      <c r="Y34" s="37">
        <v>83083.904640000008</v>
      </c>
      <c r="Z34" s="37">
        <v>78799.182440000004</v>
      </c>
      <c r="AA34" s="37">
        <v>70437.405939999997</v>
      </c>
    </row>
    <row r="35" spans="1:27" x14ac:dyDescent="0.25">
      <c r="A35" s="126" t="s">
        <v>73</v>
      </c>
      <c r="B35" s="204">
        <f>B14*B15</f>
        <v>20434.464</v>
      </c>
      <c r="C35" s="204">
        <v>17802.242999999999</v>
      </c>
      <c r="D35" s="204">
        <v>19939.238999999998</v>
      </c>
      <c r="E35" s="204">
        <v>19806.745499999997</v>
      </c>
      <c r="F35" s="204">
        <v>15401.924999999999</v>
      </c>
      <c r="G35" s="204">
        <v>23396.768999999997</v>
      </c>
      <c r="H35" s="204">
        <v>23786.567999999999</v>
      </c>
      <c r="I35" s="204">
        <v>16086.428999999998</v>
      </c>
      <c r="J35" s="204">
        <v>5477.8049999999994</v>
      </c>
      <c r="K35" s="204">
        <v>23935.823999999997</v>
      </c>
      <c r="L35" s="204">
        <v>22701.429</v>
      </c>
      <c r="M35" s="204">
        <v>20292.466499999999</v>
      </c>
      <c r="N35" s="93">
        <f>SUM(B35:M35)</f>
        <v>229061.90700000001</v>
      </c>
      <c r="O35" s="93">
        <f>AVERAGE(B35:M35)</f>
        <v>19088.492249999999</v>
      </c>
      <c r="P35" s="204">
        <f>P14*P15</f>
        <v>20434.464</v>
      </c>
      <c r="Q35" s="204">
        <v>17802.242999999999</v>
      </c>
      <c r="R35" s="204">
        <v>19939.238999999998</v>
      </c>
      <c r="S35" s="204">
        <v>19806.745499999997</v>
      </c>
      <c r="T35" s="204">
        <v>15401.924999999999</v>
      </c>
      <c r="U35" s="204">
        <v>23396.768999999997</v>
      </c>
      <c r="V35" s="204">
        <v>23786.567999999999</v>
      </c>
      <c r="W35" s="204">
        <v>16086.428999999998</v>
      </c>
      <c r="X35" s="204">
        <v>5477.8049999999994</v>
      </c>
      <c r="Y35" s="204">
        <v>23935.823999999997</v>
      </c>
      <c r="Z35" s="204">
        <v>22701.429</v>
      </c>
      <c r="AA35" s="204">
        <v>20292.466499999999</v>
      </c>
    </row>
    <row r="36" spans="1:27" s="207" customFormat="1" x14ac:dyDescent="0.25">
      <c r="A36" s="20" t="s">
        <v>154</v>
      </c>
      <c r="B36" s="21">
        <f>B34+B35</f>
        <v>91364.759040000004</v>
      </c>
      <c r="C36" s="21">
        <f t="shared" ref="C36:M36" si="18">C34+C35</f>
        <v>79595.806479999999</v>
      </c>
      <c r="D36" s="21">
        <f t="shared" si="18"/>
        <v>89150.553039999999</v>
      </c>
      <c r="E36" s="21">
        <f t="shared" si="18"/>
        <v>88558.159879999992</v>
      </c>
      <c r="F36" s="21">
        <f t="shared" si="18"/>
        <v>68863.717999999993</v>
      </c>
      <c r="G36" s="21">
        <f t="shared" si="18"/>
        <v>104609.55384000001</v>
      </c>
      <c r="H36" s="21">
        <f t="shared" si="18"/>
        <v>106352.38847999999</v>
      </c>
      <c r="I36" s="21">
        <f t="shared" si="18"/>
        <v>71924.211439999999</v>
      </c>
      <c r="J36" s="21">
        <f t="shared" si="18"/>
        <v>24491.874800000001</v>
      </c>
      <c r="K36" s="21">
        <f t="shared" si="18"/>
        <v>107019.72864</v>
      </c>
      <c r="L36" s="21">
        <f t="shared" si="18"/>
        <v>101500.61144000001</v>
      </c>
      <c r="M36" s="21">
        <f t="shared" si="18"/>
        <v>90729.872439999992</v>
      </c>
      <c r="N36" s="206">
        <f>SUM(B36:M36)</f>
        <v>1024161.23752</v>
      </c>
      <c r="O36" s="206">
        <f>AVERAGE(B36:M36)</f>
        <v>85346.769793333326</v>
      </c>
      <c r="P36" s="21">
        <f t="shared" ref="P36:AA36" si="19">P34+P35</f>
        <v>91364.759040000004</v>
      </c>
      <c r="Q36" s="21">
        <f t="shared" si="19"/>
        <v>79595.806479999999</v>
      </c>
      <c r="R36" s="21">
        <f t="shared" si="19"/>
        <v>89150.553039999999</v>
      </c>
      <c r="S36" s="21">
        <f t="shared" si="19"/>
        <v>88558.159879999992</v>
      </c>
      <c r="T36" s="21">
        <f t="shared" si="19"/>
        <v>68863.717999999993</v>
      </c>
      <c r="U36" s="21">
        <f t="shared" si="19"/>
        <v>104609.55384000001</v>
      </c>
      <c r="V36" s="21">
        <f t="shared" si="19"/>
        <v>106352.38847999999</v>
      </c>
      <c r="W36" s="21">
        <f t="shared" si="19"/>
        <v>71924.211439999999</v>
      </c>
      <c r="X36" s="21">
        <f t="shared" si="19"/>
        <v>24491.874800000001</v>
      </c>
      <c r="Y36" s="21">
        <f t="shared" si="19"/>
        <v>107019.72864</v>
      </c>
      <c r="Z36" s="21">
        <f t="shared" si="19"/>
        <v>101500.61144000001</v>
      </c>
      <c r="AA36" s="21">
        <f t="shared" si="19"/>
        <v>90729.872439999992</v>
      </c>
    </row>
    <row r="37" spans="1:27" s="26" customFormat="1" x14ac:dyDescent="0.25">
      <c r="A37" s="20" t="s">
        <v>155</v>
      </c>
      <c r="B37" s="21">
        <f>((B13+B15)/2)*B17</f>
        <v>80012.279039999994</v>
      </c>
      <c r="C37" s="21">
        <f t="shared" ref="C37:M37" si="20">((C13+C15)/2)*C17</f>
        <v>69705.671480000005</v>
      </c>
      <c r="D37" s="21">
        <f t="shared" si="20"/>
        <v>78073.198040000003</v>
      </c>
      <c r="E37" s="21">
        <f t="shared" si="20"/>
        <v>77554.412379999994</v>
      </c>
      <c r="F37" s="21">
        <f t="shared" si="20"/>
        <v>60307.093000000001</v>
      </c>
      <c r="G37" s="21">
        <f t="shared" si="20"/>
        <v>91611.348840000006</v>
      </c>
      <c r="H37" s="21">
        <f t="shared" si="20"/>
        <v>93137.628479999999</v>
      </c>
      <c r="I37" s="21">
        <f t="shared" si="20"/>
        <v>62987.30644</v>
      </c>
      <c r="J37" s="21">
        <f t="shared" si="20"/>
        <v>21448.649799999999</v>
      </c>
      <c r="K37" s="21">
        <f t="shared" si="20"/>
        <v>93722.048640000008</v>
      </c>
      <c r="L37" s="21">
        <f t="shared" si="20"/>
        <v>88888.706439999994</v>
      </c>
      <c r="M37" s="21">
        <f t="shared" si="20"/>
        <v>79456.279940000008</v>
      </c>
      <c r="N37" s="205"/>
      <c r="O37" s="205"/>
      <c r="P37" s="21">
        <f>((P13+P15)/2)*P17</f>
        <v>80012.279039999994</v>
      </c>
      <c r="Q37" s="21">
        <f t="shared" ref="Q37:AA37" si="21">((Q13+Q15)/2)*Q17</f>
        <v>69705.671480000005</v>
      </c>
      <c r="R37" s="21">
        <f t="shared" si="21"/>
        <v>78073.198040000003</v>
      </c>
      <c r="S37" s="21">
        <f t="shared" si="21"/>
        <v>77554.412379999994</v>
      </c>
      <c r="T37" s="21">
        <f t="shared" si="21"/>
        <v>60307.093000000001</v>
      </c>
      <c r="U37" s="21">
        <f t="shared" si="21"/>
        <v>91611.348840000006</v>
      </c>
      <c r="V37" s="21">
        <f t="shared" si="21"/>
        <v>93137.628479999999</v>
      </c>
      <c r="W37" s="21">
        <f t="shared" si="21"/>
        <v>62987.30644</v>
      </c>
      <c r="X37" s="21">
        <f t="shared" si="21"/>
        <v>21448.649799999999</v>
      </c>
      <c r="Y37" s="21">
        <f t="shared" si="21"/>
        <v>93722.048640000008</v>
      </c>
      <c r="Z37" s="21">
        <f t="shared" si="21"/>
        <v>88888.706439999994</v>
      </c>
      <c r="AA37" s="21">
        <f t="shared" si="21"/>
        <v>79456.279940000008</v>
      </c>
    </row>
    <row r="38" spans="1:27" s="6" customFormat="1" ht="12" thickBot="1" x14ac:dyDescent="0.25">
      <c r="A38" s="20" t="s">
        <v>158</v>
      </c>
      <c r="B38" s="25">
        <f>B36-B37</f>
        <v>11352.48000000001</v>
      </c>
      <c r="C38" s="25">
        <f t="shared" ref="C38:M38" si="22">C36-C37</f>
        <v>9890.1349999999948</v>
      </c>
      <c r="D38" s="25">
        <f t="shared" si="22"/>
        <v>11077.354999999996</v>
      </c>
      <c r="E38" s="25">
        <f t="shared" si="22"/>
        <v>11003.747499999998</v>
      </c>
      <c r="F38" s="25">
        <f t="shared" si="22"/>
        <v>8556.6249999999927</v>
      </c>
      <c r="G38" s="25">
        <f t="shared" si="22"/>
        <v>12998.205000000002</v>
      </c>
      <c r="H38" s="25">
        <f t="shared" si="22"/>
        <v>13214.759999999995</v>
      </c>
      <c r="I38" s="25">
        <f t="shared" si="22"/>
        <v>8936.9049999999988</v>
      </c>
      <c r="J38" s="25">
        <f t="shared" si="22"/>
        <v>3043.2250000000022</v>
      </c>
      <c r="K38" s="25">
        <f t="shared" si="22"/>
        <v>13297.679999999993</v>
      </c>
      <c r="L38" s="25">
        <f t="shared" si="22"/>
        <v>12611.905000000013</v>
      </c>
      <c r="M38" s="25">
        <f t="shared" si="22"/>
        <v>11273.592499999984</v>
      </c>
      <c r="P38" s="25">
        <f t="shared" ref="P38:AA38" si="23">P36-P37</f>
        <v>11352.48000000001</v>
      </c>
      <c r="Q38" s="25">
        <f t="shared" si="23"/>
        <v>9890.1349999999948</v>
      </c>
      <c r="R38" s="25">
        <f t="shared" si="23"/>
        <v>11077.354999999996</v>
      </c>
      <c r="S38" s="25">
        <f t="shared" si="23"/>
        <v>11003.747499999998</v>
      </c>
      <c r="T38" s="25">
        <f t="shared" si="23"/>
        <v>8556.6249999999927</v>
      </c>
      <c r="U38" s="25">
        <f t="shared" si="23"/>
        <v>12998.205000000002</v>
      </c>
      <c r="V38" s="25">
        <f t="shared" si="23"/>
        <v>13214.759999999995</v>
      </c>
      <c r="W38" s="25">
        <f t="shared" si="23"/>
        <v>8936.9049999999988</v>
      </c>
      <c r="X38" s="25">
        <f t="shared" si="23"/>
        <v>3043.2250000000022</v>
      </c>
      <c r="Y38" s="25">
        <f t="shared" si="23"/>
        <v>13297.679999999993</v>
      </c>
      <c r="Z38" s="25">
        <f t="shared" si="23"/>
        <v>12611.905000000013</v>
      </c>
      <c r="AA38" s="25">
        <f t="shared" si="23"/>
        <v>11273.592499999984</v>
      </c>
    </row>
    <row r="39" spans="1:27" s="6" customFormat="1" ht="12" thickTop="1" x14ac:dyDescent="0.2">
      <c r="A39" s="20" t="s">
        <v>85</v>
      </c>
      <c r="B39" s="11">
        <f>B38*0.005</f>
        <v>56.762400000000056</v>
      </c>
      <c r="C39" s="11">
        <f t="shared" ref="C39:M39" si="24">C38*0.005</f>
        <v>49.450674999999976</v>
      </c>
      <c r="D39" s="11">
        <f t="shared" si="24"/>
        <v>55.386774999999979</v>
      </c>
      <c r="E39" s="11">
        <f t="shared" si="24"/>
        <v>55.018737499999986</v>
      </c>
      <c r="F39" s="11">
        <f t="shared" si="24"/>
        <v>42.783124999999963</v>
      </c>
      <c r="G39" s="11">
        <f t="shared" si="24"/>
        <v>64.991025000000008</v>
      </c>
      <c r="H39" s="11">
        <f t="shared" si="24"/>
        <v>66.073799999999977</v>
      </c>
      <c r="I39" s="11">
        <f t="shared" si="24"/>
        <v>44.684524999999994</v>
      </c>
      <c r="J39" s="11">
        <f t="shared" si="24"/>
        <v>15.216125000000011</v>
      </c>
      <c r="K39" s="11">
        <f t="shared" si="24"/>
        <v>66.48839999999997</v>
      </c>
      <c r="L39" s="11">
        <f t="shared" si="24"/>
        <v>63.059525000000072</v>
      </c>
      <c r="M39" s="11">
        <f t="shared" si="24"/>
        <v>56.367962499999919</v>
      </c>
      <c r="P39" s="11">
        <f t="shared" ref="P39:AA39" si="25">P38*0.005</f>
        <v>56.762400000000056</v>
      </c>
      <c r="Q39" s="11">
        <f t="shared" si="25"/>
        <v>49.450674999999976</v>
      </c>
      <c r="R39" s="11">
        <f t="shared" si="25"/>
        <v>55.386774999999979</v>
      </c>
      <c r="S39" s="11">
        <f t="shared" si="25"/>
        <v>55.018737499999986</v>
      </c>
      <c r="T39" s="11">
        <f t="shared" si="25"/>
        <v>42.783124999999963</v>
      </c>
      <c r="U39" s="11">
        <f t="shared" si="25"/>
        <v>64.991025000000008</v>
      </c>
      <c r="V39" s="11">
        <f t="shared" si="25"/>
        <v>66.073799999999977</v>
      </c>
      <c r="W39" s="11">
        <f t="shared" si="25"/>
        <v>44.684524999999994</v>
      </c>
      <c r="X39" s="11">
        <f t="shared" si="25"/>
        <v>15.216125000000011</v>
      </c>
      <c r="Y39" s="11">
        <f t="shared" si="25"/>
        <v>66.48839999999997</v>
      </c>
      <c r="Z39" s="11">
        <f t="shared" si="25"/>
        <v>63.059525000000072</v>
      </c>
      <c r="AA39" s="11">
        <f t="shared" si="25"/>
        <v>56.367962499999919</v>
      </c>
    </row>
    <row r="40" spans="1:27" s="6" customFormat="1" ht="11.4" x14ac:dyDescent="0.2">
      <c r="A40" s="20" t="s">
        <v>84</v>
      </c>
      <c r="B40" s="11">
        <f>(B38+B39)*0.05875</f>
        <v>670.2929910000006</v>
      </c>
      <c r="C40" s="11">
        <f t="shared" ref="C40:M40" si="26">(C38+C39)*0.05875</f>
        <v>583.95065840624966</v>
      </c>
      <c r="D40" s="11">
        <f t="shared" si="26"/>
        <v>654.04857928124977</v>
      </c>
      <c r="E40" s="11">
        <f t="shared" si="26"/>
        <v>649.70251645312487</v>
      </c>
      <c r="F40" s="11">
        <f t="shared" si="26"/>
        <v>505.21522734374952</v>
      </c>
      <c r="G40" s="11">
        <f t="shared" si="26"/>
        <v>767.46276646875003</v>
      </c>
      <c r="H40" s="11">
        <f t="shared" si="26"/>
        <v>780.24898574999963</v>
      </c>
      <c r="I40" s="11">
        <f t="shared" si="26"/>
        <v>527.66838459374992</v>
      </c>
      <c r="J40" s="11">
        <f t="shared" si="26"/>
        <v>179.68341609375011</v>
      </c>
      <c r="K40" s="11">
        <f t="shared" si="26"/>
        <v>785.14489349999951</v>
      </c>
      <c r="L40" s="11">
        <f t="shared" si="26"/>
        <v>744.65416584375077</v>
      </c>
      <c r="M40" s="11">
        <f t="shared" si="26"/>
        <v>665.63517717187403</v>
      </c>
      <c r="P40" s="11">
        <f t="shared" ref="P40:AA40" si="27">(P38+P39)*0.05875</f>
        <v>670.2929910000006</v>
      </c>
      <c r="Q40" s="11">
        <f t="shared" si="27"/>
        <v>583.95065840624966</v>
      </c>
      <c r="R40" s="11">
        <f t="shared" si="27"/>
        <v>654.04857928124977</v>
      </c>
      <c r="S40" s="11">
        <f t="shared" si="27"/>
        <v>649.70251645312487</v>
      </c>
      <c r="T40" s="11">
        <f t="shared" si="27"/>
        <v>505.21522734374952</v>
      </c>
      <c r="U40" s="11">
        <f t="shared" si="27"/>
        <v>767.46276646875003</v>
      </c>
      <c r="V40" s="11">
        <f t="shared" si="27"/>
        <v>780.24898574999963</v>
      </c>
      <c r="W40" s="11">
        <f t="shared" si="27"/>
        <v>527.66838459374992</v>
      </c>
      <c r="X40" s="11">
        <f t="shared" si="27"/>
        <v>179.68341609375011</v>
      </c>
      <c r="Y40" s="11">
        <f t="shared" si="27"/>
        <v>785.14489349999951</v>
      </c>
      <c r="Z40" s="11">
        <f t="shared" si="27"/>
        <v>744.65416584375077</v>
      </c>
      <c r="AA40" s="11">
        <f t="shared" si="27"/>
        <v>665.63517717187403</v>
      </c>
    </row>
    <row r="41" spans="1:27" s="5" customFormat="1" ht="12" x14ac:dyDescent="0.25">
      <c r="A41" s="210" t="s">
        <v>160</v>
      </c>
      <c r="B41" s="87">
        <f>SUM(B38:B40)</f>
        <v>12079.53539100001</v>
      </c>
      <c r="C41" s="87">
        <f t="shared" ref="C41:M41" si="28">SUM(C38:C40)</f>
        <v>10523.536333406244</v>
      </c>
      <c r="D41" s="87">
        <f t="shared" si="28"/>
        <v>11786.790354281247</v>
      </c>
      <c r="E41" s="87">
        <f t="shared" si="28"/>
        <v>11708.468753953122</v>
      </c>
      <c r="F41" s="87">
        <f t="shared" si="28"/>
        <v>9104.6233523437422</v>
      </c>
      <c r="G41" s="87">
        <f t="shared" si="28"/>
        <v>13830.658791468752</v>
      </c>
      <c r="H41" s="87">
        <f t="shared" si="28"/>
        <v>14061.082785749995</v>
      </c>
      <c r="I41" s="87">
        <f t="shared" si="28"/>
        <v>9509.257909593749</v>
      </c>
      <c r="J41" s="87">
        <f t="shared" si="28"/>
        <v>3238.1245410937522</v>
      </c>
      <c r="K41" s="87">
        <f t="shared" si="28"/>
        <v>14149.313293499992</v>
      </c>
      <c r="L41" s="87">
        <f t="shared" si="28"/>
        <v>13419.618690843765</v>
      </c>
      <c r="M41" s="87">
        <f t="shared" si="28"/>
        <v>11995.595639671859</v>
      </c>
      <c r="P41" s="87">
        <f t="shared" ref="P41:AA41" si="29">SUM(P38:P40)</f>
        <v>12079.53539100001</v>
      </c>
      <c r="Q41" s="87">
        <f t="shared" si="29"/>
        <v>10523.536333406244</v>
      </c>
      <c r="R41" s="87">
        <f t="shared" si="29"/>
        <v>11786.790354281247</v>
      </c>
      <c r="S41" s="87">
        <f t="shared" si="29"/>
        <v>11708.468753953122</v>
      </c>
      <c r="T41" s="87">
        <f t="shared" si="29"/>
        <v>9104.6233523437422</v>
      </c>
      <c r="U41" s="87">
        <f t="shared" si="29"/>
        <v>13830.658791468752</v>
      </c>
      <c r="V41" s="87">
        <f t="shared" si="29"/>
        <v>14061.082785749995</v>
      </c>
      <c r="W41" s="87">
        <f t="shared" si="29"/>
        <v>9509.257909593749</v>
      </c>
      <c r="X41" s="87">
        <f t="shared" si="29"/>
        <v>3238.1245410937522</v>
      </c>
      <c r="Y41" s="87">
        <f t="shared" si="29"/>
        <v>14149.313293499992</v>
      </c>
      <c r="Z41" s="87">
        <f t="shared" si="29"/>
        <v>13419.618690843765</v>
      </c>
      <c r="AA41" s="87">
        <f t="shared" si="29"/>
        <v>11995.595639671859</v>
      </c>
    </row>
    <row r="42" spans="1:27" s="6" customFormat="1" ht="11.4" x14ac:dyDescent="0.2"/>
    <row r="43" spans="1:27" s="5" customFormat="1" ht="12" x14ac:dyDescent="0.25">
      <c r="A43" s="213" t="s">
        <v>161</v>
      </c>
      <c r="B43" s="87">
        <f>B30-B41</f>
        <v>43252.326294125</v>
      </c>
      <c r="C43" s="87">
        <f t="shared" ref="C43:M43" si="30">C30-C41</f>
        <v>46052.681955593769</v>
      </c>
      <c r="D43" s="87">
        <f t="shared" si="30"/>
        <v>24927.167983531261</v>
      </c>
      <c r="E43" s="87">
        <f t="shared" si="30"/>
        <v>30741.728159234372</v>
      </c>
      <c r="F43" s="87">
        <f t="shared" si="30"/>
        <v>12779.108175031271</v>
      </c>
      <c r="G43" s="87">
        <f t="shared" si="30"/>
        <v>40029.907038781239</v>
      </c>
      <c r="H43" s="87">
        <f t="shared" si="30"/>
        <v>22024.972694750017</v>
      </c>
      <c r="I43" s="87">
        <f t="shared" si="30"/>
        <v>18049.93401415625</v>
      </c>
      <c r="J43" s="87">
        <f t="shared" si="30"/>
        <v>99108.191024656247</v>
      </c>
      <c r="K43" s="87">
        <f t="shared" si="30"/>
        <v>30998.106840687495</v>
      </c>
      <c r="L43" s="87">
        <f t="shared" si="30"/>
        <v>14926.050530281254</v>
      </c>
      <c r="M43" s="87">
        <f t="shared" si="30"/>
        <v>46825.222939953142</v>
      </c>
      <c r="N43" s="206">
        <f>SUM(B43:M43)</f>
        <v>429715.39765078138</v>
      </c>
      <c r="O43" s="206">
        <f>AVERAGE(B43:M43)</f>
        <v>35809.616470898451</v>
      </c>
      <c r="P43" s="87">
        <f>P30-P41</f>
        <v>43252.326294125</v>
      </c>
      <c r="Q43" s="87">
        <f t="shared" ref="Q43:AA43" si="31">Q30-Q41</f>
        <v>46052.681955593769</v>
      </c>
      <c r="R43" s="87">
        <f t="shared" si="31"/>
        <v>24927.167983531261</v>
      </c>
      <c r="S43" s="87">
        <f t="shared" si="31"/>
        <v>30741.728159234372</v>
      </c>
      <c r="T43" s="87">
        <f t="shared" si="31"/>
        <v>12779.108175031271</v>
      </c>
      <c r="U43" s="87">
        <f t="shared" si="31"/>
        <v>40029.907038781239</v>
      </c>
      <c r="V43" s="87">
        <f t="shared" si="31"/>
        <v>22024.972694750017</v>
      </c>
      <c r="W43" s="87">
        <f t="shared" si="31"/>
        <v>18049.93401415625</v>
      </c>
      <c r="X43" s="87">
        <f t="shared" si="31"/>
        <v>99108.191024656247</v>
      </c>
      <c r="Y43" s="87">
        <f t="shared" si="31"/>
        <v>30998.106840687495</v>
      </c>
      <c r="Z43" s="87">
        <f t="shared" si="31"/>
        <v>14926.050530281254</v>
      </c>
      <c r="AA43" s="87">
        <f t="shared" si="31"/>
        <v>46825.222939953142</v>
      </c>
    </row>
    <row r="44" spans="1:27" s="6" customFormat="1" ht="12" x14ac:dyDescent="0.25">
      <c r="A44" s="213" t="s">
        <v>163</v>
      </c>
      <c r="D44" s="86">
        <f>SUM(B43:D43)</f>
        <v>114232.17623325004</v>
      </c>
      <c r="G44" s="86">
        <f>SUM(E43:G43)</f>
        <v>83550.743373046891</v>
      </c>
      <c r="J44" s="86">
        <f>SUM(H43:J43)</f>
        <v>139183.09773356252</v>
      </c>
      <c r="M44" s="86">
        <f>SUM(K43:M43)</f>
        <v>92749.380310921901</v>
      </c>
      <c r="R44" s="86">
        <f>SUM(P43:R43)</f>
        <v>114232.17623325004</v>
      </c>
      <c r="U44" s="86">
        <f>SUM(S43:U43)</f>
        <v>83550.743373046891</v>
      </c>
      <c r="X44" s="86">
        <f>SUM(V43:X43)</f>
        <v>139183.09773356252</v>
      </c>
      <c r="AA44" s="86">
        <f>SUM(Y43:AA43)</f>
        <v>92749.380310921901</v>
      </c>
    </row>
    <row r="45" spans="1:27" s="6" customFormat="1" ht="11.4" x14ac:dyDescent="0.2"/>
    <row r="46" spans="1:27" s="6" customFormat="1" ht="11.4" x14ac:dyDescent="0.2"/>
    <row r="47" spans="1:27" s="6" customFormat="1" ht="11.4" x14ac:dyDescent="0.2"/>
    <row r="48" spans="1:27" s="6" customFormat="1" ht="11.4" x14ac:dyDescent="0.2"/>
  </sheetData>
  <mergeCells count="2">
    <mergeCell ref="B18:M18"/>
    <mergeCell ref="P18:AA18"/>
  </mergeCells>
  <phoneticPr fontId="0" type="noConversion"/>
  <pageMargins left="0.5" right="0.5" top="0.5" bottom="0.5" header="0.5" footer="0.5"/>
  <pageSetup paperSize="5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view="pageBreakPreview" zoomScale="90" zoomScaleNormal="90" zoomScaleSheetLayoutView="100" workbookViewId="0">
      <selection activeCell="B15" sqref="B15"/>
    </sheetView>
  </sheetViews>
  <sheetFormatPr defaultRowHeight="13.2" x14ac:dyDescent="0.25"/>
  <cols>
    <col min="1" max="1" width="22" customWidth="1"/>
    <col min="2" max="2" width="15.5546875" bestFit="1" customWidth="1"/>
    <col min="3" max="4" width="13.44140625" bestFit="1" customWidth="1"/>
    <col min="5" max="10" width="13.5546875" bestFit="1" customWidth="1"/>
    <col min="11" max="11" width="12.5546875" bestFit="1" customWidth="1"/>
    <col min="12" max="13" width="12.6640625" customWidth="1"/>
    <col min="14" max="14" width="0.88671875" customWidth="1"/>
    <col min="15" max="15" width="17.88671875" bestFit="1" customWidth="1"/>
    <col min="16" max="16" width="15.88671875" bestFit="1" customWidth="1"/>
  </cols>
  <sheetData>
    <row r="1" spans="1:16" x14ac:dyDescent="0.25">
      <c r="A1" s="1" t="s">
        <v>130</v>
      </c>
    </row>
    <row r="2" spans="1:16" x14ac:dyDescent="0.25">
      <c r="A2" s="1" t="s">
        <v>19</v>
      </c>
    </row>
    <row r="3" spans="1:16" ht="13.8" thickBot="1" x14ac:dyDescent="0.3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s="6" customFormat="1" ht="11.4" x14ac:dyDescent="0.2"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</row>
    <row r="6" spans="1:16" s="6" customFormat="1" ht="12" x14ac:dyDescent="0.25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O6" s="8" t="s">
        <v>12</v>
      </c>
      <c r="P6" s="8" t="s">
        <v>13</v>
      </c>
    </row>
    <row r="7" spans="1:16" s="6" customFormat="1" ht="6" customHeight="1" x14ac:dyDescent="0.25">
      <c r="A7" s="17"/>
      <c r="B7" s="18"/>
      <c r="O7" s="5"/>
      <c r="P7" s="5"/>
    </row>
    <row r="8" spans="1:16" s="11" customFormat="1" ht="12" x14ac:dyDescent="0.25">
      <c r="A8" s="19" t="s">
        <v>62</v>
      </c>
      <c r="B8" s="14">
        <f>B15*B16</f>
        <v>124997.96399999999</v>
      </c>
      <c r="C8" s="14">
        <f t="shared" ref="C8:M8" si="0">C15*C16</f>
        <v>112839.402</v>
      </c>
      <c r="D8" s="14">
        <f t="shared" si="0"/>
        <v>112008.75400000002</v>
      </c>
      <c r="E8" s="14">
        <f t="shared" si="0"/>
        <v>107888.61199999999</v>
      </c>
      <c r="F8" s="14">
        <f t="shared" si="0"/>
        <v>106856.906</v>
      </c>
      <c r="G8" s="14">
        <f t="shared" si="0"/>
        <v>118736.38399999999</v>
      </c>
      <c r="H8" s="14">
        <f t="shared" si="0"/>
        <v>129982.164</v>
      </c>
      <c r="I8" s="14">
        <f t="shared" si="0"/>
        <v>122403.68399999999</v>
      </c>
      <c r="J8" s="14">
        <f t="shared" si="0"/>
        <v>106438.41</v>
      </c>
      <c r="K8" s="14">
        <f t="shared" si="0"/>
        <v>109727.28</v>
      </c>
      <c r="L8" s="14">
        <f t="shared" si="0"/>
        <v>111516.6</v>
      </c>
      <c r="M8" s="14">
        <f t="shared" si="0"/>
        <v>115122.8</v>
      </c>
      <c r="O8" s="86">
        <f>SUM(B8:M8)</f>
        <v>1378518.96</v>
      </c>
      <c r="P8" s="86">
        <f>AVERAGE(B8:M8)</f>
        <v>114876.58</v>
      </c>
    </row>
    <row r="9" spans="1:16" s="11" customFormat="1" ht="12" x14ac:dyDescent="0.25">
      <c r="A9" s="19" t="s">
        <v>18</v>
      </c>
      <c r="B9" s="14">
        <v>66000</v>
      </c>
      <c r="C9" s="14">
        <f>$B$9</f>
        <v>66000</v>
      </c>
      <c r="D9" s="14">
        <f t="shared" ref="D9:M9" si="1">$B$9</f>
        <v>66000</v>
      </c>
      <c r="E9" s="14">
        <f t="shared" si="1"/>
        <v>66000</v>
      </c>
      <c r="F9" s="14">
        <f t="shared" si="1"/>
        <v>66000</v>
      </c>
      <c r="G9" s="14">
        <f t="shared" si="1"/>
        <v>66000</v>
      </c>
      <c r="H9" s="14">
        <f t="shared" si="1"/>
        <v>66000</v>
      </c>
      <c r="I9" s="14">
        <f t="shared" si="1"/>
        <v>66000</v>
      </c>
      <c r="J9" s="14">
        <f t="shared" si="1"/>
        <v>66000</v>
      </c>
      <c r="K9" s="14">
        <f t="shared" si="1"/>
        <v>66000</v>
      </c>
      <c r="L9" s="14">
        <f t="shared" si="1"/>
        <v>66000</v>
      </c>
      <c r="M9" s="14">
        <f t="shared" si="1"/>
        <v>66000</v>
      </c>
      <c r="O9" s="86">
        <f>SUM(B9:M9)</f>
        <v>792000</v>
      </c>
      <c r="P9" s="86">
        <f>AVERAGE(B9:M9)</f>
        <v>66000</v>
      </c>
    </row>
    <row r="10" spans="1:16" s="11" customFormat="1" ht="12" x14ac:dyDescent="0.25">
      <c r="A10" s="19" t="s">
        <v>57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19333.09</v>
      </c>
      <c r="L10" s="14">
        <v>0</v>
      </c>
      <c r="M10" s="14">
        <v>0</v>
      </c>
      <c r="O10" s="86">
        <f>SUM(B10:M10)</f>
        <v>19333.09</v>
      </c>
      <c r="P10" s="86">
        <f>O10</f>
        <v>19333.09</v>
      </c>
    </row>
    <row r="11" spans="1:16" s="11" customFormat="1" ht="12" x14ac:dyDescent="0.25">
      <c r="A11" s="19" t="s">
        <v>20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7391.97</v>
      </c>
      <c r="I11" s="14">
        <v>113563.66</v>
      </c>
      <c r="J11" s="14">
        <v>0</v>
      </c>
      <c r="K11" s="14">
        <v>0</v>
      </c>
      <c r="L11" s="14">
        <v>0</v>
      </c>
      <c r="M11" s="14">
        <v>0</v>
      </c>
      <c r="O11" s="86">
        <f>SUM(B11:M11)</f>
        <v>120955.63</v>
      </c>
      <c r="P11" s="86">
        <f>(H11+I11)/2</f>
        <v>60477.815000000002</v>
      </c>
    </row>
    <row r="12" spans="1:16" s="11" customFormat="1" ht="12" x14ac:dyDescent="0.25">
      <c r="A12" s="9" t="s">
        <v>11</v>
      </c>
      <c r="B12" s="10">
        <f>SUM(B8:B11)</f>
        <v>190997.96399999998</v>
      </c>
      <c r="C12" s="10">
        <f t="shared" ref="C12:M12" si="2">SUM(C8:C11)</f>
        <v>178839.402</v>
      </c>
      <c r="D12" s="10">
        <f t="shared" si="2"/>
        <v>178008.75400000002</v>
      </c>
      <c r="E12" s="10">
        <f t="shared" si="2"/>
        <v>173888.61199999999</v>
      </c>
      <c r="F12" s="10">
        <f t="shared" si="2"/>
        <v>172856.90600000002</v>
      </c>
      <c r="G12" s="10">
        <f t="shared" si="2"/>
        <v>184736.38399999999</v>
      </c>
      <c r="H12" s="10">
        <f t="shared" si="2"/>
        <v>203374.13399999999</v>
      </c>
      <c r="I12" s="10">
        <f t="shared" si="2"/>
        <v>301967.34400000004</v>
      </c>
      <c r="J12" s="10">
        <f t="shared" si="2"/>
        <v>172438.41</v>
      </c>
      <c r="K12" s="10">
        <f t="shared" si="2"/>
        <v>195060.37</v>
      </c>
      <c r="L12" s="10">
        <f t="shared" si="2"/>
        <v>177516.6</v>
      </c>
      <c r="M12" s="10">
        <f t="shared" si="2"/>
        <v>181122.8</v>
      </c>
      <c r="O12" s="88">
        <f>SUM(B12:M12)</f>
        <v>2310807.6800000002</v>
      </c>
      <c r="P12" s="88">
        <f>AVERAGE(B12:M12)</f>
        <v>192567.30666666667</v>
      </c>
    </row>
    <row r="13" spans="1:16" s="6" customFormat="1" ht="12" x14ac:dyDescent="0.25">
      <c r="A13" s="17"/>
      <c r="B13" s="18"/>
      <c r="O13" s="89"/>
      <c r="P13" s="5"/>
    </row>
    <row r="14" spans="1:16" s="6" customFormat="1" ht="12" x14ac:dyDescent="0.25">
      <c r="A14" s="17"/>
      <c r="B14" s="7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7" t="s">
        <v>10</v>
      </c>
      <c r="M14" s="7" t="s">
        <v>14</v>
      </c>
      <c r="O14" s="8" t="s">
        <v>13</v>
      </c>
      <c r="P14" s="5"/>
    </row>
    <row r="15" spans="1:16" s="33" customFormat="1" ht="12" x14ac:dyDescent="0.25">
      <c r="A15" s="32" t="s">
        <v>61</v>
      </c>
      <c r="B15" s="12">
        <v>4807.6139999999996</v>
      </c>
      <c r="C15" s="80">
        <v>4339.9769999999999</v>
      </c>
      <c r="D15" s="80">
        <v>4308.0290000000005</v>
      </c>
      <c r="E15" s="80">
        <v>4149.5619999999999</v>
      </c>
      <c r="F15" s="80">
        <v>4109.8810000000003</v>
      </c>
      <c r="G15" s="80">
        <v>4566.7839999999997</v>
      </c>
      <c r="H15" s="80">
        <v>4999.3140000000003</v>
      </c>
      <c r="I15" s="80">
        <v>4707.8339999999998</v>
      </c>
      <c r="J15" s="80">
        <v>4093.7849999999999</v>
      </c>
      <c r="K15" s="80">
        <v>4220.28</v>
      </c>
      <c r="L15" s="80">
        <v>4289.1000000000004</v>
      </c>
      <c r="M15" s="80">
        <v>4427.8</v>
      </c>
      <c r="O15" s="90">
        <f>AVERAGE(B15:M15)</f>
        <v>4418.33</v>
      </c>
      <c r="P15" s="91"/>
    </row>
    <row r="16" spans="1:16" s="35" customFormat="1" ht="12" x14ac:dyDescent="0.25">
      <c r="A16" s="78" t="s">
        <v>60</v>
      </c>
      <c r="B16" s="92">
        <v>26</v>
      </c>
      <c r="C16" s="92">
        <f>$B$16</f>
        <v>26</v>
      </c>
      <c r="D16" s="92">
        <f t="shared" ref="D16:M16" si="3">$B$16</f>
        <v>26</v>
      </c>
      <c r="E16" s="92">
        <f t="shared" si="3"/>
        <v>26</v>
      </c>
      <c r="F16" s="92">
        <f t="shared" si="3"/>
        <v>26</v>
      </c>
      <c r="G16" s="92">
        <f t="shared" si="3"/>
        <v>26</v>
      </c>
      <c r="H16" s="92">
        <f t="shared" si="3"/>
        <v>26</v>
      </c>
      <c r="I16" s="92">
        <f t="shared" si="3"/>
        <v>26</v>
      </c>
      <c r="J16" s="92">
        <f t="shared" si="3"/>
        <v>26</v>
      </c>
      <c r="K16" s="92">
        <f t="shared" si="3"/>
        <v>26</v>
      </c>
      <c r="L16" s="92">
        <f t="shared" si="3"/>
        <v>26</v>
      </c>
      <c r="M16" s="92">
        <f t="shared" si="3"/>
        <v>26</v>
      </c>
      <c r="O16" s="93">
        <f>AVERAGE(B16:M16)</f>
        <v>26</v>
      </c>
      <c r="P16" s="36"/>
    </row>
    <row r="17" spans="1:16" s="84" customFormat="1" ht="12" x14ac:dyDescent="0.25">
      <c r="A17" s="79" t="s">
        <v>59</v>
      </c>
      <c r="B17" s="80"/>
      <c r="C17" s="80"/>
      <c r="D17" s="80"/>
      <c r="E17" s="80"/>
      <c r="F17" s="80"/>
      <c r="G17" s="80"/>
      <c r="H17" s="80"/>
      <c r="I17" s="80"/>
      <c r="J17" s="80"/>
      <c r="K17" s="80">
        <v>509</v>
      </c>
      <c r="L17" s="80"/>
      <c r="M17" s="80"/>
      <c r="N17" s="81"/>
      <c r="O17" s="82"/>
      <c r="P17" s="83"/>
    </row>
    <row r="18" spans="1:16" s="11" customFormat="1" ht="12" x14ac:dyDescent="0.25">
      <c r="A18" s="19" t="s">
        <v>58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f>K10/K17</f>
        <v>37.982495088408648</v>
      </c>
      <c r="L18" s="14"/>
      <c r="M18" s="14"/>
      <c r="N18" s="85"/>
      <c r="O18" s="86"/>
      <c r="P18" s="87"/>
    </row>
    <row r="19" spans="1:16" s="35" customFormat="1" ht="12" x14ac:dyDescent="0.25">
      <c r="A19" s="50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O19" s="51"/>
      <c r="P19" s="36"/>
    </row>
    <row r="20" spans="1:16" s="35" customFormat="1" ht="12" x14ac:dyDescent="0.25">
      <c r="A20" s="50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O20" s="51"/>
      <c r="P20" s="36"/>
    </row>
    <row r="21" spans="1:16" s="35" customFormat="1" ht="12" x14ac:dyDescent="0.25">
      <c r="A21" s="50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O21" s="51"/>
      <c r="P21" s="36"/>
    </row>
    <row r="25" spans="1:16" ht="13.8" x14ac:dyDescent="0.3">
      <c r="I25" s="52" t="s">
        <v>37</v>
      </c>
    </row>
    <row r="26" spans="1:16" ht="13.8" x14ac:dyDescent="0.3">
      <c r="I26" s="53" t="s">
        <v>38</v>
      </c>
    </row>
    <row r="27" spans="1:16" ht="13.8" x14ac:dyDescent="0.3">
      <c r="I27" s="52" t="s">
        <v>39</v>
      </c>
    </row>
    <row r="28" spans="1:16" ht="13.8" x14ac:dyDescent="0.3">
      <c r="I28" s="52" t="s">
        <v>40</v>
      </c>
    </row>
    <row r="29" spans="1:16" ht="13.8" x14ac:dyDescent="0.3">
      <c r="I29" s="52" t="s">
        <v>41</v>
      </c>
    </row>
  </sheetData>
  <mergeCells count="1">
    <mergeCell ref="B5:M5"/>
  </mergeCells>
  <phoneticPr fontId="0" type="noConversion"/>
  <pageMargins left="0.25" right="0.25" top="0.5" bottom="0.5" header="0.5" footer="0.5"/>
  <pageSetup paperSize="5" scale="78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2"/>
  <sheetViews>
    <sheetView zoomScale="90" zoomScaleNormal="90" zoomScaleSheetLayoutView="90" workbookViewId="0">
      <pane xSplit="1" ySplit="7" topLeftCell="I28" activePane="bottomRight" state="frozen"/>
      <selection pane="topRight" activeCell="B1" sqref="B1"/>
      <selection pane="bottomLeft" activeCell="A8" sqref="A8"/>
      <selection pane="bottomRight" activeCell="N28" sqref="N28"/>
    </sheetView>
  </sheetViews>
  <sheetFormatPr defaultRowHeight="13.2" x14ac:dyDescent="0.25"/>
  <cols>
    <col min="1" max="1" width="24.6640625" customWidth="1"/>
    <col min="2" max="2" width="19.6640625" bestFit="1" customWidth="1"/>
    <col min="3" max="11" width="12" bestFit="1" customWidth="1"/>
    <col min="12" max="12" width="17.5546875" customWidth="1"/>
    <col min="13" max="13" width="12" bestFit="1" customWidth="1"/>
    <col min="14" max="14" width="11.6640625" customWidth="1"/>
    <col min="15" max="25" width="12" bestFit="1" customWidth="1"/>
  </cols>
  <sheetData>
    <row r="1" spans="1:25" x14ac:dyDescent="0.25">
      <c r="A1" s="1" t="s">
        <v>55</v>
      </c>
    </row>
    <row r="2" spans="1:25" x14ac:dyDescent="0.25">
      <c r="A2" s="1" t="s">
        <v>63</v>
      </c>
    </row>
    <row r="3" spans="1:25" ht="13.8" thickBot="1" x14ac:dyDescent="0.3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25" x14ac:dyDescent="0.25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>
        <v>2002</v>
      </c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</row>
    <row r="6" spans="1:25" x14ac:dyDescent="0.25">
      <c r="A6" s="94" t="s">
        <v>68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N6" s="7" t="s">
        <v>0</v>
      </c>
      <c r="O6" s="7" t="s">
        <v>1</v>
      </c>
      <c r="P6" s="7" t="s">
        <v>2</v>
      </c>
      <c r="Q6" s="7" t="s">
        <v>3</v>
      </c>
      <c r="R6" s="7" t="s">
        <v>4</v>
      </c>
      <c r="S6" s="7" t="s">
        <v>5</v>
      </c>
      <c r="T6" s="7" t="s">
        <v>6</v>
      </c>
      <c r="U6" s="7" t="s">
        <v>7</v>
      </c>
      <c r="V6" s="7" t="s">
        <v>8</v>
      </c>
      <c r="W6" s="7" t="s">
        <v>9</v>
      </c>
      <c r="X6" s="7" t="s">
        <v>10</v>
      </c>
      <c r="Y6" s="7" t="s">
        <v>14</v>
      </c>
    </row>
    <row r="7" spans="1:25" ht="7.5" customHeight="1" x14ac:dyDescent="0.25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8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126" t="s">
        <v>104</v>
      </c>
      <c r="B8" s="37">
        <v>118410.44</v>
      </c>
      <c r="C8" s="37">
        <v>106164.54</v>
      </c>
      <c r="D8" s="37">
        <v>120266.04</v>
      </c>
      <c r="E8" s="37">
        <v>123407.64</v>
      </c>
      <c r="F8" s="37">
        <v>126692.04</v>
      </c>
      <c r="G8" s="37">
        <v>132546.84</v>
      </c>
      <c r="H8" s="37">
        <v>135260.04</v>
      </c>
      <c r="I8" s="37">
        <v>143542.44</v>
      </c>
      <c r="J8" s="37">
        <v>139686.84</v>
      </c>
      <c r="K8" s="37">
        <v>148397.64000000001</v>
      </c>
      <c r="L8" s="21">
        <v>136476.92000000001</v>
      </c>
      <c r="M8" s="21">
        <v>139506.20000000001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</row>
    <row r="9" spans="1:25" x14ac:dyDescent="0.25">
      <c r="A9" s="126" t="s">
        <v>46</v>
      </c>
      <c r="B9" s="37">
        <v>94.9</v>
      </c>
      <c r="C9" s="37">
        <v>246.45</v>
      </c>
      <c r="D9" s="37">
        <v>1294.8499999999999</v>
      </c>
      <c r="E9" s="37">
        <v>111.45</v>
      </c>
      <c r="F9" s="37">
        <v>103.4</v>
      </c>
      <c r="G9" s="37">
        <v>1598.6</v>
      </c>
      <c r="H9" s="37">
        <v>1581.8</v>
      </c>
      <c r="I9" s="37">
        <v>1180.25</v>
      </c>
      <c r="J9" s="37">
        <v>1197.05</v>
      </c>
      <c r="K9" s="37">
        <v>1153.7</v>
      </c>
      <c r="L9" s="21">
        <v>196.9</v>
      </c>
      <c r="M9" s="21">
        <v>46.9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x14ac:dyDescent="0.25">
      <c r="A10" s="126" t="s">
        <v>50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12057</v>
      </c>
      <c r="J10" s="37">
        <v>11733</v>
      </c>
      <c r="K10" s="37">
        <v>12465</v>
      </c>
      <c r="L10" s="21">
        <v>11715</v>
      </c>
      <c r="M10" s="21">
        <v>11718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</row>
    <row r="11" spans="1:25" ht="13.8" thickBot="1" x14ac:dyDescent="0.3">
      <c r="A11" s="142" t="s">
        <v>47</v>
      </c>
      <c r="B11" s="143">
        <f t="shared" ref="B11:H11" si="0">(B8+B9)*0.0575</f>
        <v>6814.0570500000003</v>
      </c>
      <c r="C11" s="143">
        <f t="shared" si="0"/>
        <v>6118.6319249999997</v>
      </c>
      <c r="D11" s="143">
        <f t="shared" si="0"/>
        <v>6989.7511750000003</v>
      </c>
      <c r="E11" s="143">
        <f t="shared" si="0"/>
        <v>7102.347675</v>
      </c>
      <c r="F11" s="143">
        <f t="shared" si="0"/>
        <v>7290.7377999999999</v>
      </c>
      <c r="G11" s="143">
        <f t="shared" si="0"/>
        <v>7713.3628000000008</v>
      </c>
      <c r="H11" s="143">
        <f t="shared" si="0"/>
        <v>7868.4058000000005</v>
      </c>
      <c r="I11" s="143">
        <f>(I8+I9+I10)*0.0575</f>
        <v>9014.8321750000014</v>
      </c>
      <c r="J11" s="143">
        <f>(J8+J9+J10)*0.0575</f>
        <v>8775.4711749999988</v>
      </c>
      <c r="K11" s="143">
        <f>(K8+K9+K10)*0.0575</f>
        <v>9315.9395500000028</v>
      </c>
      <c r="L11" s="143">
        <f>(L8+L9+L10)*0.0575</f>
        <v>8532.3571500000016</v>
      </c>
      <c r="M11" s="143">
        <f>(M8+M9+M10)*0.0575</f>
        <v>8698.0882500000007</v>
      </c>
      <c r="N11" s="143">
        <f>(N8+N9)*0.0575</f>
        <v>0</v>
      </c>
      <c r="O11" s="143">
        <f>(O8+O9)*0.0575</f>
        <v>0</v>
      </c>
      <c r="P11" s="143">
        <f>(P8+P9)*0.0575</f>
        <v>0</v>
      </c>
      <c r="Q11" s="143">
        <f t="shared" ref="Q11:Y11" si="1">(Q8+Q9)*0.0575</f>
        <v>0</v>
      </c>
      <c r="R11" s="143">
        <f t="shared" si="1"/>
        <v>0</v>
      </c>
      <c r="S11" s="143">
        <f t="shared" si="1"/>
        <v>0</v>
      </c>
      <c r="T11" s="143">
        <f t="shared" si="1"/>
        <v>0</v>
      </c>
      <c r="U11" s="143">
        <f t="shared" si="1"/>
        <v>0</v>
      </c>
      <c r="V11" s="143">
        <f t="shared" si="1"/>
        <v>0</v>
      </c>
      <c r="W11" s="143">
        <f t="shared" si="1"/>
        <v>0</v>
      </c>
      <c r="X11" s="143">
        <f t="shared" si="1"/>
        <v>0</v>
      </c>
      <c r="Y11" s="143">
        <f t="shared" si="1"/>
        <v>0</v>
      </c>
    </row>
    <row r="12" spans="1:25" s="115" customFormat="1" ht="13.8" thickTop="1" x14ac:dyDescent="0.25">
      <c r="A12" s="20" t="s">
        <v>67</v>
      </c>
      <c r="B12" s="21">
        <f>SUM(B8:B11)</f>
        <v>125319.39705</v>
      </c>
      <c r="C12" s="21">
        <f t="shared" ref="C12:M12" si="2">SUM(C8:C11)</f>
        <v>112529.62192499998</v>
      </c>
      <c r="D12" s="21">
        <f t="shared" si="2"/>
        <v>128550.641175</v>
      </c>
      <c r="E12" s="21">
        <f t="shared" si="2"/>
        <v>130621.43767499999</v>
      </c>
      <c r="F12" s="21">
        <f t="shared" si="2"/>
        <v>134086.17779999998</v>
      </c>
      <c r="G12" s="21">
        <f t="shared" si="2"/>
        <v>141858.8028</v>
      </c>
      <c r="H12" s="21">
        <f t="shared" si="2"/>
        <v>144710.2458</v>
      </c>
      <c r="I12" s="21">
        <f t="shared" si="2"/>
        <v>165794.52217499999</v>
      </c>
      <c r="J12" s="21">
        <f t="shared" si="2"/>
        <v>161392.36117499997</v>
      </c>
      <c r="K12" s="21">
        <f t="shared" si="2"/>
        <v>171332.27955000004</v>
      </c>
      <c r="L12" s="21">
        <f t="shared" si="2"/>
        <v>156921.17715</v>
      </c>
      <c r="M12" s="21">
        <f t="shared" si="2"/>
        <v>159969.18825000001</v>
      </c>
      <c r="N12" s="21">
        <f t="shared" ref="N12:Y12" si="3">SUM(N8:N11)</f>
        <v>0</v>
      </c>
      <c r="O12" s="21">
        <f t="shared" si="3"/>
        <v>0</v>
      </c>
      <c r="P12" s="21">
        <f t="shared" si="3"/>
        <v>0</v>
      </c>
      <c r="Q12" s="21">
        <f t="shared" si="3"/>
        <v>0</v>
      </c>
      <c r="R12" s="21">
        <f t="shared" si="3"/>
        <v>0</v>
      </c>
      <c r="S12" s="21">
        <f t="shared" si="3"/>
        <v>0</v>
      </c>
      <c r="T12" s="21">
        <f t="shared" si="3"/>
        <v>0</v>
      </c>
      <c r="U12" s="21">
        <f t="shared" si="3"/>
        <v>0</v>
      </c>
      <c r="V12" s="21">
        <f t="shared" si="3"/>
        <v>0</v>
      </c>
      <c r="W12" s="21">
        <f t="shared" si="3"/>
        <v>0</v>
      </c>
      <c r="X12" s="21">
        <f t="shared" si="3"/>
        <v>0</v>
      </c>
      <c r="Y12" s="21">
        <f t="shared" si="3"/>
        <v>0</v>
      </c>
    </row>
    <row r="13" spans="1:25" s="115" customForma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115" customFormat="1" x14ac:dyDescent="0.25">
      <c r="A14" s="258" t="s">
        <v>48</v>
      </c>
      <c r="B14" s="259">
        <v>3259000</v>
      </c>
      <c r="C14" s="259">
        <v>2972000</v>
      </c>
      <c r="D14" s="259">
        <v>3367000</v>
      </c>
      <c r="E14" s="259">
        <v>3455000</v>
      </c>
      <c r="F14" s="259">
        <v>3547000</v>
      </c>
      <c r="G14" s="259">
        <v>3711000</v>
      </c>
      <c r="H14" s="259">
        <v>3787000</v>
      </c>
      <c r="I14" s="259">
        <v>4019000</v>
      </c>
      <c r="J14" s="259">
        <v>3911000</v>
      </c>
      <c r="K14" s="259">
        <v>4155000</v>
      </c>
      <c r="L14" s="259">
        <v>3905000</v>
      </c>
      <c r="M14" s="259">
        <v>3906000</v>
      </c>
      <c r="N14" s="259">
        <v>0</v>
      </c>
      <c r="O14" s="259">
        <v>0</v>
      </c>
      <c r="P14" s="259">
        <v>0</v>
      </c>
      <c r="Q14" s="259">
        <v>0</v>
      </c>
      <c r="R14" s="259">
        <v>0</v>
      </c>
      <c r="S14" s="259">
        <v>0</v>
      </c>
      <c r="T14" s="259">
        <v>0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</row>
    <row r="15" spans="1:25" x14ac:dyDescent="0.25">
      <c r="A15" s="50" t="s">
        <v>49</v>
      </c>
      <c r="B15" s="57">
        <f t="shared" ref="B15:M15" si="4">B8/B14</f>
        <v>3.6333366063209575E-2</v>
      </c>
      <c r="C15" s="57">
        <f t="shared" si="4"/>
        <v>3.5721581426648719E-2</v>
      </c>
      <c r="D15" s="57">
        <f t="shared" si="4"/>
        <v>3.5719049599049597E-2</v>
      </c>
      <c r="E15" s="57">
        <f t="shared" si="4"/>
        <v>3.5718564399421129E-2</v>
      </c>
      <c r="F15" s="57">
        <f t="shared" si="4"/>
        <v>3.5718082886946716E-2</v>
      </c>
      <c r="G15" s="57">
        <f t="shared" si="4"/>
        <v>3.5717283751010506E-2</v>
      </c>
      <c r="H15" s="57">
        <f t="shared" si="4"/>
        <v>3.5716936889358335E-2</v>
      </c>
      <c r="I15" s="57">
        <f t="shared" si="4"/>
        <v>3.5715959193829312E-2</v>
      </c>
      <c r="J15" s="57">
        <f t="shared" si="4"/>
        <v>3.5716399897724363E-2</v>
      </c>
      <c r="K15" s="57">
        <f t="shared" si="4"/>
        <v>3.5715436823104699E-2</v>
      </c>
      <c r="L15" s="57">
        <f t="shared" si="4"/>
        <v>3.4949275288092191E-2</v>
      </c>
      <c r="M15" s="57">
        <f t="shared" si="4"/>
        <v>3.571587301587302E-2</v>
      </c>
      <c r="N15" s="57" t="e">
        <f t="shared" ref="N15:Y15" si="5">N8/N14</f>
        <v>#DIV/0!</v>
      </c>
      <c r="O15" s="57" t="e">
        <f t="shared" si="5"/>
        <v>#DIV/0!</v>
      </c>
      <c r="P15" s="57" t="e">
        <f t="shared" si="5"/>
        <v>#DIV/0!</v>
      </c>
      <c r="Q15" s="57" t="e">
        <f t="shared" si="5"/>
        <v>#DIV/0!</v>
      </c>
      <c r="R15" s="57" t="e">
        <f t="shared" si="5"/>
        <v>#DIV/0!</v>
      </c>
      <c r="S15" s="57" t="e">
        <f t="shared" si="5"/>
        <v>#DIV/0!</v>
      </c>
      <c r="T15" s="57" t="e">
        <f t="shared" si="5"/>
        <v>#DIV/0!</v>
      </c>
      <c r="U15" s="57" t="e">
        <f t="shared" si="5"/>
        <v>#DIV/0!</v>
      </c>
      <c r="V15" s="57" t="e">
        <f t="shared" si="5"/>
        <v>#DIV/0!</v>
      </c>
      <c r="W15" s="57" t="e">
        <f t="shared" si="5"/>
        <v>#DIV/0!</v>
      </c>
      <c r="X15" s="57" t="e">
        <f t="shared" si="5"/>
        <v>#DIV/0!</v>
      </c>
      <c r="Y15" s="57" t="e">
        <f t="shared" si="5"/>
        <v>#DIV/0!</v>
      </c>
    </row>
    <row r="16" spans="1:25" x14ac:dyDescent="0.25">
      <c r="A16" s="5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5">
      <c r="A17" s="5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s="6" customFormat="1" ht="12" x14ac:dyDescent="0.25">
      <c r="A18" s="137" t="s">
        <v>69</v>
      </c>
      <c r="B18" s="132" t="s">
        <v>0</v>
      </c>
      <c r="C18" s="132" t="s">
        <v>1</v>
      </c>
      <c r="D18" s="132" t="s">
        <v>2</v>
      </c>
      <c r="E18" s="132" t="s">
        <v>3</v>
      </c>
      <c r="F18" s="132" t="s">
        <v>4</v>
      </c>
      <c r="G18" s="132" t="s">
        <v>5</v>
      </c>
      <c r="H18" s="132" t="s">
        <v>6</v>
      </c>
      <c r="I18" s="132" t="s">
        <v>7</v>
      </c>
      <c r="J18" s="132" t="s">
        <v>8</v>
      </c>
      <c r="K18" s="132" t="s">
        <v>9</v>
      </c>
      <c r="L18" s="132" t="s">
        <v>10</v>
      </c>
      <c r="M18" s="132" t="s">
        <v>14</v>
      </c>
      <c r="N18" s="132" t="s">
        <v>0</v>
      </c>
      <c r="O18" s="132" t="s">
        <v>1</v>
      </c>
      <c r="P18" s="132" t="s">
        <v>2</v>
      </c>
      <c r="Q18" s="132" t="s">
        <v>3</v>
      </c>
      <c r="R18" s="132" t="s">
        <v>4</v>
      </c>
      <c r="S18" s="132" t="s">
        <v>5</v>
      </c>
      <c r="T18" s="132" t="s">
        <v>6</v>
      </c>
      <c r="U18" s="132" t="s">
        <v>7</v>
      </c>
      <c r="V18" s="132" t="s">
        <v>8</v>
      </c>
      <c r="W18" s="132" t="s">
        <v>9</v>
      </c>
      <c r="X18" s="132" t="s">
        <v>10</v>
      </c>
      <c r="Y18" s="132" t="s">
        <v>14</v>
      </c>
    </row>
    <row r="19" spans="1:25" s="6" customFormat="1" ht="6" customHeight="1" x14ac:dyDescent="0.2">
      <c r="A19" s="132"/>
      <c r="B19" s="138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8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</row>
    <row r="20" spans="1:25" s="11" customFormat="1" ht="11.4" x14ac:dyDescent="0.2">
      <c r="A20" s="126" t="s">
        <v>104</v>
      </c>
      <c r="B20" s="37">
        <f>B26*B27</f>
        <v>124997.96399999999</v>
      </c>
      <c r="C20" s="37">
        <f t="shared" ref="C20:M20" si="6">C26*C27</f>
        <v>112839.402</v>
      </c>
      <c r="D20" s="37">
        <f t="shared" si="6"/>
        <v>112008.75400000002</v>
      </c>
      <c r="E20" s="37">
        <f t="shared" si="6"/>
        <v>107888.61199999999</v>
      </c>
      <c r="F20" s="37">
        <f t="shared" si="6"/>
        <v>106856.906</v>
      </c>
      <c r="G20" s="37">
        <f t="shared" si="6"/>
        <v>118736.38399999999</v>
      </c>
      <c r="H20" s="37">
        <f t="shared" si="6"/>
        <v>129982.164</v>
      </c>
      <c r="I20" s="37">
        <f t="shared" si="6"/>
        <v>122403.68399999999</v>
      </c>
      <c r="J20" s="37">
        <f t="shared" si="6"/>
        <v>106438.41</v>
      </c>
      <c r="K20" s="37">
        <f t="shared" si="6"/>
        <v>109727.28</v>
      </c>
      <c r="L20" s="37">
        <f t="shared" si="6"/>
        <v>111516.6</v>
      </c>
      <c r="M20" s="37">
        <f t="shared" si="6"/>
        <v>115122.8</v>
      </c>
      <c r="N20" s="37">
        <v>0</v>
      </c>
      <c r="O20" s="37">
        <v>0</v>
      </c>
      <c r="P20" s="37">
        <f t="shared" ref="P20:Y20" si="7">P26*P27</f>
        <v>0</v>
      </c>
      <c r="Q20" s="37">
        <f t="shared" si="7"/>
        <v>0</v>
      </c>
      <c r="R20" s="37">
        <f t="shared" si="7"/>
        <v>0</v>
      </c>
      <c r="S20" s="37">
        <f t="shared" si="7"/>
        <v>0</v>
      </c>
      <c r="T20" s="37">
        <f t="shared" si="7"/>
        <v>0</v>
      </c>
      <c r="U20" s="37">
        <f t="shared" si="7"/>
        <v>0</v>
      </c>
      <c r="V20" s="37">
        <f t="shared" si="7"/>
        <v>0</v>
      </c>
      <c r="W20" s="37">
        <f t="shared" si="7"/>
        <v>0</v>
      </c>
      <c r="X20" s="37">
        <f t="shared" si="7"/>
        <v>0</v>
      </c>
      <c r="Y20" s="37">
        <f t="shared" si="7"/>
        <v>0</v>
      </c>
    </row>
    <row r="21" spans="1:25" s="11" customFormat="1" ht="11.4" x14ac:dyDescent="0.2">
      <c r="A21" s="126" t="s">
        <v>18</v>
      </c>
      <c r="B21" s="37">
        <v>66000</v>
      </c>
      <c r="C21" s="37">
        <v>66000</v>
      </c>
      <c r="D21" s="37">
        <v>66000</v>
      </c>
      <c r="E21" s="37">
        <v>66000</v>
      </c>
      <c r="F21" s="37">
        <v>66000</v>
      </c>
      <c r="G21" s="37">
        <v>66000</v>
      </c>
      <c r="H21" s="37">
        <v>66000</v>
      </c>
      <c r="I21" s="37">
        <v>66000</v>
      </c>
      <c r="J21" s="37">
        <v>66000</v>
      </c>
      <c r="K21" s="37">
        <v>66000</v>
      </c>
      <c r="L21" s="37">
        <v>66000</v>
      </c>
      <c r="M21" s="37">
        <v>66000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</row>
    <row r="22" spans="1:25" s="11" customFormat="1" ht="11.4" x14ac:dyDescent="0.2">
      <c r="A22" s="126" t="s">
        <v>57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19333.09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</row>
    <row r="23" spans="1:25" s="11" customFormat="1" ht="12" thickBot="1" x14ac:dyDescent="0.25">
      <c r="A23" s="142" t="s">
        <v>20</v>
      </c>
      <c r="B23" s="143">
        <v>0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3">
        <v>7391.97</v>
      </c>
      <c r="I23" s="143">
        <v>113563.66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  <c r="Q23" s="143">
        <v>0</v>
      </c>
      <c r="R23" s="143">
        <v>0</v>
      </c>
      <c r="S23" s="143">
        <v>0</v>
      </c>
      <c r="T23" s="143">
        <v>0</v>
      </c>
      <c r="U23" s="143">
        <v>0</v>
      </c>
      <c r="V23" s="143">
        <v>0</v>
      </c>
      <c r="W23" s="143">
        <v>0</v>
      </c>
      <c r="X23" s="143">
        <v>0</v>
      </c>
      <c r="Y23" s="143">
        <v>0</v>
      </c>
    </row>
    <row r="24" spans="1:25" s="22" customFormat="1" ht="12" thickTop="1" x14ac:dyDescent="0.2">
      <c r="A24" s="20" t="s">
        <v>67</v>
      </c>
      <c r="B24" s="21">
        <f>SUM(B20:B23)</f>
        <v>190997.96399999998</v>
      </c>
      <c r="C24" s="21">
        <f t="shared" ref="C24:M24" si="8">SUM(C20:C23)</f>
        <v>178839.402</v>
      </c>
      <c r="D24" s="21">
        <f t="shared" si="8"/>
        <v>178008.75400000002</v>
      </c>
      <c r="E24" s="21">
        <f t="shared" si="8"/>
        <v>173888.61199999999</v>
      </c>
      <c r="F24" s="21">
        <f t="shared" si="8"/>
        <v>172856.90600000002</v>
      </c>
      <c r="G24" s="21">
        <f t="shared" si="8"/>
        <v>184736.38399999999</v>
      </c>
      <c r="H24" s="21">
        <f t="shared" si="8"/>
        <v>203374.13399999999</v>
      </c>
      <c r="I24" s="21">
        <f t="shared" si="8"/>
        <v>301967.34400000004</v>
      </c>
      <c r="J24" s="21">
        <f t="shared" si="8"/>
        <v>172438.41</v>
      </c>
      <c r="K24" s="21">
        <f t="shared" si="8"/>
        <v>195060.37</v>
      </c>
      <c r="L24" s="21">
        <f t="shared" si="8"/>
        <v>177516.6</v>
      </c>
      <c r="M24" s="21">
        <f t="shared" si="8"/>
        <v>181122.8</v>
      </c>
      <c r="N24" s="21">
        <f t="shared" ref="N24:Y24" si="9">SUM(N20:N23)</f>
        <v>0</v>
      </c>
      <c r="O24" s="21">
        <f t="shared" si="9"/>
        <v>0</v>
      </c>
      <c r="P24" s="21">
        <f t="shared" si="9"/>
        <v>0</v>
      </c>
      <c r="Q24" s="21">
        <f t="shared" si="9"/>
        <v>0</v>
      </c>
      <c r="R24" s="21">
        <f t="shared" si="9"/>
        <v>0</v>
      </c>
      <c r="S24" s="21">
        <f t="shared" si="9"/>
        <v>0</v>
      </c>
      <c r="T24" s="21">
        <f t="shared" si="9"/>
        <v>0</v>
      </c>
      <c r="U24" s="21">
        <f t="shared" si="9"/>
        <v>0</v>
      </c>
      <c r="V24" s="21">
        <f t="shared" si="9"/>
        <v>0</v>
      </c>
      <c r="W24" s="21">
        <f t="shared" si="9"/>
        <v>0</v>
      </c>
      <c r="X24" s="21">
        <f t="shared" si="9"/>
        <v>0</v>
      </c>
      <c r="Y24" s="21">
        <f t="shared" si="9"/>
        <v>0</v>
      </c>
    </row>
    <row r="25" spans="1:25" s="22" customFormat="1" ht="11.4" x14ac:dyDescent="0.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57" customFormat="1" ht="11.4" x14ac:dyDescent="0.2">
      <c r="A26" s="255" t="s">
        <v>61</v>
      </c>
      <c r="B26" s="49">
        <v>4807.6139999999996</v>
      </c>
      <c r="C26" s="256">
        <v>4339.9769999999999</v>
      </c>
      <c r="D26" s="256">
        <v>4308.0290000000005</v>
      </c>
      <c r="E26" s="256">
        <v>4149.5619999999999</v>
      </c>
      <c r="F26" s="256">
        <v>4109.8810000000003</v>
      </c>
      <c r="G26" s="256">
        <v>4566.7839999999997</v>
      </c>
      <c r="H26" s="256">
        <v>4999.3140000000003</v>
      </c>
      <c r="I26" s="256">
        <v>4707.8339999999998</v>
      </c>
      <c r="J26" s="256">
        <v>4093.7849999999999</v>
      </c>
      <c r="K26" s="256">
        <v>4220.28</v>
      </c>
      <c r="L26" s="256">
        <v>4289.1000000000004</v>
      </c>
      <c r="M26" s="256">
        <v>4427.8</v>
      </c>
      <c r="N26" s="49">
        <v>0</v>
      </c>
      <c r="O26" s="256">
        <v>0</v>
      </c>
      <c r="P26" s="256">
        <v>0</v>
      </c>
      <c r="Q26" s="256">
        <v>0</v>
      </c>
      <c r="R26" s="256">
        <v>0</v>
      </c>
      <c r="S26" s="256">
        <v>0</v>
      </c>
      <c r="T26" s="256">
        <v>0</v>
      </c>
      <c r="U26" s="256">
        <v>0</v>
      </c>
      <c r="V26" s="256">
        <v>0</v>
      </c>
      <c r="W26" s="256">
        <v>0</v>
      </c>
      <c r="X26" s="256">
        <v>0</v>
      </c>
      <c r="Y26" s="256">
        <v>0</v>
      </c>
    </row>
    <row r="27" spans="1:25" s="35" customFormat="1" ht="11.4" x14ac:dyDescent="0.2">
      <c r="A27" s="50" t="s">
        <v>60</v>
      </c>
      <c r="B27" s="37">
        <v>26</v>
      </c>
      <c r="C27" s="37">
        <f>$B$27</f>
        <v>26</v>
      </c>
      <c r="D27" s="37">
        <f t="shared" ref="D27:M27" si="10">$B$27</f>
        <v>26</v>
      </c>
      <c r="E27" s="37">
        <f t="shared" si="10"/>
        <v>26</v>
      </c>
      <c r="F27" s="37">
        <f t="shared" si="10"/>
        <v>26</v>
      </c>
      <c r="G27" s="37">
        <f t="shared" si="10"/>
        <v>26</v>
      </c>
      <c r="H27" s="37">
        <f t="shared" si="10"/>
        <v>26</v>
      </c>
      <c r="I27" s="37">
        <f t="shared" si="10"/>
        <v>26</v>
      </c>
      <c r="J27" s="37">
        <f t="shared" si="10"/>
        <v>26</v>
      </c>
      <c r="K27" s="37">
        <f t="shared" si="10"/>
        <v>26</v>
      </c>
      <c r="L27" s="37">
        <f t="shared" si="10"/>
        <v>26</v>
      </c>
      <c r="M27" s="37">
        <f t="shared" si="10"/>
        <v>26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</row>
    <row r="28" spans="1:25" s="84" customFormat="1" ht="11.4" x14ac:dyDescent="0.2">
      <c r="A28" s="140" t="s">
        <v>59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>
        <v>509</v>
      </c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</row>
    <row r="29" spans="1:25" s="11" customFormat="1" ht="11.4" x14ac:dyDescent="0.2">
      <c r="A29" s="126" t="s">
        <v>58</v>
      </c>
      <c r="B29" s="37"/>
      <c r="C29" s="37"/>
      <c r="D29" s="37"/>
      <c r="E29" s="37"/>
      <c r="F29" s="37"/>
      <c r="G29" s="37"/>
      <c r="H29" s="37"/>
      <c r="I29" s="37"/>
      <c r="J29" s="37"/>
      <c r="K29" s="37">
        <f>K22/K28</f>
        <v>37.982495088408648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s="11" customFormat="1" ht="11.4" x14ac:dyDescent="0.2">
      <c r="A30" s="1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x14ac:dyDescent="0.25">
      <c r="A31" s="50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5">
      <c r="A32" s="332" t="s">
        <v>66</v>
      </c>
      <c r="B32" s="132" t="s">
        <v>0</v>
      </c>
      <c r="C32" s="132" t="s">
        <v>1</v>
      </c>
      <c r="D32" s="132" t="s">
        <v>2</v>
      </c>
      <c r="E32" s="132" t="s">
        <v>3</v>
      </c>
      <c r="F32" s="132" t="s">
        <v>4</v>
      </c>
      <c r="G32" s="132" t="s">
        <v>5</v>
      </c>
      <c r="H32" s="132" t="s">
        <v>6</v>
      </c>
      <c r="I32" s="132" t="s">
        <v>7</v>
      </c>
      <c r="J32" s="132" t="s">
        <v>8</v>
      </c>
      <c r="K32" s="132" t="s">
        <v>9</v>
      </c>
      <c r="L32" s="132" t="s">
        <v>10</v>
      </c>
      <c r="M32" s="132" t="s">
        <v>14</v>
      </c>
      <c r="N32" s="132" t="s">
        <v>0</v>
      </c>
      <c r="O32" s="132" t="s">
        <v>1</v>
      </c>
      <c r="P32" s="132" t="s">
        <v>2</v>
      </c>
      <c r="Q32" s="132" t="s">
        <v>3</v>
      </c>
      <c r="R32" s="132" t="s">
        <v>4</v>
      </c>
      <c r="S32" s="132" t="s">
        <v>5</v>
      </c>
      <c r="T32" s="132" t="s">
        <v>6</v>
      </c>
      <c r="U32" s="132" t="s">
        <v>7</v>
      </c>
      <c r="V32" s="132" t="s">
        <v>8</v>
      </c>
      <c r="W32" s="132" t="s">
        <v>9</v>
      </c>
      <c r="X32" s="132" t="s">
        <v>10</v>
      </c>
      <c r="Y32" s="132" t="s">
        <v>14</v>
      </c>
    </row>
    <row r="33" spans="1:25" s="96" customFormat="1" x14ac:dyDescent="0.25">
      <c r="A33" s="329" t="s">
        <v>64</v>
      </c>
      <c r="B33" s="49">
        <f>B14</f>
        <v>3259000</v>
      </c>
      <c r="C33" s="49">
        <f t="shared" ref="C33:M33" si="11">C14</f>
        <v>2972000</v>
      </c>
      <c r="D33" s="49">
        <f t="shared" si="11"/>
        <v>3367000</v>
      </c>
      <c r="E33" s="49">
        <f t="shared" si="11"/>
        <v>3455000</v>
      </c>
      <c r="F33" s="49">
        <f t="shared" si="11"/>
        <v>3547000</v>
      </c>
      <c r="G33" s="49">
        <f t="shared" si="11"/>
        <v>3711000</v>
      </c>
      <c r="H33" s="49">
        <f t="shared" si="11"/>
        <v>3787000</v>
      </c>
      <c r="I33" s="49">
        <f t="shared" si="11"/>
        <v>4019000</v>
      </c>
      <c r="J33" s="49">
        <f t="shared" si="11"/>
        <v>3911000</v>
      </c>
      <c r="K33" s="49">
        <f t="shared" si="11"/>
        <v>4155000</v>
      </c>
      <c r="L33" s="49">
        <f t="shared" si="11"/>
        <v>3905000</v>
      </c>
      <c r="M33" s="49">
        <f t="shared" si="11"/>
        <v>3906000</v>
      </c>
      <c r="N33" s="49">
        <f>N14</f>
        <v>0</v>
      </c>
      <c r="O33" s="49">
        <f t="shared" ref="O33:Y33" si="12">O14</f>
        <v>0</v>
      </c>
      <c r="P33" s="49">
        <f t="shared" si="12"/>
        <v>0</v>
      </c>
      <c r="Q33" s="49">
        <f t="shared" si="12"/>
        <v>0</v>
      </c>
      <c r="R33" s="49">
        <f t="shared" si="12"/>
        <v>0</v>
      </c>
      <c r="S33" s="49">
        <f t="shared" si="12"/>
        <v>0</v>
      </c>
      <c r="T33" s="49">
        <f t="shared" si="12"/>
        <v>0</v>
      </c>
      <c r="U33" s="49">
        <f t="shared" si="12"/>
        <v>0</v>
      </c>
      <c r="V33" s="49">
        <f t="shared" si="12"/>
        <v>0</v>
      </c>
      <c r="W33" s="49">
        <f t="shared" si="12"/>
        <v>0</v>
      </c>
      <c r="X33" s="49">
        <f t="shared" si="12"/>
        <v>0</v>
      </c>
      <c r="Y33" s="49">
        <f t="shared" si="12"/>
        <v>0</v>
      </c>
    </row>
    <row r="34" spans="1:25" s="96" customFormat="1" ht="13.8" thickBot="1" x14ac:dyDescent="0.3">
      <c r="A34" s="330" t="s">
        <v>65</v>
      </c>
      <c r="B34" s="331">
        <f>B26*1000</f>
        <v>4807614</v>
      </c>
      <c r="C34" s="331">
        <f t="shared" ref="C34:M34" si="13">C26*1000</f>
        <v>4339977</v>
      </c>
      <c r="D34" s="331">
        <f t="shared" si="13"/>
        <v>4308029</v>
      </c>
      <c r="E34" s="331">
        <f t="shared" si="13"/>
        <v>4149562</v>
      </c>
      <c r="F34" s="331">
        <f t="shared" si="13"/>
        <v>4109881.0000000005</v>
      </c>
      <c r="G34" s="331">
        <f t="shared" si="13"/>
        <v>4566784</v>
      </c>
      <c r="H34" s="331">
        <f t="shared" si="13"/>
        <v>4999314</v>
      </c>
      <c r="I34" s="331">
        <f t="shared" si="13"/>
        <v>4707834</v>
      </c>
      <c r="J34" s="331">
        <f t="shared" si="13"/>
        <v>4093785</v>
      </c>
      <c r="K34" s="331">
        <f t="shared" si="13"/>
        <v>4220280</v>
      </c>
      <c r="L34" s="331">
        <f t="shared" si="13"/>
        <v>4289100</v>
      </c>
      <c r="M34" s="331">
        <f t="shared" si="13"/>
        <v>4427800</v>
      </c>
      <c r="N34" s="331">
        <f>N26*1000</f>
        <v>0</v>
      </c>
      <c r="O34" s="331">
        <f t="shared" ref="O34:Y34" si="14">O26*1000</f>
        <v>0</v>
      </c>
      <c r="P34" s="331">
        <f t="shared" si="14"/>
        <v>0</v>
      </c>
      <c r="Q34" s="331">
        <f t="shared" si="14"/>
        <v>0</v>
      </c>
      <c r="R34" s="331">
        <f t="shared" si="14"/>
        <v>0</v>
      </c>
      <c r="S34" s="331">
        <f t="shared" si="14"/>
        <v>0</v>
      </c>
      <c r="T34" s="331">
        <f t="shared" si="14"/>
        <v>0</v>
      </c>
      <c r="U34" s="331">
        <f t="shared" si="14"/>
        <v>0</v>
      </c>
      <c r="V34" s="331">
        <f t="shared" si="14"/>
        <v>0</v>
      </c>
      <c r="W34" s="331">
        <f t="shared" si="14"/>
        <v>0</v>
      </c>
      <c r="X34" s="331">
        <f t="shared" si="14"/>
        <v>0</v>
      </c>
      <c r="Y34" s="331">
        <f t="shared" si="14"/>
        <v>0</v>
      </c>
    </row>
    <row r="35" spans="1:25" s="96" customFormat="1" ht="13.8" thickTop="1" x14ac:dyDescent="0.25">
      <c r="A35" s="329" t="s">
        <v>67</v>
      </c>
      <c r="B35" s="49">
        <f>B33+B34</f>
        <v>8066614</v>
      </c>
      <c r="C35" s="49">
        <f t="shared" ref="C35:M35" si="15">C33+C34</f>
        <v>7311977</v>
      </c>
      <c r="D35" s="49">
        <f t="shared" si="15"/>
        <v>7675029</v>
      </c>
      <c r="E35" s="49">
        <f t="shared" si="15"/>
        <v>7604562</v>
      </c>
      <c r="F35" s="49">
        <f t="shared" si="15"/>
        <v>7656881</v>
      </c>
      <c r="G35" s="49">
        <f t="shared" si="15"/>
        <v>8277784</v>
      </c>
      <c r="H35" s="49">
        <f t="shared" si="15"/>
        <v>8786314</v>
      </c>
      <c r="I35" s="49">
        <f t="shared" si="15"/>
        <v>8726834</v>
      </c>
      <c r="J35" s="49">
        <f t="shared" si="15"/>
        <v>8004785</v>
      </c>
      <c r="K35" s="49">
        <f t="shared" si="15"/>
        <v>8375280</v>
      </c>
      <c r="L35" s="49">
        <f t="shared" si="15"/>
        <v>8194100</v>
      </c>
      <c r="M35" s="49">
        <f t="shared" si="15"/>
        <v>8333800</v>
      </c>
      <c r="N35" s="49">
        <f t="shared" ref="N35:Y35" si="16">N33+N34</f>
        <v>0</v>
      </c>
      <c r="O35" s="49">
        <f t="shared" si="16"/>
        <v>0</v>
      </c>
      <c r="P35" s="49">
        <f t="shared" si="16"/>
        <v>0</v>
      </c>
      <c r="Q35" s="49">
        <f t="shared" si="16"/>
        <v>0</v>
      </c>
      <c r="R35" s="49">
        <f t="shared" si="16"/>
        <v>0</v>
      </c>
      <c r="S35" s="49">
        <f t="shared" si="16"/>
        <v>0</v>
      </c>
      <c r="T35" s="49">
        <f t="shared" si="16"/>
        <v>0</v>
      </c>
      <c r="U35" s="49">
        <f t="shared" si="16"/>
        <v>0</v>
      </c>
      <c r="V35" s="49">
        <f t="shared" si="16"/>
        <v>0</v>
      </c>
      <c r="W35" s="49">
        <f t="shared" si="16"/>
        <v>0</v>
      </c>
      <c r="X35" s="49">
        <f t="shared" si="16"/>
        <v>0</v>
      </c>
      <c r="Y35" s="49">
        <f t="shared" si="16"/>
        <v>0</v>
      </c>
    </row>
    <row r="36" spans="1:25" x14ac:dyDescent="0.25">
      <c r="A36" s="50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24" x14ac:dyDescent="0.25">
      <c r="A37" s="260" t="s">
        <v>167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s="6" customFormat="1" ht="11.4" x14ac:dyDescent="0.2">
      <c r="A38" s="327" t="s">
        <v>34</v>
      </c>
      <c r="B38" s="49">
        <v>31</v>
      </c>
      <c r="C38" s="49">
        <v>28</v>
      </c>
      <c r="D38" s="49">
        <v>31</v>
      </c>
      <c r="E38" s="49">
        <v>30</v>
      </c>
      <c r="F38" s="49">
        <v>31</v>
      </c>
      <c r="G38" s="49">
        <v>30</v>
      </c>
      <c r="H38" s="49">
        <v>31</v>
      </c>
      <c r="I38" s="49">
        <v>31</v>
      </c>
      <c r="J38" s="49">
        <v>30</v>
      </c>
      <c r="K38" s="49">
        <v>31</v>
      </c>
      <c r="L38" s="49">
        <v>30</v>
      </c>
      <c r="M38" s="49">
        <v>31</v>
      </c>
      <c r="N38" s="49">
        <v>31</v>
      </c>
      <c r="O38" s="49">
        <v>28</v>
      </c>
      <c r="P38" s="49">
        <v>31</v>
      </c>
      <c r="Q38" s="49">
        <v>30</v>
      </c>
      <c r="R38" s="49">
        <v>31</v>
      </c>
      <c r="S38" s="49">
        <v>30</v>
      </c>
      <c r="T38" s="49">
        <v>31</v>
      </c>
      <c r="U38" s="49">
        <v>31</v>
      </c>
      <c r="V38" s="49">
        <v>30</v>
      </c>
      <c r="W38" s="49">
        <v>31</v>
      </c>
      <c r="X38" s="49">
        <v>30</v>
      </c>
      <c r="Y38" s="49">
        <v>31</v>
      </c>
    </row>
    <row r="39" spans="1:25" x14ac:dyDescent="0.25">
      <c r="A39" s="327" t="s">
        <v>93</v>
      </c>
      <c r="B39" s="328">
        <f>(B33*1.34)/(7000*24*B38)</f>
        <v>0.8385291858678956</v>
      </c>
      <c r="C39" s="328">
        <f t="shared" ref="C39:M39" si="17">(C33*1.34)/(7000*24*C38)</f>
        <v>0.8466156462585035</v>
      </c>
      <c r="D39" s="328">
        <f t="shared" si="17"/>
        <v>0.86631720430107528</v>
      </c>
      <c r="E39" s="328">
        <f t="shared" si="17"/>
        <v>0.91859126984126982</v>
      </c>
      <c r="F39" s="328">
        <f t="shared" si="17"/>
        <v>0.91263056835637479</v>
      </c>
      <c r="G39" s="328">
        <f t="shared" si="17"/>
        <v>0.98665476190476187</v>
      </c>
      <c r="H39" s="328">
        <f t="shared" si="17"/>
        <v>0.97438172043010751</v>
      </c>
      <c r="I39" s="328">
        <f t="shared" si="17"/>
        <v>1.0340745007680492</v>
      </c>
      <c r="J39" s="328">
        <f t="shared" si="17"/>
        <v>1.0398293650793651</v>
      </c>
      <c r="K39" s="328">
        <f t="shared" si="17"/>
        <v>1.0690668202764977</v>
      </c>
      <c r="L39" s="328">
        <f t="shared" si="17"/>
        <v>1.0382341269841271</v>
      </c>
      <c r="M39" s="328">
        <f t="shared" si="17"/>
        <v>1.0049999999999999</v>
      </c>
      <c r="N39" s="328">
        <f t="shared" ref="N39:Y39" si="18">(N33*1.34)/(7000*24*N38)</f>
        <v>0</v>
      </c>
      <c r="O39" s="328">
        <f t="shared" si="18"/>
        <v>0</v>
      </c>
      <c r="P39" s="328">
        <f t="shared" si="18"/>
        <v>0</v>
      </c>
      <c r="Q39" s="328">
        <f t="shared" si="18"/>
        <v>0</v>
      </c>
      <c r="R39" s="328">
        <f t="shared" si="18"/>
        <v>0</v>
      </c>
      <c r="S39" s="328">
        <f t="shared" si="18"/>
        <v>0</v>
      </c>
      <c r="T39" s="328">
        <f t="shared" si="18"/>
        <v>0</v>
      </c>
      <c r="U39" s="328">
        <f t="shared" si="18"/>
        <v>0</v>
      </c>
      <c r="V39" s="328">
        <f t="shared" si="18"/>
        <v>0</v>
      </c>
      <c r="W39" s="328">
        <f t="shared" si="18"/>
        <v>0</v>
      </c>
      <c r="X39" s="328">
        <f t="shared" si="18"/>
        <v>0</v>
      </c>
      <c r="Y39" s="328">
        <f t="shared" si="18"/>
        <v>0</v>
      </c>
    </row>
    <row r="40" spans="1:25" x14ac:dyDescent="0.25">
      <c r="A40" s="327" t="s">
        <v>94</v>
      </c>
      <c r="B40" s="328">
        <f>(B34*1.34)/(10000*24*B38)</f>
        <v>0.86588746774193559</v>
      </c>
      <c r="C40" s="328">
        <f t="shared" ref="C40:M40" si="19">(C34*1.34)/(10000*24*C38)</f>
        <v>0.8654120803571429</v>
      </c>
      <c r="D40" s="328">
        <f t="shared" si="19"/>
        <v>0.77590844892473121</v>
      </c>
      <c r="E40" s="328">
        <f t="shared" si="19"/>
        <v>0.77227959444444449</v>
      </c>
      <c r="F40" s="328">
        <f t="shared" si="19"/>
        <v>0.74022050268817219</v>
      </c>
      <c r="G40" s="328">
        <f t="shared" si="19"/>
        <v>0.84992924444444451</v>
      </c>
      <c r="H40" s="328">
        <f t="shared" si="19"/>
        <v>0.90041408064516137</v>
      </c>
      <c r="I40" s="328">
        <f t="shared" si="19"/>
        <v>0.84791633870967753</v>
      </c>
      <c r="J40" s="328">
        <f t="shared" si="19"/>
        <v>0.76189887500000009</v>
      </c>
      <c r="K40" s="328">
        <f t="shared" si="19"/>
        <v>0.7601041935483871</v>
      </c>
      <c r="L40" s="328">
        <f t="shared" si="19"/>
        <v>0.79824916666666668</v>
      </c>
      <c r="M40" s="328">
        <f t="shared" si="19"/>
        <v>0.7974801075268817</v>
      </c>
      <c r="N40" s="328">
        <f>(N34*1.34)/(10000*24*N38)</f>
        <v>0</v>
      </c>
      <c r="O40" s="328">
        <f t="shared" ref="O40:Y40" si="20">(O34*1.34)/(10000*24*O38)</f>
        <v>0</v>
      </c>
      <c r="P40" s="328">
        <f t="shared" si="20"/>
        <v>0</v>
      </c>
      <c r="Q40" s="328">
        <f t="shared" si="20"/>
        <v>0</v>
      </c>
      <c r="R40" s="328">
        <f t="shared" si="20"/>
        <v>0</v>
      </c>
      <c r="S40" s="328">
        <f t="shared" si="20"/>
        <v>0</v>
      </c>
      <c r="T40" s="328">
        <f t="shared" si="20"/>
        <v>0</v>
      </c>
      <c r="U40" s="328">
        <f t="shared" si="20"/>
        <v>0</v>
      </c>
      <c r="V40" s="328">
        <f t="shared" si="20"/>
        <v>0</v>
      </c>
      <c r="W40" s="328">
        <f t="shared" si="20"/>
        <v>0</v>
      </c>
      <c r="X40" s="328">
        <f t="shared" si="20"/>
        <v>0</v>
      </c>
      <c r="Y40" s="328">
        <f t="shared" si="20"/>
        <v>0</v>
      </c>
    </row>
    <row r="42" spans="1:25" x14ac:dyDescent="0.25">
      <c r="A42" s="333" t="s">
        <v>168</v>
      </c>
    </row>
    <row r="43" spans="1:25" x14ac:dyDescent="0.25">
      <c r="A43" s="262" t="s">
        <v>169</v>
      </c>
      <c r="B43" s="263">
        <v>2.8340000000000001E-2</v>
      </c>
      <c r="C43" s="263">
        <v>2.8070000000000001E-2</v>
      </c>
      <c r="D43" s="263">
        <v>2.7369999999999998E-2</v>
      </c>
      <c r="E43" s="263">
        <v>2.588E-2</v>
      </c>
      <c r="F43" s="263">
        <v>2.6159999999999999E-2</v>
      </c>
      <c r="G43" s="263">
        <v>2.4049999999999998E-2</v>
      </c>
      <c r="H43" s="263">
        <v>2.4549999999999999E-2</v>
      </c>
      <c r="I43" s="263">
        <v>2.3810000000000001E-2</v>
      </c>
      <c r="J43" s="263">
        <f>I43</f>
        <v>2.3810000000000001E-2</v>
      </c>
      <c r="K43" s="263">
        <f>J43</f>
        <v>2.3810000000000001E-2</v>
      </c>
      <c r="L43" s="263">
        <f>K43</f>
        <v>2.3810000000000001E-2</v>
      </c>
      <c r="M43" s="263">
        <f>L43</f>
        <v>2.3810000000000001E-2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</row>
    <row r="44" spans="1:25" x14ac:dyDescent="0.25">
      <c r="A44" s="262" t="s">
        <v>170</v>
      </c>
      <c r="B44" s="264">
        <v>1.9800000000000002E-2</v>
      </c>
      <c r="C44" s="264">
        <v>1.9800000000000002E-2</v>
      </c>
      <c r="D44" s="264">
        <v>2.137E-2</v>
      </c>
      <c r="E44" s="264">
        <v>2.1649999999999999E-2</v>
      </c>
      <c r="F44" s="264">
        <v>2.2519999999999998E-2</v>
      </c>
      <c r="G44" s="264">
        <v>1.9800000000000002E-2</v>
      </c>
      <c r="H44" s="264">
        <v>1.9800000000000002E-2</v>
      </c>
      <c r="I44" s="264">
        <v>1.9800000000000002E-2</v>
      </c>
      <c r="J44" s="264">
        <v>2.1930000000000002E-2</v>
      </c>
      <c r="K44" s="264">
        <v>2.1930000000000002E-2</v>
      </c>
      <c r="L44" s="264">
        <v>2.0830000000000001E-2</v>
      </c>
      <c r="M44" s="264">
        <v>2.0830000000000001E-2</v>
      </c>
      <c r="N44" s="264">
        <v>0</v>
      </c>
      <c r="O44" s="264">
        <v>0</v>
      </c>
      <c r="P44" s="264">
        <v>0</v>
      </c>
      <c r="Q44" s="264">
        <v>0</v>
      </c>
      <c r="R44" s="264">
        <v>0</v>
      </c>
      <c r="S44" s="264">
        <v>0</v>
      </c>
      <c r="T44" s="264">
        <v>0</v>
      </c>
      <c r="U44" s="264">
        <v>0</v>
      </c>
      <c r="V44" s="264">
        <v>0</v>
      </c>
      <c r="W44" s="264">
        <v>0</v>
      </c>
      <c r="X44" s="264">
        <v>0</v>
      </c>
      <c r="Y44" s="264">
        <v>0</v>
      </c>
    </row>
    <row r="45" spans="1:25" x14ac:dyDescent="0.25">
      <c r="A45" s="262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</row>
    <row r="46" spans="1:25" ht="13.8" thickBot="1" x14ac:dyDescent="0.3">
      <c r="A46" s="333" t="s">
        <v>192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</row>
    <row r="47" spans="1:25" ht="23.4" x14ac:dyDescent="0.25">
      <c r="A47" s="340" t="s">
        <v>187</v>
      </c>
      <c r="B47" s="341">
        <v>0</v>
      </c>
      <c r="C47" s="341">
        <v>0</v>
      </c>
      <c r="D47" s="341">
        <f>B33*1.34*1.0131*B43</f>
        <v>125383.76889323999</v>
      </c>
      <c r="E47" s="341">
        <f t="shared" ref="E47:Y47" si="21">C33*1.34*1.0131*C43</f>
        <v>113252.63919816</v>
      </c>
      <c r="F47" s="341">
        <f t="shared" si="21"/>
        <v>125105.10378365997</v>
      </c>
      <c r="G47" s="341">
        <f t="shared" si="21"/>
        <v>121386.23393159999</v>
      </c>
      <c r="H47" s="341">
        <f t="shared" si="21"/>
        <v>125966.78403407999</v>
      </c>
      <c r="I47" s="341">
        <f t="shared" si="21"/>
        <v>121161.08360069997</v>
      </c>
      <c r="J47" s="341">
        <f t="shared" si="21"/>
        <v>126212.94930089999</v>
      </c>
      <c r="K47" s="341">
        <f t="shared" si="21"/>
        <v>129907.58681405999</v>
      </c>
      <c r="L47" s="341">
        <f t="shared" si="21"/>
        <v>126416.66385413999</v>
      </c>
      <c r="M47" s="341">
        <f t="shared" si="21"/>
        <v>134303.56387469999</v>
      </c>
      <c r="N47" s="341">
        <f t="shared" si="21"/>
        <v>126222.72368969998</v>
      </c>
      <c r="O47" s="341">
        <f t="shared" si="21"/>
        <v>126255.04705044</v>
      </c>
      <c r="P47" s="341">
        <f t="shared" si="21"/>
        <v>0</v>
      </c>
      <c r="Q47" s="341">
        <f t="shared" si="21"/>
        <v>0</v>
      </c>
      <c r="R47" s="341">
        <f t="shared" si="21"/>
        <v>0</v>
      </c>
      <c r="S47" s="341">
        <f t="shared" si="21"/>
        <v>0</v>
      </c>
      <c r="T47" s="341">
        <f t="shared" si="21"/>
        <v>0</v>
      </c>
      <c r="U47" s="341">
        <f t="shared" si="21"/>
        <v>0</v>
      </c>
      <c r="V47" s="341">
        <f t="shared" si="21"/>
        <v>0</v>
      </c>
      <c r="W47" s="341">
        <f t="shared" si="21"/>
        <v>0</v>
      </c>
      <c r="X47" s="341">
        <f t="shared" si="21"/>
        <v>0</v>
      </c>
      <c r="Y47" s="342">
        <f t="shared" si="21"/>
        <v>0</v>
      </c>
    </row>
    <row r="48" spans="1:25" x14ac:dyDescent="0.25">
      <c r="A48" s="343" t="s">
        <v>188</v>
      </c>
      <c r="B48" s="344">
        <v>0</v>
      </c>
      <c r="C48" s="344">
        <v>0</v>
      </c>
      <c r="D48" s="344">
        <f>B34*1.34*1.0131*B44</f>
        <v>129226.59319988881</v>
      </c>
      <c r="E48" s="344">
        <f t="shared" ref="E48:Y48" si="22">C34*1.34*1.0131*C44</f>
        <v>116656.7120979084</v>
      </c>
      <c r="F48" s="344">
        <f t="shared" si="22"/>
        <v>124979.92336278041</v>
      </c>
      <c r="G48" s="344">
        <f t="shared" si="22"/>
        <v>121959.95973768418</v>
      </c>
      <c r="H48" s="344">
        <f t="shared" si="22"/>
        <v>125647.75900698647</v>
      </c>
      <c r="I48" s="344">
        <f t="shared" si="22"/>
        <v>122753.1865494528</v>
      </c>
      <c r="J48" s="344">
        <f t="shared" si="22"/>
        <v>134379.4066155288</v>
      </c>
      <c r="K48" s="344">
        <f t="shared" si="22"/>
        <v>126544.5497851128</v>
      </c>
      <c r="L48" s="344">
        <f t="shared" si="22"/>
        <v>121876.72504744772</v>
      </c>
      <c r="M48" s="344">
        <f t="shared" si="22"/>
        <v>125642.6278329816</v>
      </c>
      <c r="N48" s="344">
        <f t="shared" si="22"/>
        <v>121286.525662962</v>
      </c>
      <c r="O48" s="344">
        <f t="shared" si="22"/>
        <v>125208.66343299599</v>
      </c>
      <c r="P48" s="344">
        <f t="shared" si="22"/>
        <v>0</v>
      </c>
      <c r="Q48" s="344">
        <f t="shared" si="22"/>
        <v>0</v>
      </c>
      <c r="R48" s="344">
        <f t="shared" si="22"/>
        <v>0</v>
      </c>
      <c r="S48" s="344">
        <f t="shared" si="22"/>
        <v>0</v>
      </c>
      <c r="T48" s="344">
        <f t="shared" si="22"/>
        <v>0</v>
      </c>
      <c r="U48" s="344">
        <f t="shared" si="22"/>
        <v>0</v>
      </c>
      <c r="V48" s="344">
        <f t="shared" si="22"/>
        <v>0</v>
      </c>
      <c r="W48" s="344">
        <f t="shared" si="22"/>
        <v>0</v>
      </c>
      <c r="X48" s="344">
        <f t="shared" si="22"/>
        <v>0</v>
      </c>
      <c r="Y48" s="345">
        <f t="shared" si="22"/>
        <v>0</v>
      </c>
    </row>
    <row r="49" spans="1:25" x14ac:dyDescent="0.25">
      <c r="A49" s="336"/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8"/>
    </row>
    <row r="50" spans="1:25" ht="13.8" thickBot="1" x14ac:dyDescent="0.3">
      <c r="A50" s="324" t="s">
        <v>172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5"/>
    </row>
    <row r="51" spans="1:25" x14ac:dyDescent="0.25">
      <c r="A51" s="346" t="s">
        <v>173</v>
      </c>
      <c r="B51" s="347">
        <v>135949</v>
      </c>
      <c r="C51" s="347">
        <v>113151</v>
      </c>
      <c r="D51" s="347">
        <v>125384</v>
      </c>
      <c r="E51" s="347">
        <v>121604</v>
      </c>
      <c r="F51" s="347">
        <v>125105</v>
      </c>
      <c r="G51" s="347">
        <v>121386</v>
      </c>
      <c r="H51" s="347">
        <v>125967</v>
      </c>
      <c r="I51" s="347">
        <v>121161</v>
      </c>
      <c r="J51" s="347">
        <v>126213</v>
      </c>
      <c r="K51" s="347">
        <v>129908</v>
      </c>
      <c r="L51" s="347">
        <v>126417</v>
      </c>
      <c r="M51" s="347">
        <v>134304</v>
      </c>
      <c r="N51" s="347">
        <v>130146</v>
      </c>
      <c r="O51" s="347">
        <v>0</v>
      </c>
      <c r="P51" s="347">
        <v>0</v>
      </c>
      <c r="Q51" s="347">
        <v>0</v>
      </c>
      <c r="R51" s="347">
        <v>0</v>
      </c>
      <c r="S51" s="347">
        <v>0</v>
      </c>
      <c r="T51" s="347">
        <v>0</v>
      </c>
      <c r="U51" s="347">
        <v>0</v>
      </c>
      <c r="V51" s="347">
        <v>0</v>
      </c>
      <c r="W51" s="347">
        <v>0</v>
      </c>
      <c r="X51" s="347">
        <v>0</v>
      </c>
      <c r="Y51" s="348">
        <v>0</v>
      </c>
    </row>
    <row r="52" spans="1:25" x14ac:dyDescent="0.25">
      <c r="A52" s="349" t="s">
        <v>174</v>
      </c>
      <c r="B52" s="350">
        <v>131538</v>
      </c>
      <c r="C52" s="350">
        <v>132439</v>
      </c>
      <c r="D52" s="350">
        <v>129227</v>
      </c>
      <c r="E52" s="350">
        <v>121252</v>
      </c>
      <c r="F52" s="350">
        <v>124980</v>
      </c>
      <c r="G52" s="350">
        <v>121960</v>
      </c>
      <c r="H52" s="350">
        <v>125648</v>
      </c>
      <c r="I52" s="350">
        <v>122753</v>
      </c>
      <c r="J52" s="350">
        <v>134379</v>
      </c>
      <c r="K52" s="350">
        <v>126545</v>
      </c>
      <c r="L52" s="350">
        <v>121877</v>
      </c>
      <c r="M52" s="350">
        <v>140803</v>
      </c>
      <c r="N52" s="350">
        <v>121287</v>
      </c>
      <c r="O52" s="350">
        <v>0</v>
      </c>
      <c r="P52" s="350">
        <v>0</v>
      </c>
      <c r="Q52" s="350">
        <v>0</v>
      </c>
      <c r="R52" s="350">
        <v>0</v>
      </c>
      <c r="S52" s="350">
        <v>0</v>
      </c>
      <c r="T52" s="350">
        <v>0</v>
      </c>
      <c r="U52" s="350">
        <v>0</v>
      </c>
      <c r="V52" s="350">
        <v>0</v>
      </c>
      <c r="W52" s="350">
        <v>0</v>
      </c>
      <c r="X52" s="350">
        <v>0</v>
      </c>
      <c r="Y52" s="351">
        <v>0</v>
      </c>
    </row>
    <row r="53" spans="1:25" x14ac:dyDescent="0.25">
      <c r="A53" s="311"/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3"/>
    </row>
    <row r="54" spans="1:25" x14ac:dyDescent="0.25">
      <c r="A54" s="314" t="s">
        <v>171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3"/>
    </row>
    <row r="55" spans="1:25" x14ac:dyDescent="0.25">
      <c r="A55" s="311" t="s">
        <v>173</v>
      </c>
      <c r="B55" s="315" t="s">
        <v>186</v>
      </c>
      <c r="C55" s="315" t="s">
        <v>186</v>
      </c>
      <c r="D55" s="315">
        <f>D47-D51</f>
        <v>-0.23110676000942476</v>
      </c>
      <c r="E55" s="315">
        <f t="shared" ref="E55:Y55" si="23">E47-E51</f>
        <v>-8351.3608018399973</v>
      </c>
      <c r="F55" s="315">
        <f t="shared" si="23"/>
        <v>0.10378365997166838</v>
      </c>
      <c r="G55" s="315">
        <f t="shared" si="23"/>
        <v>0.23393159998522606</v>
      </c>
      <c r="H55" s="315">
        <f t="shared" si="23"/>
        <v>-0.21596592001151294</v>
      </c>
      <c r="I55" s="315">
        <f t="shared" si="23"/>
        <v>8.3600699974340387E-2</v>
      </c>
      <c r="J55" s="315">
        <f t="shared" si="23"/>
        <v>-5.069910001475364E-2</v>
      </c>
      <c r="K55" s="315">
        <f t="shared" si="23"/>
        <v>-0.41318594000767916</v>
      </c>
      <c r="L55" s="315">
        <f t="shared" si="23"/>
        <v>-0.33614586001203861</v>
      </c>
      <c r="M55" s="315">
        <f t="shared" si="23"/>
        <v>-0.43612530000973493</v>
      </c>
      <c r="N55" s="315">
        <f t="shared" si="23"/>
        <v>-3923.2763103000179</v>
      </c>
      <c r="O55" s="315">
        <f t="shared" si="23"/>
        <v>126255.04705044</v>
      </c>
      <c r="P55" s="315">
        <f t="shared" si="23"/>
        <v>0</v>
      </c>
      <c r="Q55" s="315">
        <f t="shared" si="23"/>
        <v>0</v>
      </c>
      <c r="R55" s="315">
        <f t="shared" si="23"/>
        <v>0</v>
      </c>
      <c r="S55" s="315">
        <f t="shared" si="23"/>
        <v>0</v>
      </c>
      <c r="T55" s="315">
        <f t="shared" si="23"/>
        <v>0</v>
      </c>
      <c r="U55" s="315">
        <f t="shared" si="23"/>
        <v>0</v>
      </c>
      <c r="V55" s="315">
        <f t="shared" si="23"/>
        <v>0</v>
      </c>
      <c r="W55" s="315">
        <f t="shared" si="23"/>
        <v>0</v>
      </c>
      <c r="X55" s="315">
        <f t="shared" si="23"/>
        <v>0</v>
      </c>
      <c r="Y55" s="316">
        <f t="shared" si="23"/>
        <v>0</v>
      </c>
    </row>
    <row r="56" spans="1:25" x14ac:dyDescent="0.25">
      <c r="A56" s="311" t="s">
        <v>174</v>
      </c>
      <c r="B56" s="315" t="s">
        <v>186</v>
      </c>
      <c r="C56" s="315" t="s">
        <v>186</v>
      </c>
      <c r="D56" s="315">
        <f>D48-D52</f>
        <v>-0.40680011118820403</v>
      </c>
      <c r="E56" s="315">
        <f t="shared" ref="E56:Y56" si="24">E48-E52</f>
        <v>-4595.2879020916007</v>
      </c>
      <c r="F56" s="315">
        <f t="shared" si="24"/>
        <v>-7.6637219593976624E-2</v>
      </c>
      <c r="G56" s="315">
        <f t="shared" si="24"/>
        <v>-4.0262315815198235E-2</v>
      </c>
      <c r="H56" s="315">
        <f t="shared" si="24"/>
        <v>-0.24099301353271585</v>
      </c>
      <c r="I56" s="315">
        <f t="shared" si="24"/>
        <v>0.18654945280286483</v>
      </c>
      <c r="J56" s="315">
        <f t="shared" si="24"/>
        <v>0.40661552880192176</v>
      </c>
      <c r="K56" s="315">
        <f t="shared" si="24"/>
        <v>-0.45021488719794434</v>
      </c>
      <c r="L56" s="315">
        <f t="shared" si="24"/>
        <v>-0.2749525522813201</v>
      </c>
      <c r="M56" s="315">
        <f t="shared" si="24"/>
        <v>-15160.372167018402</v>
      </c>
      <c r="N56" s="315">
        <f t="shared" si="24"/>
        <v>-0.47433703800197691</v>
      </c>
      <c r="O56" s="315">
        <f t="shared" si="24"/>
        <v>125208.66343299599</v>
      </c>
      <c r="P56" s="315">
        <f t="shared" si="24"/>
        <v>0</v>
      </c>
      <c r="Q56" s="315">
        <f t="shared" si="24"/>
        <v>0</v>
      </c>
      <c r="R56" s="315">
        <f t="shared" si="24"/>
        <v>0</v>
      </c>
      <c r="S56" s="315">
        <f t="shared" si="24"/>
        <v>0</v>
      </c>
      <c r="T56" s="315">
        <f t="shared" si="24"/>
        <v>0</v>
      </c>
      <c r="U56" s="315">
        <f t="shared" si="24"/>
        <v>0</v>
      </c>
      <c r="V56" s="315">
        <f t="shared" si="24"/>
        <v>0</v>
      </c>
      <c r="W56" s="315">
        <f t="shared" si="24"/>
        <v>0</v>
      </c>
      <c r="X56" s="315">
        <f t="shared" si="24"/>
        <v>0</v>
      </c>
      <c r="Y56" s="316">
        <f t="shared" si="24"/>
        <v>0</v>
      </c>
    </row>
    <row r="57" spans="1:25" x14ac:dyDescent="0.25">
      <c r="A57" s="317"/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3"/>
    </row>
    <row r="58" spans="1:25" ht="13.8" thickBot="1" x14ac:dyDescent="0.3">
      <c r="A58" s="325" t="s">
        <v>189</v>
      </c>
      <c r="B58" s="321">
        <f>'Gallup Totals'!B40</f>
        <v>107125.68799999999</v>
      </c>
      <c r="C58" s="321">
        <f>'Gallup Totals'!C40</f>
        <v>104655.944</v>
      </c>
      <c r="D58" s="321">
        <f>'Gallup Totals'!D40</f>
        <v>116392.54069375999</v>
      </c>
      <c r="E58" s="321">
        <f>'Gallup Totals'!E40</f>
        <v>113558.95536212</v>
      </c>
      <c r="F58" s="321">
        <f>'Gallup Totals'!F40</f>
        <v>115551.47185475999</v>
      </c>
      <c r="G58" s="321">
        <f>'Gallup Totals'!G40</f>
        <v>115326.91550922001</v>
      </c>
      <c r="H58" s="321">
        <f>'Gallup Totals'!H40</f>
        <v>107829.16866699999</v>
      </c>
      <c r="I58" s="321">
        <f>'Gallup Totals'!I40</f>
        <v>122263.80355996</v>
      </c>
      <c r="J58" s="321">
        <f>'Gallup Totals'!J40</f>
        <v>121281.89964512001</v>
      </c>
      <c r="K58" s="321">
        <f>'Gallup Totals'!K40</f>
        <v>108997.46523435999</v>
      </c>
      <c r="L58" s="321">
        <f>'Gallup Totals'!L40</f>
        <v>90938.39088620001</v>
      </c>
      <c r="M58" s="321">
        <f>'Gallup Totals'!M40</f>
        <v>122362.24039615999</v>
      </c>
      <c r="N58" s="321">
        <f>'Gallup Totals'!N40</f>
        <v>121075.05983436</v>
      </c>
      <c r="O58" s="321">
        <f>'Gallup Totals'!O40</f>
        <v>113681.06078086</v>
      </c>
      <c r="P58" s="321">
        <f>'Gallup Totals'!P40</f>
        <v>107125.68799999999</v>
      </c>
      <c r="Q58" s="321">
        <f>'Gallup Totals'!Q40</f>
        <v>106303.44</v>
      </c>
      <c r="R58" s="321">
        <f>'Gallup Totals'!R40</f>
        <v>107127.68799999999</v>
      </c>
      <c r="S58" s="321">
        <f>'Gallup Totals'!S40</f>
        <v>106305.44</v>
      </c>
      <c r="T58" s="321">
        <f>'Gallup Totals'!T40</f>
        <v>107129.68799999999</v>
      </c>
      <c r="U58" s="321">
        <f>'Gallup Totals'!U40</f>
        <v>107130.68799999999</v>
      </c>
      <c r="V58" s="321">
        <f>'Gallup Totals'!V40</f>
        <v>106308.44</v>
      </c>
      <c r="W58" s="321">
        <f>'Gallup Totals'!W40</f>
        <v>107132.68799999999</v>
      </c>
      <c r="X58" s="321">
        <f>'Gallup Totals'!X40</f>
        <v>106310.44</v>
      </c>
      <c r="Y58" s="322">
        <f>'Gallup Totals'!Y40</f>
        <v>107134.68799999999</v>
      </c>
    </row>
    <row r="59" spans="1:25" x14ac:dyDescent="0.25">
      <c r="A59" s="323" t="s">
        <v>190</v>
      </c>
      <c r="B59" s="326">
        <f>B58+B48+B47</f>
        <v>107125.68799999999</v>
      </c>
      <c r="C59" s="326">
        <f t="shared" ref="C59:Y59" si="25">C58+C48+C47</f>
        <v>104655.944</v>
      </c>
      <c r="D59" s="326">
        <f t="shared" si="25"/>
        <v>371002.90278688876</v>
      </c>
      <c r="E59" s="326">
        <f t="shared" si="25"/>
        <v>343468.3066581884</v>
      </c>
      <c r="F59" s="326">
        <f t="shared" si="25"/>
        <v>365636.49900120037</v>
      </c>
      <c r="G59" s="326">
        <f t="shared" si="25"/>
        <v>358673.10917850421</v>
      </c>
      <c r="H59" s="326">
        <f t="shared" si="25"/>
        <v>359443.71170806646</v>
      </c>
      <c r="I59" s="326">
        <f t="shared" si="25"/>
        <v>366178.07371011277</v>
      </c>
      <c r="J59" s="326">
        <f t="shared" si="25"/>
        <v>381874.25556154881</v>
      </c>
      <c r="K59" s="326">
        <f t="shared" si="25"/>
        <v>365449.6018335328</v>
      </c>
      <c r="L59" s="326">
        <f t="shared" si="25"/>
        <v>339231.7797877877</v>
      </c>
      <c r="M59" s="326">
        <f t="shared" si="25"/>
        <v>382308.43210384157</v>
      </c>
      <c r="N59" s="326">
        <f t="shared" si="25"/>
        <v>368584.30918702198</v>
      </c>
      <c r="O59" s="326">
        <f t="shared" si="25"/>
        <v>365144.77126429597</v>
      </c>
      <c r="P59" s="326">
        <f t="shared" si="25"/>
        <v>107125.68799999999</v>
      </c>
      <c r="Q59" s="326">
        <f t="shared" si="25"/>
        <v>106303.44</v>
      </c>
      <c r="R59" s="326">
        <f t="shared" si="25"/>
        <v>107127.68799999999</v>
      </c>
      <c r="S59" s="326">
        <f t="shared" si="25"/>
        <v>106305.44</v>
      </c>
      <c r="T59" s="326">
        <f t="shared" si="25"/>
        <v>107129.68799999999</v>
      </c>
      <c r="U59" s="326">
        <f t="shared" si="25"/>
        <v>107130.68799999999</v>
      </c>
      <c r="V59" s="326">
        <f t="shared" si="25"/>
        <v>106308.44</v>
      </c>
      <c r="W59" s="326">
        <f t="shared" si="25"/>
        <v>107132.68799999999</v>
      </c>
      <c r="X59" s="326">
        <f t="shared" si="25"/>
        <v>106310.44</v>
      </c>
      <c r="Y59" s="326">
        <f t="shared" si="25"/>
        <v>107134.68799999999</v>
      </c>
    </row>
    <row r="60" spans="1:25" x14ac:dyDescent="0.25">
      <c r="A60" s="317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3"/>
    </row>
    <row r="61" spans="1:25" x14ac:dyDescent="0.25">
      <c r="A61" s="317" t="s">
        <v>191</v>
      </c>
      <c r="B61" s="326">
        <f>B59/B38</f>
        <v>3455.6673548387093</v>
      </c>
      <c r="C61" s="326">
        <f t="shared" ref="C61:Y61" si="26">C59/C38</f>
        <v>3737.7122857142858</v>
      </c>
      <c r="D61" s="326">
        <f t="shared" si="26"/>
        <v>11967.835573770606</v>
      </c>
      <c r="E61" s="326">
        <f t="shared" si="26"/>
        <v>11448.943555272946</v>
      </c>
      <c r="F61" s="326">
        <f t="shared" si="26"/>
        <v>11794.725774232271</v>
      </c>
      <c r="G61" s="326">
        <f t="shared" si="26"/>
        <v>11955.77030595014</v>
      </c>
      <c r="H61" s="326">
        <f t="shared" si="26"/>
        <v>11594.958442195692</v>
      </c>
      <c r="I61" s="326">
        <f t="shared" si="26"/>
        <v>11812.19592613267</v>
      </c>
      <c r="J61" s="326">
        <f t="shared" si="26"/>
        <v>12729.141852051627</v>
      </c>
      <c r="K61" s="326">
        <f t="shared" si="26"/>
        <v>11788.696833339767</v>
      </c>
      <c r="L61" s="326">
        <f t="shared" si="26"/>
        <v>11307.725992926256</v>
      </c>
      <c r="M61" s="326">
        <f t="shared" si="26"/>
        <v>12332.530067865857</v>
      </c>
      <c r="N61" s="326">
        <f t="shared" si="26"/>
        <v>11889.816425387806</v>
      </c>
      <c r="O61" s="326">
        <f t="shared" si="26"/>
        <v>13040.88468801057</v>
      </c>
      <c r="P61" s="326">
        <f t="shared" si="26"/>
        <v>3455.6673548387093</v>
      </c>
      <c r="Q61" s="326">
        <f t="shared" si="26"/>
        <v>3543.4479999999999</v>
      </c>
      <c r="R61" s="326">
        <f t="shared" si="26"/>
        <v>3455.7318709677415</v>
      </c>
      <c r="S61" s="326">
        <f t="shared" si="26"/>
        <v>3543.5146666666669</v>
      </c>
      <c r="T61" s="326">
        <f t="shared" si="26"/>
        <v>3455.7963870967742</v>
      </c>
      <c r="U61" s="326">
        <f t="shared" si="26"/>
        <v>3455.8286451612903</v>
      </c>
      <c r="V61" s="326">
        <f t="shared" si="26"/>
        <v>3543.6146666666668</v>
      </c>
      <c r="W61" s="326">
        <f t="shared" si="26"/>
        <v>3455.8931612903225</v>
      </c>
      <c r="X61" s="326">
        <f t="shared" si="26"/>
        <v>3543.6813333333334</v>
      </c>
      <c r="Y61" s="326">
        <f t="shared" si="26"/>
        <v>3455.9576774193547</v>
      </c>
    </row>
    <row r="62" spans="1:25" ht="13.8" thickBot="1" x14ac:dyDescent="0.3">
      <c r="A62" s="318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20"/>
    </row>
  </sheetData>
  <mergeCells count="2">
    <mergeCell ref="B5:M5"/>
    <mergeCell ref="N5:Y5"/>
  </mergeCells>
  <phoneticPr fontId="0" type="noConversion"/>
  <pageMargins left="0.5" right="0.5" top="0.5" bottom="0.5" header="0.5" footer="0.5"/>
  <pageSetup paperSize="5" scale="5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10" zoomScaleNormal="100" workbookViewId="0">
      <selection activeCell="E35" sqref="E35"/>
    </sheetView>
  </sheetViews>
  <sheetFormatPr defaultRowHeight="13.2" x14ac:dyDescent="0.25"/>
  <cols>
    <col min="1" max="1" width="12.5546875" customWidth="1"/>
    <col min="2" max="2" width="10.44140625" customWidth="1"/>
    <col min="3" max="3" width="2.6640625" customWidth="1"/>
    <col min="4" max="5" width="12.6640625" customWidth="1"/>
    <col min="6" max="6" width="2.6640625" customWidth="1"/>
    <col min="7" max="7" width="8.6640625" customWidth="1"/>
    <col min="8" max="8" width="13.6640625" customWidth="1"/>
    <col min="9" max="10" width="2.6640625" customWidth="1"/>
    <col min="11" max="11" width="10.5546875" style="189" customWidth="1"/>
    <col min="12" max="12" width="13.6640625" style="190" customWidth="1"/>
  </cols>
  <sheetData>
    <row r="1" spans="1:12" x14ac:dyDescent="0.25">
      <c r="A1" s="361" t="s">
        <v>64</v>
      </c>
      <c r="B1" s="361"/>
      <c r="C1" s="252"/>
      <c r="D1" s="361" t="s">
        <v>65</v>
      </c>
      <c r="E1" s="361"/>
      <c r="F1" s="252"/>
      <c r="G1" s="361" t="s">
        <v>166</v>
      </c>
      <c r="H1" s="361"/>
      <c r="I1" s="161"/>
      <c r="J1" s="194"/>
      <c r="K1" s="358" t="s">
        <v>148</v>
      </c>
      <c r="L1" s="358"/>
    </row>
    <row r="2" spans="1:12" x14ac:dyDescent="0.25">
      <c r="A2" s="361" t="s">
        <v>133</v>
      </c>
      <c r="B2" s="361"/>
      <c r="C2" s="253"/>
      <c r="D2" s="361" t="s">
        <v>133</v>
      </c>
      <c r="E2" s="361"/>
      <c r="F2" s="254"/>
      <c r="G2" s="360" t="s">
        <v>134</v>
      </c>
      <c r="H2" s="360"/>
      <c r="I2" s="161"/>
      <c r="J2" s="194"/>
      <c r="K2" s="359" t="s">
        <v>134</v>
      </c>
      <c r="L2" s="359"/>
    </row>
    <row r="3" spans="1:12" x14ac:dyDescent="0.25">
      <c r="F3" s="115"/>
      <c r="J3" s="195"/>
      <c r="K3" s="250"/>
      <c r="L3" s="251"/>
    </row>
    <row r="4" spans="1:12" ht="34.799999999999997" x14ac:dyDescent="0.25">
      <c r="A4" s="162" t="s">
        <v>135</v>
      </c>
      <c r="B4" s="163" t="s">
        <v>136</v>
      </c>
      <c r="C4" s="186"/>
      <c r="D4" s="162" t="s">
        <v>135</v>
      </c>
      <c r="E4" s="163" t="s">
        <v>136</v>
      </c>
      <c r="F4" s="6"/>
      <c r="G4" s="162" t="s">
        <v>135</v>
      </c>
      <c r="H4" s="164" t="s">
        <v>138</v>
      </c>
      <c r="I4" s="172"/>
      <c r="J4" s="196"/>
      <c r="K4" s="188" t="s">
        <v>135</v>
      </c>
      <c r="L4" s="191" t="s">
        <v>138</v>
      </c>
    </row>
    <row r="5" spans="1:12" s="6" customFormat="1" ht="11.4" x14ac:dyDescent="0.2">
      <c r="A5" s="165" t="s">
        <v>137</v>
      </c>
      <c r="B5" s="166">
        <v>4.7620000000000003E-2</v>
      </c>
      <c r="C5" s="187"/>
      <c r="D5" s="165" t="s">
        <v>137</v>
      </c>
      <c r="E5" s="166">
        <v>3.3329999999999999E-2</v>
      </c>
      <c r="G5" s="167">
        <v>0.01</v>
      </c>
      <c r="H5" s="168">
        <v>0.11992899999999999</v>
      </c>
      <c r="J5" s="197"/>
      <c r="K5" s="192">
        <v>0.01</v>
      </c>
      <c r="L5" s="193">
        <v>5.7079999999999999E-2</v>
      </c>
    </row>
    <row r="6" spans="1:12" s="6" customFormat="1" ht="11.4" x14ac:dyDescent="0.2">
      <c r="A6" s="165">
        <v>0.51</v>
      </c>
      <c r="B6" s="166">
        <v>4.6690000000000002E-2</v>
      </c>
      <c r="C6" s="187"/>
      <c r="D6" s="165">
        <v>0.51</v>
      </c>
      <c r="E6" s="166">
        <v>3.2680000000000001E-2</v>
      </c>
      <c r="G6" s="167">
        <f>G5+0.01</f>
        <v>0.02</v>
      </c>
      <c r="H6" s="168">
        <v>6.2820000000000001E-2</v>
      </c>
      <c r="J6" s="197"/>
      <c r="K6" s="192">
        <f>K5+0.01</f>
        <v>0.02</v>
      </c>
      <c r="L6" s="193">
        <v>3.092E-2</v>
      </c>
    </row>
    <row r="7" spans="1:12" s="6" customFormat="1" ht="11.4" x14ac:dyDescent="0.2">
      <c r="A7" s="165">
        <v>0.52</v>
      </c>
      <c r="B7" s="166">
        <v>4.5789999999999997E-2</v>
      </c>
      <c r="C7" s="187"/>
      <c r="D7" s="165">
        <v>0.52</v>
      </c>
      <c r="E7" s="166">
        <v>3.2050000000000002E-2</v>
      </c>
      <c r="G7" s="167">
        <f t="shared" ref="G7:G70" si="0">G6+0.01</f>
        <v>0.03</v>
      </c>
      <c r="H7" s="168">
        <v>4.3784000000000003E-2</v>
      </c>
      <c r="J7" s="197"/>
      <c r="K7" s="192">
        <f t="shared" ref="K7:K70" si="1">K6+0.01</f>
        <v>0.03</v>
      </c>
      <c r="L7" s="193">
        <v>2.2200000000000001E-2</v>
      </c>
    </row>
    <row r="8" spans="1:12" s="6" customFormat="1" ht="11.4" x14ac:dyDescent="0.2">
      <c r="A8" s="165">
        <v>0.53</v>
      </c>
      <c r="B8" s="166">
        <v>4.4920000000000002E-2</v>
      </c>
      <c r="C8" s="187"/>
      <c r="D8" s="165">
        <v>0.53</v>
      </c>
      <c r="E8" s="166">
        <v>3.1449999999999999E-2</v>
      </c>
      <c r="G8" s="167">
        <f t="shared" si="0"/>
        <v>0.04</v>
      </c>
      <c r="H8" s="168">
        <v>3.4264999999999997E-2</v>
      </c>
      <c r="J8" s="197"/>
      <c r="K8" s="192">
        <f t="shared" si="1"/>
        <v>0.04</v>
      </c>
      <c r="L8" s="193">
        <v>1.7840000000000002E-2</v>
      </c>
    </row>
    <row r="9" spans="1:12" s="6" customFormat="1" ht="11.4" x14ac:dyDescent="0.2">
      <c r="A9" s="165">
        <v>0.54</v>
      </c>
      <c r="B9" s="166">
        <v>4.4089999999999997E-2</v>
      </c>
      <c r="C9" s="187"/>
      <c r="D9" s="165">
        <v>0.54</v>
      </c>
      <c r="E9" s="166">
        <v>3.0859999999999999E-2</v>
      </c>
      <c r="G9" s="167">
        <f t="shared" si="0"/>
        <v>0.05</v>
      </c>
      <c r="H9" s="168">
        <v>2.8554E-2</v>
      </c>
      <c r="J9" s="197"/>
      <c r="K9" s="192">
        <f t="shared" si="1"/>
        <v>0.05</v>
      </c>
      <c r="L9" s="193">
        <v>1.5219999999999999E-2</v>
      </c>
    </row>
    <row r="10" spans="1:12" s="6" customFormat="1" ht="11.4" x14ac:dyDescent="0.2">
      <c r="A10" s="165">
        <v>0.55000000000000004</v>
      </c>
      <c r="B10" s="166">
        <v>4.3290000000000002E-2</v>
      </c>
      <c r="C10" s="187"/>
      <c r="D10" s="165">
        <v>0.55000000000000004</v>
      </c>
      <c r="E10" s="166">
        <v>3.0300000000000001E-2</v>
      </c>
      <c r="G10" s="167">
        <f t="shared" si="0"/>
        <v>6.0000000000000005E-2</v>
      </c>
      <c r="H10" s="168">
        <v>2.4747000000000002E-2</v>
      </c>
      <c r="J10" s="197"/>
      <c r="K10" s="192">
        <f t="shared" si="1"/>
        <v>6.0000000000000005E-2</v>
      </c>
      <c r="L10" s="193">
        <v>1.3480000000000001E-2</v>
      </c>
    </row>
    <row r="11" spans="1:12" s="6" customFormat="1" ht="11.4" x14ac:dyDescent="0.2">
      <c r="A11" s="165">
        <v>0.56000000000000005</v>
      </c>
      <c r="B11" s="166">
        <v>4.2520000000000002E-2</v>
      </c>
      <c r="C11" s="187"/>
      <c r="D11" s="165">
        <v>0.56000000000000005</v>
      </c>
      <c r="E11" s="166">
        <v>2.9760000000000002E-2</v>
      </c>
      <c r="G11" s="167">
        <f t="shared" si="0"/>
        <v>7.0000000000000007E-2</v>
      </c>
      <c r="H11" s="168">
        <v>2.2027999999999999E-2</v>
      </c>
      <c r="J11" s="197"/>
      <c r="K11" s="192">
        <f t="shared" si="1"/>
        <v>7.0000000000000007E-2</v>
      </c>
      <c r="L11" s="193">
        <v>1.223E-2</v>
      </c>
    </row>
    <row r="12" spans="1:12" s="6" customFormat="1" ht="11.4" x14ac:dyDescent="0.2">
      <c r="A12" s="165">
        <v>0.56999999999999995</v>
      </c>
      <c r="B12" s="166">
        <v>4.1770000000000002E-2</v>
      </c>
      <c r="C12" s="187"/>
      <c r="D12" s="165">
        <v>0.56999999999999995</v>
      </c>
      <c r="E12" s="166">
        <v>2.9239999999999999E-2</v>
      </c>
      <c r="G12" s="167">
        <f t="shared" si="0"/>
        <v>0.08</v>
      </c>
      <c r="H12" s="168">
        <v>1.9987999999999999E-2</v>
      </c>
      <c r="J12" s="197"/>
      <c r="K12" s="192">
        <f t="shared" si="1"/>
        <v>0.08</v>
      </c>
      <c r="L12" s="193">
        <v>1.1299999999999999E-2</v>
      </c>
    </row>
    <row r="13" spans="1:12" s="6" customFormat="1" ht="11.4" x14ac:dyDescent="0.2">
      <c r="A13" s="165">
        <v>0.57999999999999996</v>
      </c>
      <c r="B13" s="166">
        <v>4.1050000000000003E-2</v>
      </c>
      <c r="C13" s="187"/>
      <c r="D13" s="165">
        <v>0.57999999999999996</v>
      </c>
      <c r="E13" s="166">
        <v>2.8740000000000002E-2</v>
      </c>
      <c r="G13" s="167">
        <f t="shared" si="0"/>
        <v>0.09</v>
      </c>
      <c r="H13" s="168">
        <v>1.8402000000000002E-2</v>
      </c>
      <c r="J13" s="197"/>
      <c r="K13" s="192">
        <f t="shared" si="1"/>
        <v>0.09</v>
      </c>
      <c r="L13" s="193">
        <v>1.057E-2</v>
      </c>
    </row>
    <row r="14" spans="1:12" s="6" customFormat="1" ht="11.4" x14ac:dyDescent="0.2">
      <c r="A14" s="165">
        <v>0.59</v>
      </c>
      <c r="B14" s="166">
        <v>4.036E-2</v>
      </c>
      <c r="C14" s="187"/>
      <c r="D14" s="165">
        <v>0.59</v>
      </c>
      <c r="E14" s="166">
        <v>2.8250000000000001E-2</v>
      </c>
      <c r="G14" s="167">
        <f t="shared" si="0"/>
        <v>9.9999999999999992E-2</v>
      </c>
      <c r="H14" s="168">
        <v>1.7132999999999999E-2</v>
      </c>
      <c r="J14" s="197"/>
      <c r="K14" s="192">
        <f t="shared" si="1"/>
        <v>9.9999999999999992E-2</v>
      </c>
      <c r="L14" s="193">
        <v>9.9900000000000006E-3</v>
      </c>
    </row>
    <row r="15" spans="1:12" s="6" customFormat="1" ht="11.4" x14ac:dyDescent="0.2">
      <c r="A15" s="165">
        <v>0.6</v>
      </c>
      <c r="B15" s="166">
        <v>3.968E-2</v>
      </c>
      <c r="C15" s="187"/>
      <c r="D15" s="165">
        <v>0.6</v>
      </c>
      <c r="E15" s="166">
        <v>2.7779999999999999E-2</v>
      </c>
      <c r="G15" s="167">
        <f t="shared" si="0"/>
        <v>0.10999999999999999</v>
      </c>
      <c r="H15" s="168">
        <v>1.6094000000000001E-2</v>
      </c>
      <c r="J15" s="197"/>
      <c r="K15" s="192">
        <f t="shared" si="1"/>
        <v>0.10999999999999999</v>
      </c>
      <c r="L15" s="193">
        <v>9.5099999999999994E-3</v>
      </c>
    </row>
    <row r="16" spans="1:12" s="6" customFormat="1" ht="11.4" x14ac:dyDescent="0.2">
      <c r="A16" s="165">
        <v>0.61</v>
      </c>
      <c r="B16" s="166">
        <v>3.9030000000000002E-2</v>
      </c>
      <c r="C16" s="187"/>
      <c r="D16" s="165">
        <v>0.61</v>
      </c>
      <c r="E16" s="166">
        <v>2.7320000000000001E-2</v>
      </c>
      <c r="G16" s="167">
        <f t="shared" si="0"/>
        <v>0.11999999999999998</v>
      </c>
      <c r="H16" s="168">
        <v>1.5228999999999999E-2</v>
      </c>
      <c r="J16" s="197"/>
      <c r="K16" s="192">
        <f t="shared" si="1"/>
        <v>0.11999999999999998</v>
      </c>
      <c r="L16" s="193">
        <v>9.1199999999999996E-3</v>
      </c>
    </row>
    <row r="17" spans="1:12" s="6" customFormat="1" ht="11.4" x14ac:dyDescent="0.2">
      <c r="A17" s="165">
        <v>0.62</v>
      </c>
      <c r="B17" s="166">
        <v>3.8399999999999997E-2</v>
      </c>
      <c r="C17" s="187"/>
      <c r="D17" s="165">
        <v>0.62</v>
      </c>
      <c r="E17" s="166">
        <v>2.6880000000000001E-2</v>
      </c>
      <c r="G17" s="167">
        <f t="shared" si="0"/>
        <v>0.12999999999999998</v>
      </c>
      <c r="H17" s="168">
        <v>1.4496999999999999E-2</v>
      </c>
      <c r="J17" s="197"/>
      <c r="K17" s="192">
        <f t="shared" si="1"/>
        <v>0.12999999999999998</v>
      </c>
      <c r="L17" s="193">
        <v>8.7799999999999996E-3</v>
      </c>
    </row>
    <row r="18" spans="1:12" s="6" customFormat="1" ht="11.4" x14ac:dyDescent="0.2">
      <c r="A18" s="165">
        <v>0.63</v>
      </c>
      <c r="B18" s="166">
        <v>3.7789999999999997E-2</v>
      </c>
      <c r="C18" s="187"/>
      <c r="D18" s="165">
        <v>0.63</v>
      </c>
      <c r="E18" s="166">
        <v>2.6460000000000001E-2</v>
      </c>
      <c r="G18" s="167">
        <f t="shared" si="0"/>
        <v>0.13999999999999999</v>
      </c>
      <c r="H18" s="168">
        <v>1.3868999999999999E-2</v>
      </c>
      <c r="J18" s="197"/>
      <c r="K18" s="192">
        <f t="shared" si="1"/>
        <v>0.13999999999999999</v>
      </c>
      <c r="L18" s="193">
        <v>8.4899999999999993E-3</v>
      </c>
    </row>
    <row r="19" spans="1:12" s="6" customFormat="1" ht="11.4" x14ac:dyDescent="0.2">
      <c r="A19" s="165">
        <v>0.64</v>
      </c>
      <c r="B19" s="166">
        <v>3.7199999999999997E-2</v>
      </c>
      <c r="C19" s="187"/>
      <c r="D19" s="165">
        <v>0.64</v>
      </c>
      <c r="E19" s="166">
        <v>2.6040000000000001E-2</v>
      </c>
      <c r="G19" s="167">
        <f t="shared" si="0"/>
        <v>0.15</v>
      </c>
      <c r="H19" s="168">
        <v>1.3325E-2</v>
      </c>
      <c r="J19" s="197"/>
      <c r="K19" s="192">
        <f t="shared" si="1"/>
        <v>0.15</v>
      </c>
      <c r="L19" s="193">
        <v>8.2400000000000008E-3</v>
      </c>
    </row>
    <row r="20" spans="1:12" s="6" customFormat="1" ht="11.4" x14ac:dyDescent="0.2">
      <c r="A20" s="165">
        <v>0.65</v>
      </c>
      <c r="B20" s="166">
        <v>3.6630000000000003E-2</v>
      </c>
      <c r="C20" s="187"/>
      <c r="D20" s="165">
        <v>0.65</v>
      </c>
      <c r="E20" s="166">
        <v>2.564E-2</v>
      </c>
      <c r="G20" s="167">
        <f t="shared" si="0"/>
        <v>0.16</v>
      </c>
      <c r="H20" s="168">
        <v>1.285E-2</v>
      </c>
      <c r="J20" s="197"/>
      <c r="K20" s="192">
        <f t="shared" si="1"/>
        <v>0.16</v>
      </c>
      <c r="L20" s="193">
        <v>8.0300000000000007E-3</v>
      </c>
    </row>
    <row r="21" spans="1:12" s="6" customFormat="1" ht="11.4" x14ac:dyDescent="0.2">
      <c r="A21" s="165">
        <v>0.66</v>
      </c>
      <c r="B21" s="166">
        <v>3.6080000000000001E-2</v>
      </c>
      <c r="C21" s="187"/>
      <c r="D21" s="165">
        <v>0.66</v>
      </c>
      <c r="E21" s="166">
        <v>2.5250000000000002E-2</v>
      </c>
      <c r="G21" s="167">
        <f t="shared" si="0"/>
        <v>0.17</v>
      </c>
      <c r="H21" s="168">
        <v>1.243E-2</v>
      </c>
      <c r="J21" s="197"/>
      <c r="K21" s="192">
        <f t="shared" si="1"/>
        <v>0.17</v>
      </c>
      <c r="L21" s="193">
        <v>7.8300000000000002E-3</v>
      </c>
    </row>
    <row r="22" spans="1:12" s="6" customFormat="1" ht="11.4" x14ac:dyDescent="0.2">
      <c r="A22" s="165">
        <v>0.67</v>
      </c>
      <c r="B22" s="166">
        <v>3.5540000000000002E-2</v>
      </c>
      <c r="C22" s="187"/>
      <c r="D22" s="165">
        <v>0.67</v>
      </c>
      <c r="E22" s="166">
        <v>2.4879999999999999E-2</v>
      </c>
      <c r="G22" s="167">
        <f t="shared" si="0"/>
        <v>0.18000000000000002</v>
      </c>
      <c r="H22" s="168">
        <v>1.2056000000000001E-2</v>
      </c>
      <c r="J22" s="197"/>
      <c r="K22" s="192">
        <f t="shared" si="1"/>
        <v>0.18000000000000002</v>
      </c>
      <c r="L22" s="193">
        <v>7.6600000000000001E-3</v>
      </c>
    </row>
    <row r="23" spans="1:12" s="6" customFormat="1" ht="11.4" x14ac:dyDescent="0.2">
      <c r="A23" s="165">
        <v>0.68</v>
      </c>
      <c r="B23" s="166">
        <v>3.5009999999999999E-2</v>
      </c>
      <c r="C23" s="187"/>
      <c r="D23" s="165">
        <v>0.68</v>
      </c>
      <c r="E23" s="166">
        <v>2.4510000000000001E-2</v>
      </c>
      <c r="G23" s="167">
        <f t="shared" si="0"/>
        <v>0.19000000000000003</v>
      </c>
      <c r="H23" s="168">
        <v>1.1722E-2</v>
      </c>
      <c r="J23" s="197"/>
      <c r="K23" s="192">
        <f t="shared" si="1"/>
        <v>0.19000000000000003</v>
      </c>
      <c r="L23" s="193">
        <v>7.5100000000000002E-3</v>
      </c>
    </row>
    <row r="24" spans="1:12" s="6" customFormat="1" ht="11.4" x14ac:dyDescent="0.2">
      <c r="A24" s="165">
        <v>0.69</v>
      </c>
      <c r="B24" s="166">
        <v>3.4509999999999999E-2</v>
      </c>
      <c r="C24" s="187"/>
      <c r="D24" s="165">
        <v>0.69</v>
      </c>
      <c r="E24" s="166">
        <v>2.4150000000000001E-2</v>
      </c>
      <c r="G24" s="167">
        <f t="shared" si="0"/>
        <v>0.20000000000000004</v>
      </c>
      <c r="H24" s="168">
        <v>1.1422E-2</v>
      </c>
      <c r="J24" s="197"/>
      <c r="K24" s="192">
        <f t="shared" si="1"/>
        <v>0.20000000000000004</v>
      </c>
      <c r="L24" s="193">
        <v>7.3699999999999998E-3</v>
      </c>
    </row>
    <row r="25" spans="1:12" s="6" customFormat="1" ht="11.4" x14ac:dyDescent="0.2">
      <c r="A25" s="165">
        <v>0.7</v>
      </c>
      <c r="B25" s="166">
        <v>3.4009999999999999E-2</v>
      </c>
      <c r="C25" s="187"/>
      <c r="D25" s="165">
        <v>0.7</v>
      </c>
      <c r="E25" s="166">
        <v>2.3810000000000001E-2</v>
      </c>
      <c r="G25" s="167">
        <f t="shared" si="0"/>
        <v>0.21000000000000005</v>
      </c>
      <c r="H25" s="168">
        <v>1.115E-2</v>
      </c>
      <c r="J25" s="197"/>
      <c r="K25" s="192">
        <f t="shared" si="1"/>
        <v>0.21000000000000005</v>
      </c>
      <c r="L25" s="193">
        <v>7.2500000000000004E-3</v>
      </c>
    </row>
    <row r="26" spans="1:12" s="6" customFormat="1" ht="11.4" x14ac:dyDescent="0.2">
      <c r="A26" s="165">
        <v>0.71</v>
      </c>
      <c r="B26" s="166">
        <v>3.3529999999999997E-2</v>
      </c>
      <c r="C26" s="187"/>
      <c r="D26" s="165">
        <v>0.71</v>
      </c>
      <c r="E26" s="166">
        <v>2.3470000000000001E-2</v>
      </c>
      <c r="G26" s="167">
        <f t="shared" si="0"/>
        <v>0.22000000000000006</v>
      </c>
      <c r="H26" s="168">
        <v>1.0902999999999999E-2</v>
      </c>
      <c r="J26" s="197"/>
      <c r="K26" s="192">
        <f t="shared" si="1"/>
        <v>0.22000000000000006</v>
      </c>
      <c r="L26" s="193">
        <v>7.1300000000000001E-3</v>
      </c>
    </row>
    <row r="27" spans="1:12" s="6" customFormat="1" ht="11.4" x14ac:dyDescent="0.2">
      <c r="A27" s="165">
        <v>0.72</v>
      </c>
      <c r="B27" s="166">
        <v>3.3070000000000002E-2</v>
      </c>
      <c r="C27" s="187"/>
      <c r="D27" s="165">
        <v>0.72</v>
      </c>
      <c r="E27" s="166">
        <v>2.315E-2</v>
      </c>
      <c r="G27" s="167">
        <f t="shared" si="0"/>
        <v>0.23000000000000007</v>
      </c>
      <c r="H27" s="168">
        <v>1.0677000000000001E-2</v>
      </c>
      <c r="J27" s="197"/>
      <c r="K27" s="192">
        <f t="shared" si="1"/>
        <v>0.23000000000000007</v>
      </c>
      <c r="L27" s="193">
        <v>7.0299999999999998E-3</v>
      </c>
    </row>
    <row r="28" spans="1:12" s="6" customFormat="1" ht="11.4" x14ac:dyDescent="0.2">
      <c r="A28" s="165">
        <v>0.73</v>
      </c>
      <c r="B28" s="166">
        <v>3.2620000000000003E-2</v>
      </c>
      <c r="C28" s="187"/>
      <c r="D28" s="165">
        <v>0.73</v>
      </c>
      <c r="E28" s="166">
        <v>2.283E-2</v>
      </c>
      <c r="G28" s="167">
        <f t="shared" si="0"/>
        <v>0.24000000000000007</v>
      </c>
      <c r="H28" s="168">
        <v>1.047E-2</v>
      </c>
      <c r="J28" s="197"/>
      <c r="K28" s="192">
        <f t="shared" si="1"/>
        <v>0.24000000000000007</v>
      </c>
      <c r="L28" s="193">
        <v>6.94E-3</v>
      </c>
    </row>
    <row r="29" spans="1:12" s="6" customFormat="1" ht="11.4" x14ac:dyDescent="0.2">
      <c r="A29" s="165">
        <v>0.74</v>
      </c>
      <c r="B29" s="166">
        <v>3.218E-2</v>
      </c>
      <c r="C29" s="187"/>
      <c r="D29" s="165">
        <v>0.74</v>
      </c>
      <c r="E29" s="166">
        <v>2.2519999999999998E-2</v>
      </c>
      <c r="G29" s="167">
        <f t="shared" si="0"/>
        <v>0.25000000000000006</v>
      </c>
      <c r="H29" s="168">
        <v>1.0279999999999999E-2</v>
      </c>
      <c r="J29" s="197"/>
      <c r="K29" s="192">
        <f t="shared" si="1"/>
        <v>0.25000000000000006</v>
      </c>
      <c r="L29" s="193">
        <v>6.8500000000000002E-3</v>
      </c>
    </row>
    <row r="30" spans="1:12" s="6" customFormat="1" ht="11.4" x14ac:dyDescent="0.2">
      <c r="A30" s="165">
        <v>0.75</v>
      </c>
      <c r="B30" s="166">
        <v>3.175E-2</v>
      </c>
      <c r="C30" s="187"/>
      <c r="D30" s="165">
        <v>0.75</v>
      </c>
      <c r="E30" s="166">
        <v>2.222E-2</v>
      </c>
      <c r="G30" s="167">
        <f t="shared" si="0"/>
        <v>0.26000000000000006</v>
      </c>
      <c r="H30" s="168">
        <v>1.0104E-2</v>
      </c>
      <c r="J30" s="197"/>
      <c r="K30" s="192">
        <f t="shared" si="1"/>
        <v>0.26000000000000006</v>
      </c>
      <c r="L30" s="193">
        <v>6.5900000000000004E-3</v>
      </c>
    </row>
    <row r="31" spans="1:12" s="6" customFormat="1" ht="11.4" x14ac:dyDescent="0.2">
      <c r="A31" s="165">
        <v>0.76</v>
      </c>
      <c r="B31" s="166">
        <v>3.1329999999999997E-2</v>
      </c>
      <c r="C31" s="187"/>
      <c r="D31" s="165">
        <v>0.76</v>
      </c>
      <c r="E31" s="166">
        <v>2.1930000000000002E-2</v>
      </c>
      <c r="G31" s="167">
        <f t="shared" si="0"/>
        <v>0.27000000000000007</v>
      </c>
      <c r="H31" s="168">
        <v>9.9410000000000002E-3</v>
      </c>
      <c r="J31" s="197"/>
      <c r="K31" s="192">
        <f t="shared" si="1"/>
        <v>0.27000000000000007</v>
      </c>
      <c r="L31" s="193">
        <v>6.3400000000000001E-3</v>
      </c>
    </row>
    <row r="32" spans="1:12" s="6" customFormat="1" ht="11.4" x14ac:dyDescent="0.2">
      <c r="A32" s="165">
        <v>0.77</v>
      </c>
      <c r="B32" s="166">
        <v>3.092E-2</v>
      </c>
      <c r="C32" s="187"/>
      <c r="D32" s="165">
        <v>0.77</v>
      </c>
      <c r="E32" s="166">
        <v>2.1649999999999999E-2</v>
      </c>
      <c r="G32" s="167">
        <f t="shared" si="0"/>
        <v>0.28000000000000008</v>
      </c>
      <c r="H32" s="168">
        <v>9.7900000000000001E-3</v>
      </c>
      <c r="J32" s="197"/>
      <c r="K32" s="192">
        <f t="shared" si="1"/>
        <v>0.28000000000000008</v>
      </c>
      <c r="L32" s="193">
        <v>6.1199999999999996E-3</v>
      </c>
    </row>
    <row r="33" spans="1:12" s="6" customFormat="1" ht="11.4" x14ac:dyDescent="0.2">
      <c r="A33" s="165">
        <v>0.78</v>
      </c>
      <c r="B33" s="166">
        <v>3.0530000000000002E-2</v>
      </c>
      <c r="C33" s="187"/>
      <c r="D33" s="165">
        <v>0.78</v>
      </c>
      <c r="E33" s="166">
        <v>2.137E-2</v>
      </c>
      <c r="G33" s="167">
        <f t="shared" si="0"/>
        <v>0.29000000000000009</v>
      </c>
      <c r="H33" s="168">
        <v>9.6489999999999996E-3</v>
      </c>
      <c r="J33" s="197"/>
      <c r="K33" s="192">
        <f t="shared" si="1"/>
        <v>0.29000000000000009</v>
      </c>
      <c r="L33" s="193">
        <v>5.8999999999999999E-3</v>
      </c>
    </row>
    <row r="34" spans="1:12" s="6" customFormat="1" ht="11.4" x14ac:dyDescent="0.2">
      <c r="A34" s="165">
        <v>0.79</v>
      </c>
      <c r="B34" s="166">
        <v>3.014E-2</v>
      </c>
      <c r="C34" s="187"/>
      <c r="D34" s="165">
        <v>0.79</v>
      </c>
      <c r="E34" s="166">
        <v>2.1100000000000001E-2</v>
      </c>
      <c r="G34" s="167">
        <f t="shared" si="0"/>
        <v>0.3000000000000001</v>
      </c>
      <c r="H34" s="168">
        <v>9.5180000000000004E-3</v>
      </c>
      <c r="J34" s="197"/>
      <c r="K34" s="192">
        <f t="shared" si="1"/>
        <v>0.3000000000000001</v>
      </c>
      <c r="L34" s="193">
        <v>5.7099999999999998E-3</v>
      </c>
    </row>
    <row r="35" spans="1:12" s="6" customFormat="1" ht="11.4" x14ac:dyDescent="0.2">
      <c r="A35" s="165">
        <v>0.8</v>
      </c>
      <c r="B35" s="166">
        <v>2.9760000000000002E-2</v>
      </c>
      <c r="C35" s="187"/>
      <c r="D35" s="165">
        <v>0.8</v>
      </c>
      <c r="E35" s="166">
        <v>2.0830000000000001E-2</v>
      </c>
      <c r="G35" s="167">
        <f t="shared" si="0"/>
        <v>0.31000000000000011</v>
      </c>
      <c r="H35" s="168">
        <v>9.3950000000000006E-3</v>
      </c>
      <c r="J35" s="197"/>
      <c r="K35" s="192">
        <f t="shared" si="1"/>
        <v>0.31000000000000011</v>
      </c>
      <c r="L35" s="193">
        <v>5.5199999999999997E-3</v>
      </c>
    </row>
    <row r="36" spans="1:12" s="6" customFormat="1" ht="11.4" x14ac:dyDescent="0.2">
      <c r="A36" s="165">
        <v>0.81</v>
      </c>
      <c r="B36" s="166">
        <v>2.9389999999999999E-2</v>
      </c>
      <c r="C36" s="187"/>
      <c r="D36" s="165">
        <v>0.81</v>
      </c>
      <c r="E36" s="166">
        <v>2.0580000000000001E-2</v>
      </c>
      <c r="G36" s="167">
        <f t="shared" si="0"/>
        <v>0.32000000000000012</v>
      </c>
      <c r="H36" s="168">
        <v>9.2800000000000001E-3</v>
      </c>
      <c r="J36" s="197"/>
      <c r="K36" s="192">
        <f t="shared" si="1"/>
        <v>0.32000000000000012</v>
      </c>
      <c r="L36" s="193">
        <v>5.3499999999999997E-3</v>
      </c>
    </row>
    <row r="37" spans="1:12" s="6" customFormat="1" ht="11.4" x14ac:dyDescent="0.2">
      <c r="A37" s="165">
        <v>0.82</v>
      </c>
      <c r="B37" s="166">
        <v>2.904E-2</v>
      </c>
      <c r="C37" s="187"/>
      <c r="D37" s="165">
        <v>0.82</v>
      </c>
      <c r="E37" s="166">
        <v>2.0330000000000001E-2</v>
      </c>
      <c r="G37" s="167">
        <f t="shared" si="0"/>
        <v>0.33000000000000013</v>
      </c>
      <c r="H37" s="168">
        <v>9.1719999999999996E-3</v>
      </c>
      <c r="J37" s="197"/>
      <c r="K37" s="192">
        <f t="shared" si="1"/>
        <v>0.33000000000000013</v>
      </c>
      <c r="L37" s="193">
        <v>5.1900000000000002E-3</v>
      </c>
    </row>
    <row r="38" spans="1:12" s="6" customFormat="1" ht="11.4" x14ac:dyDescent="0.2">
      <c r="A38" s="165">
        <v>0.83</v>
      </c>
      <c r="B38" s="166">
        <v>2.869E-2</v>
      </c>
      <c r="C38" s="187"/>
      <c r="D38" s="165">
        <v>0.83</v>
      </c>
      <c r="E38" s="166">
        <v>2.0080000000000001E-2</v>
      </c>
      <c r="G38" s="167">
        <f t="shared" si="0"/>
        <v>0.34000000000000014</v>
      </c>
      <c r="H38" s="168">
        <v>9.0699999999999999E-3</v>
      </c>
      <c r="J38" s="197"/>
      <c r="K38" s="192">
        <f t="shared" si="1"/>
        <v>0.34000000000000014</v>
      </c>
      <c r="L38" s="193">
        <v>5.0400000000000002E-3</v>
      </c>
    </row>
    <row r="39" spans="1:12" s="6" customFormat="1" ht="11.4" x14ac:dyDescent="0.2">
      <c r="A39" s="165">
        <v>0.84</v>
      </c>
      <c r="B39" s="166">
        <v>2.8340000000000001E-2</v>
      </c>
      <c r="C39" s="187"/>
      <c r="D39" s="165">
        <v>0.84</v>
      </c>
      <c r="E39" s="166">
        <v>1.984E-2</v>
      </c>
      <c r="G39" s="167">
        <f t="shared" si="0"/>
        <v>0.35000000000000014</v>
      </c>
      <c r="H39" s="168">
        <v>8.9739999999999993E-3</v>
      </c>
      <c r="J39" s="197"/>
      <c r="K39" s="192">
        <f t="shared" si="1"/>
        <v>0.35000000000000014</v>
      </c>
      <c r="L39" s="193">
        <v>4.8900000000000002E-3</v>
      </c>
    </row>
    <row r="40" spans="1:12" s="6" customFormat="1" ht="11.4" x14ac:dyDescent="0.2">
      <c r="A40" s="165">
        <v>0.85</v>
      </c>
      <c r="B40" s="166">
        <v>2.801E-2</v>
      </c>
      <c r="C40" s="187"/>
      <c r="D40" s="165">
        <v>0.85</v>
      </c>
      <c r="E40" s="166">
        <v>1.9800000000000002E-2</v>
      </c>
      <c r="G40" s="167">
        <f t="shared" si="0"/>
        <v>0.36000000000000015</v>
      </c>
      <c r="H40" s="168">
        <v>8.8839999999999995E-3</v>
      </c>
      <c r="J40" s="197"/>
      <c r="K40" s="192">
        <f t="shared" si="1"/>
        <v>0.36000000000000015</v>
      </c>
      <c r="L40" s="193">
        <v>4.7600000000000003E-3</v>
      </c>
    </row>
    <row r="41" spans="1:12" s="6" customFormat="1" ht="11.4" x14ac:dyDescent="0.2">
      <c r="A41" s="165">
        <v>0.86</v>
      </c>
      <c r="B41" s="166">
        <v>2.7689999999999999E-2</v>
      </c>
      <c r="C41" s="187"/>
      <c r="D41" s="165">
        <v>0.86</v>
      </c>
      <c r="E41" s="166">
        <v>1.9800000000000002E-2</v>
      </c>
      <c r="G41" s="167">
        <f t="shared" si="0"/>
        <v>0.37000000000000016</v>
      </c>
      <c r="H41" s="168">
        <v>8.7980000000000003E-3</v>
      </c>
      <c r="J41" s="197"/>
      <c r="K41" s="192">
        <f t="shared" si="1"/>
        <v>0.37000000000000016</v>
      </c>
      <c r="L41" s="193">
        <v>4.6299999999999996E-3</v>
      </c>
    </row>
    <row r="42" spans="1:12" s="6" customFormat="1" ht="11.4" x14ac:dyDescent="0.2">
      <c r="A42" s="165">
        <v>0.87</v>
      </c>
      <c r="B42" s="166">
        <v>2.7369999999999998E-2</v>
      </c>
      <c r="C42" s="187"/>
      <c r="D42" s="165">
        <v>0.87</v>
      </c>
      <c r="E42" s="166">
        <v>1.9800000000000002E-2</v>
      </c>
      <c r="G42" s="167">
        <f t="shared" si="0"/>
        <v>0.38000000000000017</v>
      </c>
      <c r="H42" s="168">
        <v>8.7170000000000008E-3</v>
      </c>
      <c r="J42" s="197"/>
      <c r="K42" s="192">
        <f t="shared" si="1"/>
        <v>0.38000000000000017</v>
      </c>
      <c r="L42" s="193">
        <v>4.5100000000000001E-3</v>
      </c>
    </row>
    <row r="43" spans="1:12" s="6" customFormat="1" ht="11.4" x14ac:dyDescent="0.2">
      <c r="A43" s="165">
        <v>0.88</v>
      </c>
      <c r="B43" s="166">
        <v>2.7060000000000001E-2</v>
      </c>
      <c r="C43" s="187"/>
      <c r="D43" s="165">
        <v>0.88</v>
      </c>
      <c r="E43" s="166">
        <v>1.9800000000000002E-2</v>
      </c>
      <c r="G43" s="167">
        <f t="shared" si="0"/>
        <v>0.39000000000000018</v>
      </c>
      <c r="H43" s="168">
        <v>8.6400000000000001E-3</v>
      </c>
      <c r="J43" s="197"/>
      <c r="K43" s="192">
        <f t="shared" si="1"/>
        <v>0.39000000000000018</v>
      </c>
      <c r="L43" s="193">
        <v>4.3899999999999998E-3</v>
      </c>
    </row>
    <row r="44" spans="1:12" s="6" customFormat="1" ht="11.4" x14ac:dyDescent="0.2">
      <c r="A44" s="165">
        <v>0.89</v>
      </c>
      <c r="B44" s="166">
        <v>2.6749999999999999E-2</v>
      </c>
      <c r="C44" s="187"/>
      <c r="D44" s="165">
        <v>0.89</v>
      </c>
      <c r="E44" s="166">
        <v>1.9800000000000002E-2</v>
      </c>
      <c r="G44" s="167">
        <f t="shared" si="0"/>
        <v>0.40000000000000019</v>
      </c>
      <c r="H44" s="168">
        <v>8.5660000000000007E-3</v>
      </c>
      <c r="J44" s="197"/>
      <c r="K44" s="192">
        <f t="shared" si="1"/>
        <v>0.40000000000000019</v>
      </c>
      <c r="L44" s="193">
        <v>4.28E-3</v>
      </c>
    </row>
    <row r="45" spans="1:12" s="6" customFormat="1" ht="11.4" x14ac:dyDescent="0.2">
      <c r="A45" s="165">
        <v>0.9</v>
      </c>
      <c r="B45" s="166">
        <v>2.6460000000000001E-2</v>
      </c>
      <c r="C45" s="187"/>
      <c r="D45" s="165">
        <v>0.9</v>
      </c>
      <c r="E45" s="166">
        <v>1.9800000000000002E-2</v>
      </c>
      <c r="G45" s="167">
        <f t="shared" si="0"/>
        <v>0.4100000000000002</v>
      </c>
      <c r="H45" s="168">
        <v>8.4969999999999993E-3</v>
      </c>
      <c r="J45" s="197"/>
      <c r="K45" s="192">
        <f t="shared" si="1"/>
        <v>0.4100000000000002</v>
      </c>
      <c r="L45" s="193">
        <v>4.1799999999999997E-3</v>
      </c>
    </row>
    <row r="46" spans="1:12" s="6" customFormat="1" ht="11.4" x14ac:dyDescent="0.2">
      <c r="A46" s="165">
        <v>0.91</v>
      </c>
      <c r="B46" s="166">
        <v>2.6159999999999999E-2</v>
      </c>
      <c r="C46" s="187"/>
      <c r="D46" s="165">
        <v>0.91</v>
      </c>
      <c r="E46" s="166">
        <v>1.9800000000000002E-2</v>
      </c>
      <c r="G46" s="167">
        <f t="shared" si="0"/>
        <v>0.42000000000000021</v>
      </c>
      <c r="H46" s="168">
        <v>8.43E-3</v>
      </c>
      <c r="J46" s="197"/>
      <c r="K46" s="192">
        <f t="shared" si="1"/>
        <v>0.42000000000000021</v>
      </c>
      <c r="L46" s="193">
        <v>4.0800000000000003E-3</v>
      </c>
    </row>
    <row r="47" spans="1:12" s="6" customFormat="1" ht="11.4" x14ac:dyDescent="0.2">
      <c r="A47" s="165">
        <v>0.92</v>
      </c>
      <c r="B47" s="166">
        <v>2.588E-2</v>
      </c>
      <c r="C47" s="187"/>
      <c r="D47" s="165">
        <v>0.92</v>
      </c>
      <c r="E47" s="166">
        <v>1.9800000000000002E-2</v>
      </c>
      <c r="G47" s="167">
        <f t="shared" si="0"/>
        <v>0.43000000000000022</v>
      </c>
      <c r="H47" s="168">
        <v>8.3669999999999994E-3</v>
      </c>
      <c r="J47" s="197"/>
      <c r="K47" s="192">
        <f t="shared" si="1"/>
        <v>0.43000000000000022</v>
      </c>
      <c r="L47" s="193">
        <v>3.98E-3</v>
      </c>
    </row>
    <row r="48" spans="1:12" s="6" customFormat="1" ht="11.4" x14ac:dyDescent="0.2">
      <c r="A48" s="165">
        <v>0.93</v>
      </c>
      <c r="B48" s="166">
        <v>2.5600000000000001E-2</v>
      </c>
      <c r="C48" s="187"/>
      <c r="D48" s="165">
        <v>0.93</v>
      </c>
      <c r="E48" s="166">
        <v>1.9800000000000002E-2</v>
      </c>
      <c r="G48" s="167">
        <f t="shared" si="0"/>
        <v>0.44000000000000022</v>
      </c>
      <c r="H48" s="168">
        <v>8.3070000000000001E-3</v>
      </c>
      <c r="J48" s="197"/>
      <c r="K48" s="192">
        <f t="shared" si="1"/>
        <v>0.44000000000000022</v>
      </c>
      <c r="L48" s="193">
        <v>3.8899999999999998E-3</v>
      </c>
    </row>
    <row r="49" spans="1:12" s="6" customFormat="1" ht="11.4" x14ac:dyDescent="0.2">
      <c r="A49" s="165">
        <v>0.94</v>
      </c>
      <c r="B49" s="166">
        <v>2.5329999999999998E-2</v>
      </c>
      <c r="C49" s="187"/>
      <c r="D49" s="165">
        <v>0.94</v>
      </c>
      <c r="E49" s="166">
        <v>1.9800000000000002E-2</v>
      </c>
      <c r="G49" s="167">
        <f t="shared" si="0"/>
        <v>0.45000000000000023</v>
      </c>
      <c r="H49" s="168">
        <v>8.2489999999999994E-3</v>
      </c>
      <c r="J49" s="197"/>
      <c r="K49" s="192">
        <f t="shared" si="1"/>
        <v>0.45000000000000023</v>
      </c>
      <c r="L49" s="193">
        <v>3.81E-3</v>
      </c>
    </row>
    <row r="50" spans="1:12" s="6" customFormat="1" ht="11.4" x14ac:dyDescent="0.2">
      <c r="A50" s="165">
        <v>0.95</v>
      </c>
      <c r="B50" s="166">
        <v>2.5059999999999999E-2</v>
      </c>
      <c r="C50" s="187"/>
      <c r="D50" s="165">
        <v>0.95</v>
      </c>
      <c r="E50" s="166">
        <v>1.9800000000000002E-2</v>
      </c>
      <c r="G50" s="167">
        <f t="shared" si="0"/>
        <v>0.46000000000000024</v>
      </c>
      <c r="H50" s="168">
        <v>8.1939999999999999E-3</v>
      </c>
      <c r="J50" s="197"/>
      <c r="K50" s="192">
        <f t="shared" si="1"/>
        <v>0.46000000000000024</v>
      </c>
      <c r="L50" s="193">
        <v>3.7200000000000002E-3</v>
      </c>
    </row>
    <row r="51" spans="1:12" s="6" customFormat="1" ht="11.4" x14ac:dyDescent="0.2">
      <c r="A51" s="165">
        <v>0.96</v>
      </c>
      <c r="B51" s="166">
        <v>2.4799999999999999E-2</v>
      </c>
      <c r="C51" s="187"/>
      <c r="D51" s="165">
        <v>0.96</v>
      </c>
      <c r="E51" s="166">
        <v>1.9800000000000002E-2</v>
      </c>
      <c r="G51" s="167">
        <f t="shared" si="0"/>
        <v>0.47000000000000025</v>
      </c>
      <c r="H51" s="168">
        <v>8.1410000000000007E-3</v>
      </c>
      <c r="J51" s="197"/>
      <c r="K51" s="192">
        <f t="shared" si="1"/>
        <v>0.47000000000000025</v>
      </c>
      <c r="L51" s="193">
        <v>3.64E-3</v>
      </c>
    </row>
    <row r="52" spans="1:12" s="6" customFormat="1" ht="11.4" x14ac:dyDescent="0.2">
      <c r="A52" s="165">
        <v>0.97</v>
      </c>
      <c r="B52" s="166">
        <v>2.4549999999999999E-2</v>
      </c>
      <c r="C52" s="187"/>
      <c r="D52" s="165">
        <v>0.97</v>
      </c>
      <c r="E52" s="166">
        <v>1.9800000000000002E-2</v>
      </c>
      <c r="G52" s="167">
        <f t="shared" si="0"/>
        <v>0.48000000000000026</v>
      </c>
      <c r="H52" s="168">
        <v>8.09E-3</v>
      </c>
      <c r="J52" s="197"/>
      <c r="K52" s="192">
        <f t="shared" si="1"/>
        <v>0.48000000000000026</v>
      </c>
      <c r="L52" s="193">
        <v>3.5699999999999998E-3</v>
      </c>
    </row>
    <row r="53" spans="1:12" s="6" customFormat="1" ht="11.4" x14ac:dyDescent="0.2">
      <c r="A53" s="165">
        <v>0.98</v>
      </c>
      <c r="B53" s="166">
        <v>2.4299999999999999E-2</v>
      </c>
      <c r="C53" s="187"/>
      <c r="D53" s="165">
        <v>0.98</v>
      </c>
      <c r="E53" s="166">
        <v>1.9800000000000002E-2</v>
      </c>
      <c r="G53" s="167">
        <f t="shared" si="0"/>
        <v>0.49000000000000027</v>
      </c>
      <c r="H53" s="168">
        <v>8.0420000000000005E-3</v>
      </c>
      <c r="J53" s="197"/>
      <c r="K53" s="192">
        <f t="shared" si="1"/>
        <v>0.49000000000000027</v>
      </c>
      <c r="L53" s="193">
        <v>3.49E-3</v>
      </c>
    </row>
    <row r="54" spans="1:12" s="6" customFormat="1" ht="11.4" x14ac:dyDescent="0.2">
      <c r="A54" s="165">
        <v>0.99</v>
      </c>
      <c r="B54" s="166">
        <v>2.4049999999999998E-2</v>
      </c>
      <c r="C54" s="187"/>
      <c r="D54" s="165">
        <v>0.99</v>
      </c>
      <c r="E54" s="166">
        <v>1.9800000000000002E-2</v>
      </c>
      <c r="G54" s="167">
        <f t="shared" si="0"/>
        <v>0.50000000000000022</v>
      </c>
      <c r="H54" s="168">
        <v>7.9950000000000004E-3</v>
      </c>
      <c r="J54" s="197"/>
      <c r="K54" s="192">
        <f t="shared" si="1"/>
        <v>0.50000000000000022</v>
      </c>
      <c r="L54" s="193">
        <v>3.4199999999999999E-3</v>
      </c>
    </row>
    <row r="55" spans="1:12" s="6" customFormat="1" ht="11.4" x14ac:dyDescent="0.2">
      <c r="A55" s="165">
        <v>1</v>
      </c>
      <c r="B55" s="166">
        <v>2.3810000000000001E-2</v>
      </c>
      <c r="C55" s="187"/>
      <c r="D55" s="165">
        <v>1</v>
      </c>
      <c r="E55" s="166">
        <v>1.9800000000000002E-2</v>
      </c>
      <c r="G55" s="167">
        <f t="shared" si="0"/>
        <v>0.51000000000000023</v>
      </c>
      <c r="H55" s="168">
        <v>7.8379999999999995E-3</v>
      </c>
      <c r="I55" s="169"/>
      <c r="J55" s="198"/>
      <c r="K55" s="192">
        <f t="shared" si="1"/>
        <v>0.51000000000000023</v>
      </c>
      <c r="L55" s="193">
        <v>3.3600000000000001E-3</v>
      </c>
    </row>
    <row r="56" spans="1:12" s="6" customFormat="1" ht="11.4" x14ac:dyDescent="0.2">
      <c r="A56" s="170"/>
      <c r="B56" s="171"/>
      <c r="C56" s="187"/>
      <c r="D56" s="187"/>
      <c r="E56" s="187"/>
      <c r="G56" s="167">
        <f t="shared" si="0"/>
        <v>0.52000000000000024</v>
      </c>
      <c r="H56" s="168">
        <v>7.6880000000000004E-3</v>
      </c>
      <c r="J56" s="197"/>
      <c r="K56" s="192">
        <f t="shared" si="1"/>
        <v>0.52000000000000024</v>
      </c>
      <c r="L56" s="193">
        <v>3.29E-3</v>
      </c>
    </row>
    <row r="57" spans="1:12" s="6" customFormat="1" ht="11.4" x14ac:dyDescent="0.2">
      <c r="G57" s="167">
        <f t="shared" si="0"/>
        <v>0.53000000000000025</v>
      </c>
      <c r="H57" s="168">
        <v>7.5430000000000002E-3</v>
      </c>
      <c r="J57" s="197"/>
      <c r="K57" s="192">
        <f t="shared" si="1"/>
        <v>0.53000000000000025</v>
      </c>
      <c r="L57" s="193">
        <v>3.2299999999999998E-3</v>
      </c>
    </row>
    <row r="58" spans="1:12" s="6" customFormat="1" ht="11.4" x14ac:dyDescent="0.2">
      <c r="G58" s="167">
        <f t="shared" si="0"/>
        <v>0.54000000000000026</v>
      </c>
      <c r="H58" s="168">
        <v>7.4029999999999999E-3</v>
      </c>
      <c r="J58" s="197"/>
      <c r="K58" s="192">
        <f t="shared" si="1"/>
        <v>0.54000000000000026</v>
      </c>
      <c r="L58" s="193">
        <v>3.1700000000000001E-3</v>
      </c>
    </row>
    <row r="59" spans="1:12" s="6" customFormat="1" ht="11.4" x14ac:dyDescent="0.2">
      <c r="G59" s="167">
        <f t="shared" si="0"/>
        <v>0.55000000000000027</v>
      </c>
      <c r="H59" s="168">
        <v>7.2680000000000002E-3</v>
      </c>
      <c r="J59" s="197"/>
      <c r="K59" s="192">
        <f t="shared" si="1"/>
        <v>0.55000000000000027</v>
      </c>
      <c r="L59" s="193">
        <v>3.1099999999999999E-3</v>
      </c>
    </row>
    <row r="60" spans="1:12" s="6" customFormat="1" ht="11.4" x14ac:dyDescent="0.2">
      <c r="G60" s="167">
        <f t="shared" si="0"/>
        <v>0.56000000000000028</v>
      </c>
      <c r="H60" s="168">
        <v>7.1390000000000004E-3</v>
      </c>
      <c r="J60" s="197"/>
      <c r="K60" s="192">
        <f t="shared" si="1"/>
        <v>0.56000000000000028</v>
      </c>
      <c r="L60" s="193">
        <v>3.0599999999999998E-3</v>
      </c>
    </row>
    <row r="61" spans="1:12" s="6" customFormat="1" ht="11.4" x14ac:dyDescent="0.2">
      <c r="G61" s="167">
        <f t="shared" si="0"/>
        <v>0.57000000000000028</v>
      </c>
      <c r="H61" s="168">
        <v>7.0130000000000001E-3</v>
      </c>
      <c r="J61" s="197"/>
      <c r="K61" s="192">
        <f t="shared" si="1"/>
        <v>0.57000000000000028</v>
      </c>
      <c r="L61" s="193">
        <v>3.0000000000000001E-3</v>
      </c>
    </row>
    <row r="62" spans="1:12" s="6" customFormat="1" ht="11.4" x14ac:dyDescent="0.2">
      <c r="G62" s="167">
        <f t="shared" si="0"/>
        <v>0.58000000000000029</v>
      </c>
      <c r="H62" s="168">
        <v>6.8919999999999997E-3</v>
      </c>
      <c r="J62" s="197"/>
      <c r="K62" s="192">
        <f t="shared" si="1"/>
        <v>0.58000000000000029</v>
      </c>
      <c r="L62" s="193">
        <v>2.9499999999999999E-3</v>
      </c>
    </row>
    <row r="63" spans="1:12" s="6" customFormat="1" ht="11.4" x14ac:dyDescent="0.2">
      <c r="G63" s="167">
        <f t="shared" si="0"/>
        <v>0.5900000000000003</v>
      </c>
      <c r="H63" s="168">
        <v>6.7759999999999999E-3</v>
      </c>
      <c r="J63" s="197"/>
      <c r="K63" s="192">
        <f t="shared" si="1"/>
        <v>0.5900000000000003</v>
      </c>
      <c r="L63" s="193">
        <v>2.8999999999999998E-3</v>
      </c>
    </row>
    <row r="64" spans="1:12" s="6" customFormat="1" ht="11.4" x14ac:dyDescent="0.2">
      <c r="G64" s="167">
        <f t="shared" si="0"/>
        <v>0.60000000000000031</v>
      </c>
      <c r="H64" s="168">
        <v>6.6629999999999997E-3</v>
      </c>
      <c r="J64" s="197"/>
      <c r="K64" s="192">
        <f t="shared" si="1"/>
        <v>0.60000000000000031</v>
      </c>
      <c r="L64" s="193">
        <v>2.8500000000000001E-3</v>
      </c>
    </row>
    <row r="65" spans="7:12" s="6" customFormat="1" ht="11.4" x14ac:dyDescent="0.2">
      <c r="G65" s="167">
        <f t="shared" si="0"/>
        <v>0.61000000000000032</v>
      </c>
      <c r="H65" s="168">
        <v>6.5529999999999998E-3</v>
      </c>
      <c r="J65" s="197"/>
      <c r="K65" s="192">
        <f t="shared" si="1"/>
        <v>0.61000000000000032</v>
      </c>
      <c r="L65" s="193">
        <v>2.81E-3</v>
      </c>
    </row>
    <row r="66" spans="7:12" s="6" customFormat="1" ht="11.4" x14ac:dyDescent="0.2">
      <c r="G66" s="167">
        <f t="shared" si="0"/>
        <v>0.62000000000000033</v>
      </c>
      <c r="H66" s="168">
        <v>6.4479999999999997E-3</v>
      </c>
      <c r="J66" s="197"/>
      <c r="K66" s="192">
        <f t="shared" si="1"/>
        <v>0.62000000000000033</v>
      </c>
      <c r="L66" s="193">
        <v>2.7599999999999999E-3</v>
      </c>
    </row>
    <row r="67" spans="7:12" s="6" customFormat="1" ht="11.4" x14ac:dyDescent="0.2">
      <c r="G67" s="167">
        <f t="shared" si="0"/>
        <v>0.63000000000000034</v>
      </c>
      <c r="H67" s="168">
        <v>6.3449999999999999E-3</v>
      </c>
      <c r="J67" s="197"/>
      <c r="K67" s="192">
        <f t="shared" si="1"/>
        <v>0.63000000000000034</v>
      </c>
      <c r="L67" s="193">
        <v>2.7200000000000002E-3</v>
      </c>
    </row>
    <row r="68" spans="7:12" s="6" customFormat="1" ht="11.4" x14ac:dyDescent="0.2">
      <c r="G68" s="167">
        <f t="shared" si="0"/>
        <v>0.64000000000000035</v>
      </c>
      <c r="H68" s="168">
        <v>6.2459999999999998E-3</v>
      </c>
      <c r="J68" s="197"/>
      <c r="K68" s="192">
        <f t="shared" si="1"/>
        <v>0.64000000000000035</v>
      </c>
      <c r="L68" s="193">
        <v>2.6800000000000001E-3</v>
      </c>
    </row>
    <row r="69" spans="7:12" s="6" customFormat="1" ht="11.4" x14ac:dyDescent="0.2">
      <c r="G69" s="167">
        <f t="shared" si="0"/>
        <v>0.65000000000000036</v>
      </c>
      <c r="H69" s="168">
        <v>6.1500000000000001E-3</v>
      </c>
      <c r="J69" s="197"/>
      <c r="K69" s="192">
        <f t="shared" si="1"/>
        <v>0.65000000000000036</v>
      </c>
      <c r="L69" s="193">
        <v>2.63E-3</v>
      </c>
    </row>
    <row r="70" spans="7:12" s="6" customFormat="1" ht="11.4" x14ac:dyDescent="0.2">
      <c r="G70" s="167">
        <f t="shared" si="0"/>
        <v>0.66000000000000036</v>
      </c>
      <c r="H70" s="168">
        <v>6.0569999999999999E-3</v>
      </c>
      <c r="J70" s="197"/>
      <c r="K70" s="192">
        <f t="shared" si="1"/>
        <v>0.66000000000000036</v>
      </c>
      <c r="L70" s="193">
        <v>2.5899999999999999E-3</v>
      </c>
    </row>
    <row r="71" spans="7:12" s="6" customFormat="1" ht="11.4" x14ac:dyDescent="0.2">
      <c r="G71" s="167">
        <f t="shared" ref="G71:G104" si="2">G70+0.01</f>
        <v>0.67000000000000037</v>
      </c>
      <c r="H71" s="168">
        <v>5.9670000000000001E-3</v>
      </c>
      <c r="J71" s="197"/>
      <c r="K71" s="192">
        <f t="shared" ref="K71:K104" si="3">K70+0.01</f>
        <v>0.67000000000000037</v>
      </c>
      <c r="L71" s="193">
        <v>2.5600000000000002E-3</v>
      </c>
    </row>
    <row r="72" spans="7:12" s="6" customFormat="1" ht="11.4" x14ac:dyDescent="0.2">
      <c r="G72" s="167">
        <f t="shared" si="2"/>
        <v>0.68000000000000038</v>
      </c>
      <c r="H72" s="168">
        <v>5.8789999999999997E-3</v>
      </c>
      <c r="J72" s="197"/>
      <c r="K72" s="192">
        <f t="shared" si="3"/>
        <v>0.68000000000000038</v>
      </c>
      <c r="L72" s="193">
        <v>2.5200000000000001E-3</v>
      </c>
    </row>
    <row r="73" spans="7:12" s="6" customFormat="1" ht="11.4" x14ac:dyDescent="0.2">
      <c r="G73" s="167">
        <f t="shared" si="2"/>
        <v>0.69000000000000039</v>
      </c>
      <c r="H73" s="168">
        <v>5.7939999999999997E-3</v>
      </c>
      <c r="J73" s="197"/>
      <c r="K73" s="192">
        <f t="shared" si="3"/>
        <v>0.69000000000000039</v>
      </c>
      <c r="L73" s="193">
        <v>2.48E-3</v>
      </c>
    </row>
    <row r="74" spans="7:12" s="6" customFormat="1" ht="11.4" x14ac:dyDescent="0.2">
      <c r="G74" s="167">
        <f t="shared" si="2"/>
        <v>0.7000000000000004</v>
      </c>
      <c r="H74" s="168">
        <v>5.7109999999999999E-3</v>
      </c>
      <c r="J74" s="197"/>
      <c r="K74" s="192">
        <f t="shared" si="3"/>
        <v>0.7000000000000004</v>
      </c>
      <c r="L74" s="193">
        <v>2.4499999999999999E-3</v>
      </c>
    </row>
    <row r="75" spans="7:12" s="6" customFormat="1" ht="11.4" x14ac:dyDescent="0.2">
      <c r="G75" s="167">
        <f t="shared" si="2"/>
        <v>0.71000000000000041</v>
      </c>
      <c r="H75" s="168">
        <v>5.6299999999999996E-3</v>
      </c>
      <c r="J75" s="197"/>
      <c r="K75" s="192">
        <f t="shared" si="3"/>
        <v>0.71000000000000041</v>
      </c>
      <c r="L75" s="193">
        <v>2.4099999999999998E-3</v>
      </c>
    </row>
    <row r="76" spans="7:12" s="6" customFormat="1" ht="11.4" x14ac:dyDescent="0.2">
      <c r="G76" s="167">
        <f t="shared" si="2"/>
        <v>0.72000000000000042</v>
      </c>
      <c r="H76" s="168">
        <v>5.5519999999999996E-3</v>
      </c>
      <c r="J76" s="197"/>
      <c r="K76" s="192">
        <f t="shared" si="3"/>
        <v>0.72000000000000042</v>
      </c>
      <c r="L76" s="193">
        <v>2.3800000000000002E-3</v>
      </c>
    </row>
    <row r="77" spans="7:12" s="6" customFormat="1" ht="11.4" x14ac:dyDescent="0.2">
      <c r="G77" s="167">
        <f t="shared" si="2"/>
        <v>0.73000000000000043</v>
      </c>
      <c r="H77" s="168">
        <v>5.476E-3</v>
      </c>
      <c r="J77" s="197"/>
      <c r="K77" s="192">
        <f t="shared" si="3"/>
        <v>0.73000000000000043</v>
      </c>
      <c r="L77" s="193">
        <v>2.3500000000000001E-3</v>
      </c>
    </row>
    <row r="78" spans="7:12" s="6" customFormat="1" ht="11.4" x14ac:dyDescent="0.2">
      <c r="G78" s="167">
        <f t="shared" si="2"/>
        <v>0.74000000000000044</v>
      </c>
      <c r="H78" s="168">
        <v>5.4019999999999999E-2</v>
      </c>
      <c r="J78" s="197"/>
      <c r="K78" s="192">
        <f t="shared" si="3"/>
        <v>0.74000000000000044</v>
      </c>
      <c r="L78" s="193">
        <v>2.31E-3</v>
      </c>
    </row>
    <row r="79" spans="7:12" s="6" customFormat="1" ht="11.4" x14ac:dyDescent="0.2">
      <c r="G79" s="167">
        <f t="shared" si="2"/>
        <v>0.75000000000000044</v>
      </c>
      <c r="H79" s="168">
        <v>5.3299999999999997E-3</v>
      </c>
      <c r="J79" s="197"/>
      <c r="K79" s="192">
        <f t="shared" si="3"/>
        <v>0.75000000000000044</v>
      </c>
      <c r="L79" s="193">
        <v>2.2799999999999999E-3</v>
      </c>
    </row>
    <row r="80" spans="7:12" s="6" customFormat="1" ht="11.4" x14ac:dyDescent="0.2">
      <c r="G80" s="167">
        <f t="shared" si="2"/>
        <v>0.76000000000000045</v>
      </c>
      <c r="H80" s="168">
        <v>5.2599999999999999E-3</v>
      </c>
      <c r="J80" s="197"/>
      <c r="K80" s="192">
        <f t="shared" si="3"/>
        <v>0.76000000000000045</v>
      </c>
      <c r="L80" s="193">
        <v>2.2499999999999998E-3</v>
      </c>
    </row>
    <row r="81" spans="7:12" s="6" customFormat="1" ht="11.4" x14ac:dyDescent="0.2">
      <c r="G81" s="167">
        <f t="shared" si="2"/>
        <v>0.77000000000000046</v>
      </c>
      <c r="H81" s="168">
        <v>5.1919999999999996E-3</v>
      </c>
      <c r="J81" s="197"/>
      <c r="K81" s="192">
        <f t="shared" si="3"/>
        <v>0.77000000000000046</v>
      </c>
      <c r="L81" s="193">
        <v>2.2200000000000002E-3</v>
      </c>
    </row>
    <row r="82" spans="7:12" s="6" customFormat="1" ht="11.4" x14ac:dyDescent="0.2">
      <c r="G82" s="167">
        <f t="shared" si="2"/>
        <v>0.78000000000000047</v>
      </c>
      <c r="H82" s="168">
        <v>5.1250000000000002E-3</v>
      </c>
      <c r="J82" s="197"/>
      <c r="K82" s="192">
        <f t="shared" si="3"/>
        <v>0.78000000000000047</v>
      </c>
      <c r="L82" s="193">
        <v>2.2000000000000001E-3</v>
      </c>
    </row>
    <row r="83" spans="7:12" s="6" customFormat="1" ht="11.4" x14ac:dyDescent="0.2">
      <c r="G83" s="167">
        <f t="shared" si="2"/>
        <v>0.79000000000000048</v>
      </c>
      <c r="H83" s="168">
        <v>5.0600000000000003E-3</v>
      </c>
      <c r="J83" s="197"/>
      <c r="K83" s="192">
        <f t="shared" si="3"/>
        <v>0.79000000000000048</v>
      </c>
      <c r="L83" s="193">
        <v>2.1700000000000001E-3</v>
      </c>
    </row>
    <row r="84" spans="7:12" s="6" customFormat="1" ht="11.4" x14ac:dyDescent="0.2">
      <c r="G84" s="167">
        <f t="shared" si="2"/>
        <v>0.80000000000000049</v>
      </c>
      <c r="H84" s="168">
        <v>4.9969999999999997E-3</v>
      </c>
      <c r="J84" s="197"/>
      <c r="K84" s="192">
        <f t="shared" si="3"/>
        <v>0.80000000000000049</v>
      </c>
      <c r="L84" s="193">
        <v>2.14E-3</v>
      </c>
    </row>
    <row r="85" spans="7:12" s="6" customFormat="1" ht="11.4" x14ac:dyDescent="0.2">
      <c r="G85" s="167">
        <f t="shared" si="2"/>
        <v>0.8100000000000005</v>
      </c>
      <c r="H85" s="168">
        <v>4.9350000000000002E-3</v>
      </c>
      <c r="J85" s="197"/>
      <c r="K85" s="192">
        <f t="shared" si="3"/>
        <v>0.8100000000000005</v>
      </c>
      <c r="L85" s="193">
        <v>2.1099999999999999E-3</v>
      </c>
    </row>
    <row r="86" spans="7:12" s="6" customFormat="1" ht="11.4" x14ac:dyDescent="0.2">
      <c r="G86" s="167">
        <f t="shared" si="2"/>
        <v>0.82000000000000051</v>
      </c>
      <c r="H86" s="168">
        <v>4.875E-3</v>
      </c>
      <c r="J86" s="197"/>
      <c r="K86" s="192">
        <f t="shared" si="3"/>
        <v>0.82000000000000051</v>
      </c>
      <c r="L86" s="193">
        <v>2.0899999999999998E-3</v>
      </c>
    </row>
    <row r="87" spans="7:12" s="6" customFormat="1" ht="11.4" x14ac:dyDescent="0.2">
      <c r="G87" s="167">
        <f t="shared" si="2"/>
        <v>0.83000000000000052</v>
      </c>
      <c r="H87" s="168">
        <v>4.816E-3</v>
      </c>
      <c r="J87" s="197"/>
      <c r="K87" s="192">
        <f t="shared" si="3"/>
        <v>0.83000000000000052</v>
      </c>
      <c r="L87" s="193">
        <v>2.0600000000000002E-3</v>
      </c>
    </row>
    <row r="88" spans="7:12" s="6" customFormat="1" ht="11.4" x14ac:dyDescent="0.2">
      <c r="G88" s="167">
        <f t="shared" si="2"/>
        <v>0.84000000000000052</v>
      </c>
      <c r="H88" s="168">
        <v>4.7590000000000002E-3</v>
      </c>
      <c r="J88" s="197"/>
      <c r="K88" s="192">
        <f t="shared" si="3"/>
        <v>0.84000000000000052</v>
      </c>
      <c r="L88" s="193">
        <v>2.0400000000000001E-3</v>
      </c>
    </row>
    <row r="89" spans="7:12" s="6" customFormat="1" ht="11.4" x14ac:dyDescent="0.2">
      <c r="G89" s="167">
        <f t="shared" si="2"/>
        <v>0.85000000000000053</v>
      </c>
      <c r="H89" s="168">
        <v>4.7029999999999997E-3</v>
      </c>
      <c r="J89" s="197"/>
      <c r="K89" s="192">
        <f t="shared" si="3"/>
        <v>0.85000000000000053</v>
      </c>
      <c r="L89" s="193">
        <v>2.0100000000000001E-3</v>
      </c>
    </row>
    <row r="90" spans="7:12" s="6" customFormat="1" ht="11.4" x14ac:dyDescent="0.2">
      <c r="G90" s="167">
        <f t="shared" si="2"/>
        <v>0.86000000000000054</v>
      </c>
      <c r="H90" s="168">
        <v>4.6480000000000002E-3</v>
      </c>
      <c r="J90" s="197"/>
      <c r="K90" s="192">
        <f t="shared" si="3"/>
        <v>0.86000000000000054</v>
      </c>
      <c r="L90" s="193">
        <v>1.99E-3</v>
      </c>
    </row>
    <row r="91" spans="7:12" s="6" customFormat="1" ht="11.4" x14ac:dyDescent="0.2">
      <c r="G91" s="167">
        <f t="shared" si="2"/>
        <v>0.87000000000000055</v>
      </c>
      <c r="H91" s="168">
        <v>4.5950000000000001E-3</v>
      </c>
      <c r="J91" s="197"/>
      <c r="K91" s="192">
        <f t="shared" si="3"/>
        <v>0.87000000000000055</v>
      </c>
      <c r="L91" s="193">
        <v>1.97E-3</v>
      </c>
    </row>
    <row r="92" spans="7:12" s="6" customFormat="1" ht="11.4" x14ac:dyDescent="0.2">
      <c r="G92" s="167">
        <f t="shared" si="2"/>
        <v>0.88000000000000056</v>
      </c>
      <c r="H92" s="168">
        <v>4.5430000000000002E-3</v>
      </c>
      <c r="J92" s="197"/>
      <c r="K92" s="192">
        <f t="shared" si="3"/>
        <v>0.88000000000000056</v>
      </c>
      <c r="L92" s="193">
        <v>1.9499999999999999E-3</v>
      </c>
    </row>
    <row r="93" spans="7:12" s="6" customFormat="1" ht="11.4" x14ac:dyDescent="0.2">
      <c r="G93" s="167">
        <f t="shared" si="2"/>
        <v>0.89000000000000057</v>
      </c>
      <c r="H93" s="168">
        <v>4.4920000000000003E-3</v>
      </c>
      <c r="J93" s="197"/>
      <c r="K93" s="192">
        <f t="shared" si="3"/>
        <v>0.89000000000000057</v>
      </c>
      <c r="L93" s="193">
        <v>1.92E-3</v>
      </c>
    </row>
    <row r="94" spans="7:12" s="6" customFormat="1" ht="11.4" x14ac:dyDescent="0.2">
      <c r="G94" s="167">
        <f t="shared" si="2"/>
        <v>0.90000000000000058</v>
      </c>
      <c r="H94" s="168">
        <v>4.4419999999999998E-3</v>
      </c>
      <c r="J94" s="197"/>
      <c r="K94" s="192">
        <f t="shared" si="3"/>
        <v>0.90000000000000058</v>
      </c>
      <c r="L94" s="193">
        <v>1.9E-3</v>
      </c>
    </row>
    <row r="95" spans="7:12" s="6" customFormat="1" ht="11.4" x14ac:dyDescent="0.2">
      <c r="G95" s="167">
        <f t="shared" si="2"/>
        <v>0.91000000000000059</v>
      </c>
      <c r="H95" s="168">
        <v>4.3930000000000002E-3</v>
      </c>
      <c r="J95" s="197"/>
      <c r="K95" s="192">
        <f t="shared" si="3"/>
        <v>0.91000000000000059</v>
      </c>
      <c r="L95" s="193">
        <v>1.8799999999999999E-3</v>
      </c>
    </row>
    <row r="96" spans="7:12" s="6" customFormat="1" ht="11.4" x14ac:dyDescent="0.2">
      <c r="G96" s="167">
        <f t="shared" si="2"/>
        <v>0.9200000000000006</v>
      </c>
      <c r="H96" s="168">
        <v>4.3449999999999999E-3</v>
      </c>
      <c r="J96" s="197"/>
      <c r="K96" s="192">
        <f t="shared" si="3"/>
        <v>0.9200000000000006</v>
      </c>
      <c r="L96" s="193">
        <v>1.8600000000000001E-3</v>
      </c>
    </row>
    <row r="97" spans="7:12" s="6" customFormat="1" ht="11.4" x14ac:dyDescent="0.2">
      <c r="G97" s="167">
        <f t="shared" si="2"/>
        <v>0.9300000000000006</v>
      </c>
      <c r="H97" s="168">
        <v>4.2989999999999999E-3</v>
      </c>
      <c r="J97" s="197"/>
      <c r="K97" s="192">
        <f t="shared" si="3"/>
        <v>0.9300000000000006</v>
      </c>
      <c r="L97" s="193">
        <v>1.8400000000000001E-3</v>
      </c>
    </row>
    <row r="98" spans="7:12" s="6" customFormat="1" ht="11.4" x14ac:dyDescent="0.2">
      <c r="G98" s="167">
        <f t="shared" si="2"/>
        <v>0.94000000000000061</v>
      </c>
      <c r="H98" s="168">
        <v>4.2529999999999998E-3</v>
      </c>
      <c r="J98" s="197"/>
      <c r="K98" s="199">
        <f t="shared" si="3"/>
        <v>0.94000000000000061</v>
      </c>
      <c r="L98" s="200">
        <v>1.82E-3</v>
      </c>
    </row>
    <row r="99" spans="7:12" s="6" customFormat="1" ht="11.4" x14ac:dyDescent="0.2">
      <c r="G99" s="167">
        <f t="shared" si="2"/>
        <v>0.95000000000000062</v>
      </c>
      <c r="H99" s="168">
        <v>4.2079999999999999E-3</v>
      </c>
      <c r="J99" s="197"/>
      <c r="K99" s="192">
        <f t="shared" si="3"/>
        <v>0.95000000000000062</v>
      </c>
      <c r="L99" s="193">
        <v>1.8E-3</v>
      </c>
    </row>
    <row r="100" spans="7:12" s="6" customFormat="1" ht="11.4" x14ac:dyDescent="0.2">
      <c r="G100" s="167">
        <f t="shared" si="2"/>
        <v>0.96000000000000063</v>
      </c>
      <c r="H100" s="168">
        <v>4.1640000000000002E-3</v>
      </c>
      <c r="J100" s="197"/>
      <c r="K100" s="192">
        <f t="shared" si="3"/>
        <v>0.96000000000000063</v>
      </c>
      <c r="L100" s="193">
        <v>1.7799999999999999E-3</v>
      </c>
    </row>
    <row r="101" spans="7:12" s="6" customFormat="1" ht="11.4" x14ac:dyDescent="0.2">
      <c r="G101" s="167">
        <f t="shared" si="2"/>
        <v>0.97000000000000064</v>
      </c>
      <c r="H101" s="168">
        <v>4.1209999999999997E-3</v>
      </c>
      <c r="J101" s="197"/>
      <c r="K101" s="192">
        <f t="shared" si="3"/>
        <v>0.97000000000000064</v>
      </c>
      <c r="L101" s="193">
        <v>1.7700000000000001E-3</v>
      </c>
    </row>
    <row r="102" spans="7:12" s="6" customFormat="1" ht="11.4" x14ac:dyDescent="0.2">
      <c r="G102" s="167">
        <f t="shared" si="2"/>
        <v>0.98000000000000065</v>
      </c>
      <c r="H102" s="168">
        <v>4.0790000000000002E-3</v>
      </c>
      <c r="J102" s="197"/>
      <c r="K102" s="192">
        <f t="shared" si="3"/>
        <v>0.98000000000000065</v>
      </c>
      <c r="L102" s="193">
        <v>1.75E-3</v>
      </c>
    </row>
    <row r="103" spans="7:12" s="6" customFormat="1" ht="11.4" x14ac:dyDescent="0.2">
      <c r="G103" s="167">
        <f t="shared" si="2"/>
        <v>0.99000000000000066</v>
      </c>
      <c r="H103" s="168">
        <v>4.0379999999999999E-3</v>
      </c>
      <c r="J103" s="197"/>
      <c r="K103" s="192">
        <f t="shared" si="3"/>
        <v>0.99000000000000066</v>
      </c>
      <c r="L103" s="193">
        <v>1.73E-3</v>
      </c>
    </row>
    <row r="104" spans="7:12" s="6" customFormat="1" ht="11.4" x14ac:dyDescent="0.2">
      <c r="G104" s="167">
        <f t="shared" si="2"/>
        <v>1.0000000000000007</v>
      </c>
      <c r="H104" s="168">
        <v>3.9979999999999998E-3</v>
      </c>
      <c r="J104" s="197"/>
      <c r="K104" s="192">
        <f t="shared" si="3"/>
        <v>1.0000000000000007</v>
      </c>
      <c r="L104" s="193">
        <v>1.7099999999999999E-3</v>
      </c>
    </row>
    <row r="105" spans="7:12" x14ac:dyDescent="0.25">
      <c r="J105" s="195"/>
    </row>
  </sheetData>
  <mergeCells count="8">
    <mergeCell ref="K1:L1"/>
    <mergeCell ref="K2:L2"/>
    <mergeCell ref="G2:H2"/>
    <mergeCell ref="A2:B2"/>
    <mergeCell ref="G1:H1"/>
    <mergeCell ref="A1:B1"/>
    <mergeCell ref="D1:E1"/>
    <mergeCell ref="D2:E2"/>
  </mergeCells>
  <phoneticPr fontId="0" type="noConversion"/>
  <pageMargins left="0.5" right="0.5" top="0.5" bottom="0.5" header="0.5" footer="0.5"/>
  <pageSetup paperSize="5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opLeftCell="A10" zoomScale="90" zoomScaleNormal="100" workbookViewId="0">
      <selection activeCell="A30" sqref="A30"/>
    </sheetView>
  </sheetViews>
  <sheetFormatPr defaultRowHeight="13.2" x14ac:dyDescent="0.25"/>
  <cols>
    <col min="1" max="1" width="25.33203125" customWidth="1"/>
    <col min="2" max="2" width="13.44140625" bestFit="1" customWidth="1"/>
    <col min="3" max="3" width="13" bestFit="1" customWidth="1"/>
    <col min="4" max="5" width="13.44140625" bestFit="1" customWidth="1"/>
    <col min="6" max="7" width="13" bestFit="1" customWidth="1"/>
    <col min="8" max="9" width="13.44140625" bestFit="1" customWidth="1"/>
    <col min="10" max="13" width="13" bestFit="1" customWidth="1"/>
    <col min="14" max="14" width="2.6640625" style="115" customWidth="1"/>
    <col min="15" max="15" width="16.109375" bestFit="1" customWidth="1"/>
    <col min="16" max="16" width="14.6640625" bestFit="1" customWidth="1"/>
  </cols>
  <sheetData>
    <row r="1" spans="1:16" s="26" customFormat="1" ht="13.8" x14ac:dyDescent="0.25">
      <c r="A1" s="30" t="s">
        <v>97</v>
      </c>
      <c r="N1" s="110"/>
    </row>
    <row r="2" spans="1:16" s="26" customFormat="1" ht="13.8" x14ac:dyDescent="0.25">
      <c r="A2" s="30" t="s">
        <v>33</v>
      </c>
      <c r="N2" s="110"/>
    </row>
    <row r="3" spans="1:16" s="26" customFormat="1" ht="14.4" thickBot="1" x14ac:dyDescent="0.3">
      <c r="A3" s="31">
        <f ca="1">TODAY()</f>
        <v>37285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111"/>
      <c r="O3" s="27"/>
      <c r="P3" s="27"/>
    </row>
    <row r="4" spans="1:16" s="6" customFormat="1" ht="11.4" x14ac:dyDescent="0.2">
      <c r="N4" s="109"/>
    </row>
    <row r="5" spans="1:16" s="6" customFormat="1" ht="12" x14ac:dyDescent="0.25">
      <c r="A5" s="17" t="s">
        <v>165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N5" s="109"/>
      <c r="O5" s="8" t="s">
        <v>12</v>
      </c>
      <c r="P5" s="8" t="s">
        <v>13</v>
      </c>
    </row>
    <row r="6" spans="1:16" s="6" customFormat="1" ht="6" customHeight="1" x14ac:dyDescent="0.2">
      <c r="N6" s="109"/>
    </row>
    <row r="7" spans="1:16" s="11" customFormat="1" ht="11.4" x14ac:dyDescent="0.2">
      <c r="A7" s="9" t="s">
        <v>31</v>
      </c>
      <c r="B7" s="10">
        <v>29601.919999999998</v>
      </c>
      <c r="C7" s="10">
        <v>26722.54</v>
      </c>
      <c r="D7" s="10">
        <v>29585.39</v>
      </c>
      <c r="E7" s="10">
        <v>28497.119999999999</v>
      </c>
      <c r="F7" s="10">
        <v>29353.59</v>
      </c>
      <c r="G7" s="47">
        <v>28497.119999999999</v>
      </c>
      <c r="H7" s="10">
        <v>29429.06</v>
      </c>
      <c r="I7" s="10">
        <v>29668.86</v>
      </c>
      <c r="J7" s="47">
        <v>0</v>
      </c>
      <c r="K7" s="10">
        <v>29537.17</v>
      </c>
      <c r="L7" s="10">
        <v>0</v>
      </c>
      <c r="M7" s="10">
        <v>0</v>
      </c>
      <c r="N7" s="22"/>
      <c r="O7" s="10">
        <f>SUM(B7:M7)</f>
        <v>260892.76999999996</v>
      </c>
      <c r="P7" s="10">
        <f>AVERAGE(B7:K7)</f>
        <v>26089.276999999995</v>
      </c>
    </row>
    <row r="8" spans="1:16" s="11" customFormat="1" ht="11.4" x14ac:dyDescent="0.2">
      <c r="A8" s="9" t="s">
        <v>32</v>
      </c>
      <c r="B8" s="10">
        <v>20646.13</v>
      </c>
      <c r="C8" s="10">
        <v>20782.84</v>
      </c>
      <c r="D8" s="10">
        <v>20731.63</v>
      </c>
      <c r="E8" s="10">
        <v>20116.05</v>
      </c>
      <c r="F8" s="10">
        <v>20651.7</v>
      </c>
      <c r="G8" s="47">
        <v>0</v>
      </c>
      <c r="H8" s="10">
        <v>20699.21</v>
      </c>
      <c r="I8" s="10">
        <v>21531.07</v>
      </c>
      <c r="J8" s="10">
        <v>0</v>
      </c>
      <c r="K8" s="10">
        <v>22259.66</v>
      </c>
      <c r="L8" s="10">
        <v>0</v>
      </c>
      <c r="M8" s="10">
        <v>0</v>
      </c>
      <c r="N8" s="22"/>
      <c r="O8" s="10">
        <f>SUM(B8:M8)</f>
        <v>167418.29</v>
      </c>
      <c r="P8" s="10">
        <f>AVERAGE(B8:K8)</f>
        <v>16741.829000000002</v>
      </c>
    </row>
    <row r="9" spans="1:16" s="11" customFormat="1" ht="11.4" x14ac:dyDescent="0.2">
      <c r="A9" s="9" t="s">
        <v>99</v>
      </c>
      <c r="B9" s="10">
        <f>SUM(B5:B7)</f>
        <v>29601.919999999998</v>
      </c>
      <c r="C9" s="10">
        <v>11503.41</v>
      </c>
      <c r="D9" s="10">
        <v>12706.17</v>
      </c>
      <c r="E9" s="10">
        <v>12326.84</v>
      </c>
      <c r="F9" s="10">
        <v>12658.33</v>
      </c>
      <c r="G9" s="10">
        <v>0</v>
      </c>
      <c r="H9" s="10">
        <v>12607.94</v>
      </c>
      <c r="I9" s="10">
        <v>12598.18</v>
      </c>
      <c r="J9" s="10">
        <v>11467.12</v>
      </c>
      <c r="K9" s="10">
        <v>12687.05</v>
      </c>
      <c r="L9" s="10">
        <v>0</v>
      </c>
      <c r="M9" s="10">
        <v>0</v>
      </c>
      <c r="N9" s="22"/>
      <c r="O9" s="10">
        <v>111272.54</v>
      </c>
      <c r="P9" s="10">
        <v>11127.253999999999</v>
      </c>
    </row>
    <row r="10" spans="1:16" s="13" customFormat="1" ht="11.4" x14ac:dyDescent="0.2">
      <c r="A10" s="1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48"/>
      <c r="O10" s="16"/>
      <c r="P10" s="37"/>
    </row>
    <row r="11" spans="1:16" s="13" customFormat="1" ht="11.4" x14ac:dyDescent="0.2">
      <c r="A11" s="38" t="s">
        <v>52</v>
      </c>
      <c r="B11" s="39">
        <f>SUM(B7:B9)</f>
        <v>79849.97</v>
      </c>
      <c r="C11" s="39">
        <f t="shared" ref="C11:M11" si="0">SUM(C7:C9)</f>
        <v>59008.790000000008</v>
      </c>
      <c r="D11" s="39">
        <f t="shared" si="0"/>
        <v>63023.19</v>
      </c>
      <c r="E11" s="39">
        <f t="shared" si="0"/>
        <v>60940.009999999995</v>
      </c>
      <c r="F11" s="39">
        <f t="shared" si="0"/>
        <v>62663.62</v>
      </c>
      <c r="G11" s="39">
        <f t="shared" si="0"/>
        <v>28497.119999999999</v>
      </c>
      <c r="H11" s="39">
        <f t="shared" si="0"/>
        <v>62736.210000000006</v>
      </c>
      <c r="I11" s="39">
        <f t="shared" si="0"/>
        <v>63798.11</v>
      </c>
      <c r="J11" s="39">
        <f t="shared" si="0"/>
        <v>11467.12</v>
      </c>
      <c r="K11" s="39">
        <f t="shared" si="0"/>
        <v>64483.880000000005</v>
      </c>
      <c r="L11" s="39">
        <f t="shared" si="0"/>
        <v>0</v>
      </c>
      <c r="M11" s="39">
        <f t="shared" si="0"/>
        <v>0</v>
      </c>
      <c r="N11" s="48"/>
      <c r="O11" s="10">
        <f>SUM(B11:M11)</f>
        <v>556468.02</v>
      </c>
      <c r="P11" s="10">
        <f>AVERAGE(B11:K11)</f>
        <v>55646.802000000003</v>
      </c>
    </row>
    <row r="12" spans="1:16" s="6" customFormat="1" ht="11.4" x14ac:dyDescent="0.2">
      <c r="N12" s="109"/>
    </row>
    <row r="13" spans="1:16" s="6" customFormat="1" ht="11.4" x14ac:dyDescent="0.2">
      <c r="N13" s="109"/>
    </row>
    <row r="14" spans="1:16" s="6" customFormat="1" ht="11.4" x14ac:dyDescent="0.2">
      <c r="A14" s="59" t="s">
        <v>44</v>
      </c>
      <c r="B14" s="59">
        <f>0.004703</f>
        <v>4.7029999999999997E-3</v>
      </c>
      <c r="C14" s="59">
        <f t="shared" ref="C14:M14" si="1">0.004703</f>
        <v>4.7029999999999997E-3</v>
      </c>
      <c r="D14" s="59">
        <f t="shared" si="1"/>
        <v>4.7029999999999997E-3</v>
      </c>
      <c r="E14" s="59">
        <f t="shared" si="1"/>
        <v>4.7029999999999997E-3</v>
      </c>
      <c r="F14" s="59">
        <f t="shared" si="1"/>
        <v>4.7029999999999997E-3</v>
      </c>
      <c r="G14" s="59">
        <f t="shared" si="1"/>
        <v>4.7029999999999997E-3</v>
      </c>
      <c r="H14" s="59">
        <f t="shared" si="1"/>
        <v>4.7029999999999997E-3</v>
      </c>
      <c r="I14" s="59">
        <f t="shared" si="1"/>
        <v>4.7029999999999997E-3</v>
      </c>
      <c r="J14" s="59">
        <f t="shared" si="1"/>
        <v>4.7029999999999997E-3</v>
      </c>
      <c r="K14" s="59">
        <f t="shared" si="1"/>
        <v>4.7029999999999997E-3</v>
      </c>
      <c r="L14" s="59">
        <f t="shared" si="1"/>
        <v>4.7029999999999997E-3</v>
      </c>
      <c r="M14" s="59">
        <f t="shared" si="1"/>
        <v>4.7029999999999997E-3</v>
      </c>
      <c r="N14" s="109"/>
      <c r="O14" s="59"/>
    </row>
    <row r="15" spans="1:16" s="6" customFormat="1" ht="11.4" x14ac:dyDescent="0.2">
      <c r="A15" s="59" t="s">
        <v>42</v>
      </c>
      <c r="B15" s="60">
        <f>'B&amp;B Totals'!B34*1.34</f>
        <v>6442202.7600000007</v>
      </c>
      <c r="C15" s="60">
        <f>'B&amp;B Totals'!C34*1.34</f>
        <v>5815569.1800000006</v>
      </c>
      <c r="D15" s="60">
        <f>'B&amp;B Totals'!D34*1.34</f>
        <v>5772758.8600000003</v>
      </c>
      <c r="E15" s="60">
        <f>'B&amp;B Totals'!E34*1.34</f>
        <v>5560413.0800000001</v>
      </c>
      <c r="F15" s="60">
        <f>'B&amp;B Totals'!F34*1.34</f>
        <v>5507240.540000001</v>
      </c>
      <c r="G15" s="60">
        <f>'B&amp;B Totals'!G34*1.34</f>
        <v>6119490.5600000005</v>
      </c>
      <c r="H15" s="60">
        <f>'B&amp;B Totals'!H34*1.34</f>
        <v>6699080.7600000007</v>
      </c>
      <c r="I15" s="60">
        <f>'B&amp;B Totals'!I34*1.34</f>
        <v>6308497.5600000005</v>
      </c>
      <c r="J15" s="60">
        <f>'B&amp;B Totals'!J34*1.34</f>
        <v>5485671.9000000004</v>
      </c>
      <c r="K15" s="60">
        <f>'B&amp;B Totals'!K34*1.34</f>
        <v>5655175.2000000002</v>
      </c>
      <c r="L15" s="60">
        <f>'B&amp;B Totals'!L34*1.34</f>
        <v>5747394</v>
      </c>
      <c r="M15" s="60">
        <f>'B&amp;B Totals'!M34*1.34</f>
        <v>5933252</v>
      </c>
      <c r="N15" s="109"/>
      <c r="O15" s="59"/>
    </row>
    <row r="16" spans="1:16" s="22" customFormat="1" ht="12.6" thickBot="1" x14ac:dyDescent="0.3">
      <c r="A16" s="66" t="s">
        <v>43</v>
      </c>
      <c r="B16" s="67">
        <f>B14*B15</f>
        <v>30297.679580280001</v>
      </c>
      <c r="C16" s="67">
        <f t="shared" ref="C16:M16" si="2">C14*C15</f>
        <v>27350.62185354</v>
      </c>
      <c r="D16" s="67">
        <f t="shared" si="2"/>
        <v>27149.284918580001</v>
      </c>
      <c r="E16" s="67">
        <f t="shared" si="2"/>
        <v>26150.622715239999</v>
      </c>
      <c r="F16" s="67">
        <f t="shared" si="2"/>
        <v>25900.552259620003</v>
      </c>
      <c r="G16" s="67">
        <f t="shared" si="2"/>
        <v>28779.964103680002</v>
      </c>
      <c r="H16" s="67">
        <f t="shared" si="2"/>
        <v>31505.776814280001</v>
      </c>
      <c r="I16" s="67">
        <f t="shared" si="2"/>
        <v>29668.864024680002</v>
      </c>
      <c r="J16" s="67">
        <f t="shared" si="2"/>
        <v>25799.114945699999</v>
      </c>
      <c r="K16" s="67">
        <f t="shared" si="2"/>
        <v>26596.288965600001</v>
      </c>
      <c r="L16" s="67">
        <f t="shared" si="2"/>
        <v>27029.993982</v>
      </c>
      <c r="M16" s="67">
        <f t="shared" si="2"/>
        <v>27904.084155999997</v>
      </c>
      <c r="N16" s="112"/>
      <c r="O16" s="70"/>
      <c r="P16" s="21"/>
    </row>
    <row r="17" spans="1:16" s="22" customFormat="1" ht="12.6" thickTop="1" x14ac:dyDescent="0.25">
      <c r="A17" s="61" t="s">
        <v>53</v>
      </c>
      <c r="B17" s="62">
        <f>B7-B16</f>
        <v>-695.75958028000241</v>
      </c>
      <c r="C17" s="62">
        <f t="shared" ref="C17:M17" si="3">C7-C16</f>
        <v>-628.08185353999943</v>
      </c>
      <c r="D17" s="62">
        <f t="shared" si="3"/>
        <v>2436.1050814199989</v>
      </c>
      <c r="E17" s="62">
        <f t="shared" si="3"/>
        <v>2346.4972847600002</v>
      </c>
      <c r="F17" s="62">
        <f t="shared" si="3"/>
        <v>3453.0377403799976</v>
      </c>
      <c r="G17" s="62">
        <f t="shared" si="3"/>
        <v>-282.84410368000317</v>
      </c>
      <c r="H17" s="62">
        <f t="shared" si="3"/>
        <v>-2076.7168142800001</v>
      </c>
      <c r="I17" s="62">
        <f t="shared" si="3"/>
        <v>-4.0246800017484929E-3</v>
      </c>
      <c r="J17" s="62">
        <f t="shared" si="3"/>
        <v>-25799.114945699999</v>
      </c>
      <c r="K17" s="62">
        <f t="shared" si="3"/>
        <v>2940.8810343999976</v>
      </c>
      <c r="L17" s="62">
        <f t="shared" si="3"/>
        <v>-27029.993982</v>
      </c>
      <c r="M17" s="62">
        <f t="shared" si="3"/>
        <v>-27904.084155999997</v>
      </c>
      <c r="N17" s="21"/>
      <c r="O17" s="63">
        <f>SUM(B17:M17)</f>
        <v>-73240.078319200009</v>
      </c>
      <c r="P17" s="21"/>
    </row>
    <row r="18" spans="1:16" s="109" customFormat="1" ht="11.4" x14ac:dyDescent="0.2"/>
    <row r="19" spans="1:16" s="109" customFormat="1" ht="11.4" x14ac:dyDescent="0.2"/>
    <row r="20" spans="1:16" s="6" customFormat="1" ht="11.4" x14ac:dyDescent="0.2">
      <c r="A20" s="59" t="s">
        <v>45</v>
      </c>
      <c r="B20" s="59">
        <v>3.9979999999999998E-3</v>
      </c>
      <c r="C20" s="59">
        <v>3.9979999999999998E-3</v>
      </c>
      <c r="D20" s="59">
        <v>3.9979999999999998E-3</v>
      </c>
      <c r="E20" s="59">
        <v>3.9979999999999998E-3</v>
      </c>
      <c r="F20" s="59">
        <v>3.9979999999999998E-3</v>
      </c>
      <c r="G20" s="59">
        <v>3.9979999999999998E-3</v>
      </c>
      <c r="H20" s="59">
        <v>3.9979999999999998E-3</v>
      </c>
      <c r="I20" s="59">
        <v>3.9979999999999998E-3</v>
      </c>
      <c r="J20" s="59">
        <v>3.9979999999999998E-3</v>
      </c>
      <c r="K20" s="59">
        <v>3.9979999999999998E-3</v>
      </c>
      <c r="L20" s="59">
        <v>3.9979999999999998E-3</v>
      </c>
      <c r="M20" s="59">
        <v>3.9979999999999998E-3</v>
      </c>
      <c r="N20" s="109"/>
      <c r="O20" s="59"/>
    </row>
    <row r="21" spans="1:16" s="6" customFormat="1" ht="11.4" x14ac:dyDescent="0.2">
      <c r="A21" s="59" t="s">
        <v>42</v>
      </c>
      <c r="B21" s="64">
        <f>'B&amp;B Totals'!B33*1.34</f>
        <v>4367060</v>
      </c>
      <c r="C21" s="64">
        <f>'B&amp;B Totals'!C33*1.34</f>
        <v>3982480.0000000005</v>
      </c>
      <c r="D21" s="64">
        <f>'B&amp;B Totals'!D33*1.34</f>
        <v>4511780</v>
      </c>
      <c r="E21" s="64">
        <f>'B&amp;B Totals'!E33*1.34</f>
        <v>4629700</v>
      </c>
      <c r="F21" s="64">
        <f>'B&amp;B Totals'!F33*1.34</f>
        <v>4752980</v>
      </c>
      <c r="G21" s="64">
        <f>'B&amp;B Totals'!G33*1.34</f>
        <v>4972740</v>
      </c>
      <c r="H21" s="64">
        <f>'B&amp;B Totals'!H33*1.34</f>
        <v>5074580</v>
      </c>
      <c r="I21" s="64">
        <f>'B&amp;B Totals'!I33*1.34</f>
        <v>5385460</v>
      </c>
      <c r="J21" s="64">
        <f>'B&amp;B Totals'!J33*1.34</f>
        <v>5240740</v>
      </c>
      <c r="K21" s="64">
        <f>'B&amp;B Totals'!K33*1.34</f>
        <v>5567700</v>
      </c>
      <c r="L21" s="64">
        <f>'B&amp;B Totals'!L33*1.34</f>
        <v>5232700</v>
      </c>
      <c r="M21" s="64">
        <f>'B&amp;B Totals'!M33*1.34</f>
        <v>5234040</v>
      </c>
      <c r="N21" s="109"/>
      <c r="O21" s="59"/>
    </row>
    <row r="22" spans="1:16" s="6" customFormat="1" ht="12" thickBot="1" x14ac:dyDescent="0.25">
      <c r="A22" s="66" t="s">
        <v>43</v>
      </c>
      <c r="B22" s="68">
        <f>B20*B21</f>
        <v>17459.505880000001</v>
      </c>
      <c r="C22" s="68">
        <f t="shared" ref="C22:M22" si="4">C20*C21</f>
        <v>15921.955040000001</v>
      </c>
      <c r="D22" s="68">
        <f t="shared" si="4"/>
        <v>18038.096439999998</v>
      </c>
      <c r="E22" s="68">
        <f t="shared" si="4"/>
        <v>18509.5406</v>
      </c>
      <c r="F22" s="68">
        <f t="shared" si="4"/>
        <v>19002.41404</v>
      </c>
      <c r="G22" s="68">
        <f t="shared" si="4"/>
        <v>19881.014520000001</v>
      </c>
      <c r="H22" s="68">
        <f t="shared" si="4"/>
        <v>20288.170839999999</v>
      </c>
      <c r="I22" s="68">
        <f t="shared" si="4"/>
        <v>21531.069079999997</v>
      </c>
      <c r="J22" s="68">
        <f t="shared" si="4"/>
        <v>20952.478520000001</v>
      </c>
      <c r="K22" s="68">
        <f t="shared" si="4"/>
        <v>22259.6646</v>
      </c>
      <c r="L22" s="68">
        <f t="shared" si="4"/>
        <v>20920.334599999998</v>
      </c>
      <c r="M22" s="68">
        <f t="shared" si="4"/>
        <v>20925.691919999997</v>
      </c>
      <c r="N22" s="113"/>
      <c r="O22" s="69"/>
    </row>
    <row r="23" spans="1:16" s="6" customFormat="1" ht="12.6" thickTop="1" x14ac:dyDescent="0.25">
      <c r="A23" s="61" t="s">
        <v>53</v>
      </c>
      <c r="B23" s="65">
        <f>B8-B22</f>
        <v>3186.6241200000004</v>
      </c>
      <c r="C23" s="65">
        <f t="shared" ref="C23:M23" si="5">C8-C22</f>
        <v>4860.8849599999994</v>
      </c>
      <c r="D23" s="65">
        <f t="shared" si="5"/>
        <v>2693.5335600000035</v>
      </c>
      <c r="E23" s="65">
        <f t="shared" si="5"/>
        <v>1606.509399999999</v>
      </c>
      <c r="F23" s="65">
        <f t="shared" si="5"/>
        <v>1649.2859600000011</v>
      </c>
      <c r="G23" s="65">
        <f t="shared" si="5"/>
        <v>-19881.014520000001</v>
      </c>
      <c r="H23" s="65">
        <f t="shared" si="5"/>
        <v>411.03916000000027</v>
      </c>
      <c r="I23" s="65">
        <f t="shared" si="5"/>
        <v>9.200000022246968E-4</v>
      </c>
      <c r="J23" s="65">
        <f t="shared" si="5"/>
        <v>-20952.478520000001</v>
      </c>
      <c r="K23" s="65">
        <f t="shared" si="5"/>
        <v>-4.6000000002095476E-3</v>
      </c>
      <c r="L23" s="65">
        <f t="shared" si="5"/>
        <v>-20920.334599999998</v>
      </c>
      <c r="M23" s="65">
        <f t="shared" si="5"/>
        <v>-20925.691919999997</v>
      </c>
      <c r="N23" s="109"/>
      <c r="O23" s="63">
        <f>SUM(B23:M23)</f>
        <v>-68271.646079999991</v>
      </c>
    </row>
    <row r="24" spans="1:16" s="6" customFormat="1" ht="11.4" x14ac:dyDescent="0.2">
      <c r="N24" s="109"/>
    </row>
    <row r="25" spans="1:16" s="6" customFormat="1" ht="12" x14ac:dyDescent="0.25">
      <c r="A25" s="73" t="s">
        <v>54</v>
      </c>
      <c r="B25" s="74">
        <f t="shared" ref="B25:M25" si="6">B17+B23</f>
        <v>2490.864539719998</v>
      </c>
      <c r="C25" s="74">
        <f t="shared" si="6"/>
        <v>4232.80310646</v>
      </c>
      <c r="D25" s="74">
        <f t="shared" si="6"/>
        <v>5129.6386414200024</v>
      </c>
      <c r="E25" s="74">
        <f t="shared" si="6"/>
        <v>3953.0066847599992</v>
      </c>
      <c r="F25" s="74">
        <f t="shared" si="6"/>
        <v>5102.3237003799986</v>
      </c>
      <c r="G25" s="74">
        <f t="shared" si="6"/>
        <v>-20163.858623680004</v>
      </c>
      <c r="H25" s="74">
        <f t="shared" si="6"/>
        <v>-1665.6776542799998</v>
      </c>
      <c r="I25" s="74">
        <f t="shared" si="6"/>
        <v>-3.1046799995237961E-3</v>
      </c>
      <c r="J25" s="74">
        <f t="shared" si="6"/>
        <v>-46751.593465700003</v>
      </c>
      <c r="K25" s="74">
        <f t="shared" si="6"/>
        <v>2940.8764343999974</v>
      </c>
      <c r="L25" s="74">
        <f t="shared" si="6"/>
        <v>-47950.328582000002</v>
      </c>
      <c r="M25" s="74">
        <f t="shared" si="6"/>
        <v>-48829.776075999995</v>
      </c>
      <c r="N25" s="114"/>
      <c r="O25" s="75">
        <f>SUM(B25:M25)</f>
        <v>-141511.7243992</v>
      </c>
    </row>
    <row r="26" spans="1:16" s="6" customFormat="1" ht="11.4" x14ac:dyDescent="0.2">
      <c r="N26" s="109"/>
    </row>
    <row r="27" spans="1:16" s="6" customFormat="1" ht="11.4" x14ac:dyDescent="0.2">
      <c r="A27" s="59" t="s">
        <v>100</v>
      </c>
      <c r="B27" s="59">
        <v>2.63E-3</v>
      </c>
      <c r="C27" s="59">
        <v>2.63E-3</v>
      </c>
      <c r="D27" s="59">
        <v>2.63E-3</v>
      </c>
      <c r="E27" s="59">
        <v>2.63E-3</v>
      </c>
      <c r="F27" s="59">
        <v>2.63E-3</v>
      </c>
      <c r="G27" s="59">
        <v>2.63E-3</v>
      </c>
      <c r="H27" s="59">
        <v>2.63E-3</v>
      </c>
      <c r="I27" s="59">
        <v>2.63E-3</v>
      </c>
      <c r="J27" s="59">
        <v>2.63E-3</v>
      </c>
      <c r="K27" s="59">
        <v>2.63E-3</v>
      </c>
      <c r="L27" s="59">
        <v>2.63E-3</v>
      </c>
      <c r="M27" s="59">
        <v>2.63E-3</v>
      </c>
      <c r="N27" s="109"/>
      <c r="O27" s="59"/>
    </row>
    <row r="28" spans="1:16" s="6" customFormat="1" ht="11.4" x14ac:dyDescent="0.2">
      <c r="A28" s="59" t="s">
        <v>42</v>
      </c>
      <c r="B28" s="64">
        <f>'Gallup Totals'!B33</f>
        <v>6084929.2800000003</v>
      </c>
      <c r="C28" s="64">
        <f>'Gallup Totals'!C33</f>
        <v>5301112.3600000003</v>
      </c>
      <c r="D28" s="64">
        <f>'Gallup Totals'!D33</f>
        <v>5937462.2800000003</v>
      </c>
      <c r="E28" s="64">
        <f>'Gallup Totals'!E33</f>
        <v>5898008.6600000001</v>
      </c>
      <c r="F28" s="64">
        <f>'Gallup Totals'!F33</f>
        <v>4586351</v>
      </c>
      <c r="G28" s="64">
        <f>'Gallup Totals'!G33</f>
        <v>6967037.8800000008</v>
      </c>
      <c r="H28" s="64">
        <f>'Gallup Totals'!H33</f>
        <v>7083111.3600000003</v>
      </c>
      <c r="I28" s="64">
        <f>'Gallup Totals'!I33</f>
        <v>4790181.08</v>
      </c>
      <c r="J28" s="64">
        <f>'Gallup Totals'!J33</f>
        <v>1631168.6</v>
      </c>
      <c r="K28" s="64">
        <f>'Gallup Totals'!K33</f>
        <v>7127556.4800000004</v>
      </c>
      <c r="L28" s="64">
        <f>'Gallup Totals'!L33</f>
        <v>6759981.0800000001</v>
      </c>
      <c r="M28" s="64">
        <f>'Gallup Totals'!M33</f>
        <v>6042645.5800000001</v>
      </c>
      <c r="N28" s="109"/>
      <c r="O28" s="59"/>
    </row>
    <row r="29" spans="1:16" s="6" customFormat="1" ht="12" thickBot="1" x14ac:dyDescent="0.25">
      <c r="A29" s="66" t="s">
        <v>43</v>
      </c>
      <c r="B29" s="68">
        <f t="shared" ref="B29:M29" si="7">B27*B28</f>
        <v>16003.364006400001</v>
      </c>
      <c r="C29" s="68">
        <f t="shared" si="7"/>
        <v>13941.9255068</v>
      </c>
      <c r="D29" s="68">
        <f t="shared" si="7"/>
        <v>15615.525796400001</v>
      </c>
      <c r="E29" s="68">
        <f t="shared" si="7"/>
        <v>15511.7627758</v>
      </c>
      <c r="F29" s="68">
        <f t="shared" si="7"/>
        <v>12062.10313</v>
      </c>
      <c r="G29" s="68">
        <f t="shared" si="7"/>
        <v>18323.309624400001</v>
      </c>
      <c r="H29" s="68">
        <f t="shared" si="7"/>
        <v>18628.582876799999</v>
      </c>
      <c r="I29" s="68">
        <f t="shared" si="7"/>
        <v>12598.1762404</v>
      </c>
      <c r="J29" s="68">
        <f t="shared" si="7"/>
        <v>4289.9734180000005</v>
      </c>
      <c r="K29" s="68">
        <f t="shared" si="7"/>
        <v>18745.473542399999</v>
      </c>
      <c r="L29" s="68">
        <f t="shared" si="7"/>
        <v>17778.750240400001</v>
      </c>
      <c r="M29" s="68">
        <f t="shared" si="7"/>
        <v>15892.1578754</v>
      </c>
      <c r="N29" s="113"/>
      <c r="O29" s="69"/>
    </row>
    <row r="30" spans="1:16" s="6" customFormat="1" ht="12.6" thickTop="1" x14ac:dyDescent="0.25">
      <c r="A30" s="116" t="s">
        <v>53</v>
      </c>
      <c r="B30" s="65">
        <f>B9-B29</f>
        <v>13598.555993599997</v>
      </c>
      <c r="C30" s="65">
        <f t="shared" ref="C30:M30" si="8">C9-C29</f>
        <v>-2438.5155068000004</v>
      </c>
      <c r="D30" s="65">
        <f t="shared" si="8"/>
        <v>-2909.3557964000011</v>
      </c>
      <c r="E30" s="65">
        <f t="shared" si="8"/>
        <v>-3184.9227757999997</v>
      </c>
      <c r="F30" s="65">
        <f t="shared" si="8"/>
        <v>596.22687000000042</v>
      </c>
      <c r="G30" s="65">
        <f t="shared" si="8"/>
        <v>-18323.309624400001</v>
      </c>
      <c r="H30" s="65">
        <f t="shared" si="8"/>
        <v>-6020.6428767999987</v>
      </c>
      <c r="I30" s="65">
        <f t="shared" si="8"/>
        <v>3.7596000001940411E-3</v>
      </c>
      <c r="J30" s="65">
        <f t="shared" si="8"/>
        <v>7177.1465820000003</v>
      </c>
      <c r="K30" s="65">
        <f t="shared" si="8"/>
        <v>-6058.4235423999999</v>
      </c>
      <c r="L30" s="65">
        <f t="shared" si="8"/>
        <v>-17778.750240400001</v>
      </c>
      <c r="M30" s="65">
        <f t="shared" si="8"/>
        <v>-15892.1578754</v>
      </c>
      <c r="N30" s="109"/>
      <c r="O30" s="63">
        <f>SUM(B30:M30)</f>
        <v>-51234.145033200002</v>
      </c>
    </row>
    <row r="31" spans="1:16" s="6" customFormat="1" ht="11.4" x14ac:dyDescent="0.2">
      <c r="A31" s="117" t="s">
        <v>101</v>
      </c>
      <c r="N31" s="109"/>
    </row>
    <row r="32" spans="1:16" s="6" customFormat="1" ht="11.4" x14ac:dyDescent="0.2">
      <c r="N32" s="109"/>
    </row>
    <row r="33" spans="1:16" s="6" customFormat="1" ht="11.4" x14ac:dyDescent="0.2">
      <c r="N33" s="109"/>
    </row>
    <row r="34" spans="1:16" s="6" customFormat="1" ht="12" x14ac:dyDescent="0.25">
      <c r="A34" s="24" t="s">
        <v>29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8</v>
      </c>
      <c r="K34" s="7" t="s">
        <v>9</v>
      </c>
      <c r="L34" s="7" t="s">
        <v>10</v>
      </c>
      <c r="M34" s="7" t="s">
        <v>14</v>
      </c>
      <c r="N34" s="109"/>
      <c r="O34" s="29" t="s">
        <v>15</v>
      </c>
      <c r="P34" s="29" t="s">
        <v>16</v>
      </c>
    </row>
    <row r="35" spans="1:16" s="6" customFormat="1" ht="11.4" x14ac:dyDescent="0.2">
      <c r="A35" s="44" t="s">
        <v>31</v>
      </c>
      <c r="B35" s="46">
        <f>$P$7</f>
        <v>26089.276999999995</v>
      </c>
      <c r="C35" s="46">
        <f t="shared" ref="C35:M35" si="9">$P$7</f>
        <v>26089.276999999995</v>
      </c>
      <c r="D35" s="46">
        <f t="shared" si="9"/>
        <v>26089.276999999995</v>
      </c>
      <c r="E35" s="46">
        <f t="shared" si="9"/>
        <v>26089.276999999995</v>
      </c>
      <c r="F35" s="46">
        <f t="shared" si="9"/>
        <v>26089.276999999995</v>
      </c>
      <c r="G35" s="46">
        <f t="shared" si="9"/>
        <v>26089.276999999995</v>
      </c>
      <c r="H35" s="46">
        <f t="shared" si="9"/>
        <v>26089.276999999995</v>
      </c>
      <c r="I35" s="46">
        <f t="shared" si="9"/>
        <v>26089.276999999995</v>
      </c>
      <c r="J35" s="46">
        <f t="shared" si="9"/>
        <v>26089.276999999995</v>
      </c>
      <c r="K35" s="46">
        <f t="shared" si="9"/>
        <v>26089.276999999995</v>
      </c>
      <c r="L35" s="46">
        <f t="shared" si="9"/>
        <v>26089.276999999995</v>
      </c>
      <c r="M35" s="46">
        <f t="shared" si="9"/>
        <v>26089.276999999995</v>
      </c>
      <c r="N35" s="109"/>
      <c r="O35" s="46">
        <f>SUM(B35:M35)</f>
        <v>313071.32399999996</v>
      </c>
      <c r="P35" s="46">
        <f>AVERAGE(B35:M35)</f>
        <v>26089.276999999998</v>
      </c>
    </row>
    <row r="36" spans="1:16" s="6" customFormat="1" ht="11.4" x14ac:dyDescent="0.2">
      <c r="A36" s="44" t="s">
        <v>32</v>
      </c>
      <c r="B36" s="46">
        <f>$P$8</f>
        <v>16741.829000000002</v>
      </c>
      <c r="C36" s="46">
        <f t="shared" ref="C36:M36" si="10">$P$8</f>
        <v>16741.829000000002</v>
      </c>
      <c r="D36" s="46">
        <f t="shared" si="10"/>
        <v>16741.829000000002</v>
      </c>
      <c r="E36" s="46">
        <f t="shared" si="10"/>
        <v>16741.829000000002</v>
      </c>
      <c r="F36" s="46">
        <f t="shared" si="10"/>
        <v>16741.829000000002</v>
      </c>
      <c r="G36" s="46">
        <f t="shared" si="10"/>
        <v>16741.829000000002</v>
      </c>
      <c r="H36" s="46">
        <f t="shared" si="10"/>
        <v>16741.829000000002</v>
      </c>
      <c r="I36" s="46">
        <f t="shared" si="10"/>
        <v>16741.829000000002</v>
      </c>
      <c r="J36" s="46">
        <f t="shared" si="10"/>
        <v>16741.829000000002</v>
      </c>
      <c r="K36" s="46">
        <f t="shared" si="10"/>
        <v>16741.829000000002</v>
      </c>
      <c r="L36" s="46">
        <f t="shared" si="10"/>
        <v>16741.829000000002</v>
      </c>
      <c r="M36" s="46">
        <f t="shared" si="10"/>
        <v>16741.829000000002</v>
      </c>
      <c r="N36" s="109"/>
      <c r="O36" s="46">
        <f>SUM(B36:M36)</f>
        <v>200901.948</v>
      </c>
      <c r="P36" s="46">
        <f>AVERAGE(B36:M36)</f>
        <v>16741.829000000002</v>
      </c>
    </row>
    <row r="37" spans="1:16" s="6" customFormat="1" ht="11.4" x14ac:dyDescent="0.2">
      <c r="A37" s="44" t="s">
        <v>99</v>
      </c>
      <c r="B37" s="46">
        <f>$P$9</f>
        <v>11127.253999999999</v>
      </c>
      <c r="C37" s="46">
        <f t="shared" ref="C37:M37" si="11">$P$9</f>
        <v>11127.253999999999</v>
      </c>
      <c r="D37" s="46">
        <f t="shared" si="11"/>
        <v>11127.253999999999</v>
      </c>
      <c r="E37" s="46">
        <f t="shared" si="11"/>
        <v>11127.253999999999</v>
      </c>
      <c r="F37" s="46">
        <f t="shared" si="11"/>
        <v>11127.253999999999</v>
      </c>
      <c r="G37" s="46">
        <f t="shared" si="11"/>
        <v>11127.253999999999</v>
      </c>
      <c r="H37" s="46">
        <f t="shared" si="11"/>
        <v>11127.253999999999</v>
      </c>
      <c r="I37" s="46">
        <f t="shared" si="11"/>
        <v>11127.253999999999</v>
      </c>
      <c r="J37" s="46">
        <f t="shared" si="11"/>
        <v>11127.253999999999</v>
      </c>
      <c r="K37" s="46">
        <f t="shared" si="11"/>
        <v>11127.253999999999</v>
      </c>
      <c r="L37" s="46">
        <f t="shared" si="11"/>
        <v>11127.253999999999</v>
      </c>
      <c r="M37" s="46">
        <f t="shared" si="11"/>
        <v>11127.253999999999</v>
      </c>
      <c r="N37" s="109"/>
      <c r="O37" s="46"/>
      <c r="P37" s="46"/>
    </row>
    <row r="38" spans="1:16" s="6" customFormat="1" ht="12" thickBot="1" x14ac:dyDescent="0.25">
      <c r="A38" s="44" t="s">
        <v>25</v>
      </c>
      <c r="B38" s="45">
        <f>SUM(B35:B37)</f>
        <v>53958.36</v>
      </c>
      <c r="C38" s="45">
        <f t="shared" ref="C38:M38" si="12">SUM(C35:C37)</f>
        <v>53958.36</v>
      </c>
      <c r="D38" s="45">
        <f t="shared" si="12"/>
        <v>53958.36</v>
      </c>
      <c r="E38" s="45">
        <f t="shared" si="12"/>
        <v>53958.36</v>
      </c>
      <c r="F38" s="45">
        <f t="shared" si="12"/>
        <v>53958.36</v>
      </c>
      <c r="G38" s="45">
        <f t="shared" si="12"/>
        <v>53958.36</v>
      </c>
      <c r="H38" s="45">
        <f t="shared" si="12"/>
        <v>53958.36</v>
      </c>
      <c r="I38" s="45">
        <f t="shared" si="12"/>
        <v>53958.36</v>
      </c>
      <c r="J38" s="45">
        <f t="shared" si="12"/>
        <v>53958.36</v>
      </c>
      <c r="K38" s="45">
        <f t="shared" si="12"/>
        <v>53958.36</v>
      </c>
      <c r="L38" s="45">
        <f t="shared" si="12"/>
        <v>53958.36</v>
      </c>
      <c r="M38" s="45">
        <f t="shared" si="12"/>
        <v>53958.36</v>
      </c>
      <c r="N38" s="109"/>
      <c r="O38" s="45">
        <f>O35+O36</f>
        <v>513973.272</v>
      </c>
      <c r="P38" s="45">
        <f>P35+P36</f>
        <v>42831.106</v>
      </c>
    </row>
    <row r="39" spans="1:16" ht="13.8" thickTop="1" x14ac:dyDescent="0.25">
      <c r="A39" s="28"/>
    </row>
    <row r="40" spans="1:16" x14ac:dyDescent="0.25">
      <c r="A40" s="4"/>
    </row>
    <row r="41" spans="1:16" x14ac:dyDescent="0.25">
      <c r="A41" s="4"/>
    </row>
  </sheetData>
  <phoneticPr fontId="0" type="noConversion"/>
  <pageMargins left="0.5" right="0.5" top="0.5" bottom="0.5" header="0.5" footer="0.5"/>
  <pageSetup paperSize="5" scale="74" orientation="landscape" r:id="rId1"/>
  <headerFooter alignWithMargins="0">
    <oddFooter>&amp;L&amp;8&amp;A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7"/>
  <sheetViews>
    <sheetView view="pageBreakPreview" zoomScale="90" zoomScaleNormal="90" workbookViewId="0">
      <pane xSplit="1" topLeftCell="B1" activePane="topRight" state="frozen"/>
      <selection pane="topRight" activeCell="C39" sqref="C39:E39"/>
    </sheetView>
  </sheetViews>
  <sheetFormatPr defaultColWidth="9.109375" defaultRowHeight="11.4" x14ac:dyDescent="0.2"/>
  <cols>
    <col min="1" max="1" width="22.44140625" style="6" customWidth="1"/>
    <col min="2" max="2" width="1.6640625" style="6" customWidth="1"/>
    <col min="3" max="11" width="13.109375" style="6" bestFit="1" customWidth="1"/>
    <col min="12" max="30" width="14.6640625" style="6" bestFit="1" customWidth="1"/>
    <col min="31" max="38" width="13.109375" style="6" bestFit="1" customWidth="1"/>
    <col min="39" max="16384" width="9.109375" style="6"/>
  </cols>
  <sheetData>
    <row r="1" spans="1:43" ht="13.2" x14ac:dyDescent="0.25">
      <c r="A1" s="1" t="s">
        <v>132</v>
      </c>
      <c r="T1" s="159" t="s">
        <v>131</v>
      </c>
      <c r="AL1" s="159" t="s">
        <v>131</v>
      </c>
    </row>
    <row r="2" spans="1:43" ht="13.2" x14ac:dyDescent="0.25">
      <c r="A2" s="155" t="s">
        <v>105</v>
      </c>
      <c r="B2" s="155"/>
      <c r="T2" s="174" t="s">
        <v>140</v>
      </c>
      <c r="AL2" s="174" t="s">
        <v>140</v>
      </c>
    </row>
    <row r="3" spans="1:43" s="139" customFormat="1" ht="13.2" x14ac:dyDescent="0.25">
      <c r="A3" s="182">
        <f ca="1">TODAY()</f>
        <v>37285</v>
      </c>
      <c r="B3" s="182"/>
      <c r="T3" s="183" t="s">
        <v>141</v>
      </c>
      <c r="AL3" s="183" t="s">
        <v>141</v>
      </c>
    </row>
    <row r="4" spans="1:43" ht="13.8" thickBot="1" x14ac:dyDescent="0.3">
      <c r="A4" s="3"/>
      <c r="B4" s="3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84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84" t="s">
        <v>147</v>
      </c>
    </row>
    <row r="5" spans="1:43" ht="13.2" x14ac:dyDescent="0.25">
      <c r="A5" s="156"/>
      <c r="B5" s="156"/>
    </row>
    <row r="6" spans="1:43" x14ac:dyDescent="0.2">
      <c r="C6" s="215">
        <v>31</v>
      </c>
      <c r="D6" s="216">
        <v>31</v>
      </c>
      <c r="E6" s="139"/>
      <c r="F6" s="215">
        <f>D6</f>
        <v>31</v>
      </c>
      <c r="G6" s="216">
        <v>28</v>
      </c>
      <c r="H6" s="139"/>
      <c r="I6" s="215">
        <f>G6</f>
        <v>28</v>
      </c>
      <c r="J6" s="216">
        <v>31</v>
      </c>
      <c r="K6" s="139"/>
      <c r="L6" s="215">
        <f>J6</f>
        <v>31</v>
      </c>
      <c r="M6" s="216">
        <v>30</v>
      </c>
      <c r="N6" s="139"/>
      <c r="O6" s="215">
        <f>M6</f>
        <v>30</v>
      </c>
      <c r="P6" s="216">
        <v>31</v>
      </c>
      <c r="Q6" s="139"/>
      <c r="R6" s="215">
        <f>P6</f>
        <v>31</v>
      </c>
      <c r="S6" s="216">
        <v>30</v>
      </c>
      <c r="T6" s="139"/>
      <c r="U6" s="215">
        <f>S6</f>
        <v>30</v>
      </c>
      <c r="V6" s="216">
        <v>31</v>
      </c>
      <c r="W6" s="139"/>
      <c r="X6" s="215">
        <f>V6</f>
        <v>31</v>
      </c>
      <c r="Y6" s="216">
        <v>31</v>
      </c>
      <c r="Z6" s="139"/>
      <c r="AA6" s="215">
        <f>Y6</f>
        <v>31</v>
      </c>
      <c r="AB6" s="216">
        <v>30</v>
      </c>
      <c r="AC6" s="139"/>
      <c r="AD6" s="215">
        <f>AB6</f>
        <v>30</v>
      </c>
      <c r="AE6" s="216">
        <v>31</v>
      </c>
      <c r="AF6" s="139"/>
      <c r="AG6" s="215">
        <f>AE6</f>
        <v>31</v>
      </c>
      <c r="AH6" s="216">
        <v>30</v>
      </c>
      <c r="AI6" s="139"/>
      <c r="AJ6" s="215">
        <f>AH6</f>
        <v>30</v>
      </c>
      <c r="AK6" s="216">
        <v>31</v>
      </c>
      <c r="AL6" s="139"/>
    </row>
    <row r="7" spans="1:43" s="201" customFormat="1" x14ac:dyDescent="0.2">
      <c r="C7" s="217">
        <v>36892</v>
      </c>
      <c r="D7" s="218">
        <v>36892</v>
      </c>
      <c r="E7" s="218">
        <v>36892</v>
      </c>
      <c r="F7" s="217">
        <f t="shared" ref="F7:AL7" si="0">EOMONTH(C7,1)</f>
        <v>36950</v>
      </c>
      <c r="G7" s="218">
        <f t="shared" si="0"/>
        <v>36950</v>
      </c>
      <c r="H7" s="218">
        <f t="shared" si="0"/>
        <v>36950</v>
      </c>
      <c r="I7" s="217">
        <f t="shared" si="0"/>
        <v>36981</v>
      </c>
      <c r="J7" s="218">
        <f t="shared" si="0"/>
        <v>36981</v>
      </c>
      <c r="K7" s="218">
        <f t="shared" si="0"/>
        <v>36981</v>
      </c>
      <c r="L7" s="217">
        <f t="shared" si="0"/>
        <v>37011</v>
      </c>
      <c r="M7" s="218">
        <f t="shared" si="0"/>
        <v>37011</v>
      </c>
      <c r="N7" s="218">
        <f t="shared" si="0"/>
        <v>37011</v>
      </c>
      <c r="O7" s="217">
        <f t="shared" si="0"/>
        <v>37042</v>
      </c>
      <c r="P7" s="218">
        <f t="shared" si="0"/>
        <v>37042</v>
      </c>
      <c r="Q7" s="218">
        <f t="shared" si="0"/>
        <v>37042</v>
      </c>
      <c r="R7" s="217">
        <f t="shared" si="0"/>
        <v>37072</v>
      </c>
      <c r="S7" s="218">
        <f t="shared" si="0"/>
        <v>37072</v>
      </c>
      <c r="T7" s="218">
        <f t="shared" si="0"/>
        <v>37072</v>
      </c>
      <c r="U7" s="217">
        <f t="shared" si="0"/>
        <v>37103</v>
      </c>
      <c r="V7" s="218">
        <f t="shared" si="0"/>
        <v>37103</v>
      </c>
      <c r="W7" s="218">
        <f t="shared" si="0"/>
        <v>37103</v>
      </c>
      <c r="X7" s="217">
        <f t="shared" si="0"/>
        <v>37134</v>
      </c>
      <c r="Y7" s="218">
        <f t="shared" si="0"/>
        <v>37134</v>
      </c>
      <c r="Z7" s="218">
        <f t="shared" si="0"/>
        <v>37134</v>
      </c>
      <c r="AA7" s="217">
        <f t="shared" si="0"/>
        <v>37164</v>
      </c>
      <c r="AB7" s="218">
        <f t="shared" si="0"/>
        <v>37164</v>
      </c>
      <c r="AC7" s="218">
        <f t="shared" si="0"/>
        <v>37164</v>
      </c>
      <c r="AD7" s="217">
        <f t="shared" si="0"/>
        <v>37195</v>
      </c>
      <c r="AE7" s="218">
        <f t="shared" si="0"/>
        <v>37195</v>
      </c>
      <c r="AF7" s="218">
        <f t="shared" si="0"/>
        <v>37195</v>
      </c>
      <c r="AG7" s="217">
        <f t="shared" si="0"/>
        <v>37225</v>
      </c>
      <c r="AH7" s="218">
        <f t="shared" si="0"/>
        <v>37225</v>
      </c>
      <c r="AI7" s="218">
        <f t="shared" si="0"/>
        <v>37225</v>
      </c>
      <c r="AJ7" s="217">
        <f t="shared" si="0"/>
        <v>37256</v>
      </c>
      <c r="AK7" s="218">
        <f t="shared" si="0"/>
        <v>37256</v>
      </c>
      <c r="AL7" s="218">
        <f t="shared" si="0"/>
        <v>37256</v>
      </c>
    </row>
    <row r="8" spans="1:43" x14ac:dyDescent="0.2">
      <c r="A8" s="24">
        <v>2001</v>
      </c>
      <c r="B8" s="24"/>
      <c r="C8" s="219" t="s">
        <v>65</v>
      </c>
      <c r="D8" s="144" t="s">
        <v>64</v>
      </c>
      <c r="E8" s="144" t="s">
        <v>148</v>
      </c>
      <c r="F8" s="219" t="s">
        <v>65</v>
      </c>
      <c r="G8" s="144" t="s">
        <v>64</v>
      </c>
      <c r="H8" s="144" t="s">
        <v>148</v>
      </c>
      <c r="I8" s="219" t="s">
        <v>65</v>
      </c>
      <c r="J8" s="144" t="s">
        <v>64</v>
      </c>
      <c r="K8" s="144" t="s">
        <v>148</v>
      </c>
      <c r="L8" s="219" t="s">
        <v>65</v>
      </c>
      <c r="M8" s="144" t="s">
        <v>64</v>
      </c>
      <c r="N8" s="144" t="s">
        <v>148</v>
      </c>
      <c r="O8" s="219" t="s">
        <v>65</v>
      </c>
      <c r="P8" s="144" t="s">
        <v>64</v>
      </c>
      <c r="Q8" s="144" t="s">
        <v>148</v>
      </c>
      <c r="R8" s="219" t="s">
        <v>65</v>
      </c>
      <c r="S8" s="144" t="s">
        <v>64</v>
      </c>
      <c r="T8" s="144" t="s">
        <v>148</v>
      </c>
      <c r="U8" s="219" t="s">
        <v>65</v>
      </c>
      <c r="V8" s="144" t="s">
        <v>64</v>
      </c>
      <c r="W8" s="144" t="s">
        <v>148</v>
      </c>
      <c r="X8" s="219" t="s">
        <v>65</v>
      </c>
      <c r="Y8" s="144" t="s">
        <v>64</v>
      </c>
      <c r="Z8" s="144" t="s">
        <v>148</v>
      </c>
      <c r="AA8" s="219" t="s">
        <v>65</v>
      </c>
      <c r="AB8" s="144" t="s">
        <v>64</v>
      </c>
      <c r="AC8" s="144" t="s">
        <v>148</v>
      </c>
      <c r="AD8" s="219" t="s">
        <v>65</v>
      </c>
      <c r="AE8" s="144" t="s">
        <v>64</v>
      </c>
      <c r="AF8" s="144" t="s">
        <v>148</v>
      </c>
      <c r="AG8" s="219" t="s">
        <v>65</v>
      </c>
      <c r="AH8" s="144" t="s">
        <v>64</v>
      </c>
      <c r="AI8" s="144" t="s">
        <v>148</v>
      </c>
      <c r="AJ8" s="219" t="s">
        <v>65</v>
      </c>
      <c r="AK8" s="144" t="s">
        <v>64</v>
      </c>
      <c r="AL8" s="144" t="s">
        <v>148</v>
      </c>
    </row>
    <row r="9" spans="1:43" x14ac:dyDescent="0.2">
      <c r="C9" s="215"/>
      <c r="D9" s="139"/>
      <c r="E9" s="139"/>
      <c r="F9" s="215"/>
      <c r="G9" s="139"/>
      <c r="H9" s="139"/>
      <c r="I9" s="215"/>
      <c r="J9" s="139"/>
      <c r="K9" s="139"/>
      <c r="L9" s="215"/>
      <c r="M9" s="139"/>
      <c r="N9" s="139"/>
      <c r="O9" s="215"/>
      <c r="P9" s="139"/>
      <c r="Q9" s="139"/>
      <c r="R9" s="215"/>
      <c r="S9" s="139"/>
      <c r="T9" s="139"/>
      <c r="U9" s="215"/>
      <c r="V9" s="139"/>
      <c r="W9" s="139"/>
      <c r="X9" s="215"/>
      <c r="Y9" s="139"/>
      <c r="Z9" s="139"/>
      <c r="AA9" s="215"/>
      <c r="AB9" s="139"/>
      <c r="AC9" s="139"/>
      <c r="AD9" s="215"/>
      <c r="AE9" s="139"/>
      <c r="AF9" s="139"/>
      <c r="AG9" s="215"/>
      <c r="AH9" s="139"/>
      <c r="AI9" s="139"/>
      <c r="AJ9" s="215"/>
      <c r="AK9" s="139"/>
      <c r="AL9" s="139"/>
    </row>
    <row r="10" spans="1:43" x14ac:dyDescent="0.2">
      <c r="A10" s="157" t="s">
        <v>106</v>
      </c>
      <c r="B10" s="24"/>
      <c r="C10" s="220">
        <v>10000</v>
      </c>
      <c r="D10" s="151">
        <v>7000</v>
      </c>
      <c r="E10" s="151">
        <v>10000</v>
      </c>
      <c r="F10" s="220">
        <v>10000</v>
      </c>
      <c r="G10" s="151">
        <v>7000</v>
      </c>
      <c r="H10" s="151">
        <v>10000</v>
      </c>
      <c r="I10" s="220">
        <v>10000</v>
      </c>
      <c r="J10" s="151">
        <v>7000</v>
      </c>
      <c r="K10" s="151">
        <v>10000</v>
      </c>
      <c r="L10" s="220">
        <v>10000</v>
      </c>
      <c r="M10" s="151">
        <v>7000</v>
      </c>
      <c r="N10" s="151">
        <v>10000</v>
      </c>
      <c r="O10" s="220">
        <v>10000</v>
      </c>
      <c r="P10" s="151">
        <v>7000</v>
      </c>
      <c r="Q10" s="151">
        <v>10000</v>
      </c>
      <c r="R10" s="220">
        <v>10000</v>
      </c>
      <c r="S10" s="151">
        <v>7000</v>
      </c>
      <c r="T10" s="151">
        <v>10000</v>
      </c>
      <c r="U10" s="220">
        <v>10000</v>
      </c>
      <c r="V10" s="151">
        <v>7000</v>
      </c>
      <c r="W10" s="151">
        <v>10000</v>
      </c>
      <c r="X10" s="220">
        <v>10000</v>
      </c>
      <c r="Y10" s="151">
        <v>7000</v>
      </c>
      <c r="Z10" s="151">
        <v>10000</v>
      </c>
      <c r="AA10" s="220">
        <v>10000</v>
      </c>
      <c r="AB10" s="151">
        <v>7000</v>
      </c>
      <c r="AC10" s="151">
        <v>10000</v>
      </c>
      <c r="AD10" s="220">
        <v>10000</v>
      </c>
      <c r="AE10" s="151">
        <v>7000</v>
      </c>
      <c r="AF10" s="151">
        <v>10000</v>
      </c>
      <c r="AG10" s="220">
        <v>10000</v>
      </c>
      <c r="AH10" s="151">
        <v>7000</v>
      </c>
      <c r="AI10" s="151">
        <v>10000</v>
      </c>
      <c r="AJ10" s="220">
        <v>10000</v>
      </c>
      <c r="AK10" s="151">
        <v>7000</v>
      </c>
      <c r="AL10" s="151">
        <v>10000</v>
      </c>
    </row>
    <row r="11" spans="1:43" x14ac:dyDescent="0.2">
      <c r="A11" s="157" t="s">
        <v>107</v>
      </c>
      <c r="B11" s="24"/>
      <c r="C11" s="220">
        <v>4000</v>
      </c>
      <c r="D11" s="151">
        <v>4000</v>
      </c>
      <c r="E11" s="151">
        <v>4000</v>
      </c>
      <c r="F11" s="220">
        <v>4000</v>
      </c>
      <c r="G11" s="151">
        <v>4000</v>
      </c>
      <c r="H11" s="151">
        <v>4000</v>
      </c>
      <c r="I11" s="220">
        <v>4000</v>
      </c>
      <c r="J11" s="151">
        <v>4000</v>
      </c>
      <c r="K11" s="151">
        <v>4000</v>
      </c>
      <c r="L11" s="220">
        <v>4000</v>
      </c>
      <c r="M11" s="151">
        <v>4000</v>
      </c>
      <c r="N11" s="151">
        <v>4000</v>
      </c>
      <c r="O11" s="220">
        <v>4000</v>
      </c>
      <c r="P11" s="151">
        <v>4000</v>
      </c>
      <c r="Q11" s="151">
        <v>4000</v>
      </c>
      <c r="R11" s="220">
        <v>4000</v>
      </c>
      <c r="S11" s="151">
        <v>4000</v>
      </c>
      <c r="T11" s="151">
        <v>4000</v>
      </c>
      <c r="U11" s="220">
        <v>4000</v>
      </c>
      <c r="V11" s="151">
        <v>4000</v>
      </c>
      <c r="W11" s="151">
        <v>4000</v>
      </c>
      <c r="X11" s="220">
        <v>4000</v>
      </c>
      <c r="Y11" s="151">
        <v>4000</v>
      </c>
      <c r="Z11" s="151">
        <v>4000</v>
      </c>
      <c r="AA11" s="220">
        <v>4000</v>
      </c>
      <c r="AB11" s="151">
        <v>4000</v>
      </c>
      <c r="AC11" s="151">
        <v>4000</v>
      </c>
      <c r="AD11" s="220">
        <v>4000</v>
      </c>
      <c r="AE11" s="151">
        <v>4000</v>
      </c>
      <c r="AF11" s="151">
        <v>4000</v>
      </c>
      <c r="AG11" s="220">
        <v>4000</v>
      </c>
      <c r="AH11" s="151">
        <v>4000</v>
      </c>
      <c r="AI11" s="151">
        <v>4000</v>
      </c>
      <c r="AJ11" s="220">
        <v>4000</v>
      </c>
      <c r="AK11" s="151">
        <v>4000</v>
      </c>
      <c r="AL11" s="151">
        <v>4000</v>
      </c>
    </row>
    <row r="12" spans="1:43" x14ac:dyDescent="0.2">
      <c r="A12" s="157" t="s">
        <v>111</v>
      </c>
      <c r="B12" s="24"/>
      <c r="C12" s="220">
        <f>C11*D6</f>
        <v>124000</v>
      </c>
      <c r="D12" s="151">
        <f>D11*D6</f>
        <v>124000</v>
      </c>
      <c r="E12" s="151">
        <f>E11*D6</f>
        <v>124000</v>
      </c>
      <c r="F12" s="220">
        <f>F11*G6</f>
        <v>112000</v>
      </c>
      <c r="G12" s="151">
        <f>G11*G6</f>
        <v>112000</v>
      </c>
      <c r="H12" s="151">
        <f>H11*G6</f>
        <v>112000</v>
      </c>
      <c r="I12" s="220">
        <f>I11*J6</f>
        <v>124000</v>
      </c>
      <c r="J12" s="151">
        <f>J11*J6</f>
        <v>124000</v>
      </c>
      <c r="K12" s="151">
        <f>K11*J6</f>
        <v>124000</v>
      </c>
      <c r="L12" s="220">
        <f>L11*M6</f>
        <v>120000</v>
      </c>
      <c r="M12" s="151">
        <f>M11*M6</f>
        <v>120000</v>
      </c>
      <c r="N12" s="151">
        <f>N11*M6</f>
        <v>120000</v>
      </c>
      <c r="O12" s="220">
        <f>O11*P6</f>
        <v>124000</v>
      </c>
      <c r="P12" s="151">
        <f>P11*P6</f>
        <v>124000</v>
      </c>
      <c r="Q12" s="151">
        <f>Q11*P6</f>
        <v>124000</v>
      </c>
      <c r="R12" s="220">
        <f>R11*S6</f>
        <v>120000</v>
      </c>
      <c r="S12" s="151">
        <f>S11*S6</f>
        <v>120000</v>
      </c>
      <c r="T12" s="151">
        <f>T11*S6</f>
        <v>120000</v>
      </c>
      <c r="U12" s="220">
        <f>U11*V6</f>
        <v>124000</v>
      </c>
      <c r="V12" s="151">
        <f>V11*V6</f>
        <v>124000</v>
      </c>
      <c r="W12" s="151">
        <f>W11*V6</f>
        <v>124000</v>
      </c>
      <c r="X12" s="220">
        <f>X11*Y6</f>
        <v>124000</v>
      </c>
      <c r="Y12" s="151">
        <f>Y11*Y6</f>
        <v>124000</v>
      </c>
      <c r="Z12" s="151">
        <f>Z11*Y6</f>
        <v>124000</v>
      </c>
      <c r="AA12" s="220">
        <f>AA11*AB6</f>
        <v>120000</v>
      </c>
      <c r="AB12" s="151">
        <f>AB11*AB6</f>
        <v>120000</v>
      </c>
      <c r="AC12" s="151">
        <f>AC11*AB6</f>
        <v>120000</v>
      </c>
      <c r="AD12" s="220">
        <f>AD11*AE6</f>
        <v>124000</v>
      </c>
      <c r="AE12" s="151">
        <f>AE11*AE6</f>
        <v>124000</v>
      </c>
      <c r="AF12" s="151">
        <f>AF11*AE6</f>
        <v>124000</v>
      </c>
      <c r="AG12" s="220">
        <f>AG11*AH6</f>
        <v>120000</v>
      </c>
      <c r="AH12" s="151">
        <f>AH11*AH6</f>
        <v>120000</v>
      </c>
      <c r="AI12" s="151">
        <f>AI11*AH6</f>
        <v>120000</v>
      </c>
      <c r="AJ12" s="220">
        <f>AJ11*AK6</f>
        <v>124000</v>
      </c>
      <c r="AK12" s="151">
        <f>AK11*AK6</f>
        <v>124000</v>
      </c>
      <c r="AL12" s="151">
        <f>AL11*AK6</f>
        <v>124000</v>
      </c>
    </row>
    <row r="13" spans="1:43" x14ac:dyDescent="0.2">
      <c r="C13" s="215"/>
      <c r="D13" s="139"/>
      <c r="E13" s="139"/>
      <c r="F13" s="215"/>
      <c r="G13" s="139"/>
      <c r="H13" s="139"/>
      <c r="I13" s="215"/>
      <c r="J13" s="139"/>
      <c r="K13" s="139"/>
      <c r="L13" s="215"/>
      <c r="M13" s="139"/>
      <c r="N13" s="139"/>
      <c r="O13" s="215"/>
      <c r="P13" s="139"/>
      <c r="Q13" s="139"/>
      <c r="R13" s="215"/>
      <c r="S13" s="139"/>
      <c r="T13" s="139"/>
      <c r="U13" s="215"/>
      <c r="V13" s="139"/>
      <c r="W13" s="139"/>
      <c r="X13" s="215"/>
      <c r="Y13" s="139"/>
      <c r="Z13" s="139"/>
      <c r="AA13" s="215"/>
      <c r="AB13" s="139"/>
      <c r="AC13" s="139"/>
      <c r="AD13" s="215"/>
      <c r="AE13" s="139"/>
      <c r="AF13" s="139"/>
      <c r="AG13" s="215"/>
      <c r="AH13" s="139"/>
      <c r="AI13" s="139"/>
      <c r="AJ13" s="215"/>
      <c r="AK13" s="139"/>
      <c r="AL13" s="139"/>
    </row>
    <row r="14" spans="1:43" x14ac:dyDescent="0.2">
      <c r="A14" s="159" t="s">
        <v>128</v>
      </c>
      <c r="B14" s="24"/>
      <c r="C14" s="221">
        <v>4927138</v>
      </c>
      <c r="D14" s="222">
        <v>3430000</v>
      </c>
      <c r="E14" s="223">
        <v>5168655</v>
      </c>
      <c r="F14" s="221">
        <f>'Bisti Invoices'!B15*1000</f>
        <v>4807614</v>
      </c>
      <c r="G14" s="222">
        <f>'Bloomfield Invoices'!B15</f>
        <v>3259000</v>
      </c>
      <c r="H14" s="223">
        <f>'Gallup Power Invoices'!B32</f>
        <v>4540992</v>
      </c>
      <c r="I14" s="221">
        <f>'Bisti Invoices'!C15*1000</f>
        <v>4339977</v>
      </c>
      <c r="J14" s="222">
        <f>'Bloomfield Invoices'!C15</f>
        <v>2972000</v>
      </c>
      <c r="K14" s="223">
        <f>'Gallup Power Invoices'!C32</f>
        <v>3956054</v>
      </c>
      <c r="L14" s="221">
        <f>'Bisti Invoices'!D15*1000</f>
        <v>4308029</v>
      </c>
      <c r="M14" s="222">
        <f>'Bloomfield Invoices'!D15</f>
        <v>3367000</v>
      </c>
      <c r="N14" s="223">
        <f>'Gallup Power Invoices'!D32</f>
        <v>4430942</v>
      </c>
      <c r="O14" s="221">
        <f>'Bisti Invoices'!E15*1000</f>
        <v>4149562</v>
      </c>
      <c r="P14" s="222">
        <f>'Bloomfield Invoices'!E15</f>
        <v>3455000</v>
      </c>
      <c r="Q14" s="223">
        <f>'Gallup Power Invoices'!E32</f>
        <v>4401499</v>
      </c>
      <c r="R14" s="221">
        <f>'Bisti Invoices'!F15*1000</f>
        <v>4109881.0000000005</v>
      </c>
      <c r="S14" s="222">
        <f>'Bloomfield Invoices'!F15</f>
        <v>3547000</v>
      </c>
      <c r="T14" s="223">
        <f>'Gallup Power Invoices'!F32</f>
        <v>3422650</v>
      </c>
      <c r="U14" s="221">
        <f>'Bisti Invoices'!G15*1000</f>
        <v>4566784</v>
      </c>
      <c r="V14" s="222">
        <f>'Bloomfield Invoices'!G15</f>
        <v>3711000</v>
      </c>
      <c r="W14" s="223">
        <f>'Gallup Power Invoices'!G32</f>
        <v>5199282</v>
      </c>
      <c r="X14" s="221">
        <f>'Bisti Invoices'!H15*1000</f>
        <v>4999314</v>
      </c>
      <c r="Y14" s="222">
        <f>'Bloomfield Invoices'!H15</f>
        <v>3787000</v>
      </c>
      <c r="Z14" s="223">
        <f>'Gallup Power Invoices'!H32</f>
        <v>5285904</v>
      </c>
      <c r="AA14" s="221">
        <f>'Bisti Invoices'!I15*1000</f>
        <v>4707834</v>
      </c>
      <c r="AB14" s="222">
        <f>'Bloomfield Invoices'!I15</f>
        <v>4019000</v>
      </c>
      <c r="AC14" s="223">
        <f>'Gallup Power Invoices'!I32</f>
        <v>3574762</v>
      </c>
      <c r="AD14" s="221">
        <f>'Bisti Invoices'!J15*1000</f>
        <v>4093785</v>
      </c>
      <c r="AE14" s="222">
        <f>'Bloomfield Invoices'!J15</f>
        <v>3911000</v>
      </c>
      <c r="AF14" s="223">
        <f>'Gallup Power Invoices'!J32</f>
        <v>1217290</v>
      </c>
      <c r="AG14" s="221">
        <f>'Bisti Invoices'!K15*1000</f>
        <v>4220280</v>
      </c>
      <c r="AH14" s="222">
        <f>'Bloomfield Invoices'!K15</f>
        <v>4155000</v>
      </c>
      <c r="AI14" s="223">
        <f>'Gallup Power Invoices'!K32</f>
        <v>5319072</v>
      </c>
      <c r="AJ14" s="249">
        <f>'Bisti Invoices'!L15*1000</f>
        <v>4289100</v>
      </c>
      <c r="AK14" s="222">
        <f>'Bloomfield Invoices'!L15</f>
        <v>3905000</v>
      </c>
      <c r="AL14" s="223">
        <f>'Gallup Power Invoices'!L32</f>
        <v>5044762</v>
      </c>
      <c r="AM14" s="145"/>
      <c r="AN14" s="145"/>
      <c r="AO14" s="158"/>
      <c r="AQ14" s="146"/>
    </row>
    <row r="15" spans="1:43" x14ac:dyDescent="0.2">
      <c r="A15" s="24" t="s">
        <v>108</v>
      </c>
      <c r="B15" s="24"/>
      <c r="C15" s="224">
        <v>1.34</v>
      </c>
      <c r="D15" s="147">
        <v>1.34</v>
      </c>
      <c r="E15" s="147">
        <v>1.34</v>
      </c>
      <c r="F15" s="224">
        <v>1.34</v>
      </c>
      <c r="G15" s="147">
        <v>1.34</v>
      </c>
      <c r="H15" s="147">
        <v>1.34</v>
      </c>
      <c r="I15" s="224">
        <v>1.34</v>
      </c>
      <c r="J15" s="147">
        <v>1.34</v>
      </c>
      <c r="K15" s="147">
        <v>1.34</v>
      </c>
      <c r="L15" s="224">
        <v>1.34</v>
      </c>
      <c r="M15" s="147">
        <v>1.34</v>
      </c>
      <c r="N15" s="147">
        <v>1.34</v>
      </c>
      <c r="O15" s="224">
        <v>1.34</v>
      </c>
      <c r="P15" s="147">
        <v>1.34</v>
      </c>
      <c r="Q15" s="147">
        <v>1.34</v>
      </c>
      <c r="R15" s="224">
        <v>1.34</v>
      </c>
      <c r="S15" s="147">
        <v>1.34</v>
      </c>
      <c r="T15" s="147">
        <v>1.34</v>
      </c>
      <c r="U15" s="224">
        <v>1.34</v>
      </c>
      <c r="V15" s="147">
        <v>1.34</v>
      </c>
      <c r="W15" s="147">
        <v>1.34</v>
      </c>
      <c r="X15" s="224">
        <v>1.34</v>
      </c>
      <c r="Y15" s="147">
        <v>1.34</v>
      </c>
      <c r="Z15" s="147">
        <v>1.34</v>
      </c>
      <c r="AA15" s="224">
        <v>1.34</v>
      </c>
      <c r="AB15" s="147">
        <v>1.34</v>
      </c>
      <c r="AC15" s="147">
        <v>1.34</v>
      </c>
      <c r="AD15" s="224">
        <v>1.34</v>
      </c>
      <c r="AE15" s="147">
        <v>1.34</v>
      </c>
      <c r="AF15" s="147">
        <v>1.34</v>
      </c>
      <c r="AG15" s="224">
        <v>1.34</v>
      </c>
      <c r="AH15" s="147">
        <v>1.34</v>
      </c>
      <c r="AI15" s="147">
        <v>1.34</v>
      </c>
      <c r="AJ15" s="224">
        <v>1.34</v>
      </c>
      <c r="AK15" s="147">
        <v>1.34</v>
      </c>
      <c r="AL15" s="147">
        <v>1.34</v>
      </c>
    </row>
    <row r="16" spans="1:43" x14ac:dyDescent="0.2">
      <c r="A16" s="24" t="s">
        <v>109</v>
      </c>
      <c r="B16" s="24"/>
      <c r="C16" s="220">
        <f>C14*C15</f>
        <v>6602364.9200000009</v>
      </c>
      <c r="D16" s="151">
        <f t="shared" ref="D16:AL16" si="1">D14*D15</f>
        <v>4596200</v>
      </c>
      <c r="E16" s="151">
        <f t="shared" si="1"/>
        <v>6925997.7000000002</v>
      </c>
      <c r="F16" s="220">
        <f t="shared" si="1"/>
        <v>6442202.7600000007</v>
      </c>
      <c r="G16" s="151">
        <f t="shared" si="1"/>
        <v>4367060</v>
      </c>
      <c r="H16" s="151">
        <f t="shared" si="1"/>
        <v>6084929.2800000003</v>
      </c>
      <c r="I16" s="220">
        <f t="shared" si="1"/>
        <v>5815569.1800000006</v>
      </c>
      <c r="J16" s="151">
        <f t="shared" si="1"/>
        <v>3982480.0000000005</v>
      </c>
      <c r="K16" s="151">
        <f t="shared" si="1"/>
        <v>5301112.3600000003</v>
      </c>
      <c r="L16" s="220">
        <f t="shared" si="1"/>
        <v>5772758.8600000003</v>
      </c>
      <c r="M16" s="151">
        <f t="shared" si="1"/>
        <v>4511780</v>
      </c>
      <c r="N16" s="151">
        <f t="shared" si="1"/>
        <v>5937462.2800000003</v>
      </c>
      <c r="O16" s="220">
        <f t="shared" si="1"/>
        <v>5560413.0800000001</v>
      </c>
      <c r="P16" s="151">
        <f t="shared" si="1"/>
        <v>4629700</v>
      </c>
      <c r="Q16" s="151">
        <f t="shared" si="1"/>
        <v>5898008.6600000001</v>
      </c>
      <c r="R16" s="220">
        <f t="shared" si="1"/>
        <v>5507240.540000001</v>
      </c>
      <c r="S16" s="151">
        <f t="shared" si="1"/>
        <v>4752980</v>
      </c>
      <c r="T16" s="151">
        <f t="shared" si="1"/>
        <v>4586351</v>
      </c>
      <c r="U16" s="220">
        <f t="shared" si="1"/>
        <v>6119490.5600000005</v>
      </c>
      <c r="V16" s="151">
        <f t="shared" si="1"/>
        <v>4972740</v>
      </c>
      <c r="W16" s="151">
        <f t="shared" si="1"/>
        <v>6967037.8800000008</v>
      </c>
      <c r="X16" s="220">
        <f t="shared" si="1"/>
        <v>6699080.7600000007</v>
      </c>
      <c r="Y16" s="151">
        <f t="shared" si="1"/>
        <v>5074580</v>
      </c>
      <c r="Z16" s="151">
        <f t="shared" si="1"/>
        <v>7083111.3600000003</v>
      </c>
      <c r="AA16" s="220">
        <f t="shared" si="1"/>
        <v>6308497.5600000005</v>
      </c>
      <c r="AB16" s="151">
        <f t="shared" si="1"/>
        <v>5385460</v>
      </c>
      <c r="AC16" s="151">
        <f t="shared" si="1"/>
        <v>4790181.08</v>
      </c>
      <c r="AD16" s="220">
        <f t="shared" si="1"/>
        <v>5485671.9000000004</v>
      </c>
      <c r="AE16" s="151">
        <f t="shared" si="1"/>
        <v>5240740</v>
      </c>
      <c r="AF16" s="151">
        <f t="shared" si="1"/>
        <v>1631168.6</v>
      </c>
      <c r="AG16" s="220">
        <f t="shared" si="1"/>
        <v>5655175.2000000002</v>
      </c>
      <c r="AH16" s="151">
        <f t="shared" si="1"/>
        <v>5567700</v>
      </c>
      <c r="AI16" s="151">
        <f t="shared" si="1"/>
        <v>7127556.4800000004</v>
      </c>
      <c r="AJ16" s="220">
        <f t="shared" si="1"/>
        <v>5747394</v>
      </c>
      <c r="AK16" s="151">
        <f t="shared" si="1"/>
        <v>5232700</v>
      </c>
      <c r="AL16" s="151">
        <f t="shared" si="1"/>
        <v>6759981.0800000001</v>
      </c>
    </row>
    <row r="17" spans="1:38" x14ac:dyDescent="0.2">
      <c r="A17" s="24"/>
      <c r="B17" s="24"/>
      <c r="C17" s="225"/>
      <c r="D17" s="226"/>
      <c r="E17" s="226"/>
      <c r="F17" s="225"/>
      <c r="G17" s="226"/>
      <c r="H17" s="226"/>
      <c r="I17" s="225"/>
      <c r="J17" s="226"/>
      <c r="K17" s="226"/>
      <c r="L17" s="225"/>
      <c r="M17" s="226"/>
      <c r="N17" s="226"/>
      <c r="O17" s="225"/>
      <c r="P17" s="226"/>
      <c r="Q17" s="226"/>
      <c r="R17" s="225"/>
      <c r="S17" s="226"/>
      <c r="T17" s="226"/>
      <c r="U17" s="225"/>
      <c r="V17" s="226"/>
      <c r="W17" s="226"/>
      <c r="X17" s="225"/>
      <c r="Y17" s="226"/>
      <c r="Z17" s="226"/>
      <c r="AA17" s="225"/>
      <c r="AB17" s="226"/>
      <c r="AC17" s="226"/>
      <c r="AD17" s="225"/>
      <c r="AE17" s="226"/>
      <c r="AF17" s="226"/>
      <c r="AG17" s="225"/>
      <c r="AH17" s="226"/>
      <c r="AI17" s="226"/>
      <c r="AJ17" s="225"/>
      <c r="AK17" s="226"/>
      <c r="AL17" s="226"/>
    </row>
    <row r="18" spans="1:38" x14ac:dyDescent="0.2">
      <c r="A18" s="24" t="s">
        <v>113</v>
      </c>
      <c r="B18" s="24"/>
      <c r="C18" s="227">
        <f>ROUNDUP(C16/C25,2)</f>
        <v>0.89</v>
      </c>
      <c r="D18" s="148">
        <f t="shared" ref="D18:AL18" si="2">ROUNDUP(D16/D25,2)</f>
        <v>0.89</v>
      </c>
      <c r="E18" s="148">
        <f t="shared" si="2"/>
        <v>0.94000000000000006</v>
      </c>
      <c r="F18" s="227">
        <f t="shared" si="2"/>
        <v>0.87</v>
      </c>
      <c r="G18" s="148">
        <f t="shared" si="2"/>
        <v>0.84</v>
      </c>
      <c r="H18" s="148">
        <f t="shared" si="2"/>
        <v>0.82000000000000006</v>
      </c>
      <c r="I18" s="227">
        <f t="shared" si="2"/>
        <v>0.87</v>
      </c>
      <c r="J18" s="148">
        <f t="shared" si="2"/>
        <v>0.85</v>
      </c>
      <c r="K18" s="148">
        <f t="shared" si="2"/>
        <v>0.79</v>
      </c>
      <c r="L18" s="227">
        <f t="shared" si="2"/>
        <v>0.78</v>
      </c>
      <c r="M18" s="148">
        <f t="shared" si="2"/>
        <v>0.87</v>
      </c>
      <c r="N18" s="148">
        <f t="shared" si="2"/>
        <v>0.8</v>
      </c>
      <c r="O18" s="227">
        <f t="shared" si="2"/>
        <v>0.78</v>
      </c>
      <c r="P18" s="148">
        <f t="shared" si="2"/>
        <v>0.92</v>
      </c>
      <c r="Q18" s="148">
        <f t="shared" si="2"/>
        <v>0.82000000000000006</v>
      </c>
      <c r="R18" s="227">
        <f t="shared" si="2"/>
        <v>0.75</v>
      </c>
      <c r="S18" s="148">
        <f t="shared" si="2"/>
        <v>0.92</v>
      </c>
      <c r="T18" s="148">
        <f t="shared" si="2"/>
        <v>0.62</v>
      </c>
      <c r="U18" s="227">
        <f t="shared" si="2"/>
        <v>0.85</v>
      </c>
      <c r="V18" s="148">
        <f t="shared" si="2"/>
        <v>0.99</v>
      </c>
      <c r="W18" s="148">
        <f t="shared" si="2"/>
        <v>0.97</v>
      </c>
      <c r="X18" s="227">
        <f t="shared" si="2"/>
        <v>0.91</v>
      </c>
      <c r="Y18" s="148">
        <f t="shared" si="2"/>
        <v>0.98</v>
      </c>
      <c r="Z18" s="148">
        <f t="shared" si="2"/>
        <v>0.96</v>
      </c>
      <c r="AA18" s="227">
        <f t="shared" si="2"/>
        <v>0.85</v>
      </c>
      <c r="AB18" s="173">
        <f t="shared" si="2"/>
        <v>1.04</v>
      </c>
      <c r="AC18" s="148">
        <f t="shared" si="2"/>
        <v>0.65</v>
      </c>
      <c r="AD18" s="227">
        <f t="shared" si="2"/>
        <v>0.77</v>
      </c>
      <c r="AE18" s="173">
        <f t="shared" si="2"/>
        <v>1.04</v>
      </c>
      <c r="AF18" s="148">
        <f t="shared" si="2"/>
        <v>0.23</v>
      </c>
      <c r="AG18" s="227">
        <f t="shared" si="2"/>
        <v>0.77</v>
      </c>
      <c r="AH18" s="173">
        <f t="shared" si="2"/>
        <v>1.07</v>
      </c>
      <c r="AI18" s="148">
        <f t="shared" si="2"/>
        <v>0.96</v>
      </c>
      <c r="AJ18" s="227">
        <f t="shared" si="2"/>
        <v>0.8</v>
      </c>
      <c r="AK18" s="173">
        <f t="shared" si="2"/>
        <v>1.04</v>
      </c>
      <c r="AL18" s="148">
        <f t="shared" si="2"/>
        <v>0.94000000000000006</v>
      </c>
    </row>
    <row r="19" spans="1:38" x14ac:dyDescent="0.2">
      <c r="A19" s="24" t="s">
        <v>108</v>
      </c>
      <c r="B19" s="24"/>
      <c r="C19" s="228">
        <f>VLOOKUP(C18,'BB_LF&amp;CF'!$D$5:$E$55,2)</f>
        <v>1.9800000000000002E-2</v>
      </c>
      <c r="D19" s="149">
        <f>VLOOKUP(D18,'BB_LF&amp;CF'!$A$6:$B$55,2)</f>
        <v>2.6749999999999999E-2</v>
      </c>
      <c r="E19" s="150"/>
      <c r="F19" s="228">
        <f>VLOOKUP(F18,'BB_LF&amp;CF'!$D$5:$E$55,2)</f>
        <v>1.9800000000000002E-2</v>
      </c>
      <c r="G19" s="149">
        <f>VLOOKUP(G18,'BB_LF&amp;CF'!$A$6:$B$55,2)</f>
        <v>2.8340000000000001E-2</v>
      </c>
      <c r="H19" s="150"/>
      <c r="I19" s="228">
        <f>VLOOKUP(I18,'BB_LF&amp;CF'!$D$5:$E$55,2)</f>
        <v>1.9800000000000002E-2</v>
      </c>
      <c r="J19" s="149">
        <f>VLOOKUP(J18,'BB_LF&amp;CF'!$A$6:$B$55,2)</f>
        <v>2.801E-2</v>
      </c>
      <c r="K19" s="150"/>
      <c r="L19" s="228">
        <f>VLOOKUP(L18,'BB_LF&amp;CF'!$D$5:$E$55,2)</f>
        <v>2.137E-2</v>
      </c>
      <c r="M19" s="149">
        <f>VLOOKUP(M18,'BB_LF&amp;CF'!$A$6:$B$55,2)</f>
        <v>2.7369999999999998E-2</v>
      </c>
      <c r="N19" s="150"/>
      <c r="O19" s="228">
        <f>VLOOKUP(O18,'BB_LF&amp;CF'!$D$5:$E$55,2)</f>
        <v>2.137E-2</v>
      </c>
      <c r="P19" s="149">
        <f>VLOOKUP(P18,'BB_LF&amp;CF'!$A$6:$B$55,2)</f>
        <v>2.588E-2</v>
      </c>
      <c r="Q19" s="150"/>
      <c r="R19" s="228">
        <f>VLOOKUP(R18,'BB_LF&amp;CF'!$D$5:$E$55,2)</f>
        <v>2.222E-2</v>
      </c>
      <c r="S19" s="149">
        <f>VLOOKUP(S18,'BB_LF&amp;CF'!$A$6:$B$55,2)</f>
        <v>2.588E-2</v>
      </c>
      <c r="T19" s="150"/>
      <c r="U19" s="228">
        <f>VLOOKUP(U18,'BB_LF&amp;CF'!$D$5:$E$55,2)</f>
        <v>1.9800000000000002E-2</v>
      </c>
      <c r="V19" s="149">
        <f>VLOOKUP(V18,'BB_LF&amp;CF'!$A$6:$B$55,2)</f>
        <v>2.4049999999999998E-2</v>
      </c>
      <c r="W19" s="150"/>
      <c r="X19" s="228">
        <f>VLOOKUP(X18,'BB_LF&amp;CF'!$D$5:$E$55,2)</f>
        <v>1.9800000000000002E-2</v>
      </c>
      <c r="Y19" s="149">
        <f>VLOOKUP(Y18,'BB_LF&amp;CF'!$A$6:$B$55,2)</f>
        <v>2.4299999999999999E-2</v>
      </c>
      <c r="Z19" s="150"/>
      <c r="AA19" s="228">
        <f>VLOOKUP(AA18,'BB_LF&amp;CF'!$D$5:$E$55,2)</f>
        <v>1.9800000000000002E-2</v>
      </c>
      <c r="AB19" s="149">
        <f>VLOOKUP(AB18,'BB_LF&amp;CF'!$A$6:$B$55,2)</f>
        <v>2.3810000000000001E-2</v>
      </c>
      <c r="AC19" s="150"/>
      <c r="AD19" s="228">
        <f>VLOOKUP(AD18,'BB_LF&amp;CF'!$D$5:$E$55,2)</f>
        <v>2.1649999999999999E-2</v>
      </c>
      <c r="AE19" s="149">
        <f>VLOOKUP(AE18,'BB_LF&amp;CF'!$A$6:$B$55,2)</f>
        <v>2.3810000000000001E-2</v>
      </c>
      <c r="AF19" s="150"/>
      <c r="AG19" s="228">
        <f>VLOOKUP(AG18,'BB_LF&amp;CF'!$D$5:$E$55,2)</f>
        <v>2.1649999999999999E-2</v>
      </c>
      <c r="AH19" s="149">
        <f>VLOOKUP(AH18,'BB_LF&amp;CF'!$A$6:$B$55,2)</f>
        <v>2.3810000000000001E-2</v>
      </c>
      <c r="AI19" s="150"/>
      <c r="AJ19" s="228">
        <f>VLOOKUP(AJ18,'BB_LF&amp;CF'!$D$5:$E$55,2)</f>
        <v>2.0830000000000001E-2</v>
      </c>
      <c r="AK19" s="149">
        <f>VLOOKUP(AK18,'BB_LF&amp;CF'!$A$6:$B$55,2)</f>
        <v>2.3810000000000001E-2</v>
      </c>
      <c r="AL19" s="150"/>
    </row>
    <row r="20" spans="1:38" x14ac:dyDescent="0.2">
      <c r="A20" s="24" t="s">
        <v>114</v>
      </c>
      <c r="B20" s="24"/>
      <c r="C20" s="220">
        <f>C16*C19</f>
        <v>130726.82541600002</v>
      </c>
      <c r="D20" s="151">
        <f>D16*D19</f>
        <v>122948.34999999999</v>
      </c>
      <c r="E20" s="151"/>
      <c r="F20" s="220">
        <f>F16*F19</f>
        <v>127555.61464800003</v>
      </c>
      <c r="G20" s="151">
        <f>G16*G19</f>
        <v>123762.4804</v>
      </c>
      <c r="H20" s="151"/>
      <c r="I20" s="220">
        <f>I16*I19</f>
        <v>115148.26976400003</v>
      </c>
      <c r="J20" s="151">
        <f>J16*J19</f>
        <v>111549.26480000002</v>
      </c>
      <c r="K20" s="151"/>
      <c r="L20" s="220">
        <f>L16*L19</f>
        <v>123363.85683820001</v>
      </c>
      <c r="M20" s="151">
        <f>M16*M19</f>
        <v>123487.41859999999</v>
      </c>
      <c r="N20" s="151"/>
      <c r="O20" s="220">
        <f>O16*O19</f>
        <v>118826.0275196</v>
      </c>
      <c r="P20" s="151">
        <f>P16*P19</f>
        <v>119816.636</v>
      </c>
      <c r="Q20" s="151"/>
      <c r="R20" s="220">
        <f>R16*R19</f>
        <v>122370.88479880002</v>
      </c>
      <c r="S20" s="151">
        <f>S16*S19</f>
        <v>123007.12240000001</v>
      </c>
      <c r="T20" s="151"/>
      <c r="U20" s="220">
        <f>U16*U19</f>
        <v>121165.91308800002</v>
      </c>
      <c r="V20" s="151">
        <f>V16*V19</f>
        <v>119594.397</v>
      </c>
      <c r="W20" s="151"/>
      <c r="X20" s="220">
        <f>X16*X19</f>
        <v>132641.79904800002</v>
      </c>
      <c r="Y20" s="151">
        <f>Y16*Y19</f>
        <v>123312.29399999999</v>
      </c>
      <c r="Z20" s="151"/>
      <c r="AA20" s="220">
        <f>AA16*AA19</f>
        <v>124908.25168800002</v>
      </c>
      <c r="AB20" s="151">
        <f>AB16*AB19</f>
        <v>128227.80260000001</v>
      </c>
      <c r="AC20" s="151"/>
      <c r="AD20" s="220">
        <f>AD16*AD19</f>
        <v>118764.79663500001</v>
      </c>
      <c r="AE20" s="151">
        <f>AE16*AE19</f>
        <v>124782.0194</v>
      </c>
      <c r="AF20" s="151"/>
      <c r="AG20" s="220">
        <f>AG16*AG19</f>
        <v>122434.54308</v>
      </c>
      <c r="AH20" s="151">
        <f>AH16*AH19</f>
        <v>132566.93700000001</v>
      </c>
      <c r="AI20" s="151"/>
      <c r="AJ20" s="220">
        <f>AJ16*AJ19</f>
        <v>119718.21702000001</v>
      </c>
      <c r="AK20" s="151">
        <f>AK16*AK19</f>
        <v>124590.58700000001</v>
      </c>
      <c r="AL20" s="151"/>
    </row>
    <row r="21" spans="1:38" x14ac:dyDescent="0.2">
      <c r="A21" s="24"/>
      <c r="B21" s="24"/>
      <c r="C21" s="220"/>
      <c r="D21" s="151"/>
      <c r="E21" s="151"/>
      <c r="F21" s="220"/>
      <c r="G21" s="151"/>
      <c r="H21" s="151"/>
      <c r="I21" s="220"/>
      <c r="J21" s="151"/>
      <c r="K21" s="151"/>
      <c r="L21" s="220"/>
      <c r="M21" s="151"/>
      <c r="N21" s="151"/>
      <c r="O21" s="220"/>
      <c r="P21" s="151"/>
      <c r="Q21" s="151"/>
      <c r="R21" s="220"/>
      <c r="S21" s="151"/>
      <c r="T21" s="151"/>
      <c r="U21" s="220"/>
      <c r="V21" s="151"/>
      <c r="W21" s="151"/>
      <c r="X21" s="220"/>
      <c r="Y21" s="151"/>
      <c r="Z21" s="151"/>
      <c r="AA21" s="220"/>
      <c r="AB21" s="151"/>
      <c r="AC21" s="151"/>
      <c r="AD21" s="220"/>
      <c r="AE21" s="151"/>
      <c r="AF21" s="151"/>
      <c r="AG21" s="220"/>
      <c r="AH21" s="151"/>
      <c r="AI21" s="151"/>
      <c r="AJ21" s="220"/>
      <c r="AK21" s="151"/>
      <c r="AL21" s="151"/>
    </row>
    <row r="22" spans="1:38" x14ac:dyDescent="0.2">
      <c r="A22" s="174" t="s">
        <v>108</v>
      </c>
      <c r="B22" s="24"/>
      <c r="C22" s="229">
        <v>1.0130999999999999</v>
      </c>
      <c r="D22" s="152">
        <v>1.0130999999999999</v>
      </c>
      <c r="E22" s="153"/>
      <c r="F22" s="229">
        <v>1.0130999999999999</v>
      </c>
      <c r="G22" s="152">
        <v>1.0130999999999999</v>
      </c>
      <c r="H22" s="153"/>
      <c r="I22" s="229">
        <v>1.0130999999999999</v>
      </c>
      <c r="J22" s="152">
        <v>1.0130999999999999</v>
      </c>
      <c r="K22" s="153"/>
      <c r="L22" s="229">
        <v>1.0130999999999999</v>
      </c>
      <c r="M22" s="152">
        <v>1.0130999999999999</v>
      </c>
      <c r="N22" s="153"/>
      <c r="O22" s="229">
        <v>1.0130999999999999</v>
      </c>
      <c r="P22" s="152">
        <v>1.0130999999999999</v>
      </c>
      <c r="Q22" s="153"/>
      <c r="R22" s="229">
        <v>1.0130999999999999</v>
      </c>
      <c r="S22" s="152">
        <v>1.0130999999999999</v>
      </c>
      <c r="T22" s="153"/>
      <c r="U22" s="229">
        <v>1.0130999999999999</v>
      </c>
      <c r="V22" s="152">
        <v>1.0130999999999999</v>
      </c>
      <c r="W22" s="153"/>
      <c r="X22" s="229">
        <v>1.0130999999999999</v>
      </c>
      <c r="Y22" s="152">
        <v>1.0130999999999999</v>
      </c>
      <c r="Z22" s="153"/>
      <c r="AA22" s="229">
        <v>1.0130999999999999</v>
      </c>
      <c r="AB22" s="152">
        <v>1.0130999999999999</v>
      </c>
      <c r="AC22" s="153"/>
      <c r="AD22" s="229">
        <v>1.0130999999999999</v>
      </c>
      <c r="AE22" s="152">
        <v>1.0130999999999999</v>
      </c>
      <c r="AF22" s="153"/>
      <c r="AG22" s="229">
        <v>1.0130999999999999</v>
      </c>
      <c r="AH22" s="152">
        <v>1.0130999999999999</v>
      </c>
      <c r="AI22" s="153"/>
      <c r="AJ22" s="229">
        <v>1.0130999999999999</v>
      </c>
      <c r="AK22" s="152">
        <v>1.0130999999999999</v>
      </c>
      <c r="AL22" s="153"/>
    </row>
    <row r="23" spans="1:38" x14ac:dyDescent="0.2">
      <c r="A23" s="24" t="s">
        <v>115</v>
      </c>
      <c r="B23" s="24"/>
      <c r="C23" s="220">
        <f>C20*C22</f>
        <v>132439.34682894961</v>
      </c>
      <c r="D23" s="151">
        <f>D20*D22</f>
        <v>124558.97338499998</v>
      </c>
      <c r="E23" s="151"/>
      <c r="F23" s="220">
        <f>F20*F22</f>
        <v>129226.59319988881</v>
      </c>
      <c r="G23" s="151">
        <f>G20*G22</f>
        <v>125383.76889323999</v>
      </c>
      <c r="H23" s="151"/>
      <c r="I23" s="220">
        <f>I20*I22</f>
        <v>116656.71209790841</v>
      </c>
      <c r="J23" s="151">
        <f>J20*J22</f>
        <v>113010.56016888001</v>
      </c>
      <c r="K23" s="151"/>
      <c r="L23" s="220">
        <f>L20*L22</f>
        <v>124979.92336278042</v>
      </c>
      <c r="M23" s="151">
        <f>M20*M22</f>
        <v>125105.10378365997</v>
      </c>
      <c r="N23" s="151"/>
      <c r="O23" s="220">
        <f>O20*O22</f>
        <v>120382.64848010674</v>
      </c>
      <c r="P23" s="151">
        <f>P20*P22</f>
        <v>121386.23393159999</v>
      </c>
      <c r="Q23" s="151"/>
      <c r="R23" s="220">
        <f>R20*R22</f>
        <v>123973.94338966429</v>
      </c>
      <c r="S23" s="151">
        <f>S20*S22</f>
        <v>124618.51570343999</v>
      </c>
      <c r="T23" s="151"/>
      <c r="U23" s="220">
        <f>U20*U22</f>
        <v>122753.1865494528</v>
      </c>
      <c r="V23" s="151">
        <f>V20*V22</f>
        <v>121161.08360069999</v>
      </c>
      <c r="W23" s="151"/>
      <c r="X23" s="220">
        <f>X20*X22</f>
        <v>134379.4066155288</v>
      </c>
      <c r="Y23" s="151">
        <f>Y20*Y22</f>
        <v>124927.68505139998</v>
      </c>
      <c r="Z23" s="151"/>
      <c r="AA23" s="220">
        <f>AA20*AA22</f>
        <v>126544.5497851128</v>
      </c>
      <c r="AB23" s="151">
        <f>AB20*AB22</f>
        <v>129907.58681405999</v>
      </c>
      <c r="AC23" s="151"/>
      <c r="AD23" s="220">
        <f>AD20*AD22</f>
        <v>120320.61547091849</v>
      </c>
      <c r="AE23" s="151">
        <f>AE20*AE22</f>
        <v>126416.66385413999</v>
      </c>
      <c r="AF23" s="151"/>
      <c r="AG23" s="220">
        <f>AG20*AG22</f>
        <v>124038.43559434799</v>
      </c>
      <c r="AH23" s="151">
        <f>AH20*AH22</f>
        <v>134303.56387469999</v>
      </c>
      <c r="AI23" s="151"/>
      <c r="AJ23" s="220">
        <f>AJ20*AJ22</f>
        <v>121286.525662962</v>
      </c>
      <c r="AK23" s="151">
        <f>AK20*AK22</f>
        <v>126222.7236897</v>
      </c>
      <c r="AL23" s="151"/>
    </row>
    <row r="24" spans="1:38" x14ac:dyDescent="0.2">
      <c r="C24" s="215"/>
      <c r="D24" s="139"/>
      <c r="E24" s="139"/>
      <c r="F24" s="215"/>
      <c r="G24" s="139"/>
      <c r="H24" s="139"/>
      <c r="I24" s="215"/>
      <c r="J24" s="139"/>
      <c r="K24" s="139"/>
      <c r="L24" s="215"/>
      <c r="M24" s="139"/>
      <c r="N24" s="139"/>
      <c r="O24" s="215"/>
      <c r="P24" s="139"/>
      <c r="Q24" s="139"/>
      <c r="R24" s="215"/>
      <c r="S24" s="139"/>
      <c r="T24" s="139"/>
      <c r="U24" s="215"/>
      <c r="V24" s="139"/>
      <c r="W24" s="139"/>
      <c r="X24" s="215"/>
      <c r="Y24" s="139"/>
      <c r="Z24" s="139"/>
      <c r="AA24" s="215"/>
      <c r="AB24" s="139"/>
      <c r="AC24" s="139"/>
      <c r="AD24" s="215"/>
      <c r="AE24" s="139"/>
      <c r="AF24" s="139"/>
      <c r="AG24" s="215"/>
      <c r="AH24" s="139"/>
      <c r="AI24" s="139"/>
      <c r="AJ24" s="215"/>
      <c r="AK24" s="139"/>
      <c r="AL24" s="139"/>
    </row>
    <row r="25" spans="1:38" x14ac:dyDescent="0.2">
      <c r="A25" s="24" t="s">
        <v>110</v>
      </c>
      <c r="B25" s="24"/>
      <c r="C25" s="220">
        <f>C10*C6*24</f>
        <v>7440000</v>
      </c>
      <c r="D25" s="151">
        <f>D10*C6*24</f>
        <v>5208000</v>
      </c>
      <c r="E25" s="151">
        <f>E10*C6*24</f>
        <v>7440000</v>
      </c>
      <c r="F25" s="220">
        <f>F10*F6*24</f>
        <v>7440000</v>
      </c>
      <c r="G25" s="151">
        <f>G10*F6*24</f>
        <v>5208000</v>
      </c>
      <c r="H25" s="151">
        <f>H10*F6*24</f>
        <v>7440000</v>
      </c>
      <c r="I25" s="220">
        <f>I10*I6*24</f>
        <v>6720000</v>
      </c>
      <c r="J25" s="151">
        <f>J10*I6*24</f>
        <v>4704000</v>
      </c>
      <c r="K25" s="151">
        <f>K10*I6*24</f>
        <v>6720000</v>
      </c>
      <c r="L25" s="220">
        <f>L10*L6*24</f>
        <v>7440000</v>
      </c>
      <c r="M25" s="151">
        <f>M10*L6*24</f>
        <v>5208000</v>
      </c>
      <c r="N25" s="151">
        <f>N10*L6*24</f>
        <v>7440000</v>
      </c>
      <c r="O25" s="220">
        <f>O10*O6*24</f>
        <v>7200000</v>
      </c>
      <c r="P25" s="151">
        <f>P10*O6*24</f>
        <v>5040000</v>
      </c>
      <c r="Q25" s="151">
        <f>Q10*O6*24</f>
        <v>7200000</v>
      </c>
      <c r="R25" s="220">
        <f>R10*R6*24</f>
        <v>7440000</v>
      </c>
      <c r="S25" s="151">
        <f>S10*R6*24</f>
        <v>5208000</v>
      </c>
      <c r="T25" s="151">
        <f>T10*R6*24</f>
        <v>7440000</v>
      </c>
      <c r="U25" s="220">
        <f>U10*U6*24</f>
        <v>7200000</v>
      </c>
      <c r="V25" s="151">
        <f>V10*U6*24</f>
        <v>5040000</v>
      </c>
      <c r="W25" s="151">
        <f>W10*U6*24</f>
        <v>7200000</v>
      </c>
      <c r="X25" s="220">
        <f>X10*X6*24</f>
        <v>7440000</v>
      </c>
      <c r="Y25" s="151">
        <f>Y10*X6*24</f>
        <v>5208000</v>
      </c>
      <c r="Z25" s="151">
        <f>Z10*X6*24</f>
        <v>7440000</v>
      </c>
      <c r="AA25" s="220">
        <f>AA10*AA6*24</f>
        <v>7440000</v>
      </c>
      <c r="AB25" s="151">
        <f>AB10*AA6*24</f>
        <v>5208000</v>
      </c>
      <c r="AC25" s="151">
        <f>AC10*AA6*24</f>
        <v>7440000</v>
      </c>
      <c r="AD25" s="220">
        <f>AD10*AD6*24</f>
        <v>7200000</v>
      </c>
      <c r="AE25" s="151">
        <f>AE10*AD6*24</f>
        <v>5040000</v>
      </c>
      <c r="AF25" s="151">
        <f>AF10*AD6*24</f>
        <v>7200000</v>
      </c>
      <c r="AG25" s="220">
        <f>AG10*AG6*24</f>
        <v>7440000</v>
      </c>
      <c r="AH25" s="151">
        <f>AH10*AG6*24</f>
        <v>5208000</v>
      </c>
      <c r="AI25" s="151">
        <f>AI10*AG6*24</f>
        <v>7440000</v>
      </c>
      <c r="AJ25" s="220">
        <f>AJ10*AJ6*24</f>
        <v>7200000</v>
      </c>
      <c r="AK25" s="151">
        <f>AK10*AJ6*24</f>
        <v>5040000</v>
      </c>
      <c r="AL25" s="151">
        <f>AL10*AJ6*24</f>
        <v>7200000</v>
      </c>
    </row>
    <row r="26" spans="1:38" x14ac:dyDescent="0.2">
      <c r="A26" s="24" t="s">
        <v>139</v>
      </c>
      <c r="B26" s="24"/>
      <c r="C26" s="227"/>
      <c r="D26" s="148"/>
      <c r="E26" s="148"/>
      <c r="F26" s="227"/>
      <c r="G26" s="148"/>
      <c r="H26" s="148"/>
      <c r="I26" s="227"/>
      <c r="J26" s="148"/>
      <c r="K26" s="148"/>
      <c r="L26" s="227"/>
      <c r="M26" s="148"/>
      <c r="N26" s="148"/>
      <c r="O26" s="227"/>
      <c r="P26" s="148"/>
      <c r="Q26" s="148"/>
      <c r="R26" s="227"/>
      <c r="S26" s="148"/>
      <c r="T26" s="148"/>
      <c r="U26" s="227"/>
      <c r="V26" s="148"/>
      <c r="W26" s="148"/>
      <c r="X26" s="227"/>
      <c r="Y26" s="148"/>
      <c r="Z26" s="148"/>
      <c r="AA26" s="227"/>
      <c r="AB26" s="148"/>
      <c r="AC26" s="148"/>
      <c r="AD26" s="227"/>
      <c r="AE26" s="148"/>
      <c r="AF26" s="148"/>
      <c r="AG26" s="227"/>
      <c r="AH26" s="148"/>
      <c r="AI26" s="148"/>
      <c r="AJ26" s="227"/>
      <c r="AK26" s="148"/>
      <c r="AL26" s="148"/>
    </row>
    <row r="27" spans="1:38" x14ac:dyDescent="0.2">
      <c r="C27" s="215"/>
      <c r="D27" s="139"/>
      <c r="E27" s="139"/>
      <c r="F27" s="215"/>
      <c r="G27" s="139"/>
      <c r="H27" s="139"/>
      <c r="I27" s="215"/>
      <c r="J27" s="139"/>
      <c r="K27" s="139"/>
      <c r="L27" s="215"/>
      <c r="M27" s="139"/>
      <c r="N27" s="139"/>
      <c r="O27" s="215"/>
      <c r="P27" s="139"/>
      <c r="Q27" s="139"/>
      <c r="R27" s="215"/>
      <c r="S27" s="139"/>
      <c r="T27" s="139"/>
      <c r="U27" s="215"/>
      <c r="V27" s="139"/>
      <c r="W27" s="139"/>
      <c r="X27" s="215"/>
      <c r="Y27" s="139"/>
      <c r="Z27" s="139"/>
      <c r="AA27" s="215"/>
      <c r="AB27" s="139"/>
      <c r="AC27" s="139"/>
      <c r="AD27" s="215"/>
      <c r="AE27" s="139"/>
      <c r="AF27" s="139"/>
      <c r="AG27" s="215"/>
      <c r="AH27" s="139"/>
      <c r="AI27" s="139"/>
      <c r="AJ27" s="215"/>
      <c r="AK27" s="139"/>
      <c r="AL27" s="139"/>
    </row>
    <row r="28" spans="1:38" x14ac:dyDescent="0.2">
      <c r="A28" s="24" t="s">
        <v>112</v>
      </c>
      <c r="B28" s="24"/>
      <c r="C28" s="230">
        <f>VLOOKUP(C18,'BB_LF&amp;CF'!$G$5:$H$104,2)</f>
        <v>4.5430000000000002E-3</v>
      </c>
      <c r="D28" s="231">
        <f>VLOOKUP(D18,'BB_LF&amp;CF'!$G$5:$H$104,2)</f>
        <v>4.5430000000000002E-3</v>
      </c>
      <c r="E28" s="231">
        <f>VLOOKUP(E18,'BB_LF&amp;CF'!$K$5:$L$104,2)</f>
        <v>1.8400000000000001E-3</v>
      </c>
      <c r="F28" s="230">
        <f>VLOOKUP(F18,'BB_LF&amp;CF'!$G$5:$H$104,2)</f>
        <v>4.6480000000000002E-3</v>
      </c>
      <c r="G28" s="231">
        <f>VLOOKUP(G18,'BB_LF&amp;CF'!$G$5:$H$104,2)</f>
        <v>4.816E-3</v>
      </c>
      <c r="H28" s="231">
        <f>VLOOKUP(H18,'BB_LF&amp;CF'!$K$5:$L$104,2)</f>
        <v>2.1099999999999999E-3</v>
      </c>
      <c r="I28" s="230">
        <f>VLOOKUP(I18,'BB_LF&amp;CF'!$G$5:$H$104,2)</f>
        <v>4.6480000000000002E-3</v>
      </c>
      <c r="J28" s="231">
        <f>VLOOKUP(J18,'BB_LF&amp;CF'!$G$5:$H$104,2)</f>
        <v>4.7590000000000002E-3</v>
      </c>
      <c r="K28" s="231">
        <f>VLOOKUP(K18,'BB_LF&amp;CF'!$K$5:$L$104,2)</f>
        <v>2.2000000000000001E-3</v>
      </c>
      <c r="L28" s="230">
        <f>VLOOKUP(L18,'BB_LF&amp;CF'!$G$5:$H$104,2)</f>
        <v>5.1919999999999996E-3</v>
      </c>
      <c r="M28" s="231">
        <f>VLOOKUP(M18,'BB_LF&amp;CF'!$G$5:$H$104,2)</f>
        <v>4.6480000000000002E-3</v>
      </c>
      <c r="N28" s="231">
        <f>VLOOKUP(N18,'BB_LF&amp;CF'!$K$5:$L$104,2)</f>
        <v>2.1700000000000001E-3</v>
      </c>
      <c r="O28" s="230">
        <f>VLOOKUP(O18,'BB_LF&amp;CF'!$G$5:$H$104,2)</f>
        <v>5.1919999999999996E-3</v>
      </c>
      <c r="P28" s="231">
        <f>VLOOKUP(P18,'BB_LF&amp;CF'!$G$5:$H$104,2)</f>
        <v>4.3930000000000002E-3</v>
      </c>
      <c r="Q28" s="231">
        <f>VLOOKUP(Q18,'BB_LF&amp;CF'!$K$5:$L$104,2)</f>
        <v>2.1099999999999999E-3</v>
      </c>
      <c r="R28" s="230">
        <f>VLOOKUP(R18,'BB_LF&amp;CF'!$G$5:$H$104,2)</f>
        <v>5.4019999999999999E-2</v>
      </c>
      <c r="S28" s="231">
        <f>VLOOKUP(S18,'BB_LF&amp;CF'!$G$5:$H$104,2)</f>
        <v>4.3930000000000002E-3</v>
      </c>
      <c r="T28" s="231">
        <f>VLOOKUP(T18,'BB_LF&amp;CF'!$K$5:$L$104,2)</f>
        <v>2.81E-3</v>
      </c>
      <c r="U28" s="230">
        <f>VLOOKUP(U18,'BB_LF&amp;CF'!$G$5:$H$104,2)</f>
        <v>4.7590000000000002E-3</v>
      </c>
      <c r="V28" s="231">
        <f>VLOOKUP(V18,'BB_LF&amp;CF'!$G$5:$H$104,2)</f>
        <v>4.0790000000000002E-3</v>
      </c>
      <c r="W28" s="231">
        <f>VLOOKUP(W18,'BB_LF&amp;CF'!$K$5:$L$104,2)</f>
        <v>1.7799999999999999E-3</v>
      </c>
      <c r="X28" s="230">
        <f>VLOOKUP(X18,'BB_LF&amp;CF'!$G$5:$H$104,2)</f>
        <v>4.4419999999999998E-3</v>
      </c>
      <c r="Y28" s="231">
        <f>VLOOKUP(Y18,'BB_LF&amp;CF'!$G$5:$H$104,2)</f>
        <v>4.1209999999999997E-3</v>
      </c>
      <c r="Z28" s="231">
        <f>VLOOKUP(Z18,'BB_LF&amp;CF'!$K$5:$L$104,2)</f>
        <v>1.8E-3</v>
      </c>
      <c r="AA28" s="230">
        <f>VLOOKUP(AA18,'BB_LF&amp;CF'!$G$5:$H$104,2)</f>
        <v>4.7590000000000002E-3</v>
      </c>
      <c r="AB28" s="231">
        <f>VLOOKUP(AB18,'BB_LF&amp;CF'!$G$5:$H$104,2)</f>
        <v>3.9979999999999998E-3</v>
      </c>
      <c r="AC28" s="231">
        <f>VLOOKUP(AC18,'BB_LF&amp;CF'!$K$5:$L$104,2)</f>
        <v>2.6800000000000001E-3</v>
      </c>
      <c r="AD28" s="230">
        <f>VLOOKUP(AD18,'BB_LF&amp;CF'!$G$5:$H$104,2)</f>
        <v>5.2599999999999999E-3</v>
      </c>
      <c r="AE28" s="231">
        <f>VLOOKUP(AE18,'BB_LF&amp;CF'!$G$5:$H$104,2)</f>
        <v>3.9979999999999998E-3</v>
      </c>
      <c r="AF28" s="231">
        <f>VLOOKUP(AF18,'BB_LF&amp;CF'!$K$5:$L$104,2)</f>
        <v>7.1300000000000001E-3</v>
      </c>
      <c r="AG28" s="230">
        <f>VLOOKUP(AG18,'BB_LF&amp;CF'!$G$5:$H$104,2)</f>
        <v>5.2599999999999999E-3</v>
      </c>
      <c r="AH28" s="231">
        <f>VLOOKUP(AH18,'BB_LF&amp;CF'!$G$5:$H$104,2)</f>
        <v>3.9979999999999998E-3</v>
      </c>
      <c r="AI28" s="231">
        <f>VLOOKUP(AI18,'BB_LF&amp;CF'!$K$5:$L$104,2)</f>
        <v>1.8E-3</v>
      </c>
      <c r="AJ28" s="230">
        <f>VLOOKUP(AJ18,'BB_LF&amp;CF'!$G$5:$H$104,2)</f>
        <v>5.0600000000000003E-3</v>
      </c>
      <c r="AK28" s="231">
        <f>VLOOKUP(AK18,'BB_LF&amp;CF'!$G$5:$H$104,2)</f>
        <v>3.9979999999999998E-3</v>
      </c>
      <c r="AL28" s="231">
        <f>VLOOKUP(AL18,'BB_LF&amp;CF'!$K$5:$L$104,2)</f>
        <v>1.8400000000000001E-3</v>
      </c>
    </row>
    <row r="29" spans="1:38" s="177" customFormat="1" ht="12" x14ac:dyDescent="0.25">
      <c r="A29" s="175" t="s">
        <v>142</v>
      </c>
      <c r="B29" s="175"/>
      <c r="C29" s="232">
        <f>C16*C28</f>
        <v>29994.543831560004</v>
      </c>
      <c r="D29" s="233">
        <f t="shared" ref="D29:AL29" si="3">D16*D28</f>
        <v>20880.536599999999</v>
      </c>
      <c r="E29" s="234">
        <f t="shared" si="3"/>
        <v>12743.835768000001</v>
      </c>
      <c r="F29" s="232">
        <f>F16*F28</f>
        <v>29943.358428480005</v>
      </c>
      <c r="G29" s="233">
        <f t="shared" si="3"/>
        <v>21031.76096</v>
      </c>
      <c r="H29" s="234">
        <f t="shared" si="3"/>
        <v>12839.2007808</v>
      </c>
      <c r="I29" s="248">
        <f t="shared" si="3"/>
        <v>27030.765548640004</v>
      </c>
      <c r="J29" s="234">
        <f t="shared" si="3"/>
        <v>18952.622320000002</v>
      </c>
      <c r="K29" s="234">
        <f t="shared" si="3"/>
        <v>11662.447192000001</v>
      </c>
      <c r="L29" s="248">
        <f t="shared" si="3"/>
        <v>29972.16400112</v>
      </c>
      <c r="M29" s="234">
        <f t="shared" si="3"/>
        <v>20970.75344</v>
      </c>
      <c r="N29" s="234">
        <f t="shared" si="3"/>
        <v>12884.293147600001</v>
      </c>
      <c r="O29" s="248">
        <f t="shared" si="3"/>
        <v>28869.664711359997</v>
      </c>
      <c r="P29" s="234">
        <f t="shared" si="3"/>
        <v>20338.272100000002</v>
      </c>
      <c r="Q29" s="234">
        <f t="shared" si="3"/>
        <v>12444.798272599999</v>
      </c>
      <c r="R29" s="248">
        <f t="shared" si="3"/>
        <v>297501.13397080003</v>
      </c>
      <c r="S29" s="234">
        <f t="shared" si="3"/>
        <v>20879.84114</v>
      </c>
      <c r="T29" s="234">
        <f t="shared" si="3"/>
        <v>12887.64631</v>
      </c>
      <c r="U29" s="248">
        <f t="shared" si="3"/>
        <v>29122.655575040004</v>
      </c>
      <c r="V29" s="234">
        <f t="shared" si="3"/>
        <v>20283.80646</v>
      </c>
      <c r="W29" s="234">
        <f t="shared" si="3"/>
        <v>12401.327426400001</v>
      </c>
      <c r="X29" s="248">
        <f t="shared" si="3"/>
        <v>29757.316735920002</v>
      </c>
      <c r="Y29" s="234">
        <f t="shared" si="3"/>
        <v>20912.34418</v>
      </c>
      <c r="Z29" s="234">
        <f t="shared" si="3"/>
        <v>12749.600448000001</v>
      </c>
      <c r="AA29" s="248">
        <f t="shared" si="3"/>
        <v>30022.139888040005</v>
      </c>
      <c r="AB29" s="234">
        <f t="shared" si="3"/>
        <v>21531.069079999997</v>
      </c>
      <c r="AC29" s="234">
        <f t="shared" si="3"/>
        <v>12837.6852944</v>
      </c>
      <c r="AD29" s="248">
        <f t="shared" si="3"/>
        <v>28854.634194000002</v>
      </c>
      <c r="AE29" s="234">
        <f t="shared" si="3"/>
        <v>20952.478520000001</v>
      </c>
      <c r="AF29" s="234">
        <f t="shared" si="3"/>
        <v>11630.232118</v>
      </c>
      <c r="AG29" s="248">
        <f t="shared" si="3"/>
        <v>29746.221551999999</v>
      </c>
      <c r="AH29" s="234">
        <f t="shared" si="3"/>
        <v>22259.6646</v>
      </c>
      <c r="AI29" s="234">
        <f t="shared" si="3"/>
        <v>12829.601664</v>
      </c>
      <c r="AJ29" s="248">
        <f t="shared" si="3"/>
        <v>29081.81364</v>
      </c>
      <c r="AK29" s="234">
        <f t="shared" si="3"/>
        <v>20920.334599999998</v>
      </c>
      <c r="AL29" s="234">
        <f t="shared" si="3"/>
        <v>12438.365187200001</v>
      </c>
    </row>
    <row r="30" spans="1:38" s="177" customFormat="1" x14ac:dyDescent="0.2">
      <c r="A30" s="177" t="s">
        <v>143</v>
      </c>
      <c r="C30" s="235">
        <f>C29</f>
        <v>29994.543831560004</v>
      </c>
      <c r="D30" s="236">
        <f>D29</f>
        <v>20880.536599999999</v>
      </c>
      <c r="E30" s="236"/>
      <c r="F30" s="235">
        <f>F29</f>
        <v>29943.358428480005</v>
      </c>
      <c r="G30" s="236">
        <f>G29</f>
        <v>21031.76096</v>
      </c>
      <c r="H30" s="236"/>
      <c r="I30" s="235">
        <f>I29</f>
        <v>27030.765548640004</v>
      </c>
      <c r="J30" s="236">
        <f>J29</f>
        <v>18952.622320000002</v>
      </c>
      <c r="K30" s="236"/>
      <c r="L30" s="235">
        <f>L29</f>
        <v>29972.16400112</v>
      </c>
      <c r="M30" s="236">
        <f>M29</f>
        <v>20970.75344</v>
      </c>
      <c r="N30" s="236"/>
      <c r="O30" s="235">
        <f>O29</f>
        <v>28869.664711359997</v>
      </c>
      <c r="P30" s="236">
        <f>P29</f>
        <v>20338.272100000002</v>
      </c>
      <c r="Q30" s="236"/>
      <c r="R30" s="235">
        <f>R29</f>
        <v>297501.13397080003</v>
      </c>
      <c r="S30" s="236">
        <f>S29</f>
        <v>20879.84114</v>
      </c>
      <c r="T30" s="236"/>
      <c r="U30" s="235">
        <f>U29</f>
        <v>29122.655575040004</v>
      </c>
      <c r="V30" s="236">
        <f>V29</f>
        <v>20283.80646</v>
      </c>
      <c r="W30" s="236"/>
      <c r="X30" s="235">
        <f>X29</f>
        <v>29757.316735920002</v>
      </c>
      <c r="Y30" s="236">
        <f>Y29</f>
        <v>20912.34418</v>
      </c>
      <c r="Z30" s="236"/>
      <c r="AA30" s="235">
        <f>AA29</f>
        <v>30022.139888040005</v>
      </c>
      <c r="AB30" s="236">
        <f>AB29</f>
        <v>21531.069079999997</v>
      </c>
      <c r="AC30" s="236"/>
      <c r="AD30" s="235">
        <f>AD29</f>
        <v>28854.634194000002</v>
      </c>
      <c r="AE30" s="236">
        <f>AE29</f>
        <v>20952.478520000001</v>
      </c>
      <c r="AF30" s="236"/>
      <c r="AG30" s="235">
        <f>AG29</f>
        <v>29746.221551999999</v>
      </c>
      <c r="AH30" s="236">
        <f>AH29</f>
        <v>22259.6646</v>
      </c>
      <c r="AI30" s="236"/>
      <c r="AJ30" s="235">
        <f>AJ29</f>
        <v>29081.81364</v>
      </c>
      <c r="AK30" s="236">
        <f>AK29</f>
        <v>20920.334599999998</v>
      </c>
      <c r="AL30" s="236"/>
    </row>
    <row r="31" spans="1:38" s="177" customFormat="1" x14ac:dyDescent="0.2">
      <c r="A31" s="177" t="s">
        <v>144</v>
      </c>
      <c r="C31" s="235">
        <v>-28513.31</v>
      </c>
      <c r="D31" s="236">
        <v>-20029.419999999998</v>
      </c>
      <c r="E31" s="236"/>
      <c r="F31" s="235">
        <f>-C30</f>
        <v>-29994.543831560004</v>
      </c>
      <c r="G31" s="236">
        <f>-D30</f>
        <v>-20880.536599999999</v>
      </c>
      <c r="H31" s="236"/>
      <c r="I31" s="235">
        <f>-F30</f>
        <v>-29943.358428480005</v>
      </c>
      <c r="J31" s="243">
        <f>-G30</f>
        <v>-21031.76096</v>
      </c>
      <c r="K31" s="236"/>
      <c r="L31" s="235">
        <f>-I30</f>
        <v>-27030.765548640004</v>
      </c>
      <c r="M31" s="236">
        <f>-J30</f>
        <v>-18952.622320000002</v>
      </c>
      <c r="N31" s="236"/>
      <c r="O31" s="235">
        <f>-L30</f>
        <v>-29972.16400112</v>
      </c>
      <c r="P31" s="236">
        <f>-M30</f>
        <v>-20970.75344</v>
      </c>
      <c r="Q31" s="236"/>
      <c r="R31" s="235">
        <f>-O30</f>
        <v>-28869.664711359997</v>
      </c>
      <c r="S31" s="236">
        <f>-P30</f>
        <v>-20338.272100000002</v>
      </c>
      <c r="T31" s="236"/>
      <c r="U31" s="235">
        <f>-R30</f>
        <v>-297501.13397080003</v>
      </c>
      <c r="V31" s="236">
        <f>-S30</f>
        <v>-20879.84114</v>
      </c>
      <c r="W31" s="236"/>
      <c r="X31" s="235">
        <f>-U30</f>
        <v>-29122.655575040004</v>
      </c>
      <c r="Y31" s="236">
        <f>-V30</f>
        <v>-20283.80646</v>
      </c>
      <c r="Z31" s="236"/>
      <c r="AA31" s="235">
        <f>-X30</f>
        <v>-29757.316735920002</v>
      </c>
      <c r="AB31" s="236">
        <f>-Y30</f>
        <v>-20912.34418</v>
      </c>
      <c r="AC31" s="236"/>
      <c r="AD31" s="235">
        <f>-AA30</f>
        <v>-30022.139888040005</v>
      </c>
      <c r="AE31" s="236">
        <f>-AB30</f>
        <v>-21531.069079999997</v>
      </c>
      <c r="AF31" s="236"/>
      <c r="AG31" s="235">
        <f>-AD30</f>
        <v>-28854.634194000002</v>
      </c>
      <c r="AH31" s="236">
        <f>-AE30</f>
        <v>-20952.478520000001</v>
      </c>
      <c r="AI31" s="236"/>
      <c r="AJ31" s="235">
        <f>-AG30</f>
        <v>-29746.221551999999</v>
      </c>
      <c r="AK31" s="236">
        <f>-AH30</f>
        <v>-22259.6646</v>
      </c>
      <c r="AL31" s="236"/>
    </row>
    <row r="32" spans="1:38" x14ac:dyDescent="0.2">
      <c r="A32" s="24" t="s">
        <v>145</v>
      </c>
      <c r="C32" s="237">
        <f>C30+C31</f>
        <v>1481.2338315600027</v>
      </c>
      <c r="D32" s="37">
        <f>D30+D31</f>
        <v>851.1166000000012</v>
      </c>
      <c r="E32" s="139"/>
      <c r="F32" s="237">
        <f>F30+F31</f>
        <v>-51.18540307999865</v>
      </c>
      <c r="G32" s="37">
        <f>G30+G31</f>
        <v>151.22436000000016</v>
      </c>
      <c r="H32" s="139"/>
      <c r="I32" s="237">
        <f>I30+I31</f>
        <v>-2912.5928798400018</v>
      </c>
      <c r="J32" s="37">
        <f>J30+J31</f>
        <v>-2079.1386399999974</v>
      </c>
      <c r="K32" s="139"/>
      <c r="L32" s="237">
        <f>L30+L31</f>
        <v>2941.3984524799962</v>
      </c>
      <c r="M32" s="37">
        <f>M30+M31</f>
        <v>2018.1311199999982</v>
      </c>
      <c r="N32" s="139"/>
      <c r="O32" s="237">
        <f>O30+O31</f>
        <v>-1102.4992897600023</v>
      </c>
      <c r="P32" s="37">
        <f>P30+P31</f>
        <v>-632.48133999999845</v>
      </c>
      <c r="Q32" s="139"/>
      <c r="R32" s="237">
        <f>R30+R31</f>
        <v>268631.46925944003</v>
      </c>
      <c r="S32" s="37">
        <f>S30+S31</f>
        <v>541.56903999999849</v>
      </c>
      <c r="T32" s="139"/>
      <c r="U32" s="237">
        <f>U30+U31</f>
        <v>-268378.47839576</v>
      </c>
      <c r="V32" s="37">
        <f>V30+V31</f>
        <v>-596.03468000000066</v>
      </c>
      <c r="W32" s="139"/>
      <c r="X32" s="237">
        <f>X30+X31</f>
        <v>634.66116087999762</v>
      </c>
      <c r="Y32" s="37">
        <f>Y30+Y31</f>
        <v>628.53772000000026</v>
      </c>
      <c r="Z32" s="139"/>
      <c r="AA32" s="237">
        <f>AA30+AA31</f>
        <v>264.82315212000321</v>
      </c>
      <c r="AB32" s="37">
        <f>AB30+AB31</f>
        <v>618.72489999999743</v>
      </c>
      <c r="AC32" s="139"/>
      <c r="AD32" s="237">
        <f>AD30+AD31</f>
        <v>-1167.5056940400027</v>
      </c>
      <c r="AE32" s="37">
        <f>AE30+AE31</f>
        <v>-578.59055999999691</v>
      </c>
      <c r="AF32" s="139"/>
      <c r="AG32" s="237">
        <f>AG30+AG31</f>
        <v>891.58735799999704</v>
      </c>
      <c r="AH32" s="37">
        <f>AH30+AH31</f>
        <v>1307.1860799999995</v>
      </c>
      <c r="AI32" s="139"/>
      <c r="AJ32" s="237">
        <f>AJ30+AJ31</f>
        <v>-664.40791199999876</v>
      </c>
      <c r="AK32" s="37">
        <f>AK30+AK31</f>
        <v>-1339.3300000000017</v>
      </c>
      <c r="AL32" s="139"/>
    </row>
    <row r="33" spans="1:43" ht="12.6" thickBot="1" x14ac:dyDescent="0.3">
      <c r="A33" s="154" t="s">
        <v>146</v>
      </c>
      <c r="C33" s="238">
        <f>C30+C32</f>
        <v>31475.777663120007</v>
      </c>
      <c r="D33" s="179">
        <f>D30+D32</f>
        <v>21731.653200000001</v>
      </c>
      <c r="E33" s="139"/>
      <c r="F33" s="238">
        <f>F30+F32</f>
        <v>29892.173025400007</v>
      </c>
      <c r="G33" s="179">
        <f>G30+G32</f>
        <v>21182.98532</v>
      </c>
      <c r="H33" s="139"/>
      <c r="I33" s="238">
        <f>I30+I32</f>
        <v>24118.172668800002</v>
      </c>
      <c r="J33" s="179">
        <f>J30+J32</f>
        <v>16873.483680000005</v>
      </c>
      <c r="K33" s="139"/>
      <c r="L33" s="238">
        <f>L30+L32</f>
        <v>32913.562453599996</v>
      </c>
      <c r="M33" s="179">
        <f>M30+M32</f>
        <v>22988.884559999999</v>
      </c>
      <c r="N33" s="139"/>
      <c r="O33" s="238">
        <f>O30+O32</f>
        <v>27767.165421599995</v>
      </c>
      <c r="P33" s="179">
        <f>P30+P32</f>
        <v>19705.790760000004</v>
      </c>
      <c r="Q33" s="139"/>
      <c r="R33" s="238">
        <f>R30+R32</f>
        <v>566132.60323024006</v>
      </c>
      <c r="S33" s="179">
        <f>S30+S32</f>
        <v>21421.410179999999</v>
      </c>
      <c r="T33" s="139"/>
      <c r="U33" s="245">
        <f>U30+U32</f>
        <v>-239255.82282072</v>
      </c>
      <c r="V33" s="180">
        <f>V30+V32</f>
        <v>19687.771779999999</v>
      </c>
      <c r="W33" s="139"/>
      <c r="X33" s="238">
        <f>X30+X32</f>
        <v>30391.977896799999</v>
      </c>
      <c r="Y33" s="179">
        <f>Y30+Y32</f>
        <v>21540.8819</v>
      </c>
      <c r="Z33" s="139"/>
      <c r="AA33" s="238">
        <f>AA30+AA32</f>
        <v>30286.963040160008</v>
      </c>
      <c r="AB33" s="179">
        <f>AB30+AB32</f>
        <v>22149.793979999995</v>
      </c>
      <c r="AC33" s="139"/>
      <c r="AD33" s="245">
        <f>AD30+AD32</f>
        <v>27687.128499959999</v>
      </c>
      <c r="AE33" s="180">
        <f>AE30+AE32</f>
        <v>20373.887960000004</v>
      </c>
      <c r="AF33" s="139"/>
      <c r="AG33" s="245">
        <f>AG30+AG32</f>
        <v>30637.808909999996</v>
      </c>
      <c r="AH33" s="179">
        <f>AH30+AH32</f>
        <v>23566.85068</v>
      </c>
      <c r="AI33" s="139"/>
      <c r="AJ33" s="245">
        <f>AJ30+AJ32</f>
        <v>28417.405728000002</v>
      </c>
      <c r="AK33" s="179">
        <f>AK30+AK32</f>
        <v>19581.004599999997</v>
      </c>
      <c r="AL33" s="139"/>
    </row>
    <row r="34" spans="1:43" ht="12.6" thickTop="1" x14ac:dyDescent="0.25">
      <c r="A34" s="154"/>
      <c r="C34" s="215"/>
      <c r="D34" s="37"/>
      <c r="E34" s="139"/>
      <c r="F34" s="215"/>
      <c r="G34" s="244"/>
      <c r="H34" s="139"/>
      <c r="I34" s="215"/>
      <c r="J34" s="139"/>
      <c r="K34" s="139"/>
      <c r="L34" s="215"/>
      <c r="M34" s="139"/>
      <c r="N34" s="139"/>
      <c r="O34" s="215"/>
      <c r="P34" s="139"/>
      <c r="Q34" s="139"/>
      <c r="R34" s="215"/>
      <c r="S34" s="139"/>
      <c r="T34" s="139"/>
      <c r="U34" s="215"/>
      <c r="V34" s="139"/>
      <c r="W34" s="139"/>
      <c r="X34" s="215"/>
      <c r="Y34" s="139"/>
      <c r="Z34" s="139"/>
      <c r="AA34" s="215"/>
      <c r="AB34" s="139"/>
      <c r="AC34" s="139"/>
      <c r="AD34" s="215"/>
      <c r="AE34" s="139"/>
      <c r="AF34" s="139"/>
      <c r="AG34" s="215"/>
      <c r="AH34" s="139"/>
      <c r="AI34" s="139"/>
      <c r="AJ34" s="215"/>
      <c r="AK34" s="139"/>
      <c r="AL34" s="139"/>
    </row>
    <row r="35" spans="1:43" s="24" customFormat="1" ht="12" x14ac:dyDescent="0.25">
      <c r="C35" s="230"/>
      <c r="D35" s="231"/>
      <c r="E35" s="239">
        <f>SUM(C29:E29)</f>
        <v>63618.916199560001</v>
      </c>
      <c r="F35" s="230"/>
      <c r="G35" s="231"/>
      <c r="H35" s="239">
        <f>SUM(F29:H29)</f>
        <v>63814.320169279999</v>
      </c>
      <c r="I35" s="230"/>
      <c r="J35" s="231"/>
      <c r="K35" s="239">
        <f>SUM(I29:K29)</f>
        <v>57645.835060640005</v>
      </c>
      <c r="L35" s="230"/>
      <c r="M35" s="231"/>
      <c r="N35" s="239">
        <f>SUM(L29:N29)</f>
        <v>63827.210588720001</v>
      </c>
      <c r="O35" s="230"/>
      <c r="P35" s="231"/>
      <c r="Q35" s="239">
        <f>SUM(O29:Q29)</f>
        <v>61652.735083959997</v>
      </c>
      <c r="R35" s="230"/>
      <c r="S35" s="231"/>
      <c r="T35" s="239">
        <f>SUM(R29:T29)</f>
        <v>331268.62142079999</v>
      </c>
      <c r="U35" s="230"/>
      <c r="V35" s="231"/>
      <c r="W35" s="239">
        <f>SUM(U29:W29)</f>
        <v>61807.789461440007</v>
      </c>
      <c r="X35" s="230"/>
      <c r="Y35" s="231"/>
      <c r="Z35" s="239">
        <f>SUM(X29:Z29)</f>
        <v>63419.261363919999</v>
      </c>
      <c r="AA35" s="230"/>
      <c r="AB35" s="231"/>
      <c r="AC35" s="239">
        <f>SUM(AA29:AC29)</f>
        <v>64390.894262440001</v>
      </c>
      <c r="AD35" s="230"/>
      <c r="AE35" s="231"/>
      <c r="AF35" s="239">
        <f>SUM(AD29:AF29)</f>
        <v>61437.344832000002</v>
      </c>
      <c r="AG35" s="230"/>
      <c r="AH35" s="231"/>
      <c r="AI35" s="239">
        <f>SUM(AG29:AI29)</f>
        <v>64835.487816000001</v>
      </c>
      <c r="AJ35" s="230"/>
      <c r="AK35" s="231"/>
      <c r="AL35" s="239">
        <f>SUM(AJ29:AL29)</f>
        <v>62440.5134272</v>
      </c>
    </row>
    <row r="36" spans="1:43" s="24" customFormat="1" ht="12" x14ac:dyDescent="0.25">
      <c r="A36" s="144"/>
      <c r="B36" s="144"/>
      <c r="C36" s="219"/>
      <c r="D36" s="144"/>
      <c r="E36" s="181"/>
      <c r="F36" s="219"/>
      <c r="G36" s="144"/>
      <c r="H36" s="181"/>
      <c r="I36" s="219"/>
      <c r="J36" s="144"/>
      <c r="K36" s="181"/>
      <c r="L36" s="219"/>
      <c r="M36" s="144"/>
      <c r="N36" s="181"/>
      <c r="O36" s="219"/>
      <c r="P36" s="144"/>
      <c r="Q36" s="181"/>
      <c r="R36" s="219"/>
      <c r="S36" s="144"/>
      <c r="T36" s="181"/>
      <c r="U36" s="219"/>
      <c r="V36" s="144"/>
      <c r="W36" s="181"/>
      <c r="X36" s="219"/>
      <c r="Y36" s="144"/>
      <c r="Z36" s="181"/>
      <c r="AA36" s="219"/>
      <c r="AB36" s="144"/>
      <c r="AC36" s="181"/>
      <c r="AD36" s="219"/>
      <c r="AE36" s="144"/>
      <c r="AF36" s="181"/>
      <c r="AG36" s="219"/>
      <c r="AH36" s="144"/>
      <c r="AI36" s="181"/>
      <c r="AJ36" s="219"/>
      <c r="AK36" s="144"/>
      <c r="AL36" s="181"/>
    </row>
    <row r="37" spans="1:43" x14ac:dyDescent="0.2">
      <c r="C37" s="215"/>
      <c r="D37" s="139"/>
      <c r="E37" s="139"/>
      <c r="F37" s="215"/>
      <c r="G37" s="139"/>
      <c r="H37" s="139"/>
      <c r="I37" s="215"/>
      <c r="J37" s="139"/>
      <c r="K37" s="139"/>
      <c r="L37" s="215"/>
      <c r="M37" s="139"/>
      <c r="N37" s="139"/>
      <c r="O37" s="215"/>
      <c r="P37" s="139"/>
      <c r="Q37" s="139"/>
      <c r="R37" s="215"/>
      <c r="S37" s="139"/>
      <c r="T37" s="139"/>
      <c r="U37" s="215"/>
      <c r="V37" s="139"/>
      <c r="W37" s="139"/>
      <c r="X37" s="215"/>
      <c r="Y37" s="139"/>
      <c r="Z37" s="139"/>
      <c r="AA37" s="215"/>
      <c r="AB37" s="139"/>
      <c r="AC37" s="139"/>
      <c r="AD37" s="215"/>
      <c r="AE37" s="139"/>
      <c r="AF37" s="139"/>
      <c r="AG37" s="215"/>
      <c r="AH37" s="139"/>
      <c r="AI37" s="139"/>
      <c r="AJ37" s="215"/>
      <c r="AK37" s="139"/>
      <c r="AL37" s="139"/>
    </row>
    <row r="38" spans="1:43" x14ac:dyDescent="0.2">
      <c r="C38" s="215">
        <v>31</v>
      </c>
      <c r="D38" s="216">
        <v>31</v>
      </c>
      <c r="E38" s="139"/>
      <c r="F38" s="215">
        <f>D38</f>
        <v>31</v>
      </c>
      <c r="G38" s="216">
        <v>28</v>
      </c>
      <c r="H38" s="139"/>
      <c r="I38" s="215">
        <f>G38</f>
        <v>28</v>
      </c>
      <c r="J38" s="216">
        <v>31</v>
      </c>
      <c r="K38" s="139"/>
      <c r="L38" s="215">
        <f>J38</f>
        <v>31</v>
      </c>
      <c r="M38" s="216">
        <v>30</v>
      </c>
      <c r="N38" s="139"/>
      <c r="O38" s="215">
        <f>M38</f>
        <v>30</v>
      </c>
      <c r="P38" s="216">
        <v>31</v>
      </c>
      <c r="Q38" s="139"/>
      <c r="R38" s="215">
        <f>P38</f>
        <v>31</v>
      </c>
      <c r="S38" s="216">
        <v>30</v>
      </c>
      <c r="T38" s="139"/>
      <c r="U38" s="215">
        <f>S38</f>
        <v>30</v>
      </c>
      <c r="V38" s="216">
        <v>31</v>
      </c>
      <c r="W38" s="139"/>
      <c r="X38" s="215">
        <f>V38</f>
        <v>31</v>
      </c>
      <c r="Y38" s="216">
        <v>31</v>
      </c>
      <c r="Z38" s="139"/>
      <c r="AA38" s="215">
        <f>Y38</f>
        <v>31</v>
      </c>
      <c r="AB38" s="216">
        <v>30</v>
      </c>
      <c r="AC38" s="139"/>
      <c r="AD38" s="215">
        <f>AB38</f>
        <v>30</v>
      </c>
      <c r="AE38" s="216">
        <v>31</v>
      </c>
      <c r="AF38" s="139"/>
      <c r="AG38" s="215">
        <f>AE38</f>
        <v>31</v>
      </c>
      <c r="AH38" s="216">
        <v>30</v>
      </c>
      <c r="AI38" s="139"/>
      <c r="AJ38" s="215">
        <f>AH38</f>
        <v>30</v>
      </c>
      <c r="AK38" s="216">
        <v>31</v>
      </c>
      <c r="AL38" s="139"/>
    </row>
    <row r="39" spans="1:43" x14ac:dyDescent="0.2">
      <c r="C39" s="362" t="s">
        <v>116</v>
      </c>
      <c r="D39" s="363"/>
      <c r="E39" s="363"/>
      <c r="F39" s="362" t="s">
        <v>117</v>
      </c>
      <c r="G39" s="363"/>
      <c r="H39" s="363"/>
      <c r="I39" s="362" t="s">
        <v>118</v>
      </c>
      <c r="J39" s="363"/>
      <c r="K39" s="363"/>
      <c r="L39" s="362" t="s">
        <v>119</v>
      </c>
      <c r="M39" s="363"/>
      <c r="N39" s="363"/>
      <c r="O39" s="362" t="s">
        <v>120</v>
      </c>
      <c r="P39" s="363"/>
      <c r="Q39" s="363"/>
      <c r="R39" s="362" t="s">
        <v>121</v>
      </c>
      <c r="S39" s="363"/>
      <c r="T39" s="363"/>
      <c r="U39" s="362" t="s">
        <v>122</v>
      </c>
      <c r="V39" s="363"/>
      <c r="W39" s="363"/>
      <c r="X39" s="362" t="s">
        <v>123</v>
      </c>
      <c r="Y39" s="363"/>
      <c r="Z39" s="363"/>
      <c r="AA39" s="362" t="s">
        <v>124</v>
      </c>
      <c r="AB39" s="363"/>
      <c r="AC39" s="363"/>
      <c r="AD39" s="362" t="s">
        <v>125</v>
      </c>
      <c r="AE39" s="363"/>
      <c r="AF39" s="363"/>
      <c r="AG39" s="362" t="s">
        <v>126</v>
      </c>
      <c r="AH39" s="363"/>
      <c r="AI39" s="363"/>
      <c r="AJ39" s="362" t="s">
        <v>127</v>
      </c>
      <c r="AK39" s="363"/>
      <c r="AL39" s="363"/>
    </row>
    <row r="40" spans="1:43" x14ac:dyDescent="0.2">
      <c r="A40" s="24">
        <v>2002</v>
      </c>
      <c r="B40" s="24"/>
      <c r="C40" s="219" t="s">
        <v>65</v>
      </c>
      <c r="D40" s="144" t="s">
        <v>64</v>
      </c>
      <c r="E40" s="144" t="s">
        <v>148</v>
      </c>
      <c r="F40" s="219" t="s">
        <v>65</v>
      </c>
      <c r="G40" s="144" t="s">
        <v>64</v>
      </c>
      <c r="H40" s="144" t="s">
        <v>148</v>
      </c>
      <c r="I40" s="219" t="s">
        <v>65</v>
      </c>
      <c r="J40" s="144" t="s">
        <v>64</v>
      </c>
      <c r="K40" s="144" t="s">
        <v>148</v>
      </c>
      <c r="L40" s="219" t="s">
        <v>65</v>
      </c>
      <c r="M40" s="144" t="s">
        <v>64</v>
      </c>
      <c r="N40" s="144" t="s">
        <v>148</v>
      </c>
      <c r="O40" s="219" t="s">
        <v>65</v>
      </c>
      <c r="P40" s="144" t="s">
        <v>64</v>
      </c>
      <c r="Q40" s="144" t="s">
        <v>148</v>
      </c>
      <c r="R40" s="219" t="s">
        <v>65</v>
      </c>
      <c r="S40" s="144" t="s">
        <v>64</v>
      </c>
      <c r="T40" s="144" t="s">
        <v>148</v>
      </c>
      <c r="U40" s="219" t="s">
        <v>65</v>
      </c>
      <c r="V40" s="144" t="s">
        <v>64</v>
      </c>
      <c r="W40" s="144" t="s">
        <v>148</v>
      </c>
      <c r="X40" s="219" t="s">
        <v>65</v>
      </c>
      <c r="Y40" s="144" t="s">
        <v>64</v>
      </c>
      <c r="Z40" s="144" t="s">
        <v>148</v>
      </c>
      <c r="AA40" s="219" t="s">
        <v>65</v>
      </c>
      <c r="AB40" s="144" t="s">
        <v>64</v>
      </c>
      <c r="AC40" s="144" t="s">
        <v>148</v>
      </c>
      <c r="AD40" s="219" t="s">
        <v>65</v>
      </c>
      <c r="AE40" s="144" t="s">
        <v>64</v>
      </c>
      <c r="AF40" s="144" t="s">
        <v>148</v>
      </c>
      <c r="AG40" s="219" t="s">
        <v>65</v>
      </c>
      <c r="AH40" s="144" t="s">
        <v>64</v>
      </c>
      <c r="AI40" s="144" t="s">
        <v>148</v>
      </c>
      <c r="AJ40" s="219" t="s">
        <v>65</v>
      </c>
      <c r="AK40" s="144" t="s">
        <v>64</v>
      </c>
      <c r="AL40" s="144" t="s">
        <v>148</v>
      </c>
    </row>
    <row r="41" spans="1:43" x14ac:dyDescent="0.2">
      <c r="C41" s="215"/>
      <c r="D41" s="139"/>
      <c r="E41" s="139"/>
      <c r="F41" s="215"/>
      <c r="G41" s="139"/>
      <c r="H41" s="139"/>
      <c r="I41" s="215"/>
      <c r="J41" s="139"/>
      <c r="K41" s="139"/>
      <c r="L41" s="215"/>
      <c r="M41" s="139"/>
      <c r="N41" s="139"/>
      <c r="O41" s="215"/>
      <c r="P41" s="139"/>
      <c r="Q41" s="139"/>
      <c r="R41" s="215"/>
      <c r="S41" s="139"/>
      <c r="T41" s="139"/>
      <c r="U41" s="215"/>
      <c r="V41" s="139"/>
      <c r="W41" s="139"/>
      <c r="X41" s="215"/>
      <c r="Y41" s="139"/>
      <c r="Z41" s="139"/>
      <c r="AA41" s="215"/>
      <c r="AB41" s="139"/>
      <c r="AC41" s="139"/>
      <c r="AD41" s="215"/>
      <c r="AE41" s="139"/>
      <c r="AF41" s="139"/>
      <c r="AG41" s="215"/>
      <c r="AH41" s="139"/>
      <c r="AI41" s="139"/>
      <c r="AJ41" s="215"/>
      <c r="AK41" s="139"/>
      <c r="AL41" s="139"/>
    </row>
    <row r="42" spans="1:43" x14ac:dyDescent="0.2">
      <c r="A42" s="157" t="s">
        <v>106</v>
      </c>
      <c r="B42" s="24"/>
      <c r="C42" s="220">
        <v>10000</v>
      </c>
      <c r="D42" s="151">
        <v>7000</v>
      </c>
      <c r="E42" s="151">
        <v>10000</v>
      </c>
      <c r="F42" s="220">
        <v>10000</v>
      </c>
      <c r="G42" s="151">
        <v>7000</v>
      </c>
      <c r="H42" s="151">
        <v>10000</v>
      </c>
      <c r="I42" s="220">
        <v>10000</v>
      </c>
      <c r="J42" s="151">
        <v>7000</v>
      </c>
      <c r="K42" s="151">
        <v>10000</v>
      </c>
      <c r="L42" s="220">
        <v>10000</v>
      </c>
      <c r="M42" s="151">
        <v>7000</v>
      </c>
      <c r="N42" s="151">
        <v>10000</v>
      </c>
      <c r="O42" s="220">
        <v>10000</v>
      </c>
      <c r="P42" s="151">
        <v>7000</v>
      </c>
      <c r="Q42" s="151">
        <v>10000</v>
      </c>
      <c r="R42" s="220">
        <v>10000</v>
      </c>
      <c r="S42" s="151">
        <v>7000</v>
      </c>
      <c r="T42" s="151">
        <v>10000</v>
      </c>
      <c r="U42" s="220">
        <v>10000</v>
      </c>
      <c r="V42" s="151">
        <v>7000</v>
      </c>
      <c r="W42" s="151">
        <v>10000</v>
      </c>
      <c r="X42" s="220">
        <v>10000</v>
      </c>
      <c r="Y42" s="151">
        <v>7000</v>
      </c>
      <c r="Z42" s="151">
        <v>10000</v>
      </c>
      <c r="AA42" s="220">
        <v>10000</v>
      </c>
      <c r="AB42" s="151">
        <v>7000</v>
      </c>
      <c r="AC42" s="151">
        <v>10000</v>
      </c>
      <c r="AD42" s="220">
        <v>10000</v>
      </c>
      <c r="AE42" s="151">
        <v>7000</v>
      </c>
      <c r="AF42" s="151">
        <v>10000</v>
      </c>
      <c r="AG42" s="220">
        <v>10000</v>
      </c>
      <c r="AH42" s="151">
        <v>7000</v>
      </c>
      <c r="AI42" s="151">
        <v>10000</v>
      </c>
      <c r="AJ42" s="220">
        <v>10000</v>
      </c>
      <c r="AK42" s="151">
        <v>7000</v>
      </c>
      <c r="AL42" s="151">
        <v>10000</v>
      </c>
    </row>
    <row r="43" spans="1:43" x14ac:dyDescent="0.2">
      <c r="A43" s="157" t="s">
        <v>107</v>
      </c>
      <c r="B43" s="24"/>
      <c r="C43" s="220">
        <v>4000</v>
      </c>
      <c r="D43" s="151">
        <v>4000</v>
      </c>
      <c r="E43" s="151">
        <v>4000</v>
      </c>
      <c r="F43" s="220">
        <v>4000</v>
      </c>
      <c r="G43" s="151">
        <v>4000</v>
      </c>
      <c r="H43" s="151">
        <v>4000</v>
      </c>
      <c r="I43" s="220">
        <v>4000</v>
      </c>
      <c r="J43" s="151">
        <v>4000</v>
      </c>
      <c r="K43" s="151">
        <v>4000</v>
      </c>
      <c r="L43" s="220">
        <v>4000</v>
      </c>
      <c r="M43" s="151">
        <v>4000</v>
      </c>
      <c r="N43" s="151">
        <v>4000</v>
      </c>
      <c r="O43" s="220">
        <v>4000</v>
      </c>
      <c r="P43" s="151">
        <v>4000</v>
      </c>
      <c r="Q43" s="151">
        <v>4000</v>
      </c>
      <c r="R43" s="220">
        <v>4000</v>
      </c>
      <c r="S43" s="151">
        <v>4000</v>
      </c>
      <c r="T43" s="151">
        <v>4000</v>
      </c>
      <c r="U43" s="220">
        <v>4000</v>
      </c>
      <c r="V43" s="151">
        <v>4000</v>
      </c>
      <c r="W43" s="151">
        <v>4000</v>
      </c>
      <c r="X43" s="220">
        <v>4000</v>
      </c>
      <c r="Y43" s="151">
        <v>4000</v>
      </c>
      <c r="Z43" s="151">
        <v>4000</v>
      </c>
      <c r="AA43" s="220">
        <v>4000</v>
      </c>
      <c r="AB43" s="151">
        <v>4000</v>
      </c>
      <c r="AC43" s="151">
        <v>4000</v>
      </c>
      <c r="AD43" s="220">
        <v>4000</v>
      </c>
      <c r="AE43" s="151">
        <v>4000</v>
      </c>
      <c r="AF43" s="151">
        <v>4000</v>
      </c>
      <c r="AG43" s="220">
        <v>4000</v>
      </c>
      <c r="AH43" s="151">
        <v>4000</v>
      </c>
      <c r="AI43" s="151">
        <v>4000</v>
      </c>
      <c r="AJ43" s="220">
        <v>4000</v>
      </c>
      <c r="AK43" s="151">
        <v>4000</v>
      </c>
      <c r="AL43" s="151">
        <v>4000</v>
      </c>
    </row>
    <row r="44" spans="1:43" x14ac:dyDescent="0.2">
      <c r="A44" s="157" t="s">
        <v>111</v>
      </c>
      <c r="B44" s="24"/>
      <c r="C44" s="220">
        <f>C43*D38</f>
        <v>124000</v>
      </c>
      <c r="D44" s="151">
        <f>D43*D38</f>
        <v>124000</v>
      </c>
      <c r="E44" s="151">
        <f>E43*D38</f>
        <v>124000</v>
      </c>
      <c r="F44" s="220">
        <f>F43*G38</f>
        <v>112000</v>
      </c>
      <c r="G44" s="151">
        <f>G43*G38</f>
        <v>112000</v>
      </c>
      <c r="H44" s="151">
        <f>H43*G38</f>
        <v>112000</v>
      </c>
      <c r="I44" s="220">
        <f>I43*J38</f>
        <v>124000</v>
      </c>
      <c r="J44" s="151">
        <f>J43*J38</f>
        <v>124000</v>
      </c>
      <c r="K44" s="151">
        <f>K43*J38</f>
        <v>124000</v>
      </c>
      <c r="L44" s="220">
        <f>L43*M38</f>
        <v>120000</v>
      </c>
      <c r="M44" s="151">
        <f>M43*M38</f>
        <v>120000</v>
      </c>
      <c r="N44" s="151">
        <f>N43*M38</f>
        <v>120000</v>
      </c>
      <c r="O44" s="220">
        <f>O43*P38</f>
        <v>124000</v>
      </c>
      <c r="P44" s="151">
        <f>P43*P38</f>
        <v>124000</v>
      </c>
      <c r="Q44" s="151">
        <f>Q43*P38</f>
        <v>124000</v>
      </c>
      <c r="R44" s="220">
        <f>R43*S38</f>
        <v>120000</v>
      </c>
      <c r="S44" s="151">
        <f>S43*S38</f>
        <v>120000</v>
      </c>
      <c r="T44" s="151">
        <f>T43*S38</f>
        <v>120000</v>
      </c>
      <c r="U44" s="220">
        <f>U43*V38</f>
        <v>124000</v>
      </c>
      <c r="V44" s="151">
        <f>V43*V38</f>
        <v>124000</v>
      </c>
      <c r="W44" s="151">
        <f>W43*V38</f>
        <v>124000</v>
      </c>
      <c r="X44" s="220">
        <f>X43*Y38</f>
        <v>124000</v>
      </c>
      <c r="Y44" s="151">
        <f>Y43*Y38</f>
        <v>124000</v>
      </c>
      <c r="Z44" s="151">
        <f>Z43*Y38</f>
        <v>124000</v>
      </c>
      <c r="AA44" s="220">
        <f>AA43*AB38</f>
        <v>120000</v>
      </c>
      <c r="AB44" s="151">
        <f>AB43*AB38</f>
        <v>120000</v>
      </c>
      <c r="AC44" s="151">
        <f>AC43*AB38</f>
        <v>120000</v>
      </c>
      <c r="AD44" s="220">
        <f>AD43*AE38</f>
        <v>124000</v>
      </c>
      <c r="AE44" s="151">
        <f>AE43*AE38</f>
        <v>124000</v>
      </c>
      <c r="AF44" s="151">
        <f>AF43*AE38</f>
        <v>124000</v>
      </c>
      <c r="AG44" s="220">
        <f>AG43*AH38</f>
        <v>120000</v>
      </c>
      <c r="AH44" s="151">
        <f>AH43*AH38</f>
        <v>120000</v>
      </c>
      <c r="AI44" s="151">
        <f>AI43*AH38</f>
        <v>120000</v>
      </c>
      <c r="AJ44" s="220">
        <f>AJ43*AK38</f>
        <v>124000</v>
      </c>
      <c r="AK44" s="151">
        <f>AK43*AK38</f>
        <v>124000</v>
      </c>
      <c r="AL44" s="151">
        <f>AL43*AK38</f>
        <v>124000</v>
      </c>
    </row>
    <row r="45" spans="1:43" x14ac:dyDescent="0.2">
      <c r="C45" s="215"/>
      <c r="D45" s="139"/>
      <c r="E45" s="139"/>
      <c r="F45" s="215"/>
      <c r="G45" s="139"/>
      <c r="H45" s="139"/>
      <c r="I45" s="215"/>
      <c r="J45" s="139"/>
      <c r="K45" s="139"/>
      <c r="L45" s="215"/>
      <c r="M45" s="139"/>
      <c r="N45" s="139"/>
      <c r="O45" s="215"/>
      <c r="P45" s="139"/>
      <c r="Q45" s="139"/>
      <c r="R45" s="215"/>
      <c r="S45" s="139"/>
      <c r="T45" s="139"/>
      <c r="U45" s="215"/>
      <c r="V45" s="139"/>
      <c r="W45" s="139"/>
      <c r="X45" s="215"/>
      <c r="Y45" s="139"/>
      <c r="Z45" s="139"/>
      <c r="AA45" s="215"/>
      <c r="AB45" s="139"/>
      <c r="AC45" s="139"/>
      <c r="AD45" s="215"/>
      <c r="AE45" s="139"/>
      <c r="AF45" s="139"/>
      <c r="AG45" s="215"/>
      <c r="AH45" s="139"/>
      <c r="AI45" s="139"/>
      <c r="AJ45" s="215"/>
      <c r="AK45" s="139"/>
      <c r="AL45" s="139"/>
    </row>
    <row r="46" spans="1:43" x14ac:dyDescent="0.2">
      <c r="A46" s="159" t="s">
        <v>128</v>
      </c>
      <c r="B46" s="24"/>
      <c r="C46" s="221">
        <v>4927138</v>
      </c>
      <c r="D46" s="222">
        <v>3430000</v>
      </c>
      <c r="E46" s="223">
        <v>5168655</v>
      </c>
      <c r="F46" s="246">
        <v>4000000</v>
      </c>
      <c r="G46" s="247">
        <v>4000000</v>
      </c>
      <c r="H46" s="247">
        <v>4000000</v>
      </c>
      <c r="I46" s="246">
        <v>4000000</v>
      </c>
      <c r="J46" s="247">
        <v>4000000</v>
      </c>
      <c r="K46" s="247">
        <v>4000000</v>
      </c>
      <c r="L46" s="246">
        <v>4000000</v>
      </c>
      <c r="M46" s="247">
        <v>4000000</v>
      </c>
      <c r="N46" s="247">
        <v>4000000</v>
      </c>
      <c r="O46" s="246">
        <v>4000000</v>
      </c>
      <c r="P46" s="247">
        <v>4000000</v>
      </c>
      <c r="Q46" s="247">
        <v>4000000</v>
      </c>
      <c r="R46" s="246">
        <v>4000000</v>
      </c>
      <c r="S46" s="247">
        <v>4000000</v>
      </c>
      <c r="T46" s="247">
        <v>4000000</v>
      </c>
      <c r="U46" s="246">
        <v>4000000</v>
      </c>
      <c r="V46" s="247">
        <v>4000000</v>
      </c>
      <c r="W46" s="247">
        <v>4000000</v>
      </c>
      <c r="X46" s="246">
        <v>4000000</v>
      </c>
      <c r="Y46" s="247">
        <v>4000000</v>
      </c>
      <c r="Z46" s="247">
        <v>4000000</v>
      </c>
      <c r="AA46" s="246">
        <v>4000000</v>
      </c>
      <c r="AB46" s="247">
        <v>4000000</v>
      </c>
      <c r="AC46" s="247">
        <v>4000000</v>
      </c>
      <c r="AD46" s="246">
        <v>4000000</v>
      </c>
      <c r="AE46" s="247">
        <v>4000000</v>
      </c>
      <c r="AF46" s="247">
        <v>4000000</v>
      </c>
      <c r="AG46" s="246">
        <v>4000000</v>
      </c>
      <c r="AH46" s="247">
        <v>4000000</v>
      </c>
      <c r="AI46" s="247">
        <v>4000000</v>
      </c>
      <c r="AJ46" s="246">
        <v>4000000</v>
      </c>
      <c r="AK46" s="247">
        <v>4000000</v>
      </c>
      <c r="AL46" s="247">
        <v>4000000</v>
      </c>
      <c r="AM46" s="145"/>
      <c r="AN46" s="145"/>
      <c r="AO46" s="158"/>
      <c r="AQ46" s="146"/>
    </row>
    <row r="47" spans="1:43" x14ac:dyDescent="0.2">
      <c r="A47" s="24" t="s">
        <v>108</v>
      </c>
      <c r="B47" s="24"/>
      <c r="C47" s="224">
        <v>1.34</v>
      </c>
      <c r="D47" s="147">
        <v>1.34</v>
      </c>
      <c r="E47" s="147">
        <v>1.34</v>
      </c>
      <c r="F47" s="224">
        <v>1.34</v>
      </c>
      <c r="G47" s="147">
        <v>1.34</v>
      </c>
      <c r="H47" s="147">
        <v>1.34</v>
      </c>
      <c r="I47" s="224">
        <v>1.34</v>
      </c>
      <c r="J47" s="147">
        <v>1.34</v>
      </c>
      <c r="K47" s="147">
        <v>1.34</v>
      </c>
      <c r="L47" s="224">
        <v>1.34</v>
      </c>
      <c r="M47" s="147">
        <v>1.34</v>
      </c>
      <c r="N47" s="147">
        <v>1.34</v>
      </c>
      <c r="O47" s="224">
        <v>1.34</v>
      </c>
      <c r="P47" s="147">
        <v>1.34</v>
      </c>
      <c r="Q47" s="147">
        <v>1.34</v>
      </c>
      <c r="R47" s="224">
        <v>1.34</v>
      </c>
      <c r="S47" s="147">
        <v>1.34</v>
      </c>
      <c r="T47" s="147">
        <v>1.34</v>
      </c>
      <c r="U47" s="224">
        <v>1.34</v>
      </c>
      <c r="V47" s="147">
        <v>1.34</v>
      </c>
      <c r="W47" s="147">
        <v>1.34</v>
      </c>
      <c r="X47" s="224">
        <v>1.34</v>
      </c>
      <c r="Y47" s="147">
        <v>1.34</v>
      </c>
      <c r="Z47" s="147">
        <v>1.34</v>
      </c>
      <c r="AA47" s="224">
        <v>1.34</v>
      </c>
      <c r="AB47" s="147">
        <v>1.34</v>
      </c>
      <c r="AC47" s="147">
        <v>1.34</v>
      </c>
      <c r="AD47" s="224">
        <v>1.34</v>
      </c>
      <c r="AE47" s="147">
        <v>1.34</v>
      </c>
      <c r="AF47" s="147">
        <v>1.34</v>
      </c>
      <c r="AG47" s="224">
        <v>1.34</v>
      </c>
      <c r="AH47" s="147">
        <v>1.34</v>
      </c>
      <c r="AI47" s="147">
        <v>1.34</v>
      </c>
      <c r="AJ47" s="224">
        <v>1.34</v>
      </c>
      <c r="AK47" s="147">
        <v>1.34</v>
      </c>
      <c r="AL47" s="147">
        <v>1.34</v>
      </c>
    </row>
    <row r="48" spans="1:43" x14ac:dyDescent="0.2">
      <c r="A48" s="24" t="s">
        <v>109</v>
      </c>
      <c r="B48" s="24"/>
      <c r="C48" s="220">
        <f t="shared" ref="C48:AL48" si="4">C46*C47</f>
        <v>6602364.9200000009</v>
      </c>
      <c r="D48" s="151">
        <f t="shared" si="4"/>
        <v>4596200</v>
      </c>
      <c r="E48" s="151">
        <f t="shared" si="4"/>
        <v>6925997.7000000002</v>
      </c>
      <c r="F48" s="220">
        <f t="shared" si="4"/>
        <v>5360000</v>
      </c>
      <c r="G48" s="151">
        <f t="shared" si="4"/>
        <v>5360000</v>
      </c>
      <c r="H48" s="151">
        <f t="shared" si="4"/>
        <v>5360000</v>
      </c>
      <c r="I48" s="220">
        <f t="shared" si="4"/>
        <v>5360000</v>
      </c>
      <c r="J48" s="151">
        <f t="shared" si="4"/>
        <v>5360000</v>
      </c>
      <c r="K48" s="151">
        <f t="shared" si="4"/>
        <v>5360000</v>
      </c>
      <c r="L48" s="220">
        <f t="shared" si="4"/>
        <v>5360000</v>
      </c>
      <c r="M48" s="151">
        <f t="shared" si="4"/>
        <v>5360000</v>
      </c>
      <c r="N48" s="151">
        <f t="shared" si="4"/>
        <v>5360000</v>
      </c>
      <c r="O48" s="220">
        <f t="shared" si="4"/>
        <v>5360000</v>
      </c>
      <c r="P48" s="151">
        <f t="shared" si="4"/>
        <v>5360000</v>
      </c>
      <c r="Q48" s="151">
        <f t="shared" si="4"/>
        <v>5360000</v>
      </c>
      <c r="R48" s="220">
        <f t="shared" si="4"/>
        <v>5360000</v>
      </c>
      <c r="S48" s="151">
        <f t="shared" si="4"/>
        <v>5360000</v>
      </c>
      <c r="T48" s="151">
        <f t="shared" si="4"/>
        <v>5360000</v>
      </c>
      <c r="U48" s="220">
        <f t="shared" si="4"/>
        <v>5360000</v>
      </c>
      <c r="V48" s="151">
        <f t="shared" si="4"/>
        <v>5360000</v>
      </c>
      <c r="W48" s="151">
        <f t="shared" si="4"/>
        <v>5360000</v>
      </c>
      <c r="X48" s="220">
        <f t="shared" si="4"/>
        <v>5360000</v>
      </c>
      <c r="Y48" s="151">
        <f t="shared" si="4"/>
        <v>5360000</v>
      </c>
      <c r="Z48" s="151">
        <f t="shared" si="4"/>
        <v>5360000</v>
      </c>
      <c r="AA48" s="220">
        <f t="shared" si="4"/>
        <v>5360000</v>
      </c>
      <c r="AB48" s="151">
        <f t="shared" si="4"/>
        <v>5360000</v>
      </c>
      <c r="AC48" s="151">
        <f t="shared" si="4"/>
        <v>5360000</v>
      </c>
      <c r="AD48" s="220">
        <f t="shared" si="4"/>
        <v>5360000</v>
      </c>
      <c r="AE48" s="151">
        <f t="shared" si="4"/>
        <v>5360000</v>
      </c>
      <c r="AF48" s="151">
        <f t="shared" si="4"/>
        <v>5360000</v>
      </c>
      <c r="AG48" s="220">
        <f t="shared" si="4"/>
        <v>5360000</v>
      </c>
      <c r="AH48" s="151">
        <f t="shared" si="4"/>
        <v>5360000</v>
      </c>
      <c r="AI48" s="151">
        <f t="shared" si="4"/>
        <v>5360000</v>
      </c>
      <c r="AJ48" s="220">
        <f t="shared" si="4"/>
        <v>5360000</v>
      </c>
      <c r="AK48" s="151">
        <f t="shared" si="4"/>
        <v>5360000</v>
      </c>
      <c r="AL48" s="151">
        <f t="shared" si="4"/>
        <v>5360000</v>
      </c>
    </row>
    <row r="49" spans="1:38" x14ac:dyDescent="0.2">
      <c r="A49" s="24"/>
      <c r="B49" s="24"/>
      <c r="C49" s="225"/>
      <c r="D49" s="226"/>
      <c r="E49" s="226"/>
      <c r="F49" s="225"/>
      <c r="G49" s="226"/>
      <c r="H49" s="226"/>
      <c r="I49" s="225"/>
      <c r="J49" s="226"/>
      <c r="K49" s="226"/>
      <c r="L49" s="225"/>
      <c r="M49" s="226"/>
      <c r="N49" s="226"/>
      <c r="O49" s="225"/>
      <c r="P49" s="226"/>
      <c r="Q49" s="226"/>
      <c r="R49" s="225"/>
      <c r="S49" s="226"/>
      <c r="T49" s="226"/>
      <c r="U49" s="225"/>
      <c r="V49" s="226"/>
      <c r="W49" s="226"/>
      <c r="X49" s="225"/>
      <c r="Y49" s="226"/>
      <c r="Z49" s="226"/>
      <c r="AA49" s="225"/>
      <c r="AB49" s="226"/>
      <c r="AC49" s="226"/>
      <c r="AD49" s="225"/>
      <c r="AE49" s="226"/>
      <c r="AF49" s="226"/>
      <c r="AG49" s="225"/>
      <c r="AH49" s="226"/>
      <c r="AI49" s="226"/>
      <c r="AJ49" s="225"/>
      <c r="AK49" s="226"/>
      <c r="AL49" s="226"/>
    </row>
    <row r="50" spans="1:38" x14ac:dyDescent="0.2">
      <c r="A50" s="24" t="s">
        <v>113</v>
      </c>
      <c r="B50" s="24"/>
      <c r="C50" s="227">
        <f t="shared" ref="C50:AL50" si="5">ROUNDUP(C48/C57,2)</f>
        <v>0.89</v>
      </c>
      <c r="D50" s="148">
        <f t="shared" si="5"/>
        <v>0.89</v>
      </c>
      <c r="E50" s="148">
        <f t="shared" si="5"/>
        <v>0.94000000000000006</v>
      </c>
      <c r="F50" s="227">
        <f t="shared" si="5"/>
        <v>0.73</v>
      </c>
      <c r="G50" s="148">
        <f t="shared" si="5"/>
        <v>1.03</v>
      </c>
      <c r="H50" s="148">
        <f t="shared" si="5"/>
        <v>0.73</v>
      </c>
      <c r="I50" s="227">
        <f t="shared" si="5"/>
        <v>0.8</v>
      </c>
      <c r="J50" s="148">
        <f t="shared" si="5"/>
        <v>1.1399999999999999</v>
      </c>
      <c r="K50" s="148">
        <f t="shared" si="5"/>
        <v>0.8</v>
      </c>
      <c r="L50" s="227">
        <f t="shared" si="5"/>
        <v>0.73</v>
      </c>
      <c r="M50" s="148">
        <f t="shared" si="5"/>
        <v>1.03</v>
      </c>
      <c r="N50" s="148">
        <f t="shared" si="5"/>
        <v>0.73</v>
      </c>
      <c r="O50" s="227">
        <f t="shared" si="5"/>
        <v>0.75</v>
      </c>
      <c r="P50" s="148">
        <f t="shared" si="5"/>
        <v>1.07</v>
      </c>
      <c r="Q50" s="148">
        <f t="shared" si="5"/>
        <v>0.75</v>
      </c>
      <c r="R50" s="227">
        <f t="shared" si="5"/>
        <v>0.73</v>
      </c>
      <c r="S50" s="148">
        <f t="shared" si="5"/>
        <v>1.03</v>
      </c>
      <c r="T50" s="148">
        <f t="shared" si="5"/>
        <v>0.73</v>
      </c>
      <c r="U50" s="227">
        <f t="shared" si="5"/>
        <v>0.75</v>
      </c>
      <c r="V50" s="148">
        <f t="shared" si="5"/>
        <v>1.07</v>
      </c>
      <c r="W50" s="148">
        <f t="shared" si="5"/>
        <v>0.75</v>
      </c>
      <c r="X50" s="227">
        <f t="shared" si="5"/>
        <v>0.73</v>
      </c>
      <c r="Y50" s="148">
        <f t="shared" si="5"/>
        <v>1.03</v>
      </c>
      <c r="Z50" s="148">
        <f t="shared" si="5"/>
        <v>0.73</v>
      </c>
      <c r="AA50" s="227">
        <f t="shared" si="5"/>
        <v>0.73</v>
      </c>
      <c r="AB50" s="173">
        <f t="shared" si="5"/>
        <v>1.03</v>
      </c>
      <c r="AC50" s="148">
        <f t="shared" si="5"/>
        <v>0.73</v>
      </c>
      <c r="AD50" s="227">
        <f t="shared" si="5"/>
        <v>0.75</v>
      </c>
      <c r="AE50" s="173">
        <f t="shared" si="5"/>
        <v>1.07</v>
      </c>
      <c r="AF50" s="148">
        <f t="shared" si="5"/>
        <v>0.75</v>
      </c>
      <c r="AG50" s="227">
        <f t="shared" si="5"/>
        <v>0.73</v>
      </c>
      <c r="AH50" s="173">
        <f t="shared" si="5"/>
        <v>1.03</v>
      </c>
      <c r="AI50" s="148">
        <f t="shared" si="5"/>
        <v>0.73</v>
      </c>
      <c r="AJ50" s="227">
        <f t="shared" si="5"/>
        <v>0.75</v>
      </c>
      <c r="AK50" s="173">
        <f t="shared" si="5"/>
        <v>1.07</v>
      </c>
      <c r="AL50" s="148">
        <f t="shared" si="5"/>
        <v>0.75</v>
      </c>
    </row>
    <row r="51" spans="1:38" x14ac:dyDescent="0.2">
      <c r="A51" s="24" t="s">
        <v>108</v>
      </c>
      <c r="B51" s="24"/>
      <c r="C51" s="228">
        <f>VLOOKUP(C50,'BB_LF&amp;CF'!$A$5:$B$55,2)</f>
        <v>2.6749999999999999E-2</v>
      </c>
      <c r="D51" s="149">
        <f>VLOOKUP(D50,'BB_LF&amp;CF'!$A$5:$B$55,2)</f>
        <v>2.6749999999999999E-2</v>
      </c>
      <c r="E51" s="150"/>
      <c r="F51" s="228">
        <f>VLOOKUP(F50,'BB_LF&amp;CF'!$A$5:$B$55,2)</f>
        <v>3.2620000000000003E-2</v>
      </c>
      <c r="G51" s="149">
        <f>VLOOKUP(G50,'BB_LF&amp;CF'!$A$5:$B$55,2)</f>
        <v>2.3810000000000001E-2</v>
      </c>
      <c r="H51" s="150"/>
      <c r="I51" s="228">
        <f>VLOOKUP(I50,'BB_LF&amp;CF'!$A$5:$B$55,2)</f>
        <v>2.9760000000000002E-2</v>
      </c>
      <c r="J51" s="149">
        <f>VLOOKUP(J50,'BB_LF&amp;CF'!$A$6:$B$55,2)</f>
        <v>2.3810000000000001E-2</v>
      </c>
      <c r="K51" s="150"/>
      <c r="L51" s="228">
        <f>VLOOKUP(L50,'BB_LF&amp;CF'!$A$6:$B$55,2)</f>
        <v>3.2620000000000003E-2</v>
      </c>
      <c r="M51" s="149">
        <f>VLOOKUP(M50,'BB_LF&amp;CF'!$A$6:$B$55,2)</f>
        <v>2.3810000000000001E-2</v>
      </c>
      <c r="N51" s="150"/>
      <c r="O51" s="228">
        <f>VLOOKUP(O50,'BB_LF&amp;CF'!$A$6:$B$55,2)</f>
        <v>3.175E-2</v>
      </c>
      <c r="P51" s="149">
        <f>VLOOKUP(P50,'BB_LF&amp;CF'!$A$6:$B$55,2)</f>
        <v>2.3810000000000001E-2</v>
      </c>
      <c r="Q51" s="150"/>
      <c r="R51" s="228">
        <f>VLOOKUP(R50,'BB_LF&amp;CF'!$A$6:$B$55,2)</f>
        <v>3.2620000000000003E-2</v>
      </c>
      <c r="S51" s="149">
        <f>VLOOKUP(S50,'BB_LF&amp;CF'!$A$6:$B$55,2)</f>
        <v>2.3810000000000001E-2</v>
      </c>
      <c r="T51" s="150"/>
      <c r="U51" s="228">
        <f>VLOOKUP(U50,'BB_LF&amp;CF'!$A$6:$B$55,2)</f>
        <v>3.175E-2</v>
      </c>
      <c r="V51" s="149">
        <f>VLOOKUP(V50,'BB_LF&amp;CF'!$A$6:$B$55,2)</f>
        <v>2.3810000000000001E-2</v>
      </c>
      <c r="W51" s="150"/>
      <c r="X51" s="228">
        <f>VLOOKUP(X50,'BB_LF&amp;CF'!$A$6:$B$55,2)</f>
        <v>3.2620000000000003E-2</v>
      </c>
      <c r="Y51" s="149">
        <f>VLOOKUP(Y50,'BB_LF&amp;CF'!$A$6:$B$55,2)</f>
        <v>2.3810000000000001E-2</v>
      </c>
      <c r="Z51" s="150"/>
      <c r="AA51" s="228">
        <f>VLOOKUP(AA50,'BB_LF&amp;CF'!$A$6:$B$55,2)</f>
        <v>3.2620000000000003E-2</v>
      </c>
      <c r="AB51" s="149">
        <f>VLOOKUP(AB50,'BB_LF&amp;CF'!$A$6:$B$55,2)</f>
        <v>2.3810000000000001E-2</v>
      </c>
      <c r="AC51" s="150"/>
      <c r="AD51" s="228">
        <f>VLOOKUP(AD50,'BB_LF&amp;CF'!$A$6:$B$55,2)</f>
        <v>3.175E-2</v>
      </c>
      <c r="AE51" s="149">
        <f>VLOOKUP(AE50,'BB_LF&amp;CF'!$A$6:$B$55,2)</f>
        <v>2.3810000000000001E-2</v>
      </c>
      <c r="AF51" s="150"/>
      <c r="AG51" s="228">
        <f>VLOOKUP(AG50,'BB_LF&amp;CF'!$A$6:$B$55,2)</f>
        <v>3.2620000000000003E-2</v>
      </c>
      <c r="AH51" s="149">
        <f>VLOOKUP(AH50,'BB_LF&amp;CF'!$A$6:$B$55,2)</f>
        <v>2.3810000000000001E-2</v>
      </c>
      <c r="AI51" s="150"/>
      <c r="AJ51" s="228">
        <f>VLOOKUP(AJ50,'BB_LF&amp;CF'!$A$6:$B$55,2)</f>
        <v>3.175E-2</v>
      </c>
      <c r="AK51" s="149">
        <f>VLOOKUP(AK50,'BB_LF&amp;CF'!$A$6:$B$55,2)</f>
        <v>2.3810000000000001E-2</v>
      </c>
      <c r="AL51" s="150"/>
    </row>
    <row r="52" spans="1:38" x14ac:dyDescent="0.2">
      <c r="A52" s="24" t="s">
        <v>114</v>
      </c>
      <c r="B52" s="24"/>
      <c r="C52" s="220">
        <f>C48*C51</f>
        <v>176613.26161000002</v>
      </c>
      <c r="D52" s="151">
        <f>D48*D51</f>
        <v>122948.34999999999</v>
      </c>
      <c r="E52" s="151"/>
      <c r="F52" s="220">
        <f>F48*F51</f>
        <v>174843.2</v>
      </c>
      <c r="G52" s="151">
        <f>G48*G51</f>
        <v>127621.6</v>
      </c>
      <c r="H52" s="151"/>
      <c r="I52" s="220">
        <f>I48*I51</f>
        <v>159513.60000000001</v>
      </c>
      <c r="J52" s="151">
        <f>J48*J51</f>
        <v>127621.6</v>
      </c>
      <c r="K52" s="151"/>
      <c r="L52" s="220">
        <f>L48*L51</f>
        <v>174843.2</v>
      </c>
      <c r="M52" s="151">
        <f>M48*M51</f>
        <v>127621.6</v>
      </c>
      <c r="N52" s="151"/>
      <c r="O52" s="220">
        <f>O48*O51</f>
        <v>170180</v>
      </c>
      <c r="P52" s="151">
        <f>P48*P51</f>
        <v>127621.6</v>
      </c>
      <c r="Q52" s="151"/>
      <c r="R52" s="220">
        <f>R48*R51</f>
        <v>174843.2</v>
      </c>
      <c r="S52" s="151">
        <f>S48*S51</f>
        <v>127621.6</v>
      </c>
      <c r="T52" s="151"/>
      <c r="U52" s="220">
        <f>U48*U51</f>
        <v>170180</v>
      </c>
      <c r="V52" s="151">
        <f>V48*V51</f>
        <v>127621.6</v>
      </c>
      <c r="W52" s="151"/>
      <c r="X52" s="220">
        <f>X48*X51</f>
        <v>174843.2</v>
      </c>
      <c r="Y52" s="151">
        <f>Y48*Y51</f>
        <v>127621.6</v>
      </c>
      <c r="Z52" s="151"/>
      <c r="AA52" s="220">
        <f>AA48*AA51</f>
        <v>174843.2</v>
      </c>
      <c r="AB52" s="151">
        <f>AB48*AB51</f>
        <v>127621.6</v>
      </c>
      <c r="AC52" s="151"/>
      <c r="AD52" s="220">
        <f>AD48*AD51</f>
        <v>170180</v>
      </c>
      <c r="AE52" s="151">
        <f>AE48*AE51</f>
        <v>127621.6</v>
      </c>
      <c r="AF52" s="151"/>
      <c r="AG52" s="220">
        <f>AG48*AG51</f>
        <v>174843.2</v>
      </c>
      <c r="AH52" s="151">
        <f>AH48*AH51</f>
        <v>127621.6</v>
      </c>
      <c r="AI52" s="151"/>
      <c r="AJ52" s="220">
        <f>AJ48*AJ51</f>
        <v>170180</v>
      </c>
      <c r="AK52" s="151">
        <f>AK48*AK51</f>
        <v>127621.6</v>
      </c>
      <c r="AL52" s="151"/>
    </row>
    <row r="53" spans="1:38" x14ac:dyDescent="0.2">
      <c r="A53" s="24"/>
      <c r="B53" s="24"/>
      <c r="C53" s="220"/>
      <c r="D53" s="151"/>
      <c r="E53" s="151"/>
      <c r="F53" s="220"/>
      <c r="G53" s="151"/>
      <c r="H53" s="151"/>
      <c r="I53" s="220"/>
      <c r="J53" s="151"/>
      <c r="K53" s="151"/>
      <c r="L53" s="220"/>
      <c r="M53" s="151"/>
      <c r="N53" s="151"/>
      <c r="O53" s="220"/>
      <c r="P53" s="151"/>
      <c r="Q53" s="151"/>
      <c r="R53" s="220"/>
      <c r="S53" s="151"/>
      <c r="T53" s="151"/>
      <c r="U53" s="220"/>
      <c r="V53" s="151"/>
      <c r="W53" s="151"/>
      <c r="X53" s="220"/>
      <c r="Y53" s="151"/>
      <c r="Z53" s="151"/>
      <c r="AA53" s="220"/>
      <c r="AB53" s="151"/>
      <c r="AC53" s="151"/>
      <c r="AD53" s="220"/>
      <c r="AE53" s="151"/>
      <c r="AF53" s="151"/>
      <c r="AG53" s="220"/>
      <c r="AH53" s="151"/>
      <c r="AI53" s="151"/>
      <c r="AJ53" s="220"/>
      <c r="AK53" s="151"/>
      <c r="AL53" s="151"/>
    </row>
    <row r="54" spans="1:38" x14ac:dyDescent="0.2">
      <c r="A54" s="174" t="s">
        <v>108</v>
      </c>
      <c r="B54" s="24"/>
      <c r="C54" s="229">
        <v>1.0130999999999999</v>
      </c>
      <c r="D54" s="152">
        <v>1.0130999999999999</v>
      </c>
      <c r="E54" s="153"/>
      <c r="F54" s="229">
        <v>1.0130999999999999</v>
      </c>
      <c r="G54" s="152">
        <v>1.0130999999999999</v>
      </c>
      <c r="H54" s="153"/>
      <c r="I54" s="229">
        <v>1.0130999999999999</v>
      </c>
      <c r="J54" s="152">
        <v>1.0130999999999999</v>
      </c>
      <c r="K54" s="153"/>
      <c r="L54" s="229">
        <v>1.0130999999999999</v>
      </c>
      <c r="M54" s="152">
        <v>1.0130999999999999</v>
      </c>
      <c r="N54" s="153"/>
      <c r="O54" s="229">
        <v>1.0130999999999999</v>
      </c>
      <c r="P54" s="152">
        <v>1.0130999999999999</v>
      </c>
      <c r="Q54" s="153"/>
      <c r="R54" s="229">
        <v>1.0130999999999999</v>
      </c>
      <c r="S54" s="152">
        <v>1.0130999999999999</v>
      </c>
      <c r="T54" s="153"/>
      <c r="U54" s="229">
        <v>1.0130999999999999</v>
      </c>
      <c r="V54" s="152">
        <v>1.0130999999999999</v>
      </c>
      <c r="W54" s="153"/>
      <c r="X54" s="229">
        <v>1.0130999999999999</v>
      </c>
      <c r="Y54" s="152">
        <v>1.0130999999999999</v>
      </c>
      <c r="Z54" s="153"/>
      <c r="AA54" s="229">
        <v>1.0130999999999999</v>
      </c>
      <c r="AB54" s="152">
        <v>1.0130999999999999</v>
      </c>
      <c r="AC54" s="153"/>
      <c r="AD54" s="229">
        <v>1.0130999999999999</v>
      </c>
      <c r="AE54" s="152">
        <v>1.0130999999999999</v>
      </c>
      <c r="AF54" s="153"/>
      <c r="AG54" s="229">
        <v>1.0130999999999999</v>
      </c>
      <c r="AH54" s="152">
        <v>1.0130999999999999</v>
      </c>
      <c r="AI54" s="153"/>
      <c r="AJ54" s="229">
        <v>1.0130999999999999</v>
      </c>
      <c r="AK54" s="152">
        <v>1.0130999999999999</v>
      </c>
      <c r="AL54" s="153"/>
    </row>
    <row r="55" spans="1:38" x14ac:dyDescent="0.2">
      <c r="A55" s="24" t="s">
        <v>115</v>
      </c>
      <c r="B55" s="24"/>
      <c r="C55" s="220">
        <f>C52*C54</f>
        <v>178926.895337091</v>
      </c>
      <c r="D55" s="151">
        <f>D52*D54</f>
        <v>124558.97338499998</v>
      </c>
      <c r="E55" s="151"/>
      <c r="F55" s="220">
        <f>F52*F54</f>
        <v>177133.64591999998</v>
      </c>
      <c r="G55" s="151">
        <f>G52*G54</f>
        <v>129293.44295999999</v>
      </c>
      <c r="H55" s="151"/>
      <c r="I55" s="220">
        <f>I52*I54</f>
        <v>161603.22816</v>
      </c>
      <c r="J55" s="151">
        <f>J52*J54</f>
        <v>129293.44295999999</v>
      </c>
      <c r="K55" s="151"/>
      <c r="L55" s="220">
        <f>L52*L54</f>
        <v>177133.64591999998</v>
      </c>
      <c r="M55" s="151">
        <f>M52*M54</f>
        <v>129293.44295999999</v>
      </c>
      <c r="N55" s="151"/>
      <c r="O55" s="220">
        <f>O52*O54</f>
        <v>172409.35799999998</v>
      </c>
      <c r="P55" s="151">
        <f>P52*P54</f>
        <v>129293.44295999999</v>
      </c>
      <c r="Q55" s="151"/>
      <c r="R55" s="220">
        <f>R52*R54</f>
        <v>177133.64591999998</v>
      </c>
      <c r="S55" s="151">
        <f>S52*S54</f>
        <v>129293.44295999999</v>
      </c>
      <c r="T55" s="151"/>
      <c r="U55" s="220">
        <f>U52*U54</f>
        <v>172409.35799999998</v>
      </c>
      <c r="V55" s="151">
        <f>V52*V54</f>
        <v>129293.44295999999</v>
      </c>
      <c r="W55" s="151"/>
      <c r="X55" s="220">
        <f>X52*X54</f>
        <v>177133.64591999998</v>
      </c>
      <c r="Y55" s="151">
        <f>Y52*Y54</f>
        <v>129293.44295999999</v>
      </c>
      <c r="Z55" s="151"/>
      <c r="AA55" s="220">
        <f>AA52*AA54</f>
        <v>177133.64591999998</v>
      </c>
      <c r="AB55" s="151">
        <f>AB52*AB54</f>
        <v>129293.44295999999</v>
      </c>
      <c r="AC55" s="151"/>
      <c r="AD55" s="220">
        <f>AD52*AD54</f>
        <v>172409.35799999998</v>
      </c>
      <c r="AE55" s="151">
        <f>AE52*AE54</f>
        <v>129293.44295999999</v>
      </c>
      <c r="AF55" s="151"/>
      <c r="AG55" s="220">
        <f>AG52*AG54</f>
        <v>177133.64591999998</v>
      </c>
      <c r="AH55" s="151">
        <f>AH52*AH54</f>
        <v>129293.44295999999</v>
      </c>
      <c r="AI55" s="151"/>
      <c r="AJ55" s="220">
        <f>AJ52*AJ54</f>
        <v>172409.35799999998</v>
      </c>
      <c r="AK55" s="151">
        <f>AK52*AK54</f>
        <v>129293.44295999999</v>
      </c>
      <c r="AL55" s="151"/>
    </row>
    <row r="56" spans="1:38" x14ac:dyDescent="0.2">
      <c r="C56" s="215"/>
      <c r="D56" s="139"/>
      <c r="E56" s="139"/>
      <c r="F56" s="215"/>
      <c r="G56" s="139"/>
      <c r="H56" s="139"/>
      <c r="I56" s="215"/>
      <c r="J56" s="139"/>
      <c r="K56" s="139"/>
      <c r="L56" s="215"/>
      <c r="M56" s="139"/>
      <c r="N56" s="139"/>
      <c r="O56" s="215"/>
      <c r="P56" s="139"/>
      <c r="Q56" s="139"/>
      <c r="R56" s="215"/>
      <c r="S56" s="139"/>
      <c r="T56" s="139"/>
      <c r="U56" s="215"/>
      <c r="V56" s="139"/>
      <c r="W56" s="139"/>
      <c r="X56" s="215"/>
      <c r="Y56" s="139"/>
      <c r="Z56" s="139"/>
      <c r="AA56" s="215"/>
      <c r="AB56" s="139"/>
      <c r="AC56" s="139"/>
      <c r="AD56" s="215"/>
      <c r="AE56" s="139"/>
      <c r="AF56" s="139"/>
      <c r="AG56" s="215"/>
      <c r="AH56" s="139"/>
      <c r="AI56" s="139"/>
      <c r="AJ56" s="215"/>
      <c r="AK56" s="139"/>
      <c r="AL56" s="139"/>
    </row>
    <row r="57" spans="1:38" x14ac:dyDescent="0.2">
      <c r="A57" s="24" t="s">
        <v>110</v>
      </c>
      <c r="B57" s="24"/>
      <c r="C57" s="220">
        <f>C42*C38*24</f>
        <v>7440000</v>
      </c>
      <c r="D57" s="151">
        <f>D42*C38*24</f>
        <v>5208000</v>
      </c>
      <c r="E57" s="151">
        <f>E42*C38*24</f>
        <v>7440000</v>
      </c>
      <c r="F57" s="220">
        <f>F42*F38*24</f>
        <v>7440000</v>
      </c>
      <c r="G57" s="151">
        <f>G42*F38*24</f>
        <v>5208000</v>
      </c>
      <c r="H57" s="151">
        <f>H42*F38*24</f>
        <v>7440000</v>
      </c>
      <c r="I57" s="220">
        <f>I42*I38*24</f>
        <v>6720000</v>
      </c>
      <c r="J57" s="151">
        <f>J42*I38*24</f>
        <v>4704000</v>
      </c>
      <c r="K57" s="151">
        <f>K42*I38*24</f>
        <v>6720000</v>
      </c>
      <c r="L57" s="220">
        <f>L42*L38*24</f>
        <v>7440000</v>
      </c>
      <c r="M57" s="151">
        <f>M42*L38*24</f>
        <v>5208000</v>
      </c>
      <c r="N57" s="151">
        <f>N42*L38*24</f>
        <v>7440000</v>
      </c>
      <c r="O57" s="220">
        <f>O42*O38*24</f>
        <v>7200000</v>
      </c>
      <c r="P57" s="151">
        <f>P42*O38*24</f>
        <v>5040000</v>
      </c>
      <c r="Q57" s="151">
        <f>Q42*O38*24</f>
        <v>7200000</v>
      </c>
      <c r="R57" s="220">
        <f>R42*R38*24</f>
        <v>7440000</v>
      </c>
      <c r="S57" s="151">
        <f>S42*R38*24</f>
        <v>5208000</v>
      </c>
      <c r="T57" s="151">
        <f>T42*R38*24</f>
        <v>7440000</v>
      </c>
      <c r="U57" s="220">
        <f>U42*U38*24</f>
        <v>7200000</v>
      </c>
      <c r="V57" s="151">
        <f>V42*U38*24</f>
        <v>5040000</v>
      </c>
      <c r="W57" s="151">
        <f>W42*U38*24</f>
        <v>7200000</v>
      </c>
      <c r="X57" s="220">
        <f>X42*X38*24</f>
        <v>7440000</v>
      </c>
      <c r="Y57" s="151">
        <f>Y42*X38*24</f>
        <v>5208000</v>
      </c>
      <c r="Z57" s="151">
        <f>Z42*X38*24</f>
        <v>7440000</v>
      </c>
      <c r="AA57" s="220">
        <f>AA42*AA38*24</f>
        <v>7440000</v>
      </c>
      <c r="AB57" s="151">
        <f>AB42*AA38*24</f>
        <v>5208000</v>
      </c>
      <c r="AC57" s="151">
        <f>AC42*AA38*24</f>
        <v>7440000</v>
      </c>
      <c r="AD57" s="220">
        <f>AD42*AD38*24</f>
        <v>7200000</v>
      </c>
      <c r="AE57" s="151">
        <f>AE42*AD38*24</f>
        <v>5040000</v>
      </c>
      <c r="AF57" s="151">
        <f>AF42*AD38*24</f>
        <v>7200000</v>
      </c>
      <c r="AG57" s="220">
        <f>AG42*AG38*24</f>
        <v>7440000</v>
      </c>
      <c r="AH57" s="151">
        <f>AH42*AG38*24</f>
        <v>5208000</v>
      </c>
      <c r="AI57" s="151">
        <f>AI42*AG38*24</f>
        <v>7440000</v>
      </c>
      <c r="AJ57" s="220">
        <f>AJ42*AJ38*24</f>
        <v>7200000</v>
      </c>
      <c r="AK57" s="151">
        <f>AK42*AJ38*24</f>
        <v>5040000</v>
      </c>
      <c r="AL57" s="151">
        <f>AL42*AJ38*24</f>
        <v>7200000</v>
      </c>
    </row>
    <row r="58" spans="1:38" x14ac:dyDescent="0.2">
      <c r="A58" s="24" t="s">
        <v>139</v>
      </c>
      <c r="B58" s="24"/>
      <c r="C58" s="227"/>
      <c r="D58" s="148"/>
      <c r="E58" s="148"/>
      <c r="F58" s="227"/>
      <c r="G58" s="148"/>
      <c r="H58" s="148"/>
      <c r="I58" s="227"/>
      <c r="J58" s="148"/>
      <c r="K58" s="148"/>
      <c r="L58" s="227"/>
      <c r="M58" s="148"/>
      <c r="N58" s="148"/>
      <c r="O58" s="227"/>
      <c r="P58" s="148"/>
      <c r="Q58" s="148"/>
      <c r="R58" s="227"/>
      <c r="S58" s="148"/>
      <c r="T58" s="148"/>
      <c r="U58" s="227"/>
      <c r="V58" s="148"/>
      <c r="W58" s="148"/>
      <c r="X58" s="227"/>
      <c r="Y58" s="148"/>
      <c r="Z58" s="148"/>
      <c r="AA58" s="227"/>
      <c r="AB58" s="148"/>
      <c r="AC58" s="148"/>
      <c r="AD58" s="227"/>
      <c r="AE58" s="148"/>
      <c r="AF58" s="148"/>
      <c r="AG58" s="227"/>
      <c r="AH58" s="148"/>
      <c r="AI58" s="148"/>
      <c r="AJ58" s="227"/>
      <c r="AK58" s="148"/>
      <c r="AL58" s="148"/>
    </row>
    <row r="59" spans="1:38" x14ac:dyDescent="0.2">
      <c r="C59" s="215"/>
      <c r="D59" s="139"/>
      <c r="E59" s="139"/>
      <c r="F59" s="215"/>
      <c r="G59" s="139"/>
      <c r="H59" s="139"/>
      <c r="I59" s="215"/>
      <c r="J59" s="139"/>
      <c r="K59" s="139"/>
      <c r="L59" s="215"/>
      <c r="M59" s="139"/>
      <c r="N59" s="139"/>
      <c r="O59" s="215"/>
      <c r="P59" s="139"/>
      <c r="Q59" s="139"/>
      <c r="R59" s="215"/>
      <c r="S59" s="139"/>
      <c r="T59" s="139"/>
      <c r="U59" s="215"/>
      <c r="V59" s="139"/>
      <c r="W59" s="139"/>
      <c r="X59" s="215"/>
      <c r="Y59" s="139"/>
      <c r="Z59" s="139"/>
      <c r="AA59" s="215"/>
      <c r="AB59" s="139"/>
      <c r="AC59" s="139"/>
      <c r="AD59" s="215"/>
      <c r="AE59" s="139"/>
      <c r="AF59" s="139"/>
      <c r="AG59" s="215"/>
      <c r="AH59" s="139"/>
      <c r="AI59" s="139"/>
      <c r="AJ59" s="215"/>
      <c r="AK59" s="139"/>
      <c r="AL59" s="139"/>
    </row>
    <row r="60" spans="1:38" x14ac:dyDescent="0.2">
      <c r="A60" s="24" t="s">
        <v>112</v>
      </c>
      <c r="B60" s="24"/>
      <c r="C60" s="230">
        <f>VLOOKUP(C50,'BB_LF&amp;CF'!$G$5:$H$104,2)</f>
        <v>4.5430000000000002E-3</v>
      </c>
      <c r="D60" s="231">
        <f>VLOOKUP(D50,'BB_LF&amp;CF'!$G$5:$H$104,2)</f>
        <v>4.5430000000000002E-3</v>
      </c>
      <c r="E60" s="231">
        <f>VLOOKUP(E50,'BB_LF&amp;CF'!$K$5:$L$104,2)</f>
        <v>1.8400000000000001E-3</v>
      </c>
      <c r="F60" s="230">
        <f>VLOOKUP(F50,'BB_LF&amp;CF'!$G$5:$H$104,2)</f>
        <v>5.5519999999999996E-3</v>
      </c>
      <c r="G60" s="231">
        <f>VLOOKUP(G50,'BB_LF&amp;CF'!$G$5:$H$104,2)</f>
        <v>3.9979999999999998E-3</v>
      </c>
      <c r="H60" s="231">
        <f>VLOOKUP(H50,'BB_LF&amp;CF'!$K$5:$L$104,2)</f>
        <v>2.3800000000000002E-3</v>
      </c>
      <c r="I60" s="230">
        <f>VLOOKUP(I50,'BB_LF&amp;CF'!$G$5:$H$104,2)</f>
        <v>5.0600000000000003E-3</v>
      </c>
      <c r="J60" s="231">
        <f>VLOOKUP(J50,'BB_LF&amp;CF'!$G$5:$H$104,2)</f>
        <v>3.9979999999999998E-3</v>
      </c>
      <c r="K60" s="231">
        <f>VLOOKUP(K50,'BB_LF&amp;CF'!$K$5:$L$104,2)</f>
        <v>2.1700000000000001E-3</v>
      </c>
      <c r="L60" s="230">
        <f>VLOOKUP(L50,'BB_LF&amp;CF'!$G$5:$H$104,2)</f>
        <v>5.5519999999999996E-3</v>
      </c>
      <c r="M60" s="231">
        <f>VLOOKUP(M50,'BB_LF&amp;CF'!$G$5:$H$104,2)</f>
        <v>3.9979999999999998E-3</v>
      </c>
      <c r="N60" s="231">
        <f>VLOOKUP(N50,'BB_LF&amp;CF'!$K$5:$L$104,2)</f>
        <v>2.3800000000000002E-3</v>
      </c>
      <c r="O60" s="230">
        <f>VLOOKUP(O50,'BB_LF&amp;CF'!$G$5:$H$104,2)</f>
        <v>5.4019999999999999E-2</v>
      </c>
      <c r="P60" s="231">
        <f>VLOOKUP(P50,'BB_LF&amp;CF'!$G$5:$H$104,2)</f>
        <v>3.9979999999999998E-3</v>
      </c>
      <c r="Q60" s="231">
        <f>VLOOKUP(Q50,'BB_LF&amp;CF'!$K$5:$L$104,2)</f>
        <v>2.31E-3</v>
      </c>
      <c r="R60" s="230">
        <f>VLOOKUP(R50,'BB_LF&amp;CF'!$G$5:$H$104,2)</f>
        <v>5.5519999999999996E-3</v>
      </c>
      <c r="S60" s="231">
        <f>VLOOKUP(S50,'BB_LF&amp;CF'!$G$5:$H$104,2)</f>
        <v>3.9979999999999998E-3</v>
      </c>
      <c r="T60" s="231">
        <f>VLOOKUP(T50,'BB_LF&amp;CF'!$K$5:$L$104,2)</f>
        <v>2.3800000000000002E-3</v>
      </c>
      <c r="U60" s="230">
        <f>VLOOKUP(U50,'BB_LF&amp;CF'!$G$5:$H$104,2)</f>
        <v>5.4019999999999999E-2</v>
      </c>
      <c r="V60" s="231">
        <f>VLOOKUP(V50,'BB_LF&amp;CF'!$G$5:$H$104,2)</f>
        <v>3.9979999999999998E-3</v>
      </c>
      <c r="W60" s="231">
        <f>VLOOKUP(W50,'BB_LF&amp;CF'!$K$5:$L$104,2)</f>
        <v>2.31E-3</v>
      </c>
      <c r="X60" s="230">
        <f>VLOOKUP(X50,'BB_LF&amp;CF'!$G$5:$H$104,2)</f>
        <v>5.5519999999999996E-3</v>
      </c>
      <c r="Y60" s="231">
        <f>VLOOKUP(Y50,'BB_LF&amp;CF'!$G$5:$H$104,2)</f>
        <v>3.9979999999999998E-3</v>
      </c>
      <c r="Z60" s="231">
        <f>VLOOKUP(Z50,'BB_LF&amp;CF'!$K$5:$L$104,2)</f>
        <v>2.3800000000000002E-3</v>
      </c>
      <c r="AA60" s="230">
        <f>VLOOKUP(AA50,'BB_LF&amp;CF'!$G$5:$H$104,2)</f>
        <v>5.5519999999999996E-3</v>
      </c>
      <c r="AB60" s="231">
        <f>VLOOKUP(AB50,'BB_LF&amp;CF'!$G$5:$H$104,2)</f>
        <v>3.9979999999999998E-3</v>
      </c>
      <c r="AC60" s="231">
        <f>VLOOKUP(AC50,'BB_LF&amp;CF'!$K$5:$L$104,2)</f>
        <v>2.3800000000000002E-3</v>
      </c>
      <c r="AD60" s="230">
        <f>VLOOKUP(AD50,'BB_LF&amp;CF'!$G$5:$H$104,2)</f>
        <v>5.4019999999999999E-2</v>
      </c>
      <c r="AE60" s="231">
        <f>VLOOKUP(AE50,'BB_LF&amp;CF'!$G$5:$H$104,2)</f>
        <v>3.9979999999999998E-3</v>
      </c>
      <c r="AF60" s="231">
        <f>VLOOKUP(AF50,'BB_LF&amp;CF'!$K$5:$L$104,2)</f>
        <v>2.31E-3</v>
      </c>
      <c r="AG60" s="230">
        <f>VLOOKUP(AG50,'BB_LF&amp;CF'!$G$5:$H$104,2)</f>
        <v>5.5519999999999996E-3</v>
      </c>
      <c r="AH60" s="231">
        <f>VLOOKUP(AH50,'BB_LF&amp;CF'!$G$5:$H$104,2)</f>
        <v>3.9979999999999998E-3</v>
      </c>
      <c r="AI60" s="231">
        <f>VLOOKUP(AI50,'BB_LF&amp;CF'!$K$5:$L$104,2)</f>
        <v>2.3800000000000002E-3</v>
      </c>
      <c r="AJ60" s="230">
        <f>VLOOKUP(AJ50,'BB_LF&amp;CF'!$G$5:$H$104,2)</f>
        <v>5.4019999999999999E-2</v>
      </c>
      <c r="AK60" s="231">
        <f>VLOOKUP(AK50,'BB_LF&amp;CF'!$G$5:$H$104,2)</f>
        <v>3.9979999999999998E-3</v>
      </c>
      <c r="AL60" s="231">
        <f>VLOOKUP(AL50,'BB_LF&amp;CF'!$K$5:$L$104,2)</f>
        <v>2.31E-3</v>
      </c>
    </row>
    <row r="61" spans="1:38" s="178" customFormat="1" ht="12" x14ac:dyDescent="0.25">
      <c r="A61" s="176" t="s">
        <v>142</v>
      </c>
      <c r="B61" s="176"/>
      <c r="C61" s="240">
        <f t="shared" ref="C61:AL61" si="6">C48*C60</f>
        <v>29994.543831560004</v>
      </c>
      <c r="D61" s="241">
        <f t="shared" si="6"/>
        <v>20880.536599999999</v>
      </c>
      <c r="E61" s="241">
        <f t="shared" si="6"/>
        <v>12743.835768000001</v>
      </c>
      <c r="F61" s="240">
        <f t="shared" si="6"/>
        <v>29758.719999999998</v>
      </c>
      <c r="G61" s="241">
        <f t="shared" si="6"/>
        <v>21429.279999999999</v>
      </c>
      <c r="H61" s="241">
        <f t="shared" si="6"/>
        <v>12756.800000000001</v>
      </c>
      <c r="I61" s="240">
        <f t="shared" si="6"/>
        <v>27121.600000000002</v>
      </c>
      <c r="J61" s="241">
        <f t="shared" si="6"/>
        <v>21429.279999999999</v>
      </c>
      <c r="K61" s="241">
        <f t="shared" si="6"/>
        <v>11631.2</v>
      </c>
      <c r="L61" s="240">
        <f t="shared" si="6"/>
        <v>29758.719999999998</v>
      </c>
      <c r="M61" s="241">
        <f t="shared" si="6"/>
        <v>21429.279999999999</v>
      </c>
      <c r="N61" s="241">
        <f t="shared" si="6"/>
        <v>12756.800000000001</v>
      </c>
      <c r="O61" s="240">
        <f t="shared" si="6"/>
        <v>289547.2</v>
      </c>
      <c r="P61" s="241">
        <f t="shared" si="6"/>
        <v>21429.279999999999</v>
      </c>
      <c r="Q61" s="241">
        <f t="shared" si="6"/>
        <v>12381.6</v>
      </c>
      <c r="R61" s="240">
        <f t="shared" si="6"/>
        <v>29758.719999999998</v>
      </c>
      <c r="S61" s="241">
        <f t="shared" si="6"/>
        <v>21429.279999999999</v>
      </c>
      <c r="T61" s="241">
        <f t="shared" si="6"/>
        <v>12756.800000000001</v>
      </c>
      <c r="U61" s="240">
        <f t="shared" si="6"/>
        <v>289547.2</v>
      </c>
      <c r="V61" s="241">
        <f t="shared" si="6"/>
        <v>21429.279999999999</v>
      </c>
      <c r="W61" s="241">
        <f t="shared" si="6"/>
        <v>12381.6</v>
      </c>
      <c r="X61" s="240">
        <f t="shared" si="6"/>
        <v>29758.719999999998</v>
      </c>
      <c r="Y61" s="241">
        <f t="shared" si="6"/>
        <v>21429.279999999999</v>
      </c>
      <c r="Z61" s="241">
        <f t="shared" si="6"/>
        <v>12756.800000000001</v>
      </c>
      <c r="AA61" s="240">
        <f t="shared" si="6"/>
        <v>29758.719999999998</v>
      </c>
      <c r="AB61" s="241">
        <f t="shared" si="6"/>
        <v>21429.279999999999</v>
      </c>
      <c r="AC61" s="241">
        <f t="shared" si="6"/>
        <v>12756.800000000001</v>
      </c>
      <c r="AD61" s="240">
        <f t="shared" si="6"/>
        <v>289547.2</v>
      </c>
      <c r="AE61" s="241">
        <f t="shared" si="6"/>
        <v>21429.279999999999</v>
      </c>
      <c r="AF61" s="241">
        <f t="shared" si="6"/>
        <v>12381.6</v>
      </c>
      <c r="AG61" s="240">
        <f t="shared" si="6"/>
        <v>29758.719999999998</v>
      </c>
      <c r="AH61" s="241">
        <f t="shared" si="6"/>
        <v>21429.279999999999</v>
      </c>
      <c r="AI61" s="241">
        <f t="shared" si="6"/>
        <v>12756.800000000001</v>
      </c>
      <c r="AJ61" s="240">
        <f t="shared" si="6"/>
        <v>289547.2</v>
      </c>
      <c r="AK61" s="241">
        <f t="shared" si="6"/>
        <v>21429.279999999999</v>
      </c>
      <c r="AL61" s="241">
        <f t="shared" si="6"/>
        <v>12381.6</v>
      </c>
    </row>
    <row r="62" spans="1:38" s="178" customFormat="1" x14ac:dyDescent="0.2">
      <c r="A62" s="178" t="s">
        <v>143</v>
      </c>
      <c r="C62" s="242">
        <f>C61</f>
        <v>29994.543831560004</v>
      </c>
      <c r="D62" s="243">
        <f>D61</f>
        <v>20880.536599999999</v>
      </c>
      <c r="E62" s="243"/>
      <c r="F62" s="242">
        <f>F61</f>
        <v>29758.719999999998</v>
      </c>
      <c r="G62" s="243">
        <f>G61</f>
        <v>21429.279999999999</v>
      </c>
      <c r="H62" s="243"/>
      <c r="I62" s="242">
        <f>I61</f>
        <v>27121.600000000002</v>
      </c>
      <c r="J62" s="243">
        <f>J61</f>
        <v>21429.279999999999</v>
      </c>
      <c r="K62" s="243"/>
      <c r="L62" s="242">
        <f>L61</f>
        <v>29758.719999999998</v>
      </c>
      <c r="M62" s="243">
        <f>M61</f>
        <v>21429.279999999999</v>
      </c>
      <c r="N62" s="243"/>
      <c r="O62" s="242">
        <f>O61</f>
        <v>289547.2</v>
      </c>
      <c r="P62" s="243">
        <f>P61</f>
        <v>21429.279999999999</v>
      </c>
      <c r="Q62" s="243"/>
      <c r="R62" s="242">
        <f>R61</f>
        <v>29758.719999999998</v>
      </c>
      <c r="S62" s="243">
        <f>S61</f>
        <v>21429.279999999999</v>
      </c>
      <c r="T62" s="243"/>
      <c r="U62" s="242">
        <f>U61</f>
        <v>289547.2</v>
      </c>
      <c r="V62" s="243">
        <f>V61</f>
        <v>21429.279999999999</v>
      </c>
      <c r="W62" s="243"/>
      <c r="X62" s="242">
        <f>X61</f>
        <v>29758.719999999998</v>
      </c>
      <c r="Y62" s="243">
        <f>Y61</f>
        <v>21429.279999999999</v>
      </c>
      <c r="Z62" s="243"/>
      <c r="AA62" s="242">
        <f>AA61</f>
        <v>29758.719999999998</v>
      </c>
      <c r="AB62" s="243">
        <f>AB61</f>
        <v>21429.279999999999</v>
      </c>
      <c r="AC62" s="243"/>
      <c r="AD62" s="242">
        <f>AD61</f>
        <v>289547.2</v>
      </c>
      <c r="AE62" s="243">
        <f>AE61</f>
        <v>21429.279999999999</v>
      </c>
      <c r="AF62" s="243"/>
      <c r="AG62" s="242">
        <f>AG61</f>
        <v>29758.719999999998</v>
      </c>
      <c r="AH62" s="243">
        <f>AH61</f>
        <v>21429.279999999999</v>
      </c>
      <c r="AI62" s="243"/>
      <c r="AJ62" s="242">
        <f>AJ61</f>
        <v>289547.2</v>
      </c>
      <c r="AK62" s="243">
        <f>AK61</f>
        <v>21429.279999999999</v>
      </c>
      <c r="AL62" s="243"/>
    </row>
    <row r="63" spans="1:38" s="178" customFormat="1" x14ac:dyDescent="0.2">
      <c r="A63" s="178" t="s">
        <v>144</v>
      </c>
      <c r="C63" s="242">
        <f>-AJ30</f>
        <v>-29081.81364</v>
      </c>
      <c r="D63" s="243">
        <f>-AK30</f>
        <v>-20920.334599999998</v>
      </c>
      <c r="E63" s="243"/>
      <c r="F63" s="242">
        <f>-C62</f>
        <v>-29994.543831560004</v>
      </c>
      <c r="G63" s="243">
        <f>-D62</f>
        <v>-20880.536599999999</v>
      </c>
      <c r="H63" s="243"/>
      <c r="I63" s="242">
        <f>-F62</f>
        <v>-29758.719999999998</v>
      </c>
      <c r="J63" s="243">
        <f>-G62</f>
        <v>-21429.279999999999</v>
      </c>
      <c r="K63" s="243"/>
      <c r="L63" s="242">
        <f>-I62</f>
        <v>-27121.600000000002</v>
      </c>
      <c r="M63" s="243">
        <f>-J62</f>
        <v>-21429.279999999999</v>
      </c>
      <c r="N63" s="243"/>
      <c r="O63" s="242">
        <f>-L62</f>
        <v>-29758.719999999998</v>
      </c>
      <c r="P63" s="243">
        <f>-M62</f>
        <v>-21429.279999999999</v>
      </c>
      <c r="Q63" s="243"/>
      <c r="R63" s="242">
        <f>-O62</f>
        <v>-289547.2</v>
      </c>
      <c r="S63" s="243">
        <f>-P62</f>
        <v>-21429.279999999999</v>
      </c>
      <c r="T63" s="243"/>
      <c r="U63" s="242">
        <f>-R62</f>
        <v>-29758.719999999998</v>
      </c>
      <c r="V63" s="243">
        <f>-S62</f>
        <v>-21429.279999999999</v>
      </c>
      <c r="W63" s="243"/>
      <c r="X63" s="242">
        <f>-U62</f>
        <v>-289547.2</v>
      </c>
      <c r="Y63" s="243">
        <f>-V62</f>
        <v>-21429.279999999999</v>
      </c>
      <c r="Z63" s="243"/>
      <c r="AA63" s="242">
        <f>-X62</f>
        <v>-29758.719999999998</v>
      </c>
      <c r="AB63" s="243">
        <f>-Y62</f>
        <v>-21429.279999999999</v>
      </c>
      <c r="AC63" s="243"/>
      <c r="AD63" s="242">
        <f>-AA62</f>
        <v>-29758.719999999998</v>
      </c>
      <c r="AE63" s="243">
        <f>-AB62</f>
        <v>-21429.279999999999</v>
      </c>
      <c r="AF63" s="243"/>
      <c r="AG63" s="242">
        <f>-AD62</f>
        <v>-289547.2</v>
      </c>
      <c r="AH63" s="243">
        <f>-AE62</f>
        <v>-21429.279999999999</v>
      </c>
      <c r="AI63" s="243"/>
      <c r="AJ63" s="242">
        <f>-AG62</f>
        <v>-29758.719999999998</v>
      </c>
      <c r="AK63" s="243">
        <f>-AH62</f>
        <v>-21429.279999999999</v>
      </c>
      <c r="AL63" s="243"/>
    </row>
    <row r="64" spans="1:38" s="109" customFormat="1" x14ac:dyDescent="0.2">
      <c r="A64" s="157" t="s">
        <v>145</v>
      </c>
      <c r="C64" s="58">
        <f>C62+C63</f>
        <v>912.73019156000373</v>
      </c>
      <c r="D64" s="21">
        <f>D62+D63</f>
        <v>-39.797999999998865</v>
      </c>
      <c r="E64" s="244"/>
      <c r="F64" s="58">
        <f>F62+F63</f>
        <v>-235.82383156000651</v>
      </c>
      <c r="G64" s="21">
        <f>G62+G63</f>
        <v>548.74339999999938</v>
      </c>
      <c r="H64" s="244"/>
      <c r="I64" s="58">
        <f>I62+I63</f>
        <v>-2637.1199999999953</v>
      </c>
      <c r="J64" s="21">
        <f>J62+J63</f>
        <v>0</v>
      </c>
      <c r="K64" s="244"/>
      <c r="L64" s="58">
        <f>L62+L63</f>
        <v>2637.1199999999953</v>
      </c>
      <c r="M64" s="21">
        <f>M62+M63</f>
        <v>0</v>
      </c>
      <c r="N64" s="244"/>
      <c r="O64" s="58">
        <f>O62+O63</f>
        <v>259788.48</v>
      </c>
      <c r="P64" s="21">
        <f>P62+P63</f>
        <v>0</v>
      </c>
      <c r="Q64" s="244"/>
      <c r="R64" s="58">
        <f>R62+R63</f>
        <v>-259788.48</v>
      </c>
      <c r="S64" s="21">
        <f>S62+S63</f>
        <v>0</v>
      </c>
      <c r="T64" s="244"/>
      <c r="U64" s="58">
        <f>U62+U63</f>
        <v>259788.48</v>
      </c>
      <c r="V64" s="21">
        <f>V62+V63</f>
        <v>0</v>
      </c>
      <c r="W64" s="244"/>
      <c r="X64" s="58">
        <f>X62+X63</f>
        <v>-259788.48</v>
      </c>
      <c r="Y64" s="21">
        <f>Y62+Y63</f>
        <v>0</v>
      </c>
      <c r="Z64" s="244"/>
      <c r="AA64" s="58">
        <f>AA62+AA63</f>
        <v>0</v>
      </c>
      <c r="AB64" s="21">
        <f>AB62+AB63</f>
        <v>0</v>
      </c>
      <c r="AC64" s="244"/>
      <c r="AD64" s="58">
        <f>AD62+AD63</f>
        <v>259788.48</v>
      </c>
      <c r="AE64" s="21">
        <f>AE62+AE63</f>
        <v>0</v>
      </c>
      <c r="AF64" s="244"/>
      <c r="AG64" s="58">
        <f>AG62+AG63</f>
        <v>-259788.48</v>
      </c>
      <c r="AH64" s="21">
        <f>AH62+AH63</f>
        <v>0</v>
      </c>
      <c r="AI64" s="244"/>
      <c r="AJ64" s="58">
        <f>AJ62+AJ63</f>
        <v>259788.48</v>
      </c>
      <c r="AK64" s="21">
        <f>AK62+AK63</f>
        <v>0</v>
      </c>
      <c r="AL64" s="244"/>
    </row>
    <row r="65" spans="1:38" s="109" customFormat="1" ht="12.6" thickBot="1" x14ac:dyDescent="0.3">
      <c r="A65" s="185" t="s">
        <v>146</v>
      </c>
      <c r="C65" s="245">
        <f>C62+C64</f>
        <v>30907.274023120008</v>
      </c>
      <c r="D65" s="180">
        <f>D62+D64</f>
        <v>20840.738600000001</v>
      </c>
      <c r="E65" s="244"/>
      <c r="F65" s="245">
        <f>F62+F64</f>
        <v>29522.896168439991</v>
      </c>
      <c r="G65" s="180">
        <f>G62+G64</f>
        <v>21978.023399999998</v>
      </c>
      <c r="H65" s="244"/>
      <c r="I65" s="245">
        <f>I62+I64</f>
        <v>24484.480000000007</v>
      </c>
      <c r="J65" s="180">
        <f>J62+J64</f>
        <v>21429.279999999999</v>
      </c>
      <c r="K65" s="244"/>
      <c r="L65" s="245">
        <f>L62+L64</f>
        <v>32395.839999999993</v>
      </c>
      <c r="M65" s="180">
        <f>M62+M64</f>
        <v>21429.279999999999</v>
      </c>
      <c r="N65" s="244"/>
      <c r="O65" s="245">
        <f>O62+O64</f>
        <v>549335.68000000005</v>
      </c>
      <c r="P65" s="180">
        <f>P62+P64</f>
        <v>21429.279999999999</v>
      </c>
      <c r="Q65" s="244"/>
      <c r="R65" s="245">
        <f>R62+R64</f>
        <v>-230029.76</v>
      </c>
      <c r="S65" s="180">
        <f>S62+S64</f>
        <v>21429.279999999999</v>
      </c>
      <c r="T65" s="244"/>
      <c r="U65" s="245">
        <f>U62+U64</f>
        <v>549335.68000000005</v>
      </c>
      <c r="V65" s="180">
        <f>V62+V64</f>
        <v>21429.279999999999</v>
      </c>
      <c r="W65" s="244"/>
      <c r="X65" s="245">
        <f>X62+X64</f>
        <v>-230029.76</v>
      </c>
      <c r="Y65" s="180">
        <f>Y62+Y64</f>
        <v>21429.279999999999</v>
      </c>
      <c r="Z65" s="244"/>
      <c r="AA65" s="245">
        <f>AA62+AA64</f>
        <v>29758.719999999998</v>
      </c>
      <c r="AB65" s="180">
        <f>AB62+AB64</f>
        <v>21429.279999999999</v>
      </c>
      <c r="AC65" s="244"/>
      <c r="AD65" s="245">
        <f>AD62+AD64</f>
        <v>549335.68000000005</v>
      </c>
      <c r="AE65" s="180">
        <f>AE62+AE64</f>
        <v>21429.279999999999</v>
      </c>
      <c r="AF65" s="244"/>
      <c r="AG65" s="245">
        <f>AG62+AG64</f>
        <v>-230029.76</v>
      </c>
      <c r="AH65" s="180">
        <f>AH62+AH64</f>
        <v>21429.279999999999</v>
      </c>
      <c r="AI65" s="244"/>
      <c r="AJ65" s="245">
        <f>AJ62+AJ64</f>
        <v>549335.68000000005</v>
      </c>
      <c r="AK65" s="180">
        <f>AK62+AK64</f>
        <v>21429.279999999999</v>
      </c>
      <c r="AL65" s="244"/>
    </row>
    <row r="66" spans="1:38" ht="12.6" thickTop="1" x14ac:dyDescent="0.25">
      <c r="A66" s="154"/>
      <c r="C66" s="215"/>
      <c r="D66" s="37"/>
      <c r="E66" s="139"/>
      <c r="F66" s="215"/>
      <c r="G66" s="244"/>
      <c r="H66" s="139"/>
      <c r="I66" s="215"/>
      <c r="J66" s="139"/>
      <c r="K66" s="139"/>
      <c r="L66" s="215"/>
      <c r="M66" s="139"/>
      <c r="N66" s="139"/>
      <c r="O66" s="215"/>
      <c r="P66" s="139"/>
      <c r="Q66" s="139"/>
      <c r="R66" s="215"/>
      <c r="S66" s="139"/>
      <c r="T66" s="139"/>
      <c r="U66" s="215"/>
      <c r="V66" s="139"/>
      <c r="W66" s="139"/>
      <c r="X66" s="215"/>
      <c r="Y66" s="139"/>
      <c r="Z66" s="139"/>
      <c r="AA66" s="215"/>
      <c r="AB66" s="139"/>
      <c r="AC66" s="139"/>
      <c r="AD66" s="215"/>
      <c r="AE66" s="139"/>
      <c r="AF66" s="139"/>
      <c r="AG66" s="215"/>
      <c r="AH66" s="139"/>
      <c r="AI66" s="139"/>
      <c r="AJ66" s="215"/>
      <c r="AK66" s="139"/>
      <c r="AL66" s="139"/>
    </row>
    <row r="67" spans="1:38" s="24" customFormat="1" ht="12" x14ac:dyDescent="0.25">
      <c r="C67" s="230"/>
      <c r="D67" s="231"/>
      <c r="E67" s="239">
        <f>SUM(C61:E61)</f>
        <v>63618.916199560001</v>
      </c>
      <c r="F67" s="230"/>
      <c r="G67" s="231"/>
      <c r="H67" s="239">
        <f>SUM(F61:H61)</f>
        <v>63944.800000000003</v>
      </c>
      <c r="I67" s="230"/>
      <c r="J67" s="231"/>
      <c r="K67" s="239">
        <f>SUM(I61:K61)</f>
        <v>60182.080000000002</v>
      </c>
      <c r="L67" s="230"/>
      <c r="M67" s="231"/>
      <c r="N67" s="239">
        <f>SUM(L61:N61)</f>
        <v>63944.800000000003</v>
      </c>
      <c r="O67" s="230"/>
      <c r="P67" s="231"/>
      <c r="Q67" s="239">
        <f>SUM(O61:Q61)</f>
        <v>323358.07999999996</v>
      </c>
      <c r="R67" s="230"/>
      <c r="S67" s="231"/>
      <c r="T67" s="239">
        <f>SUM(R61:T61)</f>
        <v>63944.800000000003</v>
      </c>
      <c r="U67" s="230"/>
      <c r="V67" s="231"/>
      <c r="W67" s="239">
        <f>SUM(U61:W61)</f>
        <v>323358.07999999996</v>
      </c>
      <c r="X67" s="230"/>
      <c r="Y67" s="231"/>
      <c r="Z67" s="239">
        <f>SUM(X61:Z61)</f>
        <v>63944.800000000003</v>
      </c>
      <c r="AA67" s="230"/>
      <c r="AB67" s="231"/>
      <c r="AC67" s="239">
        <f>SUM(AA61:AC61)</f>
        <v>63944.800000000003</v>
      </c>
      <c r="AD67" s="230"/>
      <c r="AE67" s="231"/>
      <c r="AF67" s="239">
        <f>SUM(AD61:AF61)</f>
        <v>323358.07999999996</v>
      </c>
      <c r="AG67" s="230"/>
      <c r="AH67" s="231"/>
      <c r="AI67" s="239">
        <f>SUM(AG61:AI61)</f>
        <v>63944.800000000003</v>
      </c>
      <c r="AJ67" s="230"/>
      <c r="AK67" s="231"/>
      <c r="AL67" s="239">
        <f>SUM(AJ61:AL61)</f>
        <v>323358.07999999996</v>
      </c>
    </row>
  </sheetData>
  <mergeCells count="12">
    <mergeCell ref="C39:E39"/>
    <mergeCell ref="F39:H39"/>
    <mergeCell ref="I39:K39"/>
    <mergeCell ref="L39:N39"/>
    <mergeCell ref="AA39:AC39"/>
    <mergeCell ref="AD39:AF39"/>
    <mergeCell ref="AG39:AI39"/>
    <mergeCell ref="AJ39:AL39"/>
    <mergeCell ref="O39:Q39"/>
    <mergeCell ref="R39:T39"/>
    <mergeCell ref="U39:W39"/>
    <mergeCell ref="X39:Z39"/>
  </mergeCells>
  <phoneticPr fontId="0" type="noConversion"/>
  <pageMargins left="0.25" right="0.25" top="0.5" bottom="0.5" header="0.5" footer="0.25"/>
  <pageSetup paperSize="5" scale="53" orientation="landscape" r:id="rId1"/>
  <headerFooter alignWithMargins="0">
    <oddFooter>&amp;L&amp;8&amp;A&amp;C&amp;8&amp;P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zoomScaleNormal="90" zoomScaleSheetLayoutView="90" workbookViewId="0">
      <selection activeCell="B34" sqref="B34"/>
    </sheetView>
  </sheetViews>
  <sheetFormatPr defaultRowHeight="13.2" x14ac:dyDescent="0.25"/>
  <cols>
    <col min="1" max="1" width="26.5546875" customWidth="1"/>
    <col min="2" max="3" width="15.88671875" bestFit="1" customWidth="1"/>
    <col min="4" max="4" width="15.5546875" bestFit="1" customWidth="1"/>
    <col min="5" max="5" width="15.88671875" bestFit="1" customWidth="1"/>
    <col min="6" max="6" width="15.109375" bestFit="1" customWidth="1"/>
    <col min="7" max="7" width="15.5546875" bestFit="1" customWidth="1"/>
    <col min="8" max="8" width="16.33203125" bestFit="1" customWidth="1"/>
    <col min="9" max="9" width="15.88671875" bestFit="1" customWidth="1"/>
    <col min="10" max="10" width="14.44140625" bestFit="1" customWidth="1"/>
    <col min="11" max="13" width="15.88671875" bestFit="1" customWidth="1"/>
    <col min="15" max="15" width="18.33203125" bestFit="1" customWidth="1"/>
    <col min="16" max="16" width="15.88671875" bestFit="1" customWidth="1"/>
  </cols>
  <sheetData>
    <row r="1" spans="1:16" x14ac:dyDescent="0.25">
      <c r="A1" s="1" t="s">
        <v>70</v>
      </c>
    </row>
    <row r="2" spans="1:16" x14ac:dyDescent="0.25">
      <c r="A2" s="1" t="s">
        <v>76</v>
      </c>
      <c r="F2">
        <f>0.005+0.05878</f>
        <v>6.3780000000000003E-2</v>
      </c>
      <c r="G2">
        <f>F2-0.0615</f>
        <v>2.2800000000000042E-3</v>
      </c>
    </row>
    <row r="3" spans="1:16" ht="13.8" thickBot="1" x14ac:dyDescent="0.3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x14ac:dyDescent="0.25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6"/>
      <c r="O5" s="6"/>
      <c r="P5" s="6"/>
    </row>
    <row r="6" spans="1:16" x14ac:dyDescent="0.25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N6" s="6"/>
      <c r="O6" s="8" t="s">
        <v>67</v>
      </c>
      <c r="P6" s="8" t="s">
        <v>13</v>
      </c>
    </row>
    <row r="7" spans="1:16" x14ac:dyDescent="0.25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5"/>
    </row>
    <row r="8" spans="1:16" x14ac:dyDescent="0.25">
      <c r="A8" s="124" t="s">
        <v>71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3"/>
      <c r="O8" s="98"/>
      <c r="P8" s="98"/>
    </row>
    <row r="9" spans="1:16" x14ac:dyDescent="0.25">
      <c r="A9" s="126" t="s">
        <v>75</v>
      </c>
      <c r="B9" s="37">
        <f>B26*B27</f>
        <v>48145.24</v>
      </c>
      <c r="C9" s="37">
        <f t="shared" ref="C9:M9" si="0">C26*C27</f>
        <v>45079.68</v>
      </c>
      <c r="D9" s="37">
        <f t="shared" si="0"/>
        <v>62684.499999999993</v>
      </c>
      <c r="E9" s="37">
        <f t="shared" si="0"/>
        <v>60221.42</v>
      </c>
      <c r="F9" s="37">
        <f t="shared" si="0"/>
        <v>73148.159999999989</v>
      </c>
      <c r="G9" s="37">
        <f t="shared" si="0"/>
        <v>44060.78</v>
      </c>
      <c r="H9" s="37">
        <f t="shared" si="0"/>
        <v>61408.659999999996</v>
      </c>
      <c r="I9" s="37">
        <f t="shared" si="0"/>
        <v>70259.799999999988</v>
      </c>
      <c r="J9" s="37">
        <f t="shared" si="0"/>
        <v>168.33999999999997</v>
      </c>
      <c r="K9" s="37">
        <f t="shared" si="0"/>
        <v>49164.14</v>
      </c>
      <c r="L9" s="37">
        <f t="shared" si="0"/>
        <v>65661.459999999992</v>
      </c>
      <c r="M9" s="37">
        <f t="shared" si="0"/>
        <v>47117.479999999996</v>
      </c>
      <c r="N9" s="11"/>
      <c r="O9" s="86">
        <f>SUM(B9:M9)</f>
        <v>627119.65999999992</v>
      </c>
      <c r="P9" s="86">
        <f>AVERAGE(B9:M9)</f>
        <v>52259.971666666657</v>
      </c>
    </row>
    <row r="10" spans="1:16" x14ac:dyDescent="0.25">
      <c r="A10" s="126" t="s">
        <v>72</v>
      </c>
      <c r="B10" s="37">
        <f>B28*B29</f>
        <v>22706.3</v>
      </c>
      <c r="C10" s="37">
        <f t="shared" ref="C10:M10" si="1">C28*C29</f>
        <v>24602.400000000001</v>
      </c>
      <c r="D10" s="37">
        <f t="shared" si="1"/>
        <v>25664.350000000002</v>
      </c>
      <c r="E10" s="37">
        <f t="shared" si="1"/>
        <v>22736.45</v>
      </c>
      <c r="F10" s="37">
        <f t="shared" si="1"/>
        <v>29138.3</v>
      </c>
      <c r="G10" s="37">
        <f t="shared" si="1"/>
        <v>28173.5</v>
      </c>
      <c r="H10" s="37">
        <f t="shared" si="1"/>
        <v>27530.3</v>
      </c>
      <c r="I10" s="37">
        <f t="shared" si="1"/>
        <v>26692.799999999999</v>
      </c>
      <c r="J10" s="37">
        <f t="shared" si="1"/>
        <v>26498.5</v>
      </c>
      <c r="K10" s="37">
        <f t="shared" si="1"/>
        <v>31258.850000000002</v>
      </c>
      <c r="L10" s="37">
        <f t="shared" si="1"/>
        <v>30552</v>
      </c>
      <c r="M10" s="37">
        <f t="shared" si="1"/>
        <v>20455.100000000002</v>
      </c>
      <c r="N10" s="11"/>
      <c r="O10" s="86">
        <f>SUM(B10:M10)</f>
        <v>316008.84999999992</v>
      </c>
      <c r="P10" s="86">
        <f>AVERAGE(B10:M10)</f>
        <v>26334.070833333328</v>
      </c>
    </row>
    <row r="11" spans="1:16" x14ac:dyDescent="0.25">
      <c r="A11" s="127" t="s">
        <v>102</v>
      </c>
      <c r="B11" s="128">
        <f>B9+B10</f>
        <v>70851.539999999994</v>
      </c>
      <c r="C11" s="128">
        <f t="shared" ref="C11:M11" si="2">C9+C10</f>
        <v>69682.080000000002</v>
      </c>
      <c r="D11" s="128">
        <f t="shared" si="2"/>
        <v>88348.849999999991</v>
      </c>
      <c r="E11" s="128">
        <f t="shared" si="2"/>
        <v>82957.87</v>
      </c>
      <c r="F11" s="128">
        <f t="shared" si="2"/>
        <v>102286.45999999999</v>
      </c>
      <c r="G11" s="128">
        <f t="shared" si="2"/>
        <v>72234.28</v>
      </c>
      <c r="H11" s="128">
        <f t="shared" si="2"/>
        <v>88938.959999999992</v>
      </c>
      <c r="I11" s="128">
        <f t="shared" si="2"/>
        <v>96952.599999999991</v>
      </c>
      <c r="J11" s="128">
        <f t="shared" si="2"/>
        <v>26666.84</v>
      </c>
      <c r="K11" s="128">
        <f t="shared" si="2"/>
        <v>80422.990000000005</v>
      </c>
      <c r="L11" s="128">
        <f t="shared" si="2"/>
        <v>96213.459999999992</v>
      </c>
      <c r="M11" s="128">
        <f t="shared" si="2"/>
        <v>67572.58</v>
      </c>
      <c r="N11" s="11"/>
      <c r="O11" s="86"/>
      <c r="P11" s="86"/>
    </row>
    <row r="12" spans="1:16" x14ac:dyDescent="0.25">
      <c r="A12" s="129" t="s">
        <v>74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1"/>
      <c r="O12" s="100"/>
      <c r="P12" s="100"/>
    </row>
    <row r="13" spans="1:16" x14ac:dyDescent="0.25">
      <c r="A13" s="126" t="s">
        <v>75</v>
      </c>
      <c r="B13" s="37">
        <f>B31*B32</f>
        <v>70930.295039999997</v>
      </c>
      <c r="C13" s="37">
        <v>61793.563480000004</v>
      </c>
      <c r="D13" s="37">
        <v>69211.314039999997</v>
      </c>
      <c r="E13" s="37">
        <v>68751.414380000002</v>
      </c>
      <c r="F13" s="37">
        <v>53461.792999999998</v>
      </c>
      <c r="G13" s="37">
        <v>81212.784840000008</v>
      </c>
      <c r="H13" s="37">
        <v>82565.820479999995</v>
      </c>
      <c r="I13" s="37">
        <v>55837.782440000003</v>
      </c>
      <c r="J13" s="37">
        <v>19014.069800000001</v>
      </c>
      <c r="K13" s="37">
        <v>83083.904640000008</v>
      </c>
      <c r="L13" s="37">
        <v>78799.182440000004</v>
      </c>
      <c r="M13" s="37">
        <v>70437.405939999997</v>
      </c>
      <c r="N13" s="11"/>
      <c r="O13" s="86">
        <f t="shared" ref="O13:O20" si="3">SUM(B13:M13)</f>
        <v>795099.33051999996</v>
      </c>
      <c r="P13" s="86">
        <f t="shared" ref="P13:P20" si="4">AVERAGE(B13:M13)</f>
        <v>66258.27754333333</v>
      </c>
    </row>
    <row r="14" spans="1:16" x14ac:dyDescent="0.25">
      <c r="A14" s="126" t="s">
        <v>73</v>
      </c>
      <c r="B14" s="37">
        <f>B33*B34</f>
        <v>20434.464</v>
      </c>
      <c r="C14" s="37">
        <v>17802.242999999999</v>
      </c>
      <c r="D14" s="37">
        <v>19939.238999999998</v>
      </c>
      <c r="E14" s="37">
        <v>19806.745499999997</v>
      </c>
      <c r="F14" s="37">
        <v>15401.924999999999</v>
      </c>
      <c r="G14" s="37">
        <v>23396.768999999997</v>
      </c>
      <c r="H14" s="37">
        <v>23786.567999999999</v>
      </c>
      <c r="I14" s="37">
        <v>16086.428999999998</v>
      </c>
      <c r="J14" s="37">
        <v>5477.8049999999994</v>
      </c>
      <c r="K14" s="37">
        <v>23935.823999999997</v>
      </c>
      <c r="L14" s="37">
        <v>22701.429</v>
      </c>
      <c r="M14" s="37">
        <v>20292.466499999999</v>
      </c>
      <c r="N14" s="11"/>
      <c r="O14" s="86">
        <f t="shared" si="3"/>
        <v>229061.90700000001</v>
      </c>
      <c r="P14" s="86">
        <f t="shared" si="4"/>
        <v>19088.492249999999</v>
      </c>
    </row>
    <row r="15" spans="1:16" ht="13.8" thickBot="1" x14ac:dyDescent="0.3">
      <c r="A15" s="135" t="s">
        <v>11</v>
      </c>
      <c r="B15" s="136">
        <f>B13+B14</f>
        <v>91364.759040000004</v>
      </c>
      <c r="C15" s="136">
        <f t="shared" ref="C15:M15" si="5">C13+C14</f>
        <v>79595.806479999999</v>
      </c>
      <c r="D15" s="136">
        <f t="shared" si="5"/>
        <v>89150.553039999999</v>
      </c>
      <c r="E15" s="136">
        <f t="shared" si="5"/>
        <v>88558.159879999992</v>
      </c>
      <c r="F15" s="136">
        <f t="shared" si="5"/>
        <v>68863.717999999993</v>
      </c>
      <c r="G15" s="136">
        <f t="shared" si="5"/>
        <v>104609.55384000001</v>
      </c>
      <c r="H15" s="136">
        <f t="shared" si="5"/>
        <v>106352.38847999999</v>
      </c>
      <c r="I15" s="136">
        <f t="shared" si="5"/>
        <v>71924.211439999999</v>
      </c>
      <c r="J15" s="136">
        <f t="shared" si="5"/>
        <v>24491.874800000001</v>
      </c>
      <c r="K15" s="136">
        <f t="shared" si="5"/>
        <v>107019.72864</v>
      </c>
      <c r="L15" s="136">
        <f t="shared" si="5"/>
        <v>101500.61144000001</v>
      </c>
      <c r="M15" s="136">
        <f t="shared" si="5"/>
        <v>90729.872439999992</v>
      </c>
      <c r="N15" s="22"/>
      <c r="O15" s="86">
        <f t="shared" si="3"/>
        <v>1024161.23752</v>
      </c>
      <c r="P15" s="86">
        <f t="shared" si="4"/>
        <v>85346.769793333326</v>
      </c>
    </row>
    <row r="16" spans="1:16" ht="13.8" thickTop="1" x14ac:dyDescent="0.25">
      <c r="A16" s="122"/>
      <c r="B16" s="123">
        <f>B11+B15</f>
        <v>162216.29904000001</v>
      </c>
      <c r="C16" s="123">
        <f t="shared" ref="C16:M16" si="6">C11+C15</f>
        <v>149277.88647999999</v>
      </c>
      <c r="D16" s="123">
        <f t="shared" si="6"/>
        <v>177499.40304</v>
      </c>
      <c r="E16" s="123">
        <f t="shared" si="6"/>
        <v>171516.02987999999</v>
      </c>
      <c r="F16" s="123">
        <f t="shared" si="6"/>
        <v>171150.17799999999</v>
      </c>
      <c r="G16" s="123">
        <f t="shared" si="6"/>
        <v>176843.83384000001</v>
      </c>
      <c r="H16" s="123">
        <f t="shared" si="6"/>
        <v>195291.34847999999</v>
      </c>
      <c r="I16" s="123">
        <f t="shared" si="6"/>
        <v>168876.81143999999</v>
      </c>
      <c r="J16" s="123">
        <f t="shared" si="6"/>
        <v>51158.714800000002</v>
      </c>
      <c r="K16" s="123">
        <f t="shared" si="6"/>
        <v>187442.71864000001</v>
      </c>
      <c r="L16" s="123">
        <f t="shared" si="6"/>
        <v>197714.07144</v>
      </c>
      <c r="M16" s="123">
        <f t="shared" si="6"/>
        <v>158302.45243999999</v>
      </c>
      <c r="N16" s="22"/>
      <c r="O16" s="86"/>
      <c r="P16" s="86"/>
    </row>
    <row r="17" spans="1:16" x14ac:dyDescent="0.25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22"/>
      <c r="O17" s="86"/>
      <c r="P17" s="86"/>
    </row>
    <row r="18" spans="1:16" x14ac:dyDescent="0.25">
      <c r="A18" s="130" t="s">
        <v>85</v>
      </c>
      <c r="B18" s="131">
        <f>B16*0.005</f>
        <v>811.08149520000006</v>
      </c>
      <c r="C18" s="131">
        <f t="shared" ref="C18:M18" si="7">C16*0.005</f>
        <v>746.38943239999992</v>
      </c>
      <c r="D18" s="131">
        <f t="shared" si="7"/>
        <v>887.49701520000008</v>
      </c>
      <c r="E18" s="131">
        <f t="shared" si="7"/>
        <v>857.58014939999998</v>
      </c>
      <c r="F18" s="131">
        <f t="shared" si="7"/>
        <v>855.75088999999991</v>
      </c>
      <c r="G18" s="131">
        <f t="shared" si="7"/>
        <v>884.21916920000001</v>
      </c>
      <c r="H18" s="131">
        <f t="shared" si="7"/>
        <v>976.45674239999994</v>
      </c>
      <c r="I18" s="131">
        <f t="shared" si="7"/>
        <v>844.38405719999992</v>
      </c>
      <c r="J18" s="131">
        <f t="shared" si="7"/>
        <v>255.79357400000001</v>
      </c>
      <c r="K18" s="131">
        <f t="shared" si="7"/>
        <v>937.2135932000001</v>
      </c>
      <c r="L18" s="131">
        <f t="shared" si="7"/>
        <v>988.57035719999999</v>
      </c>
      <c r="M18" s="131">
        <f t="shared" si="7"/>
        <v>791.51226220000001</v>
      </c>
      <c r="N18" s="22"/>
      <c r="O18" s="86">
        <f t="shared" si="3"/>
        <v>9836.4487375999997</v>
      </c>
      <c r="P18" s="86">
        <f t="shared" si="4"/>
        <v>819.70406146666664</v>
      </c>
    </row>
    <row r="19" spans="1:16" x14ac:dyDescent="0.25">
      <c r="A19" s="20" t="s">
        <v>84</v>
      </c>
      <c r="B19" s="21">
        <f>(B16+B18)*0.05875</f>
        <v>9577.8586064430001</v>
      </c>
      <c r="C19" s="21">
        <f t="shared" ref="C19:M19" si="8">SUM(C16:C18)*0.05875</f>
        <v>8813.9262098534982</v>
      </c>
      <c r="D19" s="21">
        <f t="shared" si="8"/>
        <v>10480.230378242999</v>
      </c>
      <c r="E19" s="21">
        <f t="shared" si="8"/>
        <v>10126.949589227248</v>
      </c>
      <c r="F19" s="21">
        <f t="shared" si="8"/>
        <v>10105.348322287498</v>
      </c>
      <c r="G19" s="21">
        <f t="shared" si="8"/>
        <v>10441.5231142905</v>
      </c>
      <c r="H19" s="21">
        <f t="shared" si="8"/>
        <v>11530.733556816</v>
      </c>
      <c r="I19" s="21">
        <f t="shared" si="8"/>
        <v>9971.1202354604975</v>
      </c>
      <c r="J19" s="21">
        <f t="shared" si="8"/>
        <v>3020.6023669725</v>
      </c>
      <c r="K19" s="21">
        <f t="shared" si="8"/>
        <v>11067.321018700499</v>
      </c>
      <c r="L19" s="21">
        <f t="shared" si="8"/>
        <v>11673.780205585499</v>
      </c>
      <c r="M19" s="21">
        <f t="shared" si="8"/>
        <v>9346.7704262542502</v>
      </c>
      <c r="N19" s="22"/>
      <c r="O19" s="86">
        <f t="shared" si="3"/>
        <v>116156.16403013401</v>
      </c>
      <c r="P19" s="86">
        <f t="shared" si="4"/>
        <v>9679.6803358445013</v>
      </c>
    </row>
    <row r="20" spans="1:16" x14ac:dyDescent="0.25">
      <c r="A20" s="118" t="s">
        <v>86</v>
      </c>
      <c r="B20" s="119">
        <f>SUM(B16:B19)</f>
        <v>172605.23914164302</v>
      </c>
      <c r="C20" s="119">
        <f t="shared" ref="C20:M20" si="9">SUM(C16:C19)</f>
        <v>158838.20212225348</v>
      </c>
      <c r="D20" s="119">
        <f t="shared" si="9"/>
        <v>188867.130433443</v>
      </c>
      <c r="E20" s="119">
        <f t="shared" si="9"/>
        <v>182500.55961862722</v>
      </c>
      <c r="F20" s="119">
        <f t="shared" si="9"/>
        <v>182111.27721228747</v>
      </c>
      <c r="G20" s="119">
        <f t="shared" si="9"/>
        <v>188169.57612349049</v>
      </c>
      <c r="H20" s="119">
        <f t="shared" si="9"/>
        <v>207798.538779216</v>
      </c>
      <c r="I20" s="119">
        <f t="shared" si="9"/>
        <v>179692.31573266047</v>
      </c>
      <c r="J20" s="119">
        <f t="shared" si="9"/>
        <v>54435.110740972508</v>
      </c>
      <c r="K20" s="119">
        <f t="shared" si="9"/>
        <v>199447.25325190049</v>
      </c>
      <c r="L20" s="119">
        <f t="shared" si="9"/>
        <v>210376.42200278549</v>
      </c>
      <c r="M20" s="119">
        <f t="shared" si="9"/>
        <v>168440.73512845425</v>
      </c>
      <c r="N20" s="107"/>
      <c r="O20" s="88">
        <f t="shared" si="3"/>
        <v>2093282.3602877336</v>
      </c>
      <c r="P20" s="88">
        <f t="shared" si="4"/>
        <v>174440.19669064446</v>
      </c>
    </row>
    <row r="21" spans="1:16" x14ac:dyDescent="0.25">
      <c r="A21" s="118" t="s">
        <v>103</v>
      </c>
      <c r="B21" s="121">
        <f>B20/B32</f>
        <v>3.8010469769962821E-2</v>
      </c>
      <c r="C21" s="121">
        <f t="shared" ref="C21:M21" si="10">C20/C32</f>
        <v>4.0150665820601408E-2</v>
      </c>
      <c r="D21" s="121">
        <f t="shared" si="10"/>
        <v>4.2624600013595984E-2</v>
      </c>
      <c r="E21" s="121">
        <f t="shared" si="10"/>
        <v>4.1463274129706088E-2</v>
      </c>
      <c r="F21" s="121">
        <f t="shared" si="10"/>
        <v>5.32076832899325E-2</v>
      </c>
      <c r="G21" s="121">
        <f t="shared" si="10"/>
        <v>3.6191454151456005E-2</v>
      </c>
      <c r="H21" s="121">
        <f t="shared" si="10"/>
        <v>3.9311826090526046E-2</v>
      </c>
      <c r="I21" s="121">
        <f t="shared" si="10"/>
        <v>5.0266931262182062E-2</v>
      </c>
      <c r="J21" s="121">
        <f t="shared" si="10"/>
        <v>4.4718276450946372E-2</v>
      </c>
      <c r="K21" s="121">
        <f t="shared" si="10"/>
        <v>3.7496625962555215E-2</v>
      </c>
      <c r="L21" s="121">
        <f t="shared" si="10"/>
        <v>4.1701951846843416E-2</v>
      </c>
      <c r="M21" s="121">
        <f t="shared" si="10"/>
        <v>3.735294120495624E-2</v>
      </c>
      <c r="N21" s="107"/>
      <c r="O21" s="120"/>
      <c r="P21" s="119"/>
    </row>
    <row r="22" spans="1:16" x14ac:dyDescent="0.25">
      <c r="A22" s="118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07"/>
      <c r="O22" s="120"/>
      <c r="P22" s="119"/>
    </row>
    <row r="23" spans="1:16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101"/>
      <c r="P23" s="23"/>
    </row>
    <row r="24" spans="1:16" x14ac:dyDescent="0.25">
      <c r="A24" s="132" t="s">
        <v>17</v>
      </c>
      <c r="B24" s="132" t="s">
        <v>0</v>
      </c>
      <c r="C24" s="132" t="s">
        <v>1</v>
      </c>
      <c r="D24" s="132" t="s">
        <v>2</v>
      </c>
      <c r="E24" s="132" t="s">
        <v>3</v>
      </c>
      <c r="F24" s="132" t="s">
        <v>4</v>
      </c>
      <c r="G24" s="132" t="s">
        <v>5</v>
      </c>
      <c r="H24" s="132" t="s">
        <v>6</v>
      </c>
      <c r="I24" s="132" t="s">
        <v>7</v>
      </c>
      <c r="J24" s="132" t="s">
        <v>8</v>
      </c>
      <c r="K24" s="132" t="s">
        <v>9</v>
      </c>
      <c r="L24" s="132" t="s">
        <v>10</v>
      </c>
      <c r="M24" s="132" t="s">
        <v>14</v>
      </c>
      <c r="N24" s="6"/>
      <c r="O24" s="8" t="s">
        <v>67</v>
      </c>
      <c r="P24" s="8" t="s">
        <v>13</v>
      </c>
    </row>
    <row r="25" spans="1:16" x14ac:dyDescent="0.25">
      <c r="A25" s="124" t="s">
        <v>71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6"/>
      <c r="O25" s="102"/>
      <c r="P25" s="102"/>
    </row>
    <row r="26" spans="1:16" x14ac:dyDescent="0.25">
      <c r="A26" s="126" t="s">
        <v>77</v>
      </c>
      <c r="B26" s="37">
        <v>8.86</v>
      </c>
      <c r="C26" s="37">
        <v>8.86</v>
      </c>
      <c r="D26" s="37">
        <v>8.86</v>
      </c>
      <c r="E26" s="37">
        <v>8.86</v>
      </c>
      <c r="F26" s="37">
        <v>8.86</v>
      </c>
      <c r="G26" s="37">
        <v>8.86</v>
      </c>
      <c r="H26" s="37">
        <v>8.86</v>
      </c>
      <c r="I26" s="37">
        <v>8.86</v>
      </c>
      <c r="J26" s="37">
        <v>8.86</v>
      </c>
      <c r="K26" s="37">
        <v>8.86</v>
      </c>
      <c r="L26" s="37">
        <v>8.86</v>
      </c>
      <c r="M26" s="37">
        <v>8.86</v>
      </c>
      <c r="N26" s="11"/>
      <c r="O26" s="99"/>
      <c r="P26" s="14">
        <f>AVERAGE(B26:M26)</f>
        <v>8.86</v>
      </c>
    </row>
    <row r="27" spans="1:16" x14ac:dyDescent="0.25">
      <c r="A27" s="15" t="s">
        <v>78</v>
      </c>
      <c r="B27" s="16">
        <v>5434</v>
      </c>
      <c r="C27" s="16">
        <v>5088</v>
      </c>
      <c r="D27" s="16">
        <v>7075</v>
      </c>
      <c r="E27" s="16">
        <v>6797</v>
      </c>
      <c r="F27" s="16">
        <v>8256</v>
      </c>
      <c r="G27" s="16">
        <v>4973</v>
      </c>
      <c r="H27" s="16">
        <v>6931</v>
      </c>
      <c r="I27" s="16">
        <v>7930</v>
      </c>
      <c r="J27" s="16">
        <v>19</v>
      </c>
      <c r="K27" s="16">
        <v>5549</v>
      </c>
      <c r="L27" s="16">
        <v>7411</v>
      </c>
      <c r="M27" s="16">
        <v>5318</v>
      </c>
      <c r="N27" s="13"/>
      <c r="O27" s="12">
        <f>SUM(B27:M27)</f>
        <v>70781</v>
      </c>
      <c r="P27" s="12">
        <f>AVERAGE(B27:M27)</f>
        <v>5898.416666666667</v>
      </c>
    </row>
    <row r="28" spans="1:16" x14ac:dyDescent="0.25">
      <c r="A28" s="126" t="s">
        <v>82</v>
      </c>
      <c r="B28" s="37">
        <v>3.35</v>
      </c>
      <c r="C28" s="37">
        <v>3.35</v>
      </c>
      <c r="D28" s="37">
        <v>3.35</v>
      </c>
      <c r="E28" s="37">
        <v>3.35</v>
      </c>
      <c r="F28" s="37">
        <v>3.35</v>
      </c>
      <c r="G28" s="37">
        <v>3.35</v>
      </c>
      <c r="H28" s="37">
        <v>3.35</v>
      </c>
      <c r="I28" s="37">
        <v>3.35</v>
      </c>
      <c r="J28" s="37">
        <v>3.35</v>
      </c>
      <c r="K28" s="37">
        <v>3.35</v>
      </c>
      <c r="L28" s="37">
        <v>3.35</v>
      </c>
      <c r="M28" s="37">
        <v>3.35</v>
      </c>
      <c r="N28" s="11"/>
      <c r="O28" s="99"/>
      <c r="P28" s="14">
        <f>AVERAGE(B28:M28)</f>
        <v>3.350000000000001</v>
      </c>
    </row>
    <row r="29" spans="1:16" x14ac:dyDescent="0.25">
      <c r="A29" s="15" t="s">
        <v>83</v>
      </c>
      <c r="B29" s="16">
        <v>6778</v>
      </c>
      <c r="C29" s="16">
        <v>7344</v>
      </c>
      <c r="D29" s="16">
        <v>7661</v>
      </c>
      <c r="E29" s="16">
        <v>6787</v>
      </c>
      <c r="F29" s="16">
        <v>8698</v>
      </c>
      <c r="G29" s="16">
        <v>8410</v>
      </c>
      <c r="H29" s="16">
        <v>8218</v>
      </c>
      <c r="I29" s="16">
        <v>7968</v>
      </c>
      <c r="J29" s="16">
        <v>7910</v>
      </c>
      <c r="K29" s="16">
        <v>9331</v>
      </c>
      <c r="L29" s="16">
        <v>9120</v>
      </c>
      <c r="M29" s="16">
        <v>6106</v>
      </c>
      <c r="N29" s="13"/>
      <c r="O29" s="12">
        <f>SUM(B29:M29)</f>
        <v>94331</v>
      </c>
      <c r="P29" s="12">
        <f>AVERAGE(B29:M29)</f>
        <v>7860.916666666667</v>
      </c>
    </row>
    <row r="30" spans="1:16" x14ac:dyDescent="0.25">
      <c r="A30" s="129" t="s">
        <v>74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6"/>
      <c r="O30" s="102"/>
      <c r="P30" s="102"/>
    </row>
    <row r="31" spans="1:16" x14ac:dyDescent="0.25">
      <c r="A31" s="134" t="s">
        <v>77</v>
      </c>
      <c r="B31" s="57">
        <v>1.562E-2</v>
      </c>
      <c r="C31" s="57">
        <v>1.562E-2</v>
      </c>
      <c r="D31" s="57">
        <v>1.562E-2</v>
      </c>
      <c r="E31" s="57">
        <v>1.562E-2</v>
      </c>
      <c r="F31" s="57">
        <v>1.562E-2</v>
      </c>
      <c r="G31" s="57">
        <v>1.562E-2</v>
      </c>
      <c r="H31" s="57">
        <v>1.562E-2</v>
      </c>
      <c r="I31" s="57">
        <v>1.562E-2</v>
      </c>
      <c r="J31" s="57">
        <v>1.562E-2</v>
      </c>
      <c r="K31" s="57">
        <v>1.562E-2</v>
      </c>
      <c r="L31" s="57">
        <v>1.562E-2</v>
      </c>
      <c r="M31" s="57">
        <v>1.562E-2</v>
      </c>
      <c r="N31" s="104"/>
      <c r="O31" s="105"/>
      <c r="P31" s="106">
        <f>AVERAGE(B31:M31)</f>
        <v>1.5619999999999997E-2</v>
      </c>
    </row>
    <row r="32" spans="1:16" x14ac:dyDescent="0.25">
      <c r="A32" s="15" t="s">
        <v>79</v>
      </c>
      <c r="B32" s="16">
        <v>4540992</v>
      </c>
      <c r="C32" s="16">
        <v>3956054</v>
      </c>
      <c r="D32" s="16">
        <v>4430942</v>
      </c>
      <c r="E32" s="16">
        <v>4401499</v>
      </c>
      <c r="F32" s="16">
        <v>3422650</v>
      </c>
      <c r="G32" s="16">
        <v>5199282</v>
      </c>
      <c r="H32" s="16">
        <v>5285904</v>
      </c>
      <c r="I32" s="16">
        <v>3574762</v>
      </c>
      <c r="J32" s="16">
        <v>1217290</v>
      </c>
      <c r="K32" s="16">
        <v>5319072</v>
      </c>
      <c r="L32" s="16">
        <v>5044762</v>
      </c>
      <c r="M32" s="16">
        <v>4509437</v>
      </c>
      <c r="N32" s="13"/>
      <c r="O32" s="12">
        <f>SUM(B32:M32)</f>
        <v>50902646</v>
      </c>
      <c r="P32" s="12">
        <f>AVERAGE(B32:M32)</f>
        <v>4241887.166666667</v>
      </c>
    </row>
    <row r="33" spans="1:16" x14ac:dyDescent="0.25">
      <c r="A33" s="134" t="s">
        <v>80</v>
      </c>
      <c r="B33" s="57">
        <v>4.4999999999999997E-3</v>
      </c>
      <c r="C33" s="57">
        <v>4.4999999999999997E-3</v>
      </c>
      <c r="D33" s="57">
        <v>4.4999999999999997E-3</v>
      </c>
      <c r="E33" s="57">
        <v>4.4999999999999997E-3</v>
      </c>
      <c r="F33" s="57">
        <v>4.4999999999999997E-3</v>
      </c>
      <c r="G33" s="57">
        <v>4.4999999999999997E-3</v>
      </c>
      <c r="H33" s="57">
        <v>4.4999999999999997E-3</v>
      </c>
      <c r="I33" s="57">
        <v>4.4999999999999997E-3</v>
      </c>
      <c r="J33" s="57">
        <v>4.4999999999999997E-3</v>
      </c>
      <c r="K33" s="57">
        <v>4.4999999999999997E-3</v>
      </c>
      <c r="L33" s="57">
        <v>4.4999999999999997E-3</v>
      </c>
      <c r="M33" s="57">
        <v>4.4999999999999997E-3</v>
      </c>
      <c r="N33" s="104"/>
      <c r="O33" s="105"/>
      <c r="P33" s="106">
        <f>AVERAGE(B33:M33)</f>
        <v>4.4999999999999988E-3</v>
      </c>
    </row>
    <row r="34" spans="1:16" x14ac:dyDescent="0.25">
      <c r="A34" s="15" t="s">
        <v>81</v>
      </c>
      <c r="B34" s="16">
        <f>B32</f>
        <v>4540992</v>
      </c>
      <c r="C34" s="16">
        <f t="shared" ref="C34:M34" si="11">C32</f>
        <v>3956054</v>
      </c>
      <c r="D34" s="16">
        <f t="shared" si="11"/>
        <v>4430942</v>
      </c>
      <c r="E34" s="16">
        <f t="shared" si="11"/>
        <v>4401499</v>
      </c>
      <c r="F34" s="16">
        <f t="shared" si="11"/>
        <v>3422650</v>
      </c>
      <c r="G34" s="16">
        <f t="shared" si="11"/>
        <v>5199282</v>
      </c>
      <c r="H34" s="16">
        <f t="shared" si="11"/>
        <v>5285904</v>
      </c>
      <c r="I34" s="16">
        <f t="shared" si="11"/>
        <v>3574762</v>
      </c>
      <c r="J34" s="16">
        <f t="shared" si="11"/>
        <v>1217290</v>
      </c>
      <c r="K34" s="16">
        <f t="shared" si="11"/>
        <v>5319072</v>
      </c>
      <c r="L34" s="16">
        <f t="shared" si="11"/>
        <v>5044762</v>
      </c>
      <c r="M34" s="16">
        <f t="shared" si="11"/>
        <v>4509437</v>
      </c>
      <c r="N34" s="13"/>
      <c r="O34" s="12">
        <f>SUM(B34:M34)</f>
        <v>50902646</v>
      </c>
      <c r="P34" s="12">
        <f>AVERAGE(B34:M34)</f>
        <v>4241887.166666667</v>
      </c>
    </row>
  </sheetData>
  <mergeCells count="1">
    <mergeCell ref="B5:M5"/>
  </mergeCells>
  <phoneticPr fontId="0" type="noConversion"/>
  <pageMargins left="0.5" right="0.5" top="0.5" bottom="0.5" header="0.5" footer="0.5"/>
  <pageSetup paperSize="5" scale="7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zoomScale="90" zoomScaleNormal="90" zoomScaleSheetLayoutView="90" workbookViewId="0">
      <pane xSplit="1" ySplit="6" topLeftCell="H20" activePane="bottomRight" state="frozen"/>
      <selection pane="topRight" activeCell="B1" sqref="B1"/>
      <selection pane="bottomLeft" activeCell="A7" sqref="A7"/>
      <selection pane="bottomRight" activeCell="O43" sqref="O43"/>
    </sheetView>
  </sheetViews>
  <sheetFormatPr defaultRowHeight="13.2" x14ac:dyDescent="0.25"/>
  <cols>
    <col min="1" max="1" width="23.44140625" customWidth="1"/>
    <col min="2" max="2" width="13.33203125" bestFit="1" customWidth="1"/>
    <col min="3" max="3" width="12.109375" bestFit="1" customWidth="1"/>
    <col min="4" max="4" width="16.109375" bestFit="1" customWidth="1"/>
    <col min="5" max="13" width="12.109375" bestFit="1" customWidth="1"/>
    <col min="14" max="14" width="10.44140625" bestFit="1" customWidth="1"/>
    <col min="15" max="15" width="12" bestFit="1" customWidth="1"/>
  </cols>
  <sheetData>
    <row r="1" spans="1:25" x14ac:dyDescent="0.25">
      <c r="A1" s="1" t="s">
        <v>87</v>
      </c>
    </row>
    <row r="2" spans="1:25" x14ac:dyDescent="0.25">
      <c r="A2" s="1" t="s">
        <v>63</v>
      </c>
    </row>
    <row r="3" spans="1:25" ht="13.8" thickBot="1" x14ac:dyDescent="0.3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25" ht="13.8" thickBot="1" x14ac:dyDescent="0.3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64">
        <v>2002</v>
      </c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364"/>
    </row>
    <row r="6" spans="1:25" x14ac:dyDescent="0.25">
      <c r="A6" s="94" t="s">
        <v>88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273" t="s">
        <v>14</v>
      </c>
      <c r="N6" s="274" t="s">
        <v>0</v>
      </c>
      <c r="O6" s="275" t="s">
        <v>1</v>
      </c>
      <c r="P6" s="275" t="s">
        <v>2</v>
      </c>
      <c r="Q6" s="275" t="s">
        <v>3</v>
      </c>
      <c r="R6" s="275" t="s">
        <v>4</v>
      </c>
      <c r="S6" s="275" t="s">
        <v>5</v>
      </c>
      <c r="T6" s="275" t="s">
        <v>6</v>
      </c>
      <c r="U6" s="275" t="s">
        <v>7</v>
      </c>
      <c r="V6" s="275" t="s">
        <v>8</v>
      </c>
      <c r="W6" s="275" t="s">
        <v>9</v>
      </c>
      <c r="X6" s="275" t="s">
        <v>10</v>
      </c>
      <c r="Y6" s="276" t="s">
        <v>14</v>
      </c>
    </row>
    <row r="7" spans="1:25" ht="7.5" customHeight="1" x14ac:dyDescent="0.25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77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278"/>
    </row>
    <row r="8" spans="1:25" ht="12.75" customHeight="1" x14ac:dyDescent="0.25">
      <c r="A8" s="17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77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278"/>
    </row>
    <row r="9" spans="1:25" x14ac:dyDescent="0.25">
      <c r="A9" s="124" t="s">
        <v>71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279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280"/>
    </row>
    <row r="10" spans="1:25" x14ac:dyDescent="0.25">
      <c r="A10" s="126" t="s">
        <v>77</v>
      </c>
      <c r="B10" s="37">
        <v>8.86</v>
      </c>
      <c r="C10" s="37">
        <v>8.86</v>
      </c>
      <c r="D10" s="37">
        <v>8.86</v>
      </c>
      <c r="E10" s="37">
        <v>8.86</v>
      </c>
      <c r="F10" s="37">
        <v>8.86</v>
      </c>
      <c r="G10" s="37">
        <v>8.86</v>
      </c>
      <c r="H10" s="37">
        <v>8.86</v>
      </c>
      <c r="I10" s="37">
        <v>8.86</v>
      </c>
      <c r="J10" s="37">
        <v>8.86</v>
      </c>
      <c r="K10" s="37">
        <v>8.86</v>
      </c>
      <c r="L10" s="37">
        <v>8.86</v>
      </c>
      <c r="M10" s="37">
        <v>8.86</v>
      </c>
      <c r="N10" s="281">
        <v>8.86</v>
      </c>
      <c r="O10" s="37">
        <v>8.86</v>
      </c>
      <c r="P10" s="37">
        <v>8.86</v>
      </c>
      <c r="Q10" s="37">
        <v>8.86</v>
      </c>
      <c r="R10" s="37">
        <v>8.86</v>
      </c>
      <c r="S10" s="37">
        <v>8.86</v>
      </c>
      <c r="T10" s="37">
        <v>8.86</v>
      </c>
      <c r="U10" s="37">
        <v>8.86</v>
      </c>
      <c r="V10" s="37">
        <v>8.86</v>
      </c>
      <c r="W10" s="37">
        <v>8.86</v>
      </c>
      <c r="X10" s="37">
        <v>8.86</v>
      </c>
      <c r="Y10" s="282">
        <v>8.86</v>
      </c>
    </row>
    <row r="11" spans="1:25" x14ac:dyDescent="0.25">
      <c r="A11" s="15" t="s">
        <v>78</v>
      </c>
      <c r="B11" s="16">
        <v>5434</v>
      </c>
      <c r="C11" s="16">
        <v>5088</v>
      </c>
      <c r="D11" s="16">
        <v>7075</v>
      </c>
      <c r="E11" s="16">
        <v>6797</v>
      </c>
      <c r="F11" s="16">
        <v>8256</v>
      </c>
      <c r="G11" s="16">
        <v>4973</v>
      </c>
      <c r="H11" s="16">
        <v>6931</v>
      </c>
      <c r="I11" s="16">
        <v>7930</v>
      </c>
      <c r="J11" s="16">
        <v>19</v>
      </c>
      <c r="K11" s="16">
        <v>5549</v>
      </c>
      <c r="L11" s="16">
        <v>7411</v>
      </c>
      <c r="M11" s="16">
        <v>5318</v>
      </c>
      <c r="N11" s="283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284">
        <v>0</v>
      </c>
    </row>
    <row r="12" spans="1:25" x14ac:dyDescent="0.25">
      <c r="A12" s="126" t="s">
        <v>82</v>
      </c>
      <c r="B12" s="37">
        <v>3.35</v>
      </c>
      <c r="C12" s="37">
        <v>3.35</v>
      </c>
      <c r="D12" s="37">
        <v>3.35</v>
      </c>
      <c r="E12" s="37">
        <v>3.35</v>
      </c>
      <c r="F12" s="37">
        <v>3.35</v>
      </c>
      <c r="G12" s="37">
        <v>3.35</v>
      </c>
      <c r="H12" s="37">
        <v>3.35</v>
      </c>
      <c r="I12" s="37">
        <v>3.35</v>
      </c>
      <c r="J12" s="37">
        <v>3.35</v>
      </c>
      <c r="K12" s="37">
        <v>3.35</v>
      </c>
      <c r="L12" s="37">
        <v>3.35</v>
      </c>
      <c r="M12" s="37">
        <v>3.35</v>
      </c>
      <c r="N12" s="281">
        <v>3.35</v>
      </c>
      <c r="O12" s="37">
        <v>3.35</v>
      </c>
      <c r="P12" s="37">
        <v>3.35</v>
      </c>
      <c r="Q12" s="37">
        <v>3.35</v>
      </c>
      <c r="R12" s="37">
        <v>3.35</v>
      </c>
      <c r="S12" s="37">
        <v>3.35</v>
      </c>
      <c r="T12" s="37">
        <v>3.35</v>
      </c>
      <c r="U12" s="37">
        <v>3.35</v>
      </c>
      <c r="V12" s="37">
        <v>3.35</v>
      </c>
      <c r="W12" s="37">
        <v>3.35</v>
      </c>
      <c r="X12" s="37">
        <v>3.35</v>
      </c>
      <c r="Y12" s="282">
        <v>3.35</v>
      </c>
    </row>
    <row r="13" spans="1:25" x14ac:dyDescent="0.25">
      <c r="A13" s="15" t="s">
        <v>83</v>
      </c>
      <c r="B13" s="16">
        <v>6778</v>
      </c>
      <c r="C13" s="16">
        <v>7344</v>
      </c>
      <c r="D13" s="16">
        <v>7661</v>
      </c>
      <c r="E13" s="16">
        <v>6787</v>
      </c>
      <c r="F13" s="16">
        <v>8698</v>
      </c>
      <c r="G13" s="16">
        <v>8410</v>
      </c>
      <c r="H13" s="16">
        <v>8218</v>
      </c>
      <c r="I13" s="16">
        <v>7968</v>
      </c>
      <c r="J13" s="16">
        <v>7910</v>
      </c>
      <c r="K13" s="16">
        <v>9331</v>
      </c>
      <c r="L13" s="16">
        <v>9120</v>
      </c>
      <c r="M13" s="16">
        <v>6106</v>
      </c>
      <c r="N13" s="283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284">
        <v>0</v>
      </c>
    </row>
    <row r="14" spans="1:25" x14ac:dyDescent="0.25">
      <c r="A14" s="129" t="s">
        <v>74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279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280"/>
    </row>
    <row r="15" spans="1:25" x14ac:dyDescent="0.25">
      <c r="A15" s="134" t="s">
        <v>77</v>
      </c>
      <c r="B15" s="57">
        <v>1.562E-2</v>
      </c>
      <c r="C15" s="57">
        <v>1.562E-2</v>
      </c>
      <c r="D15" s="57">
        <v>1.562E-2</v>
      </c>
      <c r="E15" s="57">
        <v>1.562E-2</v>
      </c>
      <c r="F15" s="57">
        <v>1.562E-2</v>
      </c>
      <c r="G15" s="57">
        <v>1.562E-2</v>
      </c>
      <c r="H15" s="57">
        <v>1.562E-2</v>
      </c>
      <c r="I15" s="57">
        <v>1.562E-2</v>
      </c>
      <c r="J15" s="57">
        <v>1.562E-2</v>
      </c>
      <c r="K15" s="57">
        <v>1.562E-2</v>
      </c>
      <c r="L15" s="57">
        <v>1.562E-2</v>
      </c>
      <c r="M15" s="57">
        <v>1.562E-2</v>
      </c>
      <c r="N15" s="285">
        <v>0</v>
      </c>
      <c r="O15" s="57">
        <v>1.562E-2</v>
      </c>
      <c r="P15" s="57">
        <v>1.562E-2</v>
      </c>
      <c r="Q15" s="57">
        <v>1.562E-2</v>
      </c>
      <c r="R15" s="57">
        <v>1.562E-2</v>
      </c>
      <c r="S15" s="57">
        <v>1.562E-2</v>
      </c>
      <c r="T15" s="57">
        <v>1.562E-2</v>
      </c>
      <c r="U15" s="57">
        <v>1.562E-2</v>
      </c>
      <c r="V15" s="57">
        <v>1.562E-2</v>
      </c>
      <c r="W15" s="57">
        <v>1.562E-2</v>
      </c>
      <c r="X15" s="57">
        <v>1.562E-2</v>
      </c>
      <c r="Y15" s="286">
        <v>1.562E-2</v>
      </c>
    </row>
    <row r="16" spans="1:25" x14ac:dyDescent="0.25">
      <c r="A16" s="15" t="s">
        <v>79</v>
      </c>
      <c r="B16" s="16">
        <v>4540992</v>
      </c>
      <c r="C16" s="16">
        <v>3956054</v>
      </c>
      <c r="D16" s="16">
        <v>4430942</v>
      </c>
      <c r="E16" s="16">
        <v>4401499</v>
      </c>
      <c r="F16" s="16">
        <v>3422650</v>
      </c>
      <c r="G16" s="16">
        <v>5199282</v>
      </c>
      <c r="H16" s="16">
        <v>5285904</v>
      </c>
      <c r="I16" s="16">
        <v>3574762</v>
      </c>
      <c r="J16" s="16">
        <v>1217290</v>
      </c>
      <c r="K16" s="16">
        <v>5319072</v>
      </c>
      <c r="L16" s="16">
        <v>5044762</v>
      </c>
      <c r="M16" s="16">
        <v>4509437</v>
      </c>
      <c r="N16" s="283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284">
        <v>0</v>
      </c>
    </row>
    <row r="17" spans="1:25" x14ac:dyDescent="0.25">
      <c r="A17" s="134" t="s">
        <v>80</v>
      </c>
      <c r="B17" s="57">
        <v>4.4999999999999997E-3</v>
      </c>
      <c r="C17" s="57">
        <v>4.4999999999999997E-3</v>
      </c>
      <c r="D17" s="57">
        <v>4.4999999999999997E-3</v>
      </c>
      <c r="E17" s="57">
        <v>4.4999999999999997E-3</v>
      </c>
      <c r="F17" s="57">
        <v>4.4999999999999997E-3</v>
      </c>
      <c r="G17" s="57">
        <v>4.4999999999999997E-3</v>
      </c>
      <c r="H17" s="57">
        <v>4.4999999999999997E-3</v>
      </c>
      <c r="I17" s="57">
        <v>4.4999999999999997E-3</v>
      </c>
      <c r="J17" s="57">
        <v>4.4999999999999997E-3</v>
      </c>
      <c r="K17" s="57">
        <v>4.4999999999999997E-3</v>
      </c>
      <c r="L17" s="57">
        <v>4.4999999999999997E-3</v>
      </c>
      <c r="M17" s="57">
        <v>4.4999999999999997E-3</v>
      </c>
      <c r="N17" s="285">
        <v>0</v>
      </c>
      <c r="O17" s="57">
        <v>4.4999999999999997E-3</v>
      </c>
      <c r="P17" s="57">
        <v>4.4999999999999997E-3</v>
      </c>
      <c r="Q17" s="57">
        <v>4.4999999999999997E-3</v>
      </c>
      <c r="R17" s="57">
        <v>4.4999999999999997E-3</v>
      </c>
      <c r="S17" s="57">
        <v>4.4999999999999997E-3</v>
      </c>
      <c r="T17" s="57">
        <v>4.4999999999999997E-3</v>
      </c>
      <c r="U17" s="57">
        <v>4.4999999999999997E-3</v>
      </c>
      <c r="V17" s="57">
        <v>4.4999999999999997E-3</v>
      </c>
      <c r="W17" s="57">
        <v>4.4999999999999997E-3</v>
      </c>
      <c r="X17" s="57">
        <v>4.4999999999999997E-3</v>
      </c>
      <c r="Y17" s="286">
        <v>4.4999999999999997E-3</v>
      </c>
    </row>
    <row r="18" spans="1:25" x14ac:dyDescent="0.25">
      <c r="A18" s="15" t="s">
        <v>81</v>
      </c>
      <c r="B18" s="16">
        <f>B16</f>
        <v>4540992</v>
      </c>
      <c r="C18" s="16">
        <f t="shared" ref="C18:M18" si="0">C16</f>
        <v>3956054</v>
      </c>
      <c r="D18" s="16">
        <f t="shared" si="0"/>
        <v>4430942</v>
      </c>
      <c r="E18" s="16">
        <f t="shared" si="0"/>
        <v>4401499</v>
      </c>
      <c r="F18" s="16">
        <f t="shared" si="0"/>
        <v>3422650</v>
      </c>
      <c r="G18" s="16">
        <f t="shared" si="0"/>
        <v>5199282</v>
      </c>
      <c r="H18" s="16">
        <f t="shared" si="0"/>
        <v>5285904</v>
      </c>
      <c r="I18" s="16">
        <f t="shared" si="0"/>
        <v>3574762</v>
      </c>
      <c r="J18" s="16">
        <f t="shared" si="0"/>
        <v>1217290</v>
      </c>
      <c r="K18" s="16">
        <f t="shared" si="0"/>
        <v>5319072</v>
      </c>
      <c r="L18" s="16">
        <f t="shared" si="0"/>
        <v>5044762</v>
      </c>
      <c r="M18" s="16">
        <f t="shared" si="0"/>
        <v>4509437</v>
      </c>
      <c r="N18" s="283">
        <f>N16</f>
        <v>0</v>
      </c>
      <c r="O18" s="16">
        <f t="shared" ref="O18:Y18" si="1">O16</f>
        <v>0</v>
      </c>
      <c r="P18" s="16">
        <f t="shared" si="1"/>
        <v>0</v>
      </c>
      <c r="Q18" s="16">
        <f t="shared" si="1"/>
        <v>0</v>
      </c>
      <c r="R18" s="16">
        <f t="shared" si="1"/>
        <v>0</v>
      </c>
      <c r="S18" s="16">
        <f t="shared" si="1"/>
        <v>0</v>
      </c>
      <c r="T18" s="16">
        <f t="shared" si="1"/>
        <v>0</v>
      </c>
      <c r="U18" s="16">
        <f t="shared" si="1"/>
        <v>0</v>
      </c>
      <c r="V18" s="16">
        <f t="shared" si="1"/>
        <v>0</v>
      </c>
      <c r="W18" s="16">
        <f t="shared" si="1"/>
        <v>0</v>
      </c>
      <c r="X18" s="16">
        <f t="shared" si="1"/>
        <v>0</v>
      </c>
      <c r="Y18" s="284">
        <f t="shared" si="1"/>
        <v>0</v>
      </c>
    </row>
    <row r="19" spans="1:25" ht="12.75" customHeight="1" x14ac:dyDescent="0.25">
      <c r="A19" s="17"/>
      <c r="B19" s="1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77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278"/>
    </row>
    <row r="20" spans="1:25" x14ac:dyDescent="0.25">
      <c r="A20" s="95" t="s">
        <v>66</v>
      </c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273" t="s">
        <v>14</v>
      </c>
      <c r="N20" s="287" t="s">
        <v>0</v>
      </c>
      <c r="O20" s="7" t="s">
        <v>1</v>
      </c>
      <c r="P20" s="7" t="s">
        <v>2</v>
      </c>
      <c r="Q20" s="7" t="s">
        <v>3</v>
      </c>
      <c r="R20" s="7" t="s">
        <v>4</v>
      </c>
      <c r="S20" s="7" t="s">
        <v>5</v>
      </c>
      <c r="T20" s="7" t="s">
        <v>6</v>
      </c>
      <c r="U20" s="7" t="s">
        <v>7</v>
      </c>
      <c r="V20" s="7" t="s">
        <v>8</v>
      </c>
      <c r="W20" s="7" t="s">
        <v>9</v>
      </c>
      <c r="X20" s="7" t="s">
        <v>10</v>
      </c>
      <c r="Y20" s="288" t="s">
        <v>14</v>
      </c>
    </row>
    <row r="21" spans="1:25" s="96" customFormat="1" x14ac:dyDescent="0.25">
      <c r="A21" s="15" t="s">
        <v>89</v>
      </c>
      <c r="B21" s="16">
        <f>B11*1000</f>
        <v>5434000</v>
      </c>
      <c r="C21" s="16">
        <f t="shared" ref="C21:M21" si="2">C11*1000</f>
        <v>5088000</v>
      </c>
      <c r="D21" s="16">
        <f t="shared" si="2"/>
        <v>7075000</v>
      </c>
      <c r="E21" s="16">
        <f t="shared" si="2"/>
        <v>6797000</v>
      </c>
      <c r="F21" s="16">
        <f t="shared" si="2"/>
        <v>8256000</v>
      </c>
      <c r="G21" s="16">
        <f t="shared" si="2"/>
        <v>4973000</v>
      </c>
      <c r="H21" s="16">
        <f t="shared" si="2"/>
        <v>6931000</v>
      </c>
      <c r="I21" s="16">
        <f t="shared" si="2"/>
        <v>7930000</v>
      </c>
      <c r="J21" s="16">
        <f t="shared" si="2"/>
        <v>19000</v>
      </c>
      <c r="K21" s="16">
        <f t="shared" si="2"/>
        <v>5549000</v>
      </c>
      <c r="L21" s="16">
        <f t="shared" si="2"/>
        <v>7411000</v>
      </c>
      <c r="M21" s="16">
        <f t="shared" si="2"/>
        <v>5318000</v>
      </c>
      <c r="N21" s="283">
        <f>N11*1000</f>
        <v>0</v>
      </c>
      <c r="O21" s="16">
        <f t="shared" ref="O21:Y21" si="3">O11*1000</f>
        <v>0</v>
      </c>
      <c r="P21" s="16">
        <f t="shared" si="3"/>
        <v>0</v>
      </c>
      <c r="Q21" s="16">
        <f t="shared" si="3"/>
        <v>0</v>
      </c>
      <c r="R21" s="16">
        <f t="shared" si="3"/>
        <v>0</v>
      </c>
      <c r="S21" s="16">
        <f t="shared" si="3"/>
        <v>0</v>
      </c>
      <c r="T21" s="16">
        <f t="shared" si="3"/>
        <v>0</v>
      </c>
      <c r="U21" s="16">
        <f t="shared" si="3"/>
        <v>0</v>
      </c>
      <c r="V21" s="16">
        <f t="shared" si="3"/>
        <v>0</v>
      </c>
      <c r="W21" s="16">
        <f t="shared" si="3"/>
        <v>0</v>
      </c>
      <c r="X21" s="16">
        <f t="shared" si="3"/>
        <v>0</v>
      </c>
      <c r="Y21" s="284">
        <f t="shared" si="3"/>
        <v>0</v>
      </c>
    </row>
    <row r="22" spans="1:25" s="96" customFormat="1" x14ac:dyDescent="0.25">
      <c r="A22" s="15" t="s">
        <v>90</v>
      </c>
      <c r="B22" s="16">
        <f>B13*1000</f>
        <v>6778000</v>
      </c>
      <c r="C22" s="16">
        <f t="shared" ref="C22:M22" si="4">C13*1000</f>
        <v>7344000</v>
      </c>
      <c r="D22" s="16">
        <f t="shared" si="4"/>
        <v>7661000</v>
      </c>
      <c r="E22" s="16">
        <f t="shared" si="4"/>
        <v>6787000</v>
      </c>
      <c r="F22" s="16">
        <f t="shared" si="4"/>
        <v>8698000</v>
      </c>
      <c r="G22" s="16">
        <f t="shared" si="4"/>
        <v>8410000</v>
      </c>
      <c r="H22" s="16">
        <f t="shared" si="4"/>
        <v>8218000</v>
      </c>
      <c r="I22" s="16">
        <f t="shared" si="4"/>
        <v>7968000</v>
      </c>
      <c r="J22" s="16">
        <f t="shared" si="4"/>
        <v>7910000</v>
      </c>
      <c r="K22" s="16">
        <f t="shared" si="4"/>
        <v>9331000</v>
      </c>
      <c r="L22" s="16">
        <f t="shared" si="4"/>
        <v>9120000</v>
      </c>
      <c r="M22" s="16">
        <f t="shared" si="4"/>
        <v>6106000</v>
      </c>
      <c r="N22" s="283">
        <f>N13*1000</f>
        <v>0</v>
      </c>
      <c r="O22" s="16">
        <f t="shared" ref="O22:Y22" si="5">O13*1000</f>
        <v>0</v>
      </c>
      <c r="P22" s="16">
        <f t="shared" si="5"/>
        <v>0</v>
      </c>
      <c r="Q22" s="16">
        <f t="shared" si="5"/>
        <v>0</v>
      </c>
      <c r="R22" s="16">
        <f t="shared" si="5"/>
        <v>0</v>
      </c>
      <c r="S22" s="16">
        <f t="shared" si="5"/>
        <v>0</v>
      </c>
      <c r="T22" s="16">
        <f t="shared" si="5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16">
        <f t="shared" si="5"/>
        <v>0</v>
      </c>
      <c r="Y22" s="284">
        <f t="shared" si="5"/>
        <v>0</v>
      </c>
    </row>
    <row r="23" spans="1:25" s="96" customFormat="1" x14ac:dyDescent="0.25">
      <c r="A23" s="15" t="s">
        <v>91</v>
      </c>
      <c r="B23" s="16">
        <f>B16</f>
        <v>4540992</v>
      </c>
      <c r="C23" s="16">
        <f t="shared" ref="C23:M23" si="6">C16</f>
        <v>3956054</v>
      </c>
      <c r="D23" s="16">
        <f t="shared" si="6"/>
        <v>4430942</v>
      </c>
      <c r="E23" s="16">
        <f t="shared" si="6"/>
        <v>4401499</v>
      </c>
      <c r="F23" s="16">
        <f t="shared" si="6"/>
        <v>3422650</v>
      </c>
      <c r="G23" s="16">
        <f t="shared" si="6"/>
        <v>5199282</v>
      </c>
      <c r="H23" s="16">
        <f t="shared" si="6"/>
        <v>5285904</v>
      </c>
      <c r="I23" s="16">
        <f t="shared" si="6"/>
        <v>3574762</v>
      </c>
      <c r="J23" s="16">
        <f t="shared" si="6"/>
        <v>1217290</v>
      </c>
      <c r="K23" s="16">
        <f t="shared" si="6"/>
        <v>5319072</v>
      </c>
      <c r="L23" s="16">
        <f t="shared" si="6"/>
        <v>5044762</v>
      </c>
      <c r="M23" s="16">
        <f t="shared" si="6"/>
        <v>4509437</v>
      </c>
      <c r="N23" s="283">
        <f>N16</f>
        <v>0</v>
      </c>
      <c r="O23" s="16">
        <f t="shared" ref="O23:Y23" si="7">O16</f>
        <v>0</v>
      </c>
      <c r="P23" s="16">
        <f t="shared" si="7"/>
        <v>0</v>
      </c>
      <c r="Q23" s="16">
        <f t="shared" si="7"/>
        <v>0</v>
      </c>
      <c r="R23" s="16">
        <f t="shared" si="7"/>
        <v>0</v>
      </c>
      <c r="S23" s="16">
        <f t="shared" si="7"/>
        <v>0</v>
      </c>
      <c r="T23" s="16">
        <f t="shared" si="7"/>
        <v>0</v>
      </c>
      <c r="U23" s="16">
        <f t="shared" si="7"/>
        <v>0</v>
      </c>
      <c r="V23" s="16">
        <f t="shared" si="7"/>
        <v>0</v>
      </c>
      <c r="W23" s="16">
        <f t="shared" si="7"/>
        <v>0</v>
      </c>
      <c r="X23" s="16">
        <f t="shared" si="7"/>
        <v>0</v>
      </c>
      <c r="Y23" s="284">
        <f t="shared" si="7"/>
        <v>0</v>
      </c>
    </row>
    <row r="24" spans="1:25" s="96" customFormat="1" x14ac:dyDescent="0.25">
      <c r="A24" s="15" t="s">
        <v>92</v>
      </c>
      <c r="B24" s="16">
        <f>B18</f>
        <v>4540992</v>
      </c>
      <c r="C24" s="16">
        <f t="shared" ref="C24:M24" si="8">C18</f>
        <v>3956054</v>
      </c>
      <c r="D24" s="16">
        <f t="shared" si="8"/>
        <v>4430942</v>
      </c>
      <c r="E24" s="16">
        <f t="shared" si="8"/>
        <v>4401499</v>
      </c>
      <c r="F24" s="16">
        <f t="shared" si="8"/>
        <v>3422650</v>
      </c>
      <c r="G24" s="16">
        <f t="shared" si="8"/>
        <v>5199282</v>
      </c>
      <c r="H24" s="16">
        <f t="shared" si="8"/>
        <v>5285904</v>
      </c>
      <c r="I24" s="16">
        <f t="shared" si="8"/>
        <v>3574762</v>
      </c>
      <c r="J24" s="16">
        <f t="shared" si="8"/>
        <v>1217290</v>
      </c>
      <c r="K24" s="16">
        <f t="shared" si="8"/>
        <v>5319072</v>
      </c>
      <c r="L24" s="16">
        <f t="shared" si="8"/>
        <v>5044762</v>
      </c>
      <c r="M24" s="16">
        <f t="shared" si="8"/>
        <v>4509437</v>
      </c>
      <c r="N24" s="283">
        <f>N18</f>
        <v>0</v>
      </c>
      <c r="O24" s="16">
        <f t="shared" ref="O24:Y24" si="9">O18</f>
        <v>0</v>
      </c>
      <c r="P24" s="16">
        <f t="shared" si="9"/>
        <v>0</v>
      </c>
      <c r="Q24" s="16">
        <f t="shared" si="9"/>
        <v>0</v>
      </c>
      <c r="R24" s="16">
        <f t="shared" si="9"/>
        <v>0</v>
      </c>
      <c r="S24" s="16">
        <f t="shared" si="9"/>
        <v>0</v>
      </c>
      <c r="T24" s="16">
        <f t="shared" si="9"/>
        <v>0</v>
      </c>
      <c r="U24" s="16">
        <f t="shared" si="9"/>
        <v>0</v>
      </c>
      <c r="V24" s="16">
        <f t="shared" si="9"/>
        <v>0</v>
      </c>
      <c r="W24" s="16">
        <f t="shared" si="9"/>
        <v>0</v>
      </c>
      <c r="X24" s="16">
        <f t="shared" si="9"/>
        <v>0</v>
      </c>
      <c r="Y24" s="284">
        <f t="shared" si="9"/>
        <v>0</v>
      </c>
    </row>
    <row r="25" spans="1:25" s="96" customFormat="1" ht="13.8" thickBot="1" x14ac:dyDescent="0.3">
      <c r="A25" s="15" t="s">
        <v>67</v>
      </c>
      <c r="B25" s="97">
        <f>SUM(B21:B24)</f>
        <v>21293984</v>
      </c>
      <c r="C25" s="97">
        <f t="shared" ref="C25:M25" si="10">SUM(C21:C24)</f>
        <v>20344108</v>
      </c>
      <c r="D25" s="97">
        <f t="shared" si="10"/>
        <v>23597884</v>
      </c>
      <c r="E25" s="97">
        <f t="shared" si="10"/>
        <v>22386998</v>
      </c>
      <c r="F25" s="97">
        <f t="shared" si="10"/>
        <v>23799300</v>
      </c>
      <c r="G25" s="97">
        <f t="shared" si="10"/>
        <v>23781564</v>
      </c>
      <c r="H25" s="97">
        <f t="shared" si="10"/>
        <v>25720808</v>
      </c>
      <c r="I25" s="97">
        <f t="shared" si="10"/>
        <v>23047524</v>
      </c>
      <c r="J25" s="97">
        <f t="shared" si="10"/>
        <v>10363580</v>
      </c>
      <c r="K25" s="97">
        <f t="shared" si="10"/>
        <v>25518144</v>
      </c>
      <c r="L25" s="97">
        <f t="shared" si="10"/>
        <v>26620524</v>
      </c>
      <c r="M25" s="97">
        <f t="shared" si="10"/>
        <v>20442874</v>
      </c>
      <c r="N25" s="289">
        <f t="shared" ref="N25:Y25" si="11">SUM(N21:N24)</f>
        <v>0</v>
      </c>
      <c r="O25" s="97">
        <f t="shared" si="11"/>
        <v>0</v>
      </c>
      <c r="P25" s="97">
        <f t="shared" si="11"/>
        <v>0</v>
      </c>
      <c r="Q25" s="97">
        <f t="shared" si="11"/>
        <v>0</v>
      </c>
      <c r="R25" s="97">
        <f t="shared" si="11"/>
        <v>0</v>
      </c>
      <c r="S25" s="97">
        <f t="shared" si="11"/>
        <v>0</v>
      </c>
      <c r="T25" s="97">
        <f t="shared" si="11"/>
        <v>0</v>
      </c>
      <c r="U25" s="97">
        <f t="shared" si="11"/>
        <v>0</v>
      </c>
      <c r="V25" s="97">
        <f t="shared" si="11"/>
        <v>0</v>
      </c>
      <c r="W25" s="97">
        <f t="shared" si="11"/>
        <v>0</v>
      </c>
      <c r="X25" s="97">
        <f t="shared" si="11"/>
        <v>0</v>
      </c>
      <c r="Y25" s="290">
        <f t="shared" si="11"/>
        <v>0</v>
      </c>
    </row>
    <row r="26" spans="1:25" ht="12.75" customHeight="1" thickTop="1" x14ac:dyDescent="0.25">
      <c r="A26" s="17"/>
      <c r="B26" s="1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7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278"/>
    </row>
    <row r="27" spans="1:25" x14ac:dyDescent="0.25">
      <c r="A27" s="50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285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286"/>
    </row>
    <row r="28" spans="1:25" x14ac:dyDescent="0.25">
      <c r="A28" s="95" t="s">
        <v>95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285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286"/>
    </row>
    <row r="29" spans="1:25" s="6" customFormat="1" ht="11.4" x14ac:dyDescent="0.2">
      <c r="A29" s="71" t="s">
        <v>34</v>
      </c>
      <c r="B29" s="77">
        <v>31</v>
      </c>
      <c r="C29" s="77">
        <v>28</v>
      </c>
      <c r="D29" s="77">
        <v>31</v>
      </c>
      <c r="E29" s="77">
        <v>30</v>
      </c>
      <c r="F29" s="77">
        <v>31</v>
      </c>
      <c r="G29" s="77">
        <v>30</v>
      </c>
      <c r="H29" s="77">
        <v>31</v>
      </c>
      <c r="I29" s="77">
        <v>31</v>
      </c>
      <c r="J29" s="77">
        <v>30</v>
      </c>
      <c r="K29" s="77">
        <v>31</v>
      </c>
      <c r="L29" s="77">
        <v>30</v>
      </c>
      <c r="M29" s="77">
        <v>31</v>
      </c>
      <c r="N29" s="291">
        <v>31</v>
      </c>
      <c r="O29" s="77">
        <v>28</v>
      </c>
      <c r="P29" s="77">
        <v>31</v>
      </c>
      <c r="Q29" s="77">
        <v>30</v>
      </c>
      <c r="R29" s="77">
        <v>31</v>
      </c>
      <c r="S29" s="77">
        <v>30</v>
      </c>
      <c r="T29" s="77">
        <v>31</v>
      </c>
      <c r="U29" s="77">
        <v>31</v>
      </c>
      <c r="V29" s="77">
        <v>30</v>
      </c>
      <c r="W29" s="77">
        <v>31</v>
      </c>
      <c r="X29" s="77">
        <v>30</v>
      </c>
      <c r="Y29" s="292">
        <v>31</v>
      </c>
    </row>
    <row r="30" spans="1:25" x14ac:dyDescent="0.25">
      <c r="A30" s="71" t="s">
        <v>36</v>
      </c>
      <c r="B30" s="72">
        <f>(B23*1.34)/(10000*24*B29)</f>
        <v>0.81786683870967747</v>
      </c>
      <c r="C30" s="72">
        <f t="shared" ref="C30:M30" si="12">(C23*1.34)/(10000*24*C29)</f>
        <v>0.78885600595238103</v>
      </c>
      <c r="D30" s="72">
        <f t="shared" si="12"/>
        <v>0.79804600537634407</v>
      </c>
      <c r="E30" s="72">
        <f t="shared" si="12"/>
        <v>0.81916786944444442</v>
      </c>
      <c r="F30" s="72">
        <f t="shared" si="12"/>
        <v>0.61644502688172043</v>
      </c>
      <c r="G30" s="72">
        <f t="shared" si="12"/>
        <v>0.96764415000000015</v>
      </c>
      <c r="H30" s="72">
        <f t="shared" si="12"/>
        <v>0.95203109677419362</v>
      </c>
      <c r="I30" s="72">
        <f t="shared" si="12"/>
        <v>0.64384154301075269</v>
      </c>
      <c r="J30" s="72">
        <f t="shared" si="12"/>
        <v>0.22655119444444446</v>
      </c>
      <c r="K30" s="72">
        <f t="shared" si="12"/>
        <v>0.95800490322580656</v>
      </c>
      <c r="L30" s="72">
        <f t="shared" si="12"/>
        <v>0.93888626111111118</v>
      </c>
      <c r="M30" s="72">
        <f t="shared" si="12"/>
        <v>0.8121835456989247</v>
      </c>
      <c r="N30" s="293">
        <f t="shared" ref="N30:Y30" si="13">(N23*1.34)/(10000*24*N29)</f>
        <v>0</v>
      </c>
      <c r="O30" s="72">
        <f t="shared" si="13"/>
        <v>0</v>
      </c>
      <c r="P30" s="72">
        <f t="shared" si="13"/>
        <v>0</v>
      </c>
      <c r="Q30" s="72">
        <f t="shared" si="13"/>
        <v>0</v>
      </c>
      <c r="R30" s="72">
        <f t="shared" si="13"/>
        <v>0</v>
      </c>
      <c r="S30" s="72">
        <f t="shared" si="13"/>
        <v>0</v>
      </c>
      <c r="T30" s="72">
        <f t="shared" si="13"/>
        <v>0</v>
      </c>
      <c r="U30" s="72">
        <f t="shared" si="13"/>
        <v>0</v>
      </c>
      <c r="V30" s="72">
        <f t="shared" si="13"/>
        <v>0</v>
      </c>
      <c r="W30" s="72">
        <f t="shared" si="13"/>
        <v>0</v>
      </c>
      <c r="X30" s="72">
        <f t="shared" si="13"/>
        <v>0</v>
      </c>
      <c r="Y30" s="294">
        <f t="shared" si="13"/>
        <v>0</v>
      </c>
    </row>
    <row r="31" spans="1:25" x14ac:dyDescent="0.25">
      <c r="N31" s="1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6"/>
    </row>
    <row r="32" spans="1:25" x14ac:dyDescent="0.25">
      <c r="A32" s="213" t="s">
        <v>177</v>
      </c>
      <c r="N32" s="1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6"/>
    </row>
    <row r="33" spans="1:25" x14ac:dyDescent="0.25">
      <c r="A33" s="262" t="s">
        <v>185</v>
      </c>
      <c r="B33" s="261">
        <f>B23*1.34</f>
        <v>6084929.2800000003</v>
      </c>
      <c r="C33" s="261">
        <f t="shared" ref="C33:M33" si="14">C23*1.34</f>
        <v>5301112.3600000003</v>
      </c>
      <c r="D33" s="261">
        <f t="shared" si="14"/>
        <v>5937462.2800000003</v>
      </c>
      <c r="E33" s="261">
        <f t="shared" si="14"/>
        <v>5898008.6600000001</v>
      </c>
      <c r="F33" s="261">
        <f t="shared" si="14"/>
        <v>4586351</v>
      </c>
      <c r="G33" s="261">
        <f t="shared" si="14"/>
        <v>6967037.8800000008</v>
      </c>
      <c r="H33" s="261">
        <f t="shared" si="14"/>
        <v>7083111.3600000003</v>
      </c>
      <c r="I33" s="261">
        <f t="shared" si="14"/>
        <v>4790181.08</v>
      </c>
      <c r="J33" s="261">
        <f t="shared" si="14"/>
        <v>1631168.6</v>
      </c>
      <c r="K33" s="261">
        <f t="shared" si="14"/>
        <v>7127556.4800000004</v>
      </c>
      <c r="L33" s="261">
        <f t="shared" si="14"/>
        <v>6759981.0800000001</v>
      </c>
      <c r="M33" s="261">
        <f t="shared" si="14"/>
        <v>6042645.5800000001</v>
      </c>
      <c r="N33" s="297">
        <f t="shared" ref="N33:Y33" si="15">N23*1.34</f>
        <v>0</v>
      </c>
      <c r="O33" s="298">
        <f t="shared" si="15"/>
        <v>0</v>
      </c>
      <c r="P33" s="298">
        <f t="shared" si="15"/>
        <v>0</v>
      </c>
      <c r="Q33" s="298">
        <f t="shared" si="15"/>
        <v>0</v>
      </c>
      <c r="R33" s="298">
        <f t="shared" si="15"/>
        <v>0</v>
      </c>
      <c r="S33" s="298">
        <f t="shared" si="15"/>
        <v>0</v>
      </c>
      <c r="T33" s="298">
        <f t="shared" si="15"/>
        <v>0</v>
      </c>
      <c r="U33" s="298">
        <f t="shared" si="15"/>
        <v>0</v>
      </c>
      <c r="V33" s="298">
        <f t="shared" si="15"/>
        <v>0</v>
      </c>
      <c r="W33" s="298">
        <f t="shared" si="15"/>
        <v>0</v>
      </c>
      <c r="X33" s="298">
        <f t="shared" si="15"/>
        <v>0</v>
      </c>
      <c r="Y33" s="299">
        <f t="shared" si="15"/>
        <v>0</v>
      </c>
    </row>
    <row r="34" spans="1:25" ht="13.8" thickBot="1" x14ac:dyDescent="0.3">
      <c r="A34" s="265" t="s">
        <v>184</v>
      </c>
      <c r="B34" s="267" t="s">
        <v>178</v>
      </c>
      <c r="C34" s="261"/>
      <c r="D34" s="261">
        <f>B33*0.005717</f>
        <v>34787.540693759998</v>
      </c>
      <c r="E34" s="261">
        <f t="shared" ref="E34:M34" si="16">C33*0.005717</f>
        <v>30306.45936212</v>
      </c>
      <c r="F34" s="261">
        <f t="shared" si="16"/>
        <v>33944.471854759999</v>
      </c>
      <c r="G34" s="261">
        <f t="shared" si="16"/>
        <v>33718.915509220002</v>
      </c>
      <c r="H34" s="261">
        <f t="shared" si="16"/>
        <v>26220.168666999998</v>
      </c>
      <c r="I34" s="261">
        <f t="shared" si="16"/>
        <v>39830.555559960005</v>
      </c>
      <c r="J34" s="261">
        <f>H33*0.005717</f>
        <v>40494.14764512</v>
      </c>
      <c r="K34" s="261">
        <f t="shared" si="16"/>
        <v>27385.465234359999</v>
      </c>
      <c r="L34" s="261">
        <f t="shared" si="16"/>
        <v>9325.3908862000008</v>
      </c>
      <c r="M34" s="261">
        <f t="shared" si="16"/>
        <v>40748.240396159999</v>
      </c>
      <c r="N34" s="297">
        <f t="shared" ref="N34:Y34" si="17">L33*0.005717</f>
        <v>38646.81183436</v>
      </c>
      <c r="O34" s="298">
        <f t="shared" si="17"/>
        <v>34545.804780860002</v>
      </c>
      <c r="P34" s="298">
        <f t="shared" si="17"/>
        <v>0</v>
      </c>
      <c r="Q34" s="298">
        <f t="shared" si="17"/>
        <v>0</v>
      </c>
      <c r="R34" s="298">
        <f t="shared" si="17"/>
        <v>0</v>
      </c>
      <c r="S34" s="298">
        <f t="shared" si="17"/>
        <v>0</v>
      </c>
      <c r="T34" s="298">
        <f t="shared" si="17"/>
        <v>0</v>
      </c>
      <c r="U34" s="298">
        <f t="shared" si="17"/>
        <v>0</v>
      </c>
      <c r="V34" s="298">
        <f t="shared" si="17"/>
        <v>0</v>
      </c>
      <c r="W34" s="298">
        <f t="shared" si="17"/>
        <v>0</v>
      </c>
      <c r="X34" s="298">
        <f t="shared" si="17"/>
        <v>0</v>
      </c>
      <c r="Y34" s="298">
        <f t="shared" si="17"/>
        <v>0</v>
      </c>
    </row>
    <row r="35" spans="1:25" ht="13.8" thickTop="1" x14ac:dyDescent="0.25">
      <c r="A35" s="262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97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9"/>
    </row>
    <row r="36" spans="1:25" x14ac:dyDescent="0.25">
      <c r="A36" s="272" t="s">
        <v>183</v>
      </c>
      <c r="N36" s="1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6"/>
    </row>
    <row r="37" spans="1:25" x14ac:dyDescent="0.25">
      <c r="A37" s="262" t="s">
        <v>175</v>
      </c>
      <c r="B37" s="96">
        <f>10000*24*B29*0.6*0.005717</f>
        <v>25520.687999999998</v>
      </c>
      <c r="C37" s="96">
        <f>10000*24*C29*0.6*0.005717</f>
        <v>23050.944</v>
      </c>
      <c r="D37" s="96">
        <f>10000*24*D29*0.6*0.005717</f>
        <v>25520.687999999998</v>
      </c>
      <c r="E37" s="96">
        <f t="shared" ref="E37:M37" si="18">10000*24*E29*0.6*0.005717</f>
        <v>24697.439999999999</v>
      </c>
      <c r="F37" s="96">
        <f t="shared" si="18"/>
        <v>25520.687999999998</v>
      </c>
      <c r="G37" s="96">
        <f t="shared" si="18"/>
        <v>24697.439999999999</v>
      </c>
      <c r="H37" s="96">
        <f t="shared" si="18"/>
        <v>25520.687999999998</v>
      </c>
      <c r="I37" s="96">
        <f t="shared" si="18"/>
        <v>25520.687999999998</v>
      </c>
      <c r="J37" s="96">
        <f t="shared" si="18"/>
        <v>24697.439999999999</v>
      </c>
      <c r="K37" s="96">
        <f t="shared" si="18"/>
        <v>25520.687999999998</v>
      </c>
      <c r="L37" s="96">
        <f t="shared" si="18"/>
        <v>24697.439999999999</v>
      </c>
      <c r="M37" s="96">
        <f t="shared" si="18"/>
        <v>25520.687999999998</v>
      </c>
      <c r="N37" s="300">
        <f>10000*24*N29*0.6*0.005717</f>
        <v>25520.687999999998</v>
      </c>
      <c r="O37" s="301">
        <f>10000*24*O29*0.6*0.005717</f>
        <v>23050.944</v>
      </c>
      <c r="P37" s="301">
        <f>10000*24*P29*0.6*0.005717</f>
        <v>25520.687999999998</v>
      </c>
      <c r="Q37" s="301">
        <f t="shared" ref="Q37:Y37" si="19">10000*24*Q29*0.6*0.005717</f>
        <v>24697.439999999999</v>
      </c>
      <c r="R37" s="301">
        <f t="shared" si="19"/>
        <v>25520.687999999998</v>
      </c>
      <c r="S37" s="301">
        <f t="shared" si="19"/>
        <v>24697.439999999999</v>
      </c>
      <c r="T37" s="301">
        <f t="shared" si="19"/>
        <v>25520.687999999998</v>
      </c>
      <c r="U37" s="301">
        <f t="shared" si="19"/>
        <v>25520.687999999998</v>
      </c>
      <c r="V37" s="301">
        <f t="shared" si="19"/>
        <v>24697.439999999999</v>
      </c>
      <c r="W37" s="301">
        <f t="shared" si="19"/>
        <v>25520.687999999998</v>
      </c>
      <c r="X37" s="301">
        <f t="shared" si="19"/>
        <v>24697.439999999999</v>
      </c>
      <c r="Y37" s="302">
        <f t="shared" si="19"/>
        <v>25520.687999999998</v>
      </c>
    </row>
    <row r="38" spans="1:25" x14ac:dyDescent="0.25">
      <c r="A38" s="262" t="s">
        <v>176</v>
      </c>
      <c r="B38" s="261">
        <v>81605</v>
      </c>
      <c r="C38" s="261">
        <v>81605</v>
      </c>
      <c r="D38" s="261">
        <v>81605</v>
      </c>
      <c r="E38" s="261">
        <v>81606</v>
      </c>
      <c r="F38" s="261">
        <v>81607</v>
      </c>
      <c r="G38" s="261">
        <v>81608</v>
      </c>
      <c r="H38" s="261">
        <v>81609</v>
      </c>
      <c r="I38" s="261">
        <v>81610</v>
      </c>
      <c r="J38" s="261">
        <v>81611</v>
      </c>
      <c r="K38" s="261">
        <v>81612</v>
      </c>
      <c r="L38" s="261">
        <v>81613</v>
      </c>
      <c r="M38" s="261">
        <v>81614</v>
      </c>
      <c r="N38" s="297">
        <v>81605</v>
      </c>
      <c r="O38" s="298">
        <v>81605</v>
      </c>
      <c r="P38" s="298">
        <v>81605</v>
      </c>
      <c r="Q38" s="298">
        <v>81606</v>
      </c>
      <c r="R38" s="298">
        <v>81607</v>
      </c>
      <c r="S38" s="298">
        <v>81608</v>
      </c>
      <c r="T38" s="298">
        <v>81609</v>
      </c>
      <c r="U38" s="298">
        <v>81610</v>
      </c>
      <c r="V38" s="298">
        <v>81611</v>
      </c>
      <c r="W38" s="298">
        <v>81612</v>
      </c>
      <c r="X38" s="298">
        <v>81613</v>
      </c>
      <c r="Y38" s="299">
        <v>81614</v>
      </c>
    </row>
    <row r="39" spans="1:25" ht="13.8" thickBot="1" x14ac:dyDescent="0.3">
      <c r="A39" s="266" t="s">
        <v>179</v>
      </c>
      <c r="B39" s="267" t="s">
        <v>178</v>
      </c>
      <c r="C39" s="268"/>
      <c r="D39" s="269">
        <f>D34-B37</f>
        <v>9266.85269376</v>
      </c>
      <c r="E39" s="269">
        <f t="shared" ref="E39:M39" si="20">E34-C37</f>
        <v>7255.5153621200006</v>
      </c>
      <c r="F39" s="269">
        <f t="shared" si="20"/>
        <v>8423.7838547600004</v>
      </c>
      <c r="G39" s="269">
        <f t="shared" si="20"/>
        <v>9021.475509220003</v>
      </c>
      <c r="H39" s="269">
        <f t="shared" si="20"/>
        <v>699.48066699999981</v>
      </c>
      <c r="I39" s="269">
        <f t="shared" si="20"/>
        <v>15133.115559960006</v>
      </c>
      <c r="J39" s="269">
        <f t="shared" si="20"/>
        <v>14973.459645120001</v>
      </c>
      <c r="K39" s="269">
        <f>K34-I37</f>
        <v>1864.7772343600009</v>
      </c>
      <c r="L39" s="269">
        <f t="shared" si="20"/>
        <v>-15372.049113799998</v>
      </c>
      <c r="M39" s="269">
        <f t="shared" si="20"/>
        <v>15227.552396160001</v>
      </c>
      <c r="N39" s="303">
        <f>N34-L37</f>
        <v>13949.371834360001</v>
      </c>
      <c r="O39" s="269">
        <f>O34-M37</f>
        <v>9025.1167808600039</v>
      </c>
      <c r="P39" s="269" t="s">
        <v>35</v>
      </c>
      <c r="Q39" s="269" t="s">
        <v>35</v>
      </c>
      <c r="R39" s="269" t="s">
        <v>35</v>
      </c>
      <c r="S39" s="269" t="s">
        <v>35</v>
      </c>
      <c r="T39" s="269" t="s">
        <v>35</v>
      </c>
      <c r="U39" s="269" t="s">
        <v>35</v>
      </c>
      <c r="V39" s="269" t="s">
        <v>35</v>
      </c>
      <c r="W39" s="269" t="s">
        <v>35</v>
      </c>
      <c r="X39" s="269" t="s">
        <v>35</v>
      </c>
      <c r="Y39" s="306" t="s">
        <v>35</v>
      </c>
    </row>
    <row r="40" spans="1:25" ht="13.8" thickTop="1" x14ac:dyDescent="0.25">
      <c r="A40" s="333" t="s">
        <v>182</v>
      </c>
      <c r="B40" s="354">
        <f>SUM(B37:B39)</f>
        <v>107125.68799999999</v>
      </c>
      <c r="C40" s="354">
        <f t="shared" ref="C40:M40" si="21">SUM(C37:C39)</f>
        <v>104655.944</v>
      </c>
      <c r="D40" s="354">
        <f t="shared" si="21"/>
        <v>116392.54069375999</v>
      </c>
      <c r="E40" s="354">
        <f t="shared" si="21"/>
        <v>113558.95536212</v>
      </c>
      <c r="F40" s="354">
        <f t="shared" si="21"/>
        <v>115551.47185475999</v>
      </c>
      <c r="G40" s="354">
        <f t="shared" si="21"/>
        <v>115326.91550922001</v>
      </c>
      <c r="H40" s="354">
        <f t="shared" si="21"/>
        <v>107829.16866699999</v>
      </c>
      <c r="I40" s="354">
        <f t="shared" si="21"/>
        <v>122263.80355996</v>
      </c>
      <c r="J40" s="354">
        <f t="shared" si="21"/>
        <v>121281.89964512001</v>
      </c>
      <c r="K40" s="354">
        <f t="shared" si="21"/>
        <v>108997.46523435999</v>
      </c>
      <c r="L40" s="354">
        <f t="shared" si="21"/>
        <v>90938.39088620001</v>
      </c>
      <c r="M40" s="354">
        <f t="shared" si="21"/>
        <v>122362.24039615999</v>
      </c>
      <c r="N40" s="355">
        <f t="shared" ref="N40:Y40" si="22">SUM(N37:N39)</f>
        <v>121075.05983436</v>
      </c>
      <c r="O40" s="344">
        <f t="shared" si="22"/>
        <v>113681.06078086</v>
      </c>
      <c r="P40" s="344">
        <f t="shared" si="22"/>
        <v>107125.68799999999</v>
      </c>
      <c r="Q40" s="344">
        <f t="shared" si="22"/>
        <v>106303.44</v>
      </c>
      <c r="R40" s="344">
        <f t="shared" si="22"/>
        <v>107127.68799999999</v>
      </c>
      <c r="S40" s="344">
        <f t="shared" si="22"/>
        <v>106305.44</v>
      </c>
      <c r="T40" s="344">
        <f t="shared" si="22"/>
        <v>107129.68799999999</v>
      </c>
      <c r="U40" s="344">
        <f t="shared" si="22"/>
        <v>107130.68799999999</v>
      </c>
      <c r="V40" s="344">
        <f t="shared" si="22"/>
        <v>106308.44</v>
      </c>
      <c r="W40" s="344">
        <f t="shared" si="22"/>
        <v>107132.68799999999</v>
      </c>
      <c r="X40" s="344">
        <f t="shared" si="22"/>
        <v>106310.44</v>
      </c>
      <c r="Y40" s="345">
        <f t="shared" si="22"/>
        <v>107134.68799999999</v>
      </c>
    </row>
    <row r="41" spans="1:25" x14ac:dyDescent="0.25">
      <c r="N41" s="1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6"/>
    </row>
    <row r="42" spans="1:25" x14ac:dyDescent="0.25">
      <c r="A42" s="356" t="s">
        <v>180</v>
      </c>
      <c r="B42" s="352">
        <v>102887</v>
      </c>
      <c r="C42" s="352">
        <v>111155</v>
      </c>
      <c r="D42" s="352">
        <v>107566</v>
      </c>
      <c r="E42" s="352">
        <v>105869</v>
      </c>
      <c r="F42" s="352">
        <v>106937</v>
      </c>
      <c r="G42" s="352">
        <v>106768</v>
      </c>
      <c r="H42" s="352">
        <v>101172</v>
      </c>
      <c r="I42" s="352">
        <v>111329</v>
      </c>
      <c r="J42" s="352">
        <v>111001</v>
      </c>
      <c r="K42" s="352">
        <v>102042</v>
      </c>
      <c r="L42" s="352">
        <v>87741</v>
      </c>
      <c r="M42" s="352">
        <v>112014</v>
      </c>
      <c r="N42" s="353">
        <v>110446</v>
      </c>
      <c r="O42" s="304">
        <v>113681</v>
      </c>
      <c r="P42" s="304">
        <v>0</v>
      </c>
      <c r="Q42" s="304">
        <v>0</v>
      </c>
      <c r="R42" s="304">
        <v>0</v>
      </c>
      <c r="S42" s="304">
        <v>0</v>
      </c>
      <c r="T42" s="304">
        <v>0</v>
      </c>
      <c r="U42" s="304">
        <v>0</v>
      </c>
      <c r="V42" s="304">
        <v>0</v>
      </c>
      <c r="W42" s="304">
        <v>0</v>
      </c>
      <c r="X42" s="304">
        <v>0</v>
      </c>
      <c r="Y42" s="305">
        <v>0</v>
      </c>
    </row>
    <row r="43" spans="1:25" x14ac:dyDescent="0.25">
      <c r="A43" s="6"/>
      <c r="N43" s="1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6"/>
    </row>
    <row r="44" spans="1:25" ht="13.8" thickBot="1" x14ac:dyDescent="0.3">
      <c r="A44" s="271" t="s">
        <v>181</v>
      </c>
      <c r="B44" s="307">
        <f t="shared" ref="B44:M44" si="23">B40-B42</f>
        <v>4238.6879999999946</v>
      </c>
      <c r="C44" s="307">
        <f t="shared" si="23"/>
        <v>-6499.0559999999969</v>
      </c>
      <c r="D44" s="307">
        <f t="shared" si="23"/>
        <v>8826.540693759991</v>
      </c>
      <c r="E44" s="307">
        <f t="shared" si="23"/>
        <v>7689.955362120003</v>
      </c>
      <c r="F44" s="307">
        <f t="shared" si="23"/>
        <v>8614.4718547599914</v>
      </c>
      <c r="G44" s="307">
        <f t="shared" si="23"/>
        <v>8558.915509220009</v>
      </c>
      <c r="H44" s="307">
        <f t="shared" si="23"/>
        <v>6657.1686669999908</v>
      </c>
      <c r="I44" s="307">
        <f t="shared" si="23"/>
        <v>10934.803559959997</v>
      </c>
      <c r="J44" s="307">
        <f t="shared" si="23"/>
        <v>10280.899645120007</v>
      </c>
      <c r="K44" s="307">
        <f t="shared" si="23"/>
        <v>6955.4652343599882</v>
      </c>
      <c r="L44" s="307">
        <f t="shared" si="23"/>
        <v>3197.3908862000098</v>
      </c>
      <c r="M44" s="307">
        <f t="shared" si="23"/>
        <v>10348.240396159992</v>
      </c>
      <c r="N44" s="308">
        <f t="shared" ref="N44:Y44" si="24">N40-N42</f>
        <v>10629.05983436</v>
      </c>
      <c r="O44" s="309">
        <f t="shared" si="24"/>
        <v>6.078086000343319E-2</v>
      </c>
      <c r="P44" s="309">
        <f t="shared" si="24"/>
        <v>107125.68799999999</v>
      </c>
      <c r="Q44" s="309">
        <f t="shared" si="24"/>
        <v>106303.44</v>
      </c>
      <c r="R44" s="309">
        <f t="shared" si="24"/>
        <v>107127.68799999999</v>
      </c>
      <c r="S44" s="309">
        <f t="shared" si="24"/>
        <v>106305.44</v>
      </c>
      <c r="T44" s="309">
        <f t="shared" si="24"/>
        <v>107129.68799999999</v>
      </c>
      <c r="U44" s="309">
        <f t="shared" si="24"/>
        <v>107130.68799999999</v>
      </c>
      <c r="V44" s="309">
        <f t="shared" si="24"/>
        <v>106308.44</v>
      </c>
      <c r="W44" s="309">
        <f t="shared" si="24"/>
        <v>107132.68799999999</v>
      </c>
      <c r="X44" s="309">
        <f t="shared" si="24"/>
        <v>106310.44</v>
      </c>
      <c r="Y44" s="310">
        <f t="shared" si="24"/>
        <v>107134.68799999999</v>
      </c>
    </row>
    <row r="45" spans="1:25" x14ac:dyDescent="0.25">
      <c r="A45" s="270" t="s">
        <v>35</v>
      </c>
    </row>
  </sheetData>
  <mergeCells count="2">
    <mergeCell ref="B5:M5"/>
    <mergeCell ref="N5:Y5"/>
  </mergeCells>
  <phoneticPr fontId="0" type="noConversion"/>
  <pageMargins left="0.5" right="0.5" top="0.5" bottom="0.5" header="0.5" footer="0.5"/>
  <pageSetup paperSize="5" scale="81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90" zoomScaleNormal="100" workbookViewId="0">
      <selection activeCell="B8" sqref="B8"/>
    </sheetView>
  </sheetViews>
  <sheetFormatPr defaultRowHeight="13.2" x14ac:dyDescent="0.25"/>
  <cols>
    <col min="1" max="1" width="25.33203125" customWidth="1"/>
    <col min="2" max="2" width="13.44140625" bestFit="1" customWidth="1"/>
    <col min="3" max="3" width="13" bestFit="1" customWidth="1"/>
    <col min="4" max="5" width="13.44140625" bestFit="1" customWidth="1"/>
    <col min="6" max="7" width="13" bestFit="1" customWidth="1"/>
    <col min="8" max="9" width="13.44140625" bestFit="1" customWidth="1"/>
    <col min="10" max="13" width="13" bestFit="1" customWidth="1"/>
    <col min="14" max="14" width="5.5546875" customWidth="1"/>
    <col min="15" max="15" width="16.109375" bestFit="1" customWidth="1"/>
    <col min="16" max="16" width="14.6640625" bestFit="1" customWidth="1"/>
    <col min="17" max="17" width="13.5546875" style="43" bestFit="1" customWidth="1"/>
    <col min="18" max="18" width="19" bestFit="1" customWidth="1"/>
  </cols>
  <sheetData>
    <row r="1" spans="1:18" s="26" customFormat="1" ht="13.8" x14ac:dyDescent="0.25">
      <c r="A1" s="30" t="s">
        <v>27</v>
      </c>
      <c r="Q1" s="40"/>
    </row>
    <row r="2" spans="1:18" s="26" customFormat="1" ht="13.8" x14ac:dyDescent="0.25">
      <c r="A2" s="30" t="s">
        <v>30</v>
      </c>
      <c r="Q2" s="40"/>
    </row>
    <row r="3" spans="1:18" s="26" customFormat="1" ht="14.4" thickBot="1" x14ac:dyDescent="0.3">
      <c r="A3" s="31">
        <f ca="1">TODAY()</f>
        <v>37285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40"/>
    </row>
    <row r="4" spans="1:18" s="6" customFormat="1" ht="11.4" x14ac:dyDescent="0.2">
      <c r="Q4" s="41"/>
    </row>
    <row r="5" spans="1:18" s="6" customFormat="1" ht="12" x14ac:dyDescent="0.25">
      <c r="A5" s="17" t="s">
        <v>26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O5" s="8" t="s">
        <v>12</v>
      </c>
      <c r="P5" s="8" t="s">
        <v>13</v>
      </c>
      <c r="Q5" s="41"/>
    </row>
    <row r="6" spans="1:18" s="6" customFormat="1" ht="6" customHeight="1" x14ac:dyDescent="0.2">
      <c r="Q6" s="41"/>
    </row>
    <row r="7" spans="1:18" s="11" customFormat="1" ht="11.4" x14ac:dyDescent="0.2">
      <c r="A7" s="9" t="s">
        <v>21</v>
      </c>
      <c r="B7" s="10">
        <v>168121.75</v>
      </c>
      <c r="C7" s="10">
        <v>168121.75</v>
      </c>
      <c r="D7" s="10">
        <v>168121.75</v>
      </c>
      <c r="E7" s="10">
        <v>168121.75</v>
      </c>
      <c r="F7" s="10">
        <v>168121.75</v>
      </c>
      <c r="G7" s="10">
        <v>168121.75</v>
      </c>
      <c r="H7" s="10">
        <v>168121.75</v>
      </c>
      <c r="I7" s="10">
        <v>168121.75</v>
      </c>
      <c r="J7" s="10">
        <v>168121.75</v>
      </c>
      <c r="K7" s="10">
        <v>168121.75</v>
      </c>
      <c r="L7" s="10">
        <v>0</v>
      </c>
      <c r="M7" s="10">
        <v>0</v>
      </c>
      <c r="O7" s="10">
        <f>SUM(B7:M7)</f>
        <v>1681217.5</v>
      </c>
      <c r="P7" s="10">
        <f>AVERAGE(B7:K7)</f>
        <v>168121.75</v>
      </c>
      <c r="Q7" s="41">
        <f>$B$7*12</f>
        <v>2017461</v>
      </c>
      <c r="R7" s="11" t="s">
        <v>24</v>
      </c>
    </row>
    <row r="8" spans="1:18" s="11" customFormat="1" ht="11.4" x14ac:dyDescent="0.2">
      <c r="A8" s="9" t="s">
        <v>22</v>
      </c>
      <c r="B8" s="10">
        <v>64764.42</v>
      </c>
      <c r="C8" s="10">
        <v>64764.42</v>
      </c>
      <c r="D8" s="10">
        <v>64764.42</v>
      </c>
      <c r="E8" s="10">
        <v>64764.42</v>
      </c>
      <c r="F8" s="10">
        <v>64764.42</v>
      </c>
      <c r="G8" s="10">
        <v>64764.42</v>
      </c>
      <c r="H8" s="10">
        <v>64764.42</v>
      </c>
      <c r="I8" s="10">
        <v>64764.42</v>
      </c>
      <c r="J8" s="10">
        <v>64764.42</v>
      </c>
      <c r="K8" s="10">
        <v>64764.42</v>
      </c>
      <c r="L8" s="10">
        <v>0</v>
      </c>
      <c r="M8" s="10">
        <v>0</v>
      </c>
      <c r="O8" s="10">
        <f>SUM(B8:M8)</f>
        <v>647644.19999999995</v>
      </c>
      <c r="P8" s="10">
        <f>AVERAGE(B8:K8)</f>
        <v>64764.42</v>
      </c>
      <c r="Q8" s="41">
        <f>$B$8*12</f>
        <v>777173.04</v>
      </c>
      <c r="R8" s="11" t="s">
        <v>24</v>
      </c>
    </row>
    <row r="9" spans="1:18" s="11" customFormat="1" ht="11.4" x14ac:dyDescent="0.2">
      <c r="A9" s="9" t="s">
        <v>98</v>
      </c>
      <c r="B9" s="10">
        <f>$Q$9/12</f>
        <v>45189.579999999994</v>
      </c>
      <c r="C9" s="10">
        <f t="shared" ref="C9:M9" si="0">$Q$9/12</f>
        <v>45189.579999999994</v>
      </c>
      <c r="D9" s="10">
        <f t="shared" si="0"/>
        <v>45189.579999999994</v>
      </c>
      <c r="E9" s="10">
        <f t="shared" si="0"/>
        <v>45189.579999999994</v>
      </c>
      <c r="F9" s="10">
        <f t="shared" si="0"/>
        <v>45189.579999999994</v>
      </c>
      <c r="G9" s="10">
        <f t="shared" si="0"/>
        <v>45189.579999999994</v>
      </c>
      <c r="H9" s="10">
        <f t="shared" si="0"/>
        <v>45189.579999999994</v>
      </c>
      <c r="I9" s="10">
        <f t="shared" si="0"/>
        <v>45189.579999999994</v>
      </c>
      <c r="J9" s="10">
        <f t="shared" si="0"/>
        <v>45189.579999999994</v>
      </c>
      <c r="K9" s="10">
        <f t="shared" si="0"/>
        <v>45189.579999999994</v>
      </c>
      <c r="L9" s="10">
        <f t="shared" si="0"/>
        <v>45189.579999999994</v>
      </c>
      <c r="M9" s="10">
        <f t="shared" si="0"/>
        <v>45189.579999999994</v>
      </c>
      <c r="O9" s="10">
        <v>1681217.5</v>
      </c>
      <c r="P9" s="10">
        <f>AVERAGE(B9:M9)</f>
        <v>45189.580000000009</v>
      </c>
      <c r="Q9" s="41">
        <v>542274.96</v>
      </c>
      <c r="R9" s="11" t="s">
        <v>24</v>
      </c>
    </row>
    <row r="10" spans="1:18" s="13" customFormat="1" ht="11.4" x14ac:dyDescent="0.2">
      <c r="A10" s="1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O10" s="16"/>
      <c r="P10" s="37"/>
      <c r="Q10" s="41"/>
    </row>
    <row r="11" spans="1:18" s="13" customFormat="1" ht="11.4" x14ac:dyDescent="0.2">
      <c r="A11" s="38" t="s">
        <v>23</v>
      </c>
      <c r="B11" s="39">
        <f>B7+B8</f>
        <v>232886.16999999998</v>
      </c>
      <c r="C11" s="39">
        <f t="shared" ref="C11:M11" si="1">C7+C8</f>
        <v>232886.16999999998</v>
      </c>
      <c r="D11" s="39">
        <f t="shared" si="1"/>
        <v>232886.16999999998</v>
      </c>
      <c r="E11" s="39">
        <f t="shared" si="1"/>
        <v>232886.16999999998</v>
      </c>
      <c r="F11" s="39">
        <f t="shared" si="1"/>
        <v>232886.16999999998</v>
      </c>
      <c r="G11" s="39">
        <f t="shared" si="1"/>
        <v>232886.16999999998</v>
      </c>
      <c r="H11" s="39">
        <f t="shared" si="1"/>
        <v>232886.16999999998</v>
      </c>
      <c r="I11" s="39">
        <f t="shared" si="1"/>
        <v>232886.16999999998</v>
      </c>
      <c r="J11" s="39">
        <f t="shared" si="1"/>
        <v>232886.16999999998</v>
      </c>
      <c r="K11" s="39">
        <f t="shared" si="1"/>
        <v>232886.16999999998</v>
      </c>
      <c r="L11" s="39">
        <f t="shared" si="1"/>
        <v>0</v>
      </c>
      <c r="M11" s="39">
        <f t="shared" si="1"/>
        <v>0</v>
      </c>
      <c r="O11" s="10">
        <f>SUM(B11:M11)</f>
        <v>2328861.6999999997</v>
      </c>
      <c r="P11" s="10">
        <f>AVERAGE(B11:K11)</f>
        <v>232886.16999999998</v>
      </c>
      <c r="Q11" s="41"/>
    </row>
    <row r="12" spans="1:18" s="6" customFormat="1" ht="11.4" x14ac:dyDescent="0.2">
      <c r="Q12" s="41"/>
    </row>
    <row r="13" spans="1:18" s="22" customFormat="1" ht="12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3"/>
      <c r="P13" s="21"/>
      <c r="Q13" s="42"/>
    </row>
    <row r="14" spans="1:18" s="6" customFormat="1" ht="11.4" x14ac:dyDescent="0.2">
      <c r="Q14" s="41"/>
    </row>
    <row r="15" spans="1:18" s="6" customFormat="1" ht="11.4" x14ac:dyDescent="0.2">
      <c r="Q15" s="41"/>
    </row>
    <row r="16" spans="1:18" s="6" customFormat="1" ht="12" x14ac:dyDescent="0.25">
      <c r="A16" s="24" t="s">
        <v>29</v>
      </c>
      <c r="B16" s="7" t="s">
        <v>0</v>
      </c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7" t="s">
        <v>8</v>
      </c>
      <c r="K16" s="7" t="s">
        <v>9</v>
      </c>
      <c r="L16" s="7" t="s">
        <v>10</v>
      </c>
      <c r="M16" s="7" t="s">
        <v>14</v>
      </c>
      <c r="O16" s="29" t="s">
        <v>15</v>
      </c>
      <c r="P16" s="29" t="s">
        <v>16</v>
      </c>
      <c r="Q16" s="41"/>
    </row>
    <row r="17" spans="1:18" s="6" customFormat="1" ht="11.4" x14ac:dyDescent="0.2">
      <c r="A17" s="17" t="s">
        <v>21</v>
      </c>
      <c r="B17" s="11">
        <f t="shared" ref="B17:M17" si="2">$Q$17/12</f>
        <v>173662.16666666666</v>
      </c>
      <c r="C17" s="11">
        <f t="shared" si="2"/>
        <v>173662.16666666666</v>
      </c>
      <c r="D17" s="11">
        <f t="shared" si="2"/>
        <v>173662.16666666666</v>
      </c>
      <c r="E17" s="11">
        <f t="shared" si="2"/>
        <v>173662.16666666666</v>
      </c>
      <c r="F17" s="11">
        <f t="shared" si="2"/>
        <v>173662.16666666666</v>
      </c>
      <c r="G17" s="11">
        <f t="shared" si="2"/>
        <v>173662.16666666666</v>
      </c>
      <c r="H17" s="11">
        <f t="shared" si="2"/>
        <v>173662.16666666666</v>
      </c>
      <c r="I17" s="11">
        <f t="shared" si="2"/>
        <v>173662.16666666666</v>
      </c>
      <c r="J17" s="11">
        <f t="shared" si="2"/>
        <v>173662.16666666666</v>
      </c>
      <c r="K17" s="11">
        <f t="shared" si="2"/>
        <v>173662.16666666666</v>
      </c>
      <c r="L17" s="11">
        <f t="shared" si="2"/>
        <v>173662.16666666666</v>
      </c>
      <c r="M17" s="11">
        <f t="shared" si="2"/>
        <v>173662.16666666666</v>
      </c>
      <c r="O17" s="11">
        <f>SUM(B17:M17)</f>
        <v>2083946.0000000002</v>
      </c>
      <c r="P17" s="11">
        <f>AVERAGE(B17:M17)</f>
        <v>173662.16666666669</v>
      </c>
      <c r="Q17" s="41">
        <v>2083946</v>
      </c>
      <c r="R17" s="6" t="s">
        <v>28</v>
      </c>
    </row>
    <row r="18" spans="1:18" s="6" customFormat="1" ht="11.4" x14ac:dyDescent="0.2">
      <c r="A18" s="17" t="s">
        <v>22</v>
      </c>
      <c r="B18" s="11">
        <f t="shared" ref="B18:M18" si="3">$Q$18/12</f>
        <v>66435.75</v>
      </c>
      <c r="C18" s="11">
        <f t="shared" si="3"/>
        <v>66435.75</v>
      </c>
      <c r="D18" s="11">
        <f t="shared" si="3"/>
        <v>66435.75</v>
      </c>
      <c r="E18" s="11">
        <f t="shared" si="3"/>
        <v>66435.75</v>
      </c>
      <c r="F18" s="11">
        <f t="shared" si="3"/>
        <v>66435.75</v>
      </c>
      <c r="G18" s="11">
        <f t="shared" si="3"/>
        <v>66435.75</v>
      </c>
      <c r="H18" s="11">
        <f t="shared" si="3"/>
        <v>66435.75</v>
      </c>
      <c r="I18" s="11">
        <f t="shared" si="3"/>
        <v>66435.75</v>
      </c>
      <c r="J18" s="11">
        <f t="shared" si="3"/>
        <v>66435.75</v>
      </c>
      <c r="K18" s="11">
        <f t="shared" si="3"/>
        <v>66435.75</v>
      </c>
      <c r="L18" s="11">
        <f t="shared" si="3"/>
        <v>66435.75</v>
      </c>
      <c r="M18" s="11">
        <f t="shared" si="3"/>
        <v>66435.75</v>
      </c>
      <c r="O18" s="11">
        <f>SUM(B18:M18)</f>
        <v>797229</v>
      </c>
      <c r="P18" s="11">
        <f>AVERAGE(B18:M18)</f>
        <v>66435.75</v>
      </c>
      <c r="Q18" s="41">
        <v>797229</v>
      </c>
      <c r="R18" s="6" t="s">
        <v>28</v>
      </c>
    </row>
    <row r="19" spans="1:18" s="6" customFormat="1" ht="11.4" x14ac:dyDescent="0.2">
      <c r="A19" s="17" t="s">
        <v>98</v>
      </c>
      <c r="B19" s="11">
        <f>$Q$9/12</f>
        <v>45189.579999999994</v>
      </c>
      <c r="C19" s="11">
        <f t="shared" ref="C19:M19" si="4">$Q$9/12</f>
        <v>45189.579999999994</v>
      </c>
      <c r="D19" s="11">
        <f t="shared" si="4"/>
        <v>45189.579999999994</v>
      </c>
      <c r="E19" s="11">
        <f t="shared" si="4"/>
        <v>45189.579999999994</v>
      </c>
      <c r="F19" s="11">
        <f t="shared" si="4"/>
        <v>45189.579999999994</v>
      </c>
      <c r="G19" s="11">
        <f t="shared" si="4"/>
        <v>45189.579999999994</v>
      </c>
      <c r="H19" s="11">
        <f t="shared" si="4"/>
        <v>45189.579999999994</v>
      </c>
      <c r="I19" s="11">
        <f t="shared" si="4"/>
        <v>45189.579999999994</v>
      </c>
      <c r="J19" s="11">
        <f t="shared" si="4"/>
        <v>45189.579999999994</v>
      </c>
      <c r="K19" s="11">
        <f t="shared" si="4"/>
        <v>45189.579999999994</v>
      </c>
      <c r="L19" s="11">
        <f t="shared" si="4"/>
        <v>45189.579999999994</v>
      </c>
      <c r="M19" s="11">
        <f t="shared" si="4"/>
        <v>45189.579999999994</v>
      </c>
      <c r="O19" s="11"/>
      <c r="P19" s="11"/>
      <c r="Q19" s="41"/>
    </row>
    <row r="20" spans="1:18" s="6" customFormat="1" ht="12" thickBot="1" x14ac:dyDescent="0.25">
      <c r="A20" s="44" t="s">
        <v>25</v>
      </c>
      <c r="B20" s="45">
        <f>SUM(B17:B19)</f>
        <v>285287.49666666664</v>
      </c>
      <c r="C20" s="45">
        <f t="shared" ref="C20:M20" si="5">SUM(C17:C19)</f>
        <v>285287.49666666664</v>
      </c>
      <c r="D20" s="45">
        <f t="shared" si="5"/>
        <v>285287.49666666664</v>
      </c>
      <c r="E20" s="45">
        <f t="shared" si="5"/>
        <v>285287.49666666664</v>
      </c>
      <c r="F20" s="45">
        <f t="shared" si="5"/>
        <v>285287.49666666664</v>
      </c>
      <c r="G20" s="45">
        <f t="shared" si="5"/>
        <v>285287.49666666664</v>
      </c>
      <c r="H20" s="45">
        <f t="shared" si="5"/>
        <v>285287.49666666664</v>
      </c>
      <c r="I20" s="45">
        <f t="shared" si="5"/>
        <v>285287.49666666664</v>
      </c>
      <c r="J20" s="45">
        <f t="shared" si="5"/>
        <v>285287.49666666664</v>
      </c>
      <c r="K20" s="45">
        <f t="shared" si="5"/>
        <v>285287.49666666664</v>
      </c>
      <c r="L20" s="45">
        <f t="shared" si="5"/>
        <v>285287.49666666664</v>
      </c>
      <c r="M20" s="45">
        <f t="shared" si="5"/>
        <v>285287.49666666664</v>
      </c>
      <c r="O20" s="25">
        <f>O17+O18</f>
        <v>2881175</v>
      </c>
      <c r="P20" s="25">
        <f>P17+P18</f>
        <v>240097.91666666669</v>
      </c>
      <c r="Q20" s="41"/>
    </row>
    <row r="21" spans="1:18" ht="13.8" thickTop="1" x14ac:dyDescent="0.25">
      <c r="A21" s="28"/>
    </row>
    <row r="22" spans="1:18" x14ac:dyDescent="0.25">
      <c r="A22" s="4"/>
    </row>
    <row r="23" spans="1:18" x14ac:dyDescent="0.25">
      <c r="A23" s="4"/>
    </row>
  </sheetData>
  <phoneticPr fontId="0" type="noConversion"/>
  <pageMargins left="0.5" right="0.5" top="0.5" bottom="0.5" header="0.5" footer="0.5"/>
  <pageSetup paperSize="5" scale="74" orientation="landscape" r:id="rId1"/>
  <headerFooter alignWithMargins="0">
    <oddFooter>&amp;L&amp;8&amp;A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Bloomfield Invoices</vt:lpstr>
      <vt:lpstr>Bisti Invoices</vt:lpstr>
      <vt:lpstr>B&amp;B Totals</vt:lpstr>
      <vt:lpstr>BB_LF&amp;CF</vt:lpstr>
      <vt:lpstr>TW O&amp;M Expense</vt:lpstr>
      <vt:lpstr>TW O&amp;M Detail</vt:lpstr>
      <vt:lpstr>Gallup Power Invoices</vt:lpstr>
      <vt:lpstr>Gallup Totals</vt:lpstr>
      <vt:lpstr>TW Demand Revenue</vt:lpstr>
      <vt:lpstr>Gallup Rebate</vt:lpstr>
      <vt:lpstr>'B&amp;B Totals'!Print_Area</vt:lpstr>
      <vt:lpstr>'Bisti Invoices'!Print_Area</vt:lpstr>
      <vt:lpstr>'TW Demand Revenue'!Print_Area</vt:lpstr>
      <vt:lpstr>'TW O&amp;M Detail'!Print_Area</vt:lpstr>
      <vt:lpstr>'Gallup Rebate'!Print_Titles</vt:lpstr>
      <vt:lpstr>'TW O&amp;M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Havlíček Jan</cp:lastModifiedBy>
  <cp:lastPrinted>2002-01-28T15:35:23Z</cp:lastPrinted>
  <dcterms:created xsi:type="dcterms:W3CDTF">2002-01-10T20:25:15Z</dcterms:created>
  <dcterms:modified xsi:type="dcterms:W3CDTF">2023-09-10T15:27:03Z</dcterms:modified>
</cp:coreProperties>
</file>