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2"/>
  </bookViews>
  <sheets>
    <sheet name="History By Facility" sheetId="2" r:id="rId1"/>
    <sheet name="Sheet1" sheetId="4" r:id="rId2"/>
    <sheet name="Comparison to Prior Periods" sheetId="3" r:id="rId3"/>
  </sheets>
  <definedNames>
    <definedName name="_xlnm.Print_Area" localSheetId="2">'Comparison to Prior Periods'!$B$1:$V$51</definedName>
    <definedName name="_xlnm.Print_Area" localSheetId="0">'History By Facility'!$A$1:$AC$263</definedName>
    <definedName name="_xlnm.Print_Area" localSheetId="1">Sheet1!$A$1:$Q$49</definedName>
  </definedNames>
  <calcPr calcId="92512"/>
</workbook>
</file>

<file path=xl/calcChain.xml><?xml version="1.0" encoding="utf-8"?>
<calcChain xmlns="http://schemas.openxmlformats.org/spreadsheetml/2006/main">
  <c r="G2" i="3" l="1"/>
  <c r="H2" i="3"/>
  <c r="K2" i="3"/>
  <c r="L2" i="3"/>
  <c r="O2" i="3"/>
  <c r="P2" i="3"/>
  <c r="G3" i="3"/>
  <c r="H3" i="3"/>
  <c r="I3" i="3"/>
  <c r="K3" i="3"/>
  <c r="L3" i="3"/>
  <c r="M3" i="3"/>
  <c r="O3" i="3"/>
  <c r="P3" i="3"/>
  <c r="Q3" i="3"/>
  <c r="R3" i="3"/>
  <c r="G4" i="3"/>
  <c r="H4" i="3"/>
  <c r="I4" i="3"/>
  <c r="K4" i="3"/>
  <c r="L4" i="3"/>
  <c r="M4" i="3"/>
  <c r="O4" i="3"/>
  <c r="P4" i="3"/>
  <c r="Q4" i="3"/>
  <c r="R4" i="3"/>
  <c r="G5" i="3"/>
  <c r="H5" i="3"/>
  <c r="I5" i="3"/>
  <c r="K5" i="3"/>
  <c r="L5" i="3"/>
  <c r="M5" i="3"/>
  <c r="O5" i="3"/>
  <c r="P5" i="3"/>
  <c r="Q5" i="3"/>
  <c r="R5" i="3"/>
  <c r="G6" i="3"/>
  <c r="H6" i="3"/>
  <c r="I6" i="3"/>
  <c r="K6" i="3"/>
  <c r="L6" i="3"/>
  <c r="M6" i="3"/>
  <c r="O6" i="3"/>
  <c r="P6" i="3"/>
  <c r="Q6" i="3"/>
  <c r="R6" i="3"/>
  <c r="G7" i="3"/>
  <c r="H7" i="3"/>
  <c r="I7" i="3"/>
  <c r="K7" i="3"/>
  <c r="L7" i="3"/>
  <c r="M7" i="3"/>
  <c r="O7" i="3"/>
  <c r="P7" i="3"/>
  <c r="Q7" i="3"/>
  <c r="R7" i="3"/>
  <c r="G8" i="3"/>
  <c r="H8" i="3"/>
  <c r="I8" i="3"/>
  <c r="K8" i="3"/>
  <c r="L8" i="3"/>
  <c r="M8" i="3"/>
  <c r="O8" i="3"/>
  <c r="P8" i="3"/>
  <c r="Q8" i="3"/>
  <c r="R8" i="3"/>
  <c r="G9" i="3"/>
  <c r="H9" i="3"/>
  <c r="I9" i="3"/>
  <c r="K9" i="3"/>
  <c r="L9" i="3"/>
  <c r="M9" i="3"/>
  <c r="O9" i="3"/>
  <c r="P9" i="3"/>
  <c r="Q9" i="3"/>
  <c r="R9" i="3"/>
  <c r="G10" i="3"/>
  <c r="H10" i="3"/>
  <c r="I10" i="3"/>
  <c r="K10" i="3"/>
  <c r="L10" i="3"/>
  <c r="M10" i="3"/>
  <c r="O10" i="3"/>
  <c r="P10" i="3"/>
  <c r="Q10" i="3"/>
  <c r="R10" i="3"/>
  <c r="G11" i="3"/>
  <c r="H11" i="3"/>
  <c r="I11" i="3"/>
  <c r="K11" i="3"/>
  <c r="L11" i="3"/>
  <c r="M11" i="3"/>
  <c r="O11" i="3"/>
  <c r="P11" i="3"/>
  <c r="Q11" i="3"/>
  <c r="R11" i="3"/>
  <c r="G12" i="3"/>
  <c r="H12" i="3"/>
  <c r="I12" i="3"/>
  <c r="K12" i="3"/>
  <c r="L12" i="3"/>
  <c r="M12" i="3"/>
  <c r="O12" i="3"/>
  <c r="P12" i="3"/>
  <c r="Q12" i="3"/>
  <c r="R12" i="3"/>
  <c r="G13" i="3"/>
  <c r="H13" i="3"/>
  <c r="I13" i="3"/>
  <c r="K13" i="3"/>
  <c r="L13" i="3"/>
  <c r="M13" i="3"/>
  <c r="O13" i="3"/>
  <c r="P13" i="3"/>
  <c r="Q13" i="3"/>
  <c r="R13" i="3"/>
  <c r="G14" i="3"/>
  <c r="H14" i="3"/>
  <c r="I14" i="3"/>
  <c r="K14" i="3"/>
  <c r="L14" i="3"/>
  <c r="M14" i="3"/>
  <c r="O14" i="3"/>
  <c r="P14" i="3"/>
  <c r="Q14" i="3"/>
  <c r="R14" i="3"/>
  <c r="G15" i="3"/>
  <c r="H15" i="3"/>
  <c r="I15" i="3"/>
  <c r="K15" i="3"/>
  <c r="L15" i="3"/>
  <c r="M15" i="3"/>
  <c r="O15" i="3"/>
  <c r="P15" i="3"/>
  <c r="Q15" i="3"/>
  <c r="R15" i="3"/>
  <c r="G16" i="3"/>
  <c r="H16" i="3"/>
  <c r="I16" i="3"/>
  <c r="K16" i="3"/>
  <c r="L16" i="3"/>
  <c r="M16" i="3"/>
  <c r="O16" i="3"/>
  <c r="P16" i="3"/>
  <c r="Q16" i="3"/>
  <c r="R16" i="3"/>
  <c r="G17" i="3"/>
  <c r="H17" i="3"/>
  <c r="I17" i="3"/>
  <c r="K17" i="3"/>
  <c r="L17" i="3"/>
  <c r="M17" i="3"/>
  <c r="O17" i="3"/>
  <c r="P17" i="3"/>
  <c r="Q17" i="3"/>
  <c r="R17" i="3"/>
  <c r="G18" i="3"/>
  <c r="H18" i="3"/>
  <c r="I18" i="3"/>
  <c r="K18" i="3"/>
  <c r="L18" i="3"/>
  <c r="M18" i="3"/>
  <c r="O18" i="3"/>
  <c r="P18" i="3"/>
  <c r="Q18" i="3"/>
  <c r="R18" i="3"/>
  <c r="G19" i="3"/>
  <c r="H19" i="3"/>
  <c r="I19" i="3"/>
  <c r="K19" i="3"/>
  <c r="L19" i="3"/>
  <c r="M19" i="3"/>
  <c r="O19" i="3"/>
  <c r="P19" i="3"/>
  <c r="Q19" i="3"/>
  <c r="R19" i="3"/>
  <c r="G20" i="3"/>
  <c r="H20" i="3"/>
  <c r="I20" i="3"/>
  <c r="K20" i="3"/>
  <c r="L20" i="3"/>
  <c r="M20" i="3"/>
  <c r="O20" i="3"/>
  <c r="P20" i="3"/>
  <c r="Q20" i="3"/>
  <c r="R20" i="3"/>
  <c r="G21" i="3"/>
  <c r="H21" i="3"/>
  <c r="I21" i="3"/>
  <c r="K21" i="3"/>
  <c r="L21" i="3"/>
  <c r="M21" i="3"/>
  <c r="O21" i="3"/>
  <c r="P21" i="3"/>
  <c r="Q21" i="3"/>
  <c r="R21" i="3"/>
  <c r="G22" i="3"/>
  <c r="H22" i="3"/>
  <c r="I22" i="3"/>
  <c r="K22" i="3"/>
  <c r="L22" i="3"/>
  <c r="M22" i="3"/>
  <c r="O22" i="3"/>
  <c r="P22" i="3"/>
  <c r="Q22" i="3"/>
  <c r="R22" i="3"/>
  <c r="G23" i="3"/>
  <c r="H23" i="3"/>
  <c r="I23" i="3"/>
  <c r="K23" i="3"/>
  <c r="L23" i="3"/>
  <c r="M23" i="3"/>
  <c r="O23" i="3"/>
  <c r="P23" i="3"/>
  <c r="Q23" i="3"/>
  <c r="R23" i="3"/>
  <c r="G24" i="3"/>
  <c r="H24" i="3"/>
  <c r="I24" i="3"/>
  <c r="K24" i="3"/>
  <c r="L24" i="3"/>
  <c r="M24" i="3"/>
  <c r="O24" i="3"/>
  <c r="P24" i="3"/>
  <c r="Q24" i="3"/>
  <c r="R24" i="3"/>
  <c r="G25" i="3"/>
  <c r="H25" i="3"/>
  <c r="I25" i="3"/>
  <c r="K25" i="3"/>
  <c r="L25" i="3"/>
  <c r="M25" i="3"/>
  <c r="O25" i="3"/>
  <c r="P25" i="3"/>
  <c r="Q25" i="3"/>
  <c r="R25" i="3"/>
  <c r="E26" i="3"/>
  <c r="G26" i="3"/>
  <c r="H26" i="3"/>
  <c r="I26" i="3"/>
  <c r="K26" i="3"/>
  <c r="L26" i="3"/>
  <c r="M26" i="3"/>
  <c r="O26" i="3"/>
  <c r="P26" i="3"/>
  <c r="Q26" i="3"/>
  <c r="R26" i="3"/>
  <c r="T26" i="3"/>
  <c r="V26" i="3"/>
  <c r="G28" i="3"/>
  <c r="H28" i="3"/>
  <c r="I28" i="3"/>
  <c r="K28" i="3"/>
  <c r="L28" i="3"/>
  <c r="M28" i="3"/>
  <c r="G31" i="3"/>
  <c r="H31" i="3"/>
  <c r="I31" i="3"/>
  <c r="K31" i="3"/>
  <c r="L31" i="3"/>
  <c r="M31" i="3"/>
  <c r="O31" i="3"/>
  <c r="P31" i="3"/>
  <c r="Q31" i="3"/>
  <c r="R31" i="3"/>
  <c r="T31" i="3"/>
  <c r="U31" i="3"/>
  <c r="V31" i="3"/>
  <c r="G32" i="3"/>
  <c r="H32" i="3"/>
  <c r="I32" i="3"/>
  <c r="K32" i="3"/>
  <c r="L32" i="3"/>
  <c r="M32" i="3"/>
  <c r="O32" i="3"/>
  <c r="P32" i="3"/>
  <c r="Q32" i="3"/>
  <c r="R32" i="3"/>
  <c r="G33" i="3"/>
  <c r="H33" i="3"/>
  <c r="I33" i="3"/>
  <c r="K33" i="3"/>
  <c r="L33" i="3"/>
  <c r="M33" i="3"/>
  <c r="O33" i="3"/>
  <c r="P33" i="3"/>
  <c r="Q33" i="3"/>
  <c r="R33" i="3"/>
  <c r="G34" i="3"/>
  <c r="H34" i="3"/>
  <c r="I34" i="3"/>
  <c r="K34" i="3"/>
  <c r="L34" i="3"/>
  <c r="M34" i="3"/>
  <c r="O34" i="3"/>
  <c r="P34" i="3"/>
  <c r="Q34" i="3"/>
  <c r="R34" i="3"/>
  <c r="G35" i="3"/>
  <c r="H35" i="3"/>
  <c r="I35" i="3"/>
  <c r="K35" i="3"/>
  <c r="L35" i="3"/>
  <c r="M35" i="3"/>
  <c r="O35" i="3"/>
  <c r="P35" i="3"/>
  <c r="Q35" i="3"/>
  <c r="R35" i="3"/>
  <c r="G36" i="3"/>
  <c r="H36" i="3"/>
  <c r="I36" i="3"/>
  <c r="K36" i="3"/>
  <c r="L36" i="3"/>
  <c r="M36" i="3"/>
  <c r="O36" i="3"/>
  <c r="P36" i="3"/>
  <c r="Q36" i="3"/>
  <c r="R36" i="3"/>
  <c r="G37" i="3"/>
  <c r="H37" i="3"/>
  <c r="I37" i="3"/>
  <c r="K37" i="3"/>
  <c r="L37" i="3"/>
  <c r="M37" i="3"/>
  <c r="O37" i="3"/>
  <c r="P37" i="3"/>
  <c r="Q37" i="3"/>
  <c r="R37" i="3"/>
  <c r="G38" i="3"/>
  <c r="H38" i="3"/>
  <c r="I38" i="3"/>
  <c r="K38" i="3"/>
  <c r="L38" i="3"/>
  <c r="M38" i="3"/>
  <c r="O38" i="3"/>
  <c r="P38" i="3"/>
  <c r="Q38" i="3"/>
  <c r="R38" i="3"/>
  <c r="G39" i="3"/>
  <c r="H39" i="3"/>
  <c r="I39" i="3"/>
  <c r="K39" i="3"/>
  <c r="L39" i="3"/>
  <c r="M39" i="3"/>
  <c r="O39" i="3"/>
  <c r="P39" i="3"/>
  <c r="Q39" i="3"/>
  <c r="R39" i="3"/>
  <c r="G40" i="3"/>
  <c r="H40" i="3"/>
  <c r="I40" i="3"/>
  <c r="K40" i="3"/>
  <c r="L40" i="3"/>
  <c r="M40" i="3"/>
  <c r="O40" i="3"/>
  <c r="P40" i="3"/>
  <c r="Q40" i="3"/>
  <c r="R40" i="3"/>
  <c r="G41" i="3"/>
  <c r="H41" i="3"/>
  <c r="I41" i="3"/>
  <c r="K41" i="3"/>
  <c r="L41" i="3"/>
  <c r="M41" i="3"/>
  <c r="O41" i="3"/>
  <c r="P41" i="3"/>
  <c r="Q41" i="3"/>
  <c r="R41" i="3"/>
  <c r="G42" i="3"/>
  <c r="H42" i="3"/>
  <c r="I42" i="3"/>
  <c r="K42" i="3"/>
  <c r="L42" i="3"/>
  <c r="M42" i="3"/>
  <c r="O42" i="3"/>
  <c r="P42" i="3"/>
  <c r="Q42" i="3"/>
  <c r="R42" i="3"/>
  <c r="G43" i="3"/>
  <c r="H43" i="3"/>
  <c r="I43" i="3"/>
  <c r="K43" i="3"/>
  <c r="L43" i="3"/>
  <c r="M43" i="3"/>
  <c r="O43" i="3"/>
  <c r="P43" i="3"/>
  <c r="Q43" i="3"/>
  <c r="R43" i="3"/>
  <c r="E44" i="3"/>
  <c r="G44" i="3"/>
  <c r="H44" i="3"/>
  <c r="I44" i="3"/>
  <c r="K44" i="3"/>
  <c r="L44" i="3"/>
  <c r="M44" i="3"/>
  <c r="O44" i="3"/>
  <c r="P44" i="3"/>
  <c r="Q44" i="3"/>
  <c r="R44" i="3"/>
  <c r="T44" i="3"/>
  <c r="V44" i="3"/>
  <c r="G46" i="3"/>
  <c r="H46" i="3"/>
  <c r="I46" i="3"/>
  <c r="K46" i="3"/>
  <c r="L46" i="3"/>
  <c r="M46" i="3"/>
  <c r="G48" i="3"/>
  <c r="H48" i="3"/>
  <c r="I48" i="3"/>
  <c r="K48" i="3"/>
  <c r="L48" i="3"/>
  <c r="M48" i="3"/>
  <c r="G50" i="3"/>
  <c r="H50" i="3"/>
  <c r="I50" i="3"/>
  <c r="K50" i="3"/>
  <c r="L50" i="3"/>
  <c r="M50" i="3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S26" i="2"/>
  <c r="W26" i="2"/>
  <c r="Y26" i="2"/>
  <c r="AA26" i="2"/>
  <c r="AC2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U84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U114" i="2"/>
  <c r="Y119" i="2"/>
  <c r="Z119" i="2"/>
  <c r="AE119" i="2"/>
  <c r="AF119" i="2"/>
  <c r="Y120" i="2"/>
  <c r="Z120" i="2"/>
  <c r="AE120" i="2"/>
  <c r="AF120" i="2"/>
  <c r="AE121" i="2"/>
  <c r="AF121" i="2"/>
  <c r="AE122" i="2"/>
  <c r="AF122" i="2"/>
  <c r="AE123" i="2"/>
  <c r="AF123" i="2"/>
  <c r="AE124" i="2"/>
  <c r="AF124" i="2"/>
  <c r="AE125" i="2"/>
  <c r="AF125" i="2"/>
  <c r="AE126" i="2"/>
  <c r="AF126" i="2"/>
  <c r="AE127" i="2"/>
  <c r="AF127" i="2"/>
  <c r="AE128" i="2"/>
  <c r="AF128" i="2"/>
  <c r="AE129" i="2"/>
  <c r="AF129" i="2"/>
  <c r="AE130" i="2"/>
  <c r="AF130" i="2"/>
  <c r="AE131" i="2"/>
  <c r="AF131" i="2"/>
  <c r="AE132" i="2"/>
  <c r="AF132" i="2"/>
  <c r="AE133" i="2"/>
  <c r="AF133" i="2"/>
  <c r="AE134" i="2"/>
  <c r="AF134" i="2"/>
  <c r="AE135" i="2"/>
  <c r="AF135" i="2"/>
  <c r="Y136" i="2"/>
  <c r="AE136" i="2"/>
  <c r="AF136" i="2"/>
  <c r="AE137" i="2"/>
  <c r="AF137" i="2"/>
  <c r="AE138" i="2"/>
  <c r="AF138" i="2"/>
  <c r="AE139" i="2"/>
  <c r="AF139" i="2"/>
  <c r="AE140" i="2"/>
  <c r="AF140" i="2"/>
  <c r="AE141" i="2"/>
  <c r="AF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E142" i="2"/>
  <c r="AF142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Q176" i="2"/>
  <c r="S176" i="2"/>
  <c r="W176" i="2"/>
  <c r="Y176" i="2"/>
  <c r="AA176" i="2"/>
  <c r="AC176" i="2"/>
  <c r="E186" i="2"/>
  <c r="Q186" i="2"/>
  <c r="S186" i="2"/>
  <c r="W186" i="2"/>
  <c r="Y186" i="2"/>
  <c r="AA186" i="2"/>
  <c r="AC186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8" i="2"/>
  <c r="AO188" i="2"/>
  <c r="AS188" i="2"/>
  <c r="AU188" i="2"/>
  <c r="AW188" i="2"/>
  <c r="AX188" i="2"/>
  <c r="AY188" i="2"/>
  <c r="BL188" i="2"/>
  <c r="BM188" i="2"/>
  <c r="BN188" i="2"/>
  <c r="BP188" i="2"/>
  <c r="BQ188" i="2"/>
  <c r="BR188" i="2"/>
  <c r="BS188" i="2"/>
  <c r="BT188" i="2"/>
  <c r="BU188" i="2"/>
  <c r="BV188" i="2"/>
  <c r="BW188" i="2"/>
  <c r="BX188" i="2"/>
  <c r="G192" i="2"/>
  <c r="I192" i="2"/>
  <c r="K192" i="2"/>
  <c r="M192" i="2"/>
  <c r="O192" i="2"/>
  <c r="Q192" i="2"/>
  <c r="R192" i="2"/>
  <c r="S192" i="2"/>
  <c r="T192" i="2"/>
  <c r="U192" i="2"/>
  <c r="W192" i="2"/>
  <c r="X192" i="2"/>
  <c r="Y192" i="2"/>
  <c r="Z192" i="2"/>
  <c r="AA192" i="2"/>
  <c r="AB192" i="2"/>
  <c r="AC19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W202" i="2"/>
  <c r="X202" i="2"/>
  <c r="Y202" i="2"/>
  <c r="Z202" i="2"/>
  <c r="AA202" i="2"/>
  <c r="AB202" i="2"/>
  <c r="AC202" i="2"/>
  <c r="F207" i="2"/>
  <c r="G207" i="2"/>
  <c r="H207" i="2"/>
  <c r="I207" i="2"/>
  <c r="J207" i="2"/>
  <c r="L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B215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E235" i="2"/>
  <c r="AE236" i="2"/>
  <c r="F237" i="2"/>
  <c r="G237" i="2"/>
  <c r="H237" i="2"/>
  <c r="I237" i="2"/>
  <c r="J237" i="2"/>
  <c r="K237" i="2"/>
  <c r="L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E237" i="2"/>
  <c r="AE238" i="2"/>
  <c r="AE239" i="2"/>
  <c r="AE240" i="2"/>
  <c r="AE241" i="2"/>
  <c r="AE242" i="2"/>
  <c r="AE243" i="2"/>
  <c r="AE244" i="2"/>
  <c r="AE245" i="2"/>
  <c r="AE246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E247" i="2"/>
  <c r="F252" i="2"/>
  <c r="G252" i="2"/>
  <c r="H252" i="2"/>
  <c r="I252" i="2"/>
  <c r="J252" i="2"/>
  <c r="K252" i="2"/>
  <c r="L252" i="2"/>
  <c r="O252" i="2"/>
  <c r="P252" i="2"/>
  <c r="Q252" i="2"/>
  <c r="R252" i="2"/>
  <c r="S252" i="2"/>
  <c r="T252" i="2"/>
  <c r="U252" i="2"/>
  <c r="V252" i="2"/>
  <c r="W252" i="2"/>
  <c r="X25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S264" i="2"/>
  <c r="T264" i="2"/>
  <c r="U264" i="2"/>
  <c r="S265" i="2"/>
  <c r="T265" i="2"/>
  <c r="U265" i="2"/>
  <c r="S266" i="2"/>
  <c r="T266" i="2"/>
  <c r="U266" i="2"/>
  <c r="S267" i="2"/>
  <c r="T267" i="2"/>
  <c r="U267" i="2"/>
  <c r="S268" i="2"/>
  <c r="T268" i="2"/>
  <c r="U268" i="2"/>
  <c r="S269" i="2"/>
  <c r="T269" i="2"/>
  <c r="U269" i="2"/>
  <c r="S270" i="2"/>
  <c r="T270" i="2"/>
  <c r="U270" i="2"/>
  <c r="S271" i="2"/>
  <c r="T271" i="2"/>
  <c r="U271" i="2"/>
  <c r="S272" i="2"/>
  <c r="T272" i="2"/>
  <c r="U272" i="2"/>
  <c r="S273" i="2"/>
  <c r="T273" i="2"/>
  <c r="U273" i="2"/>
  <c r="S274" i="2"/>
  <c r="T274" i="2"/>
  <c r="U274" i="2"/>
  <c r="S275" i="2"/>
  <c r="T275" i="2"/>
  <c r="U275" i="2"/>
  <c r="A4" i="4"/>
  <c r="B4" i="4"/>
  <c r="C4" i="4"/>
  <c r="A5" i="4"/>
  <c r="B5" i="4"/>
  <c r="C5" i="4"/>
  <c r="D5" i="4"/>
  <c r="I5" i="4"/>
  <c r="J5" i="4"/>
  <c r="K5" i="4"/>
  <c r="L5" i="4"/>
  <c r="M5" i="4"/>
  <c r="N5" i="4"/>
  <c r="O5" i="4"/>
  <c r="P5" i="4"/>
  <c r="Q5" i="4"/>
  <c r="A6" i="4"/>
  <c r="B6" i="4"/>
  <c r="C6" i="4"/>
  <c r="D6" i="4"/>
  <c r="I6" i="4"/>
  <c r="J6" i="4"/>
  <c r="K6" i="4"/>
  <c r="L6" i="4"/>
  <c r="M6" i="4"/>
  <c r="N6" i="4"/>
  <c r="O6" i="4"/>
  <c r="P6" i="4"/>
  <c r="Q6" i="4"/>
  <c r="A7" i="4"/>
  <c r="B7" i="4"/>
  <c r="C7" i="4"/>
  <c r="D7" i="4"/>
  <c r="I7" i="4"/>
  <c r="J7" i="4"/>
  <c r="K7" i="4"/>
  <c r="L7" i="4"/>
  <c r="M7" i="4"/>
  <c r="N7" i="4"/>
  <c r="O7" i="4"/>
  <c r="P7" i="4"/>
  <c r="Q7" i="4"/>
  <c r="A8" i="4"/>
  <c r="B8" i="4"/>
  <c r="C8" i="4"/>
  <c r="D8" i="4"/>
  <c r="I8" i="4"/>
  <c r="J8" i="4"/>
  <c r="K8" i="4"/>
  <c r="L8" i="4"/>
  <c r="M8" i="4"/>
  <c r="N8" i="4"/>
  <c r="O8" i="4"/>
  <c r="P8" i="4"/>
  <c r="Q8" i="4"/>
  <c r="A9" i="4"/>
  <c r="B9" i="4"/>
  <c r="C9" i="4"/>
  <c r="D9" i="4"/>
  <c r="I9" i="4"/>
  <c r="J9" i="4"/>
  <c r="K9" i="4"/>
  <c r="L9" i="4"/>
  <c r="M9" i="4"/>
  <c r="N9" i="4"/>
  <c r="O9" i="4"/>
  <c r="P9" i="4"/>
  <c r="Q9" i="4"/>
  <c r="A10" i="4"/>
  <c r="B10" i="4"/>
  <c r="C10" i="4"/>
  <c r="D10" i="4"/>
  <c r="I10" i="4"/>
  <c r="J10" i="4"/>
  <c r="K10" i="4"/>
  <c r="L10" i="4"/>
  <c r="M10" i="4"/>
  <c r="N10" i="4"/>
  <c r="O10" i="4"/>
  <c r="P10" i="4"/>
  <c r="Q10" i="4"/>
  <c r="A11" i="4"/>
  <c r="B11" i="4"/>
  <c r="C11" i="4"/>
  <c r="D11" i="4"/>
  <c r="I11" i="4"/>
  <c r="J11" i="4"/>
  <c r="K11" i="4"/>
  <c r="L11" i="4"/>
  <c r="M11" i="4"/>
  <c r="N11" i="4"/>
  <c r="O11" i="4"/>
  <c r="P11" i="4"/>
  <c r="Q11" i="4"/>
  <c r="A12" i="4"/>
  <c r="B12" i="4"/>
  <c r="C12" i="4"/>
  <c r="D12" i="4"/>
  <c r="I12" i="4"/>
  <c r="J12" i="4"/>
  <c r="K12" i="4"/>
  <c r="L12" i="4"/>
  <c r="M12" i="4"/>
  <c r="N12" i="4"/>
  <c r="O12" i="4"/>
  <c r="P12" i="4"/>
  <c r="Q12" i="4"/>
  <c r="A13" i="4"/>
  <c r="B13" i="4"/>
  <c r="C13" i="4"/>
  <c r="D13" i="4"/>
  <c r="I13" i="4"/>
  <c r="J13" i="4"/>
  <c r="K13" i="4"/>
  <c r="L13" i="4"/>
  <c r="M13" i="4"/>
  <c r="N13" i="4"/>
  <c r="O13" i="4"/>
  <c r="P13" i="4"/>
  <c r="Q13" i="4"/>
  <c r="A14" i="4"/>
  <c r="B14" i="4"/>
  <c r="C14" i="4"/>
  <c r="D14" i="4"/>
  <c r="I14" i="4"/>
  <c r="J14" i="4"/>
  <c r="K14" i="4"/>
  <c r="L14" i="4"/>
  <c r="M14" i="4"/>
  <c r="N14" i="4"/>
  <c r="O14" i="4"/>
  <c r="P14" i="4"/>
  <c r="Q14" i="4"/>
  <c r="A15" i="4"/>
  <c r="B15" i="4"/>
  <c r="C15" i="4"/>
  <c r="D15" i="4"/>
  <c r="I15" i="4"/>
  <c r="J15" i="4"/>
  <c r="K15" i="4"/>
  <c r="L15" i="4"/>
  <c r="M15" i="4"/>
  <c r="N15" i="4"/>
  <c r="O15" i="4"/>
  <c r="P15" i="4"/>
  <c r="Q15" i="4"/>
  <c r="A16" i="4"/>
  <c r="B16" i="4"/>
  <c r="C16" i="4"/>
  <c r="D16" i="4"/>
  <c r="I16" i="4"/>
  <c r="J16" i="4"/>
  <c r="K16" i="4"/>
  <c r="L16" i="4"/>
  <c r="M16" i="4"/>
  <c r="N16" i="4"/>
  <c r="O16" i="4"/>
  <c r="P16" i="4"/>
  <c r="Q16" i="4"/>
  <c r="A17" i="4"/>
  <c r="B17" i="4"/>
  <c r="C17" i="4"/>
  <c r="D17" i="4"/>
  <c r="I17" i="4"/>
  <c r="J17" i="4"/>
  <c r="K17" i="4"/>
  <c r="L17" i="4"/>
  <c r="M17" i="4"/>
  <c r="N17" i="4"/>
  <c r="O17" i="4"/>
  <c r="P17" i="4"/>
  <c r="Q17" i="4"/>
  <c r="A18" i="4"/>
  <c r="B18" i="4"/>
  <c r="C18" i="4"/>
  <c r="D18" i="4"/>
  <c r="I18" i="4"/>
  <c r="J18" i="4"/>
  <c r="K18" i="4"/>
  <c r="L18" i="4"/>
  <c r="M18" i="4"/>
  <c r="N18" i="4"/>
  <c r="O18" i="4"/>
  <c r="P18" i="4"/>
  <c r="Q18" i="4"/>
  <c r="B19" i="4"/>
  <c r="C19" i="4"/>
  <c r="D19" i="4"/>
  <c r="I19" i="4"/>
  <c r="J19" i="4"/>
  <c r="K19" i="4"/>
  <c r="L19" i="4"/>
  <c r="M19" i="4"/>
  <c r="N19" i="4"/>
  <c r="O19" i="4"/>
  <c r="P19" i="4"/>
  <c r="Q19" i="4"/>
  <c r="A20" i="4"/>
  <c r="B20" i="4"/>
  <c r="C20" i="4"/>
  <c r="D20" i="4"/>
  <c r="I20" i="4"/>
  <c r="J20" i="4"/>
  <c r="K20" i="4"/>
  <c r="L20" i="4"/>
  <c r="M20" i="4"/>
  <c r="N20" i="4"/>
  <c r="O20" i="4"/>
  <c r="P20" i="4"/>
  <c r="Q20" i="4"/>
  <c r="B21" i="4"/>
  <c r="C21" i="4"/>
  <c r="D21" i="4"/>
  <c r="I21" i="4"/>
  <c r="J21" i="4"/>
  <c r="K21" i="4"/>
  <c r="L21" i="4"/>
  <c r="M21" i="4"/>
  <c r="N21" i="4"/>
  <c r="O21" i="4"/>
  <c r="P21" i="4"/>
  <c r="Q21" i="4"/>
  <c r="A22" i="4"/>
  <c r="B22" i="4"/>
  <c r="C22" i="4"/>
  <c r="D22" i="4"/>
  <c r="I22" i="4"/>
  <c r="J22" i="4"/>
  <c r="K22" i="4"/>
  <c r="L22" i="4"/>
  <c r="M22" i="4"/>
  <c r="N22" i="4"/>
  <c r="O22" i="4"/>
  <c r="P22" i="4"/>
  <c r="Q22" i="4"/>
  <c r="A23" i="4"/>
  <c r="B23" i="4"/>
  <c r="C23" i="4"/>
  <c r="D23" i="4"/>
  <c r="I23" i="4"/>
  <c r="J23" i="4"/>
  <c r="K23" i="4"/>
  <c r="L23" i="4"/>
  <c r="M23" i="4"/>
  <c r="N23" i="4"/>
  <c r="O23" i="4"/>
  <c r="P23" i="4"/>
  <c r="Q23" i="4"/>
  <c r="A24" i="4"/>
  <c r="B24" i="4"/>
  <c r="C24" i="4"/>
  <c r="D24" i="4"/>
  <c r="I24" i="4"/>
  <c r="J24" i="4"/>
  <c r="K24" i="4"/>
  <c r="L24" i="4"/>
  <c r="M24" i="4"/>
  <c r="N24" i="4"/>
  <c r="O24" i="4"/>
  <c r="P24" i="4"/>
  <c r="Q24" i="4"/>
  <c r="A25" i="4"/>
  <c r="B25" i="4"/>
  <c r="C25" i="4"/>
  <c r="D25" i="4"/>
  <c r="I25" i="4"/>
  <c r="J25" i="4"/>
  <c r="K25" i="4"/>
  <c r="L25" i="4"/>
  <c r="M25" i="4"/>
  <c r="N25" i="4"/>
  <c r="O25" i="4"/>
  <c r="P25" i="4"/>
  <c r="Q25" i="4"/>
  <c r="A26" i="4"/>
  <c r="B26" i="4"/>
  <c r="C26" i="4"/>
  <c r="D26" i="4"/>
  <c r="I26" i="4"/>
  <c r="J26" i="4"/>
  <c r="K26" i="4"/>
  <c r="L26" i="4"/>
  <c r="M26" i="4"/>
  <c r="N26" i="4"/>
  <c r="O26" i="4"/>
  <c r="P26" i="4"/>
  <c r="Q26" i="4"/>
  <c r="B27" i="4"/>
  <c r="C27" i="4"/>
  <c r="D27" i="4"/>
  <c r="I27" i="4"/>
  <c r="J27" i="4"/>
  <c r="K27" i="4"/>
  <c r="L27" i="4"/>
  <c r="M27" i="4"/>
  <c r="N27" i="4"/>
  <c r="O27" i="4"/>
  <c r="P27" i="4"/>
  <c r="Q27" i="4"/>
  <c r="D28" i="4"/>
  <c r="F28" i="4"/>
  <c r="H28" i="4"/>
  <c r="I28" i="4"/>
  <c r="J28" i="4"/>
  <c r="K28" i="4"/>
  <c r="L28" i="4"/>
  <c r="M28" i="4"/>
  <c r="N28" i="4"/>
  <c r="O28" i="4"/>
  <c r="P28" i="4"/>
  <c r="Q28" i="4"/>
  <c r="P30" i="4"/>
  <c r="Q30" i="4"/>
  <c r="B32" i="4"/>
  <c r="C32" i="4"/>
  <c r="D32" i="4"/>
  <c r="I32" i="4"/>
  <c r="J32" i="4"/>
  <c r="K32" i="4"/>
  <c r="L32" i="4"/>
  <c r="M32" i="4"/>
  <c r="N32" i="4"/>
  <c r="O32" i="4"/>
  <c r="P32" i="4"/>
  <c r="Q32" i="4"/>
  <c r="B33" i="4"/>
  <c r="C33" i="4"/>
  <c r="D33" i="4"/>
  <c r="I33" i="4"/>
  <c r="J33" i="4"/>
  <c r="K33" i="4"/>
  <c r="L33" i="4"/>
  <c r="M33" i="4"/>
  <c r="N33" i="4"/>
  <c r="O33" i="4"/>
  <c r="P33" i="4"/>
  <c r="Q33" i="4"/>
  <c r="A34" i="4"/>
  <c r="C34" i="4"/>
  <c r="D34" i="4"/>
  <c r="I34" i="4"/>
  <c r="J34" i="4"/>
  <c r="K34" i="4"/>
  <c r="L34" i="4"/>
  <c r="M34" i="4"/>
  <c r="N34" i="4"/>
  <c r="O34" i="4"/>
  <c r="P34" i="4"/>
  <c r="Q34" i="4"/>
  <c r="A35" i="4"/>
  <c r="B35" i="4"/>
  <c r="C35" i="4"/>
  <c r="D35" i="4"/>
  <c r="I35" i="4"/>
  <c r="J35" i="4"/>
  <c r="K35" i="4"/>
  <c r="L35" i="4"/>
  <c r="M35" i="4"/>
  <c r="N35" i="4"/>
  <c r="O35" i="4"/>
  <c r="P35" i="4"/>
  <c r="Q35" i="4"/>
  <c r="A36" i="4"/>
  <c r="B36" i="4"/>
  <c r="C36" i="4"/>
  <c r="D36" i="4"/>
  <c r="I36" i="4"/>
  <c r="J36" i="4"/>
  <c r="K36" i="4"/>
  <c r="L36" i="4"/>
  <c r="M36" i="4"/>
  <c r="N36" i="4"/>
  <c r="O36" i="4"/>
  <c r="P36" i="4"/>
  <c r="Q36" i="4"/>
  <c r="A37" i="4"/>
  <c r="B37" i="4"/>
  <c r="C37" i="4"/>
  <c r="D37" i="4"/>
  <c r="I37" i="4"/>
  <c r="J37" i="4"/>
  <c r="K37" i="4"/>
  <c r="L37" i="4"/>
  <c r="M37" i="4"/>
  <c r="N37" i="4"/>
  <c r="O37" i="4"/>
  <c r="P37" i="4"/>
  <c r="Q37" i="4"/>
  <c r="A38" i="4"/>
  <c r="B38" i="4"/>
  <c r="C38" i="4"/>
  <c r="D38" i="4"/>
  <c r="I38" i="4"/>
  <c r="J38" i="4"/>
  <c r="K38" i="4"/>
  <c r="L38" i="4"/>
  <c r="M38" i="4"/>
  <c r="N38" i="4"/>
  <c r="O38" i="4"/>
  <c r="P38" i="4"/>
  <c r="Q38" i="4"/>
  <c r="A39" i="4"/>
  <c r="B39" i="4"/>
  <c r="C39" i="4"/>
  <c r="D39" i="4"/>
  <c r="I39" i="4"/>
  <c r="J39" i="4"/>
  <c r="K39" i="4"/>
  <c r="L39" i="4"/>
  <c r="M39" i="4"/>
  <c r="N39" i="4"/>
  <c r="O39" i="4"/>
  <c r="P39" i="4"/>
  <c r="Q39" i="4"/>
  <c r="A40" i="4"/>
  <c r="B40" i="4"/>
  <c r="C40" i="4"/>
  <c r="D40" i="4"/>
  <c r="I40" i="4"/>
  <c r="J40" i="4"/>
  <c r="K40" i="4"/>
  <c r="L40" i="4"/>
  <c r="M40" i="4"/>
  <c r="N40" i="4"/>
  <c r="O40" i="4"/>
  <c r="P40" i="4"/>
  <c r="Q40" i="4"/>
  <c r="A41" i="4"/>
  <c r="B41" i="4"/>
  <c r="C41" i="4"/>
  <c r="D41" i="4"/>
  <c r="I41" i="4"/>
  <c r="J41" i="4"/>
  <c r="K41" i="4"/>
  <c r="L41" i="4"/>
  <c r="M41" i="4"/>
  <c r="N41" i="4"/>
  <c r="O41" i="4"/>
  <c r="P41" i="4"/>
  <c r="Q41" i="4"/>
  <c r="C42" i="4"/>
  <c r="D42" i="4"/>
  <c r="I42" i="4"/>
  <c r="J42" i="4"/>
  <c r="K42" i="4"/>
  <c r="L42" i="4"/>
  <c r="M42" i="4"/>
  <c r="N42" i="4"/>
  <c r="O42" i="4"/>
  <c r="P42" i="4"/>
  <c r="Q42" i="4"/>
  <c r="A43" i="4"/>
  <c r="B43" i="4"/>
  <c r="C43" i="4"/>
  <c r="D43" i="4"/>
  <c r="I43" i="4"/>
  <c r="J43" i="4"/>
  <c r="K43" i="4"/>
  <c r="L43" i="4"/>
  <c r="M43" i="4"/>
  <c r="N43" i="4"/>
  <c r="O43" i="4"/>
  <c r="P43" i="4"/>
  <c r="Q43" i="4"/>
  <c r="A44" i="4"/>
  <c r="B44" i="4"/>
  <c r="C44" i="4"/>
  <c r="D44" i="4"/>
  <c r="F44" i="4"/>
  <c r="H44" i="4"/>
  <c r="I44" i="4"/>
  <c r="J44" i="4"/>
  <c r="K44" i="4"/>
  <c r="L44" i="4"/>
  <c r="M44" i="4"/>
  <c r="N44" i="4"/>
  <c r="O44" i="4"/>
  <c r="P44" i="4"/>
  <c r="Q44" i="4"/>
  <c r="D46" i="4"/>
  <c r="F46" i="4"/>
  <c r="H46" i="4"/>
  <c r="I46" i="4"/>
  <c r="J46" i="4"/>
  <c r="K46" i="4"/>
  <c r="L46" i="4"/>
  <c r="M46" i="4"/>
  <c r="N46" i="4"/>
  <c r="O46" i="4"/>
  <c r="P46" i="4"/>
  <c r="Q46" i="4"/>
  <c r="P48" i="4"/>
  <c r="Q48" i="4"/>
</calcChain>
</file>

<file path=xl/sharedStrings.xml><?xml version="1.0" encoding="utf-8"?>
<sst xmlns="http://schemas.openxmlformats.org/spreadsheetml/2006/main" count="1279" uniqueCount="280">
  <si>
    <t>STATE</t>
  </si>
  <si>
    <t>OPERATING COMPANY</t>
  </si>
  <si>
    <t>FIELD</t>
  </si>
  <si>
    <t>COUNTY</t>
  </si>
  <si>
    <t>WORKING TOP GAS</t>
  </si>
  <si>
    <t>RRC 5/15/99</t>
  </si>
  <si>
    <t>TEXAS</t>
  </si>
  <si>
    <t>Western Gas Resources Storage</t>
  </si>
  <si>
    <t>Katy Hub</t>
  </si>
  <si>
    <t>Ft. Bend</t>
  </si>
  <si>
    <t>Tristar Gas Co.</t>
  </si>
  <si>
    <t>Pottsville</t>
  </si>
  <si>
    <t>Hamilton</t>
  </si>
  <si>
    <t>Lone Star Gas Company</t>
  </si>
  <si>
    <t>Leeray</t>
  </si>
  <si>
    <t>Stephens</t>
  </si>
  <si>
    <t>American Gas Storage, L. P.</t>
  </si>
  <si>
    <t>Felmac</t>
  </si>
  <si>
    <t>Gaines</t>
  </si>
  <si>
    <t>Loop Field</t>
  </si>
  <si>
    <t>City of Brady</t>
  </si>
  <si>
    <t>Janellen</t>
  </si>
  <si>
    <t>Brown</t>
  </si>
  <si>
    <t>Delhi Gas Pipeline Corp.</t>
  </si>
  <si>
    <t>Pickton</t>
  </si>
  <si>
    <t>Hopkins</t>
  </si>
  <si>
    <t>El Paso Field Services</t>
  </si>
  <si>
    <t>Rotherwood</t>
  </si>
  <si>
    <t>Harris</t>
  </si>
  <si>
    <t>Houston Pipe Line Co.</t>
  </si>
  <si>
    <t>Bammel</t>
  </si>
  <si>
    <t>Lone Star Pipeline Co.</t>
  </si>
  <si>
    <t>Ambassador</t>
  </si>
  <si>
    <t>Clay</t>
  </si>
  <si>
    <t>Hill</t>
  </si>
  <si>
    <t>Eastland</t>
  </si>
  <si>
    <t>Lake Dallas</t>
  </si>
  <si>
    <t>Denton</t>
  </si>
  <si>
    <t>Pecan Station</t>
  </si>
  <si>
    <t>Tom Green</t>
  </si>
  <si>
    <t>Tri-Cities (Bacon)</t>
  </si>
  <si>
    <t>Henderson</t>
  </si>
  <si>
    <t>Tri-Cities (Rodessa)</t>
  </si>
  <si>
    <t>Lower Colorado River Authority</t>
  </si>
  <si>
    <t>Hillbig</t>
  </si>
  <si>
    <t>Bastrop</t>
  </si>
  <si>
    <t>Natural Gas Pipeline</t>
  </si>
  <si>
    <t>North Lansing</t>
  </si>
  <si>
    <t>Harrison</t>
  </si>
  <si>
    <t>Southwestern Gas Pipeline Inc.</t>
  </si>
  <si>
    <t>Lone Camp</t>
  </si>
  <si>
    <t>Palo Pinto</t>
  </si>
  <si>
    <t>Texas Utilities Fuel Co.</t>
  </si>
  <si>
    <t>South Bryson</t>
  </si>
  <si>
    <t>Jack</t>
  </si>
  <si>
    <t>Worsham-Steed</t>
  </si>
  <si>
    <t>La Pan</t>
  </si>
  <si>
    <t>New York City</t>
  </si>
  <si>
    <t>Tejas Gas Pipeline Co.</t>
  </si>
  <si>
    <t>West Clear Lake</t>
  </si>
  <si>
    <t>Salado I, II, and III</t>
  </si>
  <si>
    <t>Tejas</t>
  </si>
  <si>
    <t>Brazoria</t>
  </si>
  <si>
    <t>Centana Intrastate Pipeline Co.</t>
  </si>
  <si>
    <t>Spindletop</t>
  </si>
  <si>
    <t>Jefferson</t>
  </si>
  <si>
    <t>Dow Salt Dome Operations</t>
  </si>
  <si>
    <t>Stratten Ridge (2 caverns)</t>
  </si>
  <si>
    <t>Entergy Gulf States</t>
  </si>
  <si>
    <t>HNG Storage Company</t>
  </si>
  <si>
    <t>North Dayton</t>
  </si>
  <si>
    <t>Liberty</t>
  </si>
  <si>
    <t>Bethel</t>
  </si>
  <si>
    <t>Anderson</t>
  </si>
  <si>
    <t xml:space="preserve">Market Hub Partners, L. P. </t>
  </si>
  <si>
    <t>Moss Bluff</t>
  </si>
  <si>
    <t>Midtex Gas Storage Company LLP</t>
  </si>
  <si>
    <t>Markham (2 caverns)</t>
  </si>
  <si>
    <t>Matagorda</t>
  </si>
  <si>
    <t>Phillips Petroleum</t>
  </si>
  <si>
    <t>Clemens</t>
  </si>
  <si>
    <t>Bethel (3 caverns)</t>
  </si>
  <si>
    <t>Valero Gas Storage</t>
  </si>
  <si>
    <t>Boling</t>
  </si>
  <si>
    <t>Wharton</t>
  </si>
  <si>
    <t>Salt Domes</t>
  </si>
  <si>
    <t>Total Texas Underground Storage</t>
  </si>
  <si>
    <t>RRC 2/15/99</t>
  </si>
  <si>
    <t>RRC 1/15/99</t>
  </si>
  <si>
    <t>RRC 12/15/98</t>
  </si>
  <si>
    <t>RRC 10/15/98</t>
  </si>
  <si>
    <t>RRC 6/30/97</t>
  </si>
  <si>
    <t>RRC 6/30/96</t>
  </si>
  <si>
    <t>RRC 7/15/97</t>
  </si>
  <si>
    <t>STratten Ridge</t>
  </si>
  <si>
    <t>RRC 7/31/96</t>
  </si>
  <si>
    <t>RRC 7/31/97</t>
  </si>
  <si>
    <t>RRC 8/15/97</t>
  </si>
  <si>
    <t>RRC 4/30/99</t>
  </si>
  <si>
    <t>RRC 4/30/98</t>
  </si>
  <si>
    <t>RRC 3/31/99</t>
  </si>
  <si>
    <t>RRC 3/31/98</t>
  </si>
  <si>
    <t>RRC 4/15/99</t>
  </si>
  <si>
    <t>RRC 2/28/99</t>
  </si>
  <si>
    <t>RRC 2/28/98</t>
  </si>
  <si>
    <t>RRC 3/15/99</t>
  </si>
  <si>
    <t>RRC 12/31/98</t>
  </si>
  <si>
    <t>RRC 12/31/97</t>
  </si>
  <si>
    <t>RRC 1/31/99</t>
  </si>
  <si>
    <t>RRC 1/31/98</t>
  </si>
  <si>
    <t>RRC 10/31/98</t>
  </si>
  <si>
    <t>RRC 10/31/97</t>
  </si>
  <si>
    <t>RRC 11/15/98</t>
  </si>
  <si>
    <t>RRC 11/30/98</t>
  </si>
  <si>
    <t>RRC 11/30/97</t>
  </si>
  <si>
    <t>RRC 9/30/98</t>
  </si>
  <si>
    <t>RRC 9/30/97</t>
  </si>
  <si>
    <t>RRC 8/31/98</t>
  </si>
  <si>
    <t>RRC 8/31/97</t>
  </si>
  <si>
    <t>RRC 9/15/98</t>
  </si>
  <si>
    <t>RRC 8/15/98</t>
  </si>
  <si>
    <t>RRC 7/31/98</t>
  </si>
  <si>
    <t>RRC 7/15/98</t>
  </si>
  <si>
    <t>RRC 6/30/98</t>
  </si>
  <si>
    <t>RRC 6/15/98</t>
  </si>
  <si>
    <t>RRC 5/31/98</t>
  </si>
  <si>
    <t>RRC 5/15/98</t>
  </si>
  <si>
    <t>RRC 5/31/97</t>
  </si>
  <si>
    <t>RRC 4/30/97</t>
  </si>
  <si>
    <t>RRC 3/31/97</t>
  </si>
  <si>
    <t>RRC 4/15/98</t>
  </si>
  <si>
    <t>RRC 2/28/97</t>
  </si>
  <si>
    <t>RRC 3/15/98</t>
  </si>
  <si>
    <t>RRC 1/31/97</t>
  </si>
  <si>
    <t>RRC 2/15/98</t>
  </si>
  <si>
    <t>RRC 12/31/96</t>
  </si>
  <si>
    <t>RRC 1/15/98</t>
  </si>
  <si>
    <t>RRC 11/30/96</t>
  </si>
  <si>
    <t>RRC 12/15/97</t>
  </si>
  <si>
    <t>RRC 10/31/96</t>
  </si>
  <si>
    <t>RRC 11/15/97</t>
  </si>
  <si>
    <t>RRC 9/30/96</t>
  </si>
  <si>
    <t>RRC 10/15/97</t>
  </si>
  <si>
    <t>RRC 8/31/96</t>
  </si>
  <si>
    <t>RESERVOIR STORAGE FACILITIES</t>
  </si>
  <si>
    <t>SALT DOME STORAGE FACILITIES</t>
  </si>
  <si>
    <t>RRC 1/15/96</t>
  </si>
  <si>
    <t>RRC 1/31/96</t>
  </si>
  <si>
    <t>RRC 2/15/96</t>
  </si>
  <si>
    <t>RRC 2/31/96</t>
  </si>
  <si>
    <t>RRC 3/31/96</t>
  </si>
  <si>
    <t>RRC 4/30/96</t>
  </si>
  <si>
    <t>RRC 4/15/96</t>
  </si>
  <si>
    <t>RRC 5/15/96</t>
  </si>
  <si>
    <t>RRC 5/31/96</t>
  </si>
  <si>
    <t>RRC 6/15/96</t>
  </si>
  <si>
    <t>RRC 8/15/96</t>
  </si>
  <si>
    <t>RRC 9/15/96</t>
  </si>
  <si>
    <t>RRC 10/15/96</t>
  </si>
  <si>
    <t>RRC 11/15/96</t>
  </si>
  <si>
    <t>RRC 12/15/96</t>
  </si>
  <si>
    <t>RRC 1/15/97</t>
  </si>
  <si>
    <t>RRC 2/15/97</t>
  </si>
  <si>
    <t>RRC 3/15/97</t>
  </si>
  <si>
    <t>RRC 4/15/97</t>
  </si>
  <si>
    <t>RRC 5/15/97</t>
  </si>
  <si>
    <t>RRC 6/15/97</t>
  </si>
  <si>
    <t>RRC 9/15/97</t>
  </si>
  <si>
    <t>RRC 7/15/96</t>
  </si>
  <si>
    <t>RRC 5/31/99</t>
  </si>
  <si>
    <t>RRC 6/30/99</t>
  </si>
  <si>
    <t>RRC 7/15/99</t>
  </si>
  <si>
    <t>RRC 7/31/99</t>
  </si>
  <si>
    <t>RRC 8/15/99</t>
  </si>
  <si>
    <t>RRC 8/31/99</t>
  </si>
  <si>
    <t>RRC 9/15/99</t>
  </si>
  <si>
    <t>RRC 9/30/99</t>
  </si>
  <si>
    <t>RRC 10/15/99</t>
  </si>
  <si>
    <t>RRC 10/31/99</t>
  </si>
  <si>
    <t>RRC 11/15/99</t>
  </si>
  <si>
    <t>RRC 11/30/99</t>
  </si>
  <si>
    <t>RRC 12/15/99</t>
  </si>
  <si>
    <t>RRC 12/31/99</t>
  </si>
  <si>
    <t>RRC 6/15/99</t>
  </si>
  <si>
    <t>OVER (UNDER)</t>
  </si>
  <si>
    <t>HIGHEST FILL VOL EVER</t>
  </si>
  <si>
    <t>REMAINING CAPACITY</t>
  </si>
  <si>
    <t>RRC 1/15/00</t>
  </si>
  <si>
    <t>RRC 1/31/00</t>
  </si>
  <si>
    <t>RRC 2/15/00</t>
  </si>
  <si>
    <t>RRC 2/28/00</t>
  </si>
  <si>
    <t>RRC 3/15/00</t>
  </si>
  <si>
    <t>RRC 3/31/00</t>
  </si>
  <si>
    <t>RRC 4/15/00</t>
  </si>
  <si>
    <t>RRC 4/30/00</t>
  </si>
  <si>
    <t>RRC 5/15/00</t>
  </si>
  <si>
    <t>RRC 5/31/00</t>
  </si>
  <si>
    <t>RRC 6/15/00</t>
  </si>
  <si>
    <t>RRC 6/30/00</t>
  </si>
  <si>
    <t>RRC 7/15/00</t>
  </si>
  <si>
    <t>RRC 7/31/00</t>
  </si>
  <si>
    <t>RRC 8/15/00</t>
  </si>
  <si>
    <t>RRC 8/31/00</t>
  </si>
  <si>
    <t>RRC 9/15/00</t>
  </si>
  <si>
    <t>RRC 9/30/00</t>
  </si>
  <si>
    <t>RRC 10/15/00</t>
  </si>
  <si>
    <t>RRC 10/31/00</t>
  </si>
  <si>
    <t>RRC 11/15/00</t>
  </si>
  <si>
    <t>RRC 11/30/00</t>
  </si>
  <si>
    <t>RRC 12/15/00</t>
  </si>
  <si>
    <t>RRC 12/31/00</t>
  </si>
  <si>
    <t>MAX FILL IN 1999</t>
  </si>
  <si>
    <t>DATE 1999 MAX FILL REACHED</t>
  </si>
  <si>
    <t>n/a</t>
  </si>
  <si>
    <t>RRC 1/31/01</t>
  </si>
  <si>
    <t>RRC 2/15/01</t>
  </si>
  <si>
    <t>RRC 2/28/01</t>
  </si>
  <si>
    <t>RRC 3/15/01</t>
  </si>
  <si>
    <t>RRC 3/31/01</t>
  </si>
  <si>
    <t>RRC 4/15/01</t>
  </si>
  <si>
    <t>RRC 4/30/01</t>
  </si>
  <si>
    <t>RRC 5/15/01</t>
  </si>
  <si>
    <t>RRC 5/31/01</t>
  </si>
  <si>
    <t>RRC 6/15/01</t>
  </si>
  <si>
    <t>RRC 6/30/01</t>
  </si>
  <si>
    <t>RRC 7/15/01</t>
  </si>
  <si>
    <t>RRC 7/31/01</t>
  </si>
  <si>
    <t>RRC 8/15/01</t>
  </si>
  <si>
    <t>RRC 8/31/01</t>
  </si>
  <si>
    <t>RRC 9/15/01</t>
  </si>
  <si>
    <t>RRC 9/30/01</t>
  </si>
  <si>
    <t>RRC 10/15/01</t>
  </si>
  <si>
    <t>RRC 10/31/01</t>
  </si>
  <si>
    <t>RRC 11/15/01</t>
  </si>
  <si>
    <t>RRC 11/30/01</t>
  </si>
  <si>
    <t>RRC 12/15/01</t>
  </si>
  <si>
    <t>RRC 12/31/01</t>
  </si>
  <si>
    <t>RRC 1/15/01</t>
  </si>
  <si>
    <t>OVER (UNDER) 2000</t>
  </si>
  <si>
    <t>Comparable Volume For Same Period Previous Year</t>
  </si>
  <si>
    <t xml:space="preserve">Storage Activity </t>
  </si>
  <si>
    <t>MIN FILL LEVEL</t>
  </si>
  <si>
    <t>MAXIMUM FILL LEVEL</t>
  </si>
  <si>
    <t>MINIMUM FILL LEVEL</t>
  </si>
  <si>
    <t>DATE</t>
  </si>
  <si>
    <t>LEVEL</t>
  </si>
  <si>
    <t xml:space="preserve">AS OF OCTOBER 31, </t>
  </si>
  <si>
    <t>2000</t>
  </si>
  <si>
    <t>1996</t>
  </si>
  <si>
    <t>1999</t>
  </si>
  <si>
    <t>1997</t>
  </si>
  <si>
    <t>1998</t>
  </si>
  <si>
    <t xml:space="preserve">INJECTIONS </t>
  </si>
  <si>
    <t xml:space="preserve">MARCH 1, - </t>
  </si>
  <si>
    <t>JUN3 15,2000</t>
  </si>
  <si>
    <t>JUNE 16, -</t>
  </si>
  <si>
    <t>INJECTIONS</t>
  </si>
  <si>
    <t xml:space="preserve">REQUIRED </t>
  </si>
  <si>
    <t>TO GET TO</t>
  </si>
  <si>
    <t>10/31/00 LEVEL</t>
  </si>
  <si>
    <t>WITHOUT NGPL NORTH LANSING</t>
  </si>
  <si>
    <t>Western Gas Resources</t>
  </si>
  <si>
    <t>LCRA</t>
  </si>
  <si>
    <t>Southwestern Gas Pipeline</t>
  </si>
  <si>
    <t>Midtex Gas Stg Co</t>
  </si>
  <si>
    <t>Centana Stg</t>
  </si>
  <si>
    <t>American Gas Stg</t>
  </si>
  <si>
    <t>Stratten Ridge</t>
  </si>
  <si>
    <t>Markham</t>
  </si>
  <si>
    <t xml:space="preserve">INVENTORY </t>
  </si>
  <si>
    <t>LEVELS</t>
  </si>
  <si>
    <t>WORKING</t>
  </si>
  <si>
    <t>March 1, -</t>
  </si>
  <si>
    <t>Oct 31, 2000</t>
  </si>
  <si>
    <t>Oneok TX Gas Storage LP</t>
  </si>
  <si>
    <t>Eastex Gas Storage &amp; Exchange</t>
  </si>
  <si>
    <t>Sulphur River Gather</t>
  </si>
  <si>
    <t xml:space="preserve">     TOTAL RESERVOIR STORAGE FACILITIES</t>
  </si>
  <si>
    <t xml:space="preserve">     TOTAL SALT DOME STORAGE FACILITIES</t>
  </si>
  <si>
    <t>TOTAL RESERVOIR &amp; SALT DOME STORAGE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</si>
</sst>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4" x14ac:knownFonts="1">
    <font>
      <sz val="10"/>
      <name val="Arial"/>
    </font>
    <font>
      <b/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37" fontId="0" fillId="2" borderId="0" xfId="0" applyNumberFormat="1" applyFill="1" applyAlignment="1">
      <alignment horizontal="right"/>
    </xf>
    <xf numFmtId="37" fontId="0" fillId="2" borderId="1" xfId="0" applyNumberFormat="1" applyFill="1" applyBorder="1" applyAlignment="1">
      <alignment horizontal="right"/>
    </xf>
    <xf numFmtId="9" fontId="0" fillId="2" borderId="0" xfId="0" applyNumberFormat="1" applyFill="1" applyAlignment="1">
      <alignment horizontal="right"/>
    </xf>
    <xf numFmtId="37" fontId="0" fillId="2" borderId="0" xfId="0" applyNumberFormat="1" applyFill="1" applyBorder="1" applyAlignment="1">
      <alignment horizontal="right"/>
    </xf>
    <xf numFmtId="9" fontId="0" fillId="2" borderId="0" xfId="0" applyNumberFormat="1" applyFill="1" applyBorder="1" applyAlignment="1">
      <alignment horizontal="right"/>
    </xf>
    <xf numFmtId="37" fontId="0" fillId="2" borderId="2" xfId="0" applyNumberFormat="1" applyFill="1" applyBorder="1"/>
    <xf numFmtId="9" fontId="0" fillId="2" borderId="0" xfId="0" applyNumberFormat="1" applyFill="1"/>
    <xf numFmtId="0" fontId="2" fillId="2" borderId="3" xfId="0" applyFont="1" applyFill="1" applyBorder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14" fontId="1" fillId="2" borderId="0" xfId="0" applyNumberFormat="1" applyFont="1" applyFill="1" applyBorder="1" applyAlignment="1">
      <alignment horizontal="center" wrapText="1"/>
    </xf>
    <xf numFmtId="0" fontId="0" fillId="2" borderId="0" xfId="0" applyFill="1" applyBorder="1"/>
    <xf numFmtId="37" fontId="0" fillId="2" borderId="0" xfId="0" applyNumberFormat="1" applyFill="1" applyBorder="1"/>
    <xf numFmtId="14" fontId="1" fillId="2" borderId="5" xfId="0" applyNumberFormat="1" applyFont="1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/>
    <xf numFmtId="164" fontId="0" fillId="2" borderId="0" xfId="0" applyNumberFormat="1" applyFill="1" applyAlignment="1">
      <alignment horizontal="right"/>
    </xf>
    <xf numFmtId="38" fontId="3" fillId="2" borderId="0" xfId="0" applyNumberFormat="1" applyFont="1" applyFill="1" applyBorder="1" applyAlignment="1">
      <alignment horizontal="right"/>
    </xf>
    <xf numFmtId="37" fontId="0" fillId="2" borderId="0" xfId="0" applyNumberFormat="1" applyFill="1" applyBorder="1" applyAlignment="1">
      <alignment horizontal="center"/>
    </xf>
    <xf numFmtId="38" fontId="3" fillId="2" borderId="0" xfId="0" applyNumberFormat="1" applyFont="1" applyFill="1" applyBorder="1" applyAlignment="1">
      <alignment horizontal="right" wrapText="1"/>
    </xf>
    <xf numFmtId="37" fontId="0" fillId="2" borderId="6" xfId="0" applyNumberFormat="1" applyFill="1" applyBorder="1"/>
    <xf numFmtId="38" fontId="0" fillId="2" borderId="0" xfId="0" applyNumberFormat="1" applyFill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37" fontId="0" fillId="0" borderId="0" xfId="0" applyNumberFormat="1"/>
    <xf numFmtId="37" fontId="3" fillId="2" borderId="0" xfId="0" applyNumberFormat="1" applyFont="1" applyFill="1" applyBorder="1" applyAlignment="1">
      <alignment horizontal="center" wrapText="1"/>
    </xf>
    <xf numFmtId="37" fontId="3" fillId="2" borderId="1" xfId="0" applyNumberFormat="1" applyFont="1" applyFill="1" applyBorder="1" applyAlignment="1">
      <alignment horizontal="center"/>
    </xf>
    <xf numFmtId="38" fontId="0" fillId="2" borderId="0" xfId="0" applyNumberFormat="1" applyFill="1" applyBorder="1" applyAlignment="1">
      <alignment horizontal="right"/>
    </xf>
    <xf numFmtId="37" fontId="0" fillId="2" borderId="1" xfId="0" applyNumberFormat="1" applyFill="1" applyBorder="1" applyAlignment="1">
      <alignment horizontal="center"/>
    </xf>
    <xf numFmtId="3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Border="1" applyAlignment="1">
      <alignment horizontal="right"/>
    </xf>
    <xf numFmtId="38" fontId="0" fillId="2" borderId="0" xfId="0" applyNumberFormat="1" applyFill="1" applyBorder="1"/>
    <xf numFmtId="38" fontId="0" fillId="2" borderId="0" xfId="0" applyNumberFormat="1" applyFill="1"/>
    <xf numFmtId="164" fontId="0" fillId="2" borderId="0" xfId="0" applyNumberFormat="1" applyFill="1" applyAlignment="1">
      <alignment horizontal="center"/>
    </xf>
    <xf numFmtId="37" fontId="3" fillId="2" borderId="0" xfId="0" applyNumberFormat="1" applyFont="1" applyFill="1" applyBorder="1" applyAlignment="1">
      <alignment horizontal="center"/>
    </xf>
    <xf numFmtId="37" fontId="0" fillId="2" borderId="8" xfId="0" applyNumberFormat="1" applyFill="1" applyBorder="1" applyAlignment="1">
      <alignment horizontal="right"/>
    </xf>
    <xf numFmtId="0" fontId="0" fillId="0" borderId="0" xfId="0" quotePrefix="1"/>
    <xf numFmtId="0" fontId="0" fillId="0" borderId="5" xfId="0" applyBorder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0" xfId="0" applyNumberFormat="1"/>
    <xf numFmtId="38" fontId="0" fillId="0" borderId="1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quotePrefix="1" applyNumberFormat="1" applyAlignment="1">
      <alignment horizontal="center"/>
    </xf>
    <xf numFmtId="38" fontId="0" fillId="0" borderId="0" xfId="0" quotePrefix="1" applyNumberFormat="1" applyAlignment="1">
      <alignment horizontal="center"/>
    </xf>
    <xf numFmtId="38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/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38" fontId="0" fillId="3" borderId="0" xfId="0" quotePrefix="1" applyNumberFormat="1" applyFill="1" applyAlignment="1">
      <alignment horizontal="center"/>
    </xf>
    <xf numFmtId="38" fontId="0" fillId="3" borderId="0" xfId="0" applyNumberFormat="1" applyFill="1" applyAlignment="1">
      <alignment horizontal="center"/>
    </xf>
    <xf numFmtId="164" fontId="0" fillId="3" borderId="0" xfId="0" quotePrefix="1" applyNumberFormat="1" applyFill="1" applyAlignment="1">
      <alignment horizontal="center"/>
    </xf>
    <xf numFmtId="14" fontId="0" fillId="0" borderId="10" xfId="0" quotePrefix="1" applyNumberFormat="1" applyBorder="1" applyAlignment="1">
      <alignment horizontal="center"/>
    </xf>
    <xf numFmtId="37" fontId="0" fillId="0" borderId="1" xfId="0" applyNumberFormat="1" applyBorder="1"/>
    <xf numFmtId="37" fontId="0" fillId="2" borderId="1" xfId="0" applyNumberFormat="1" applyFill="1" applyBorder="1"/>
    <xf numFmtId="37" fontId="0" fillId="0" borderId="1" xfId="0" applyNumberFormat="1" applyBorder="1" applyAlignment="1">
      <alignment horizontal="center"/>
    </xf>
    <xf numFmtId="37" fontId="0" fillId="0" borderId="0" xfId="0" applyNumberFormat="1" applyBorder="1"/>
    <xf numFmtId="37" fontId="0" fillId="0" borderId="0" xfId="0" applyNumberFormat="1" applyBorder="1" applyAlignment="1">
      <alignment horizontal="center"/>
    </xf>
    <xf numFmtId="37" fontId="0" fillId="0" borderId="8" xfId="0" applyNumberFormat="1" applyBorder="1"/>
    <xf numFmtId="0" fontId="0" fillId="0" borderId="0" xfId="0" applyBorder="1"/>
    <xf numFmtId="1" fontId="1" fillId="2" borderId="0" xfId="0" applyNumberFormat="1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77"/>
  <sheetViews>
    <sheetView topLeftCell="K252" workbookViewId="0">
      <selection activeCell="Z261" sqref="Z261"/>
    </sheetView>
  </sheetViews>
  <sheetFormatPr defaultColWidth="9.109375" defaultRowHeight="13.2" x14ac:dyDescent="0.25"/>
  <cols>
    <col min="1" max="1" width="9.109375" style="2"/>
    <col min="2" max="2" width="29.88671875" style="2" customWidth="1"/>
    <col min="3" max="3" width="22.44140625" style="2" customWidth="1"/>
    <col min="4" max="4" width="10.109375" style="2" customWidth="1"/>
    <col min="5" max="29" width="8.33203125" style="2" customWidth="1"/>
    <col min="30" max="30" width="9.109375" style="2"/>
    <col min="31" max="31" width="8.6640625" style="2" customWidth="1"/>
    <col min="32" max="50" width="9.109375" style="2"/>
    <col min="51" max="52" width="8.6640625" style="2" customWidth="1"/>
    <col min="53" max="16384" width="9.109375" style="2"/>
  </cols>
  <sheetData>
    <row r="1" spans="1:83" ht="16.2" thickBot="1" x14ac:dyDescent="0.35">
      <c r="B1" s="11" t="s">
        <v>144</v>
      </c>
      <c r="C1" s="12"/>
    </row>
    <row r="2" spans="1:83" ht="21.6" thickBot="1" x14ac:dyDescent="0.3">
      <c r="A2" s="1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146</v>
      </c>
      <c r="G2" s="14" t="s">
        <v>147</v>
      </c>
      <c r="H2" s="14" t="s">
        <v>148</v>
      </c>
      <c r="I2" s="14" t="s">
        <v>149</v>
      </c>
      <c r="J2" s="14" t="s">
        <v>148</v>
      </c>
      <c r="K2" s="14" t="s">
        <v>150</v>
      </c>
      <c r="L2" s="14" t="s">
        <v>152</v>
      </c>
      <c r="M2" s="14" t="s">
        <v>151</v>
      </c>
      <c r="N2" s="14" t="s">
        <v>153</v>
      </c>
      <c r="O2" s="14" t="s">
        <v>154</v>
      </c>
      <c r="P2" s="14" t="s">
        <v>155</v>
      </c>
      <c r="Q2" s="14" t="s">
        <v>92</v>
      </c>
      <c r="R2" s="14" t="s">
        <v>168</v>
      </c>
      <c r="S2" s="14" t="s">
        <v>95</v>
      </c>
      <c r="T2" s="14" t="s">
        <v>156</v>
      </c>
      <c r="U2" s="14" t="s">
        <v>143</v>
      </c>
      <c r="V2" s="14" t="s">
        <v>157</v>
      </c>
      <c r="W2" s="14" t="s">
        <v>141</v>
      </c>
      <c r="X2" s="14" t="s">
        <v>158</v>
      </c>
      <c r="Y2" s="14" t="s">
        <v>139</v>
      </c>
      <c r="Z2" s="14" t="s">
        <v>159</v>
      </c>
      <c r="AA2" s="19" t="s">
        <v>137</v>
      </c>
      <c r="AB2" s="19" t="s">
        <v>160</v>
      </c>
      <c r="AC2" s="14" t="s">
        <v>135</v>
      </c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6"/>
      <c r="AS2" s="16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6"/>
      <c r="BP2" s="16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7"/>
      <c r="CD2" s="17"/>
      <c r="CE2" s="17"/>
    </row>
    <row r="3" spans="1:83" x14ac:dyDescent="0.25">
      <c r="A3" s="2" t="s">
        <v>6</v>
      </c>
      <c r="B3" s="2" t="s">
        <v>16</v>
      </c>
      <c r="C3" s="3" t="s">
        <v>17</v>
      </c>
      <c r="D3" s="3" t="s">
        <v>18</v>
      </c>
      <c r="E3" s="4">
        <v>5500</v>
      </c>
      <c r="F3" s="4"/>
      <c r="G3" s="4"/>
      <c r="H3" s="4"/>
      <c r="I3" s="4"/>
      <c r="J3" s="4"/>
      <c r="K3" s="4"/>
      <c r="L3" s="4"/>
      <c r="M3" s="4"/>
      <c r="N3" s="4"/>
      <c r="O3" s="4"/>
      <c r="Q3" s="4">
        <v>2011</v>
      </c>
      <c r="R3" s="4"/>
      <c r="S3" s="4">
        <v>2061</v>
      </c>
      <c r="T3" s="4"/>
      <c r="U3" s="4"/>
      <c r="V3" s="4"/>
      <c r="W3" s="4">
        <v>2641</v>
      </c>
      <c r="X3" s="4"/>
      <c r="Y3" s="4">
        <v>2999</v>
      </c>
      <c r="Z3" s="4"/>
      <c r="AA3" s="4">
        <v>2730</v>
      </c>
      <c r="AB3" s="4"/>
      <c r="AC3" s="4">
        <v>2390</v>
      </c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18"/>
      <c r="CC3" s="17"/>
      <c r="CD3" s="17"/>
      <c r="CE3" s="17"/>
    </row>
    <row r="4" spans="1:83" x14ac:dyDescent="0.25">
      <c r="A4" s="2" t="s">
        <v>6</v>
      </c>
      <c r="B4" s="2" t="s">
        <v>16</v>
      </c>
      <c r="C4" s="3" t="s">
        <v>19</v>
      </c>
      <c r="D4" s="3" t="s">
        <v>18</v>
      </c>
      <c r="E4" s="4">
        <v>8000</v>
      </c>
      <c r="F4" s="4"/>
      <c r="G4" s="4"/>
      <c r="H4" s="4"/>
      <c r="I4" s="4"/>
      <c r="J4" s="4"/>
      <c r="K4" s="4"/>
      <c r="L4" s="4"/>
      <c r="M4" s="4"/>
      <c r="N4" s="4"/>
      <c r="O4" s="4"/>
      <c r="Q4" s="4">
        <v>4897</v>
      </c>
      <c r="R4" s="4"/>
      <c r="S4" s="4">
        <v>5041</v>
      </c>
      <c r="T4" s="4"/>
      <c r="U4" s="4"/>
      <c r="V4" s="4"/>
      <c r="W4" s="4">
        <v>6028</v>
      </c>
      <c r="X4" s="4"/>
      <c r="Y4" s="4">
        <v>6538</v>
      </c>
      <c r="Z4" s="4"/>
      <c r="AA4" s="4">
        <v>6091</v>
      </c>
      <c r="AB4" s="4"/>
      <c r="AC4" s="4">
        <v>5044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18"/>
      <c r="CC4" s="17"/>
      <c r="CD4" s="17"/>
      <c r="CE4" s="17"/>
    </row>
    <row r="5" spans="1:83" x14ac:dyDescent="0.25">
      <c r="A5" s="2" t="s">
        <v>6</v>
      </c>
      <c r="B5" s="2" t="s">
        <v>20</v>
      </c>
      <c r="C5" s="3" t="s">
        <v>21</v>
      </c>
      <c r="D5" s="3" t="s">
        <v>22</v>
      </c>
      <c r="E5" s="4">
        <v>100</v>
      </c>
      <c r="F5" s="4"/>
      <c r="G5" s="4"/>
      <c r="H5" s="4"/>
      <c r="I5" s="4"/>
      <c r="J5" s="4"/>
      <c r="K5" s="4"/>
      <c r="L5" s="4"/>
      <c r="M5" s="4"/>
      <c r="N5" s="4"/>
      <c r="O5" s="4"/>
      <c r="Q5" s="4">
        <v>27</v>
      </c>
      <c r="R5" s="4"/>
      <c r="S5" s="4">
        <v>27</v>
      </c>
      <c r="T5" s="4"/>
      <c r="U5" s="4"/>
      <c r="V5" s="4"/>
      <c r="W5" s="4">
        <v>27</v>
      </c>
      <c r="X5" s="4"/>
      <c r="Y5" s="4">
        <v>28</v>
      </c>
      <c r="Z5" s="4"/>
      <c r="AA5" s="4">
        <v>29</v>
      </c>
      <c r="AB5" s="4"/>
      <c r="AC5" s="4">
        <v>29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18"/>
      <c r="CC5" s="17"/>
      <c r="CD5" s="17"/>
      <c r="CE5" s="17"/>
    </row>
    <row r="6" spans="1:83" x14ac:dyDescent="0.25">
      <c r="A6" s="2" t="s">
        <v>6</v>
      </c>
      <c r="B6" s="2" t="s">
        <v>26</v>
      </c>
      <c r="C6" s="3" t="s">
        <v>27</v>
      </c>
      <c r="D6" s="3" t="s">
        <v>28</v>
      </c>
      <c r="E6" s="4">
        <v>1000</v>
      </c>
      <c r="F6" s="4"/>
      <c r="G6" s="4"/>
      <c r="H6" s="4"/>
      <c r="I6" s="4"/>
      <c r="J6" s="4"/>
      <c r="K6" s="4"/>
      <c r="L6" s="4"/>
      <c r="M6" s="4"/>
      <c r="N6" s="4"/>
      <c r="O6" s="4"/>
      <c r="Q6" s="4">
        <v>1131</v>
      </c>
      <c r="R6" s="4"/>
      <c r="S6" s="4">
        <v>1222</v>
      </c>
      <c r="T6" s="4"/>
      <c r="U6" s="4"/>
      <c r="V6" s="4"/>
      <c r="W6" s="4">
        <v>1294</v>
      </c>
      <c r="X6" s="4"/>
      <c r="Y6" s="4">
        <v>1302</v>
      </c>
      <c r="Z6" s="4"/>
      <c r="AA6" s="4">
        <v>1221</v>
      </c>
      <c r="AB6" s="4"/>
      <c r="AC6" s="4">
        <v>1181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18"/>
      <c r="CC6" s="17"/>
      <c r="CD6" s="17"/>
      <c r="CE6" s="17"/>
    </row>
    <row r="7" spans="1:83" x14ac:dyDescent="0.25">
      <c r="A7" s="2" t="s">
        <v>6</v>
      </c>
      <c r="B7" s="2" t="s">
        <v>29</v>
      </c>
      <c r="C7" s="3" t="s">
        <v>30</v>
      </c>
      <c r="D7" s="3" t="s">
        <v>28</v>
      </c>
      <c r="E7" s="4">
        <v>45000</v>
      </c>
      <c r="F7" s="4"/>
      <c r="G7" s="4"/>
      <c r="H7" s="4"/>
      <c r="I7" s="4"/>
      <c r="J7" s="4"/>
      <c r="K7" s="4"/>
      <c r="L7" s="4"/>
      <c r="M7" s="4"/>
      <c r="N7" s="4"/>
      <c r="O7" s="4"/>
      <c r="Q7" s="4">
        <v>14466</v>
      </c>
      <c r="R7" s="4"/>
      <c r="S7" s="4">
        <v>17069</v>
      </c>
      <c r="T7" s="4"/>
      <c r="U7" s="4"/>
      <c r="V7" s="4"/>
      <c r="W7" s="4">
        <v>27068</v>
      </c>
      <c r="X7" s="4"/>
      <c r="Y7" s="4">
        <v>35025</v>
      </c>
      <c r="Z7" s="4"/>
      <c r="AA7" s="4">
        <v>38220</v>
      </c>
      <c r="AB7" s="4"/>
      <c r="AC7" s="4">
        <v>27659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18"/>
      <c r="CC7" s="17"/>
      <c r="CD7" s="17"/>
      <c r="CE7" s="17"/>
    </row>
    <row r="8" spans="1:83" x14ac:dyDescent="0.25">
      <c r="A8" s="2" t="s">
        <v>6</v>
      </c>
      <c r="B8" s="2" t="s">
        <v>23</v>
      </c>
      <c r="C8" s="3" t="s">
        <v>24</v>
      </c>
      <c r="D8" s="3" t="s">
        <v>25</v>
      </c>
      <c r="E8" s="4">
        <v>766</v>
      </c>
      <c r="F8" s="4"/>
      <c r="G8" s="4"/>
      <c r="H8" s="4"/>
      <c r="I8" s="4"/>
      <c r="J8" s="4"/>
      <c r="K8" s="4"/>
      <c r="L8" s="4"/>
      <c r="M8" s="4"/>
      <c r="N8" s="4"/>
      <c r="O8" s="4"/>
      <c r="Q8" s="4">
        <v>3723</v>
      </c>
      <c r="R8" s="4"/>
      <c r="S8" s="4">
        <v>3366</v>
      </c>
      <c r="T8" s="4"/>
      <c r="U8" s="4"/>
      <c r="V8" s="4"/>
      <c r="W8" s="4">
        <v>3090</v>
      </c>
      <c r="X8" s="4"/>
      <c r="Y8" s="4">
        <v>3040</v>
      </c>
      <c r="Z8" s="4"/>
      <c r="AA8" s="4">
        <v>2960</v>
      </c>
      <c r="AB8" s="4"/>
      <c r="AC8" s="4">
        <v>2917</v>
      </c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18"/>
      <c r="CC8" s="17"/>
      <c r="CD8" s="17"/>
      <c r="CE8" s="17"/>
    </row>
    <row r="9" spans="1:83" x14ac:dyDescent="0.25">
      <c r="A9" s="2" t="s">
        <v>6</v>
      </c>
      <c r="B9" s="2" t="s">
        <v>31</v>
      </c>
      <c r="C9" s="3" t="s">
        <v>32</v>
      </c>
      <c r="D9" s="3" t="s">
        <v>33</v>
      </c>
      <c r="E9" s="4">
        <v>80</v>
      </c>
      <c r="F9" s="4"/>
      <c r="G9" s="4"/>
      <c r="H9" s="4"/>
      <c r="I9" s="4"/>
      <c r="J9" s="4"/>
      <c r="K9" s="4"/>
      <c r="L9" s="4"/>
      <c r="M9" s="4"/>
      <c r="N9" s="4"/>
      <c r="O9" s="4"/>
      <c r="Q9" s="4">
        <v>80</v>
      </c>
      <c r="R9" s="4"/>
      <c r="S9" s="4">
        <v>80</v>
      </c>
      <c r="T9" s="4"/>
      <c r="U9" s="4"/>
      <c r="V9" s="4"/>
      <c r="W9" s="4">
        <v>80</v>
      </c>
      <c r="X9" s="4"/>
      <c r="Y9" s="4">
        <v>80</v>
      </c>
      <c r="Z9" s="4"/>
      <c r="AA9" s="4">
        <v>80</v>
      </c>
      <c r="AB9" s="4"/>
      <c r="AC9" s="4">
        <v>80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18"/>
      <c r="CC9" s="17"/>
      <c r="CD9" s="17"/>
      <c r="CE9" s="17"/>
    </row>
    <row r="10" spans="1:83" x14ac:dyDescent="0.25">
      <c r="A10" s="2" t="s">
        <v>6</v>
      </c>
      <c r="B10" s="2" t="s">
        <v>31</v>
      </c>
      <c r="C10" s="3" t="s">
        <v>34</v>
      </c>
      <c r="D10" s="3" t="s">
        <v>35</v>
      </c>
      <c r="E10" s="4">
        <v>8615</v>
      </c>
      <c r="F10" s="4"/>
      <c r="G10" s="4"/>
      <c r="H10" s="4"/>
      <c r="I10" s="4"/>
      <c r="J10" s="4"/>
      <c r="K10" s="4"/>
      <c r="L10" s="4"/>
      <c r="M10" s="4"/>
      <c r="N10" s="4"/>
      <c r="O10" s="4"/>
      <c r="Q10" s="4">
        <v>5466</v>
      </c>
      <c r="R10" s="4"/>
      <c r="S10" s="4">
        <v>5519</v>
      </c>
      <c r="T10" s="4"/>
      <c r="U10" s="4"/>
      <c r="V10" s="4"/>
      <c r="W10" s="4">
        <v>5702</v>
      </c>
      <c r="X10" s="4"/>
      <c r="Y10" s="4">
        <v>5702</v>
      </c>
      <c r="Z10" s="4"/>
      <c r="AA10" s="4">
        <v>5605</v>
      </c>
      <c r="AB10" s="4"/>
      <c r="AC10" s="4">
        <v>5503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18"/>
      <c r="CC10" s="17"/>
      <c r="CD10" s="17"/>
      <c r="CE10" s="17"/>
    </row>
    <row r="11" spans="1:83" x14ac:dyDescent="0.25">
      <c r="A11" s="2" t="s">
        <v>6</v>
      </c>
      <c r="B11" s="2" t="s">
        <v>31</v>
      </c>
      <c r="C11" s="3" t="s">
        <v>56</v>
      </c>
      <c r="D11" s="3" t="s">
        <v>33</v>
      </c>
      <c r="E11" s="4">
        <v>3425</v>
      </c>
      <c r="F11" s="4"/>
      <c r="G11" s="4"/>
      <c r="H11" s="4"/>
      <c r="I11" s="4"/>
      <c r="J11" s="4"/>
      <c r="K11" s="4"/>
      <c r="L11" s="4"/>
      <c r="M11" s="4"/>
      <c r="N11" s="4"/>
      <c r="O11" s="4"/>
      <c r="Q11" s="4">
        <v>2170</v>
      </c>
      <c r="R11" s="4"/>
      <c r="S11" s="4">
        <v>2386</v>
      </c>
      <c r="T11" s="4"/>
      <c r="U11" s="4"/>
      <c r="V11" s="4"/>
      <c r="W11" s="4">
        <v>2913</v>
      </c>
      <c r="X11" s="4"/>
      <c r="Y11" s="4">
        <v>3323</v>
      </c>
      <c r="Z11" s="4"/>
      <c r="AA11" s="4">
        <v>3294</v>
      </c>
      <c r="AB11" s="4"/>
      <c r="AC11" s="4">
        <v>3071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18"/>
      <c r="CC11" s="17"/>
      <c r="CD11" s="17"/>
      <c r="CE11" s="17"/>
    </row>
    <row r="12" spans="1:83" x14ac:dyDescent="0.25">
      <c r="A12" s="2" t="s">
        <v>6</v>
      </c>
      <c r="B12" s="2" t="s">
        <v>31</v>
      </c>
      <c r="C12" s="3" t="s">
        <v>36</v>
      </c>
      <c r="D12" s="3" t="s">
        <v>37</v>
      </c>
      <c r="E12" s="4">
        <v>2825</v>
      </c>
      <c r="F12" s="4"/>
      <c r="G12" s="4"/>
      <c r="H12" s="4"/>
      <c r="I12" s="4"/>
      <c r="J12" s="4"/>
      <c r="K12" s="4"/>
      <c r="L12" s="4"/>
      <c r="M12" s="4"/>
      <c r="N12" s="4"/>
      <c r="O12" s="4"/>
      <c r="Q12" s="4">
        <v>3763</v>
      </c>
      <c r="R12" s="4"/>
      <c r="S12" s="4">
        <v>3831</v>
      </c>
      <c r="T12" s="4"/>
      <c r="U12" s="4"/>
      <c r="V12" s="4"/>
      <c r="W12" s="4">
        <v>4111</v>
      </c>
      <c r="X12" s="4"/>
      <c r="Y12" s="4">
        <v>4152</v>
      </c>
      <c r="Z12" s="4"/>
      <c r="AA12" s="4">
        <v>4111</v>
      </c>
      <c r="AB12" s="4"/>
      <c r="AC12" s="4">
        <v>4016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18"/>
      <c r="CC12" s="17"/>
      <c r="CD12" s="17"/>
      <c r="CE12" s="17"/>
    </row>
    <row r="13" spans="1:83" x14ac:dyDescent="0.25">
      <c r="A13" s="2" t="s">
        <v>6</v>
      </c>
      <c r="B13" s="2" t="s">
        <v>31</v>
      </c>
      <c r="C13" s="3" t="s">
        <v>57</v>
      </c>
      <c r="D13" s="3" t="s">
        <v>33</v>
      </c>
      <c r="E13" s="4">
        <v>5290</v>
      </c>
      <c r="F13" s="4"/>
      <c r="G13" s="4"/>
      <c r="H13" s="4"/>
      <c r="I13" s="4"/>
      <c r="J13" s="4"/>
      <c r="K13" s="4"/>
      <c r="L13" s="4"/>
      <c r="M13" s="4"/>
      <c r="N13" s="4"/>
      <c r="O13" s="4"/>
      <c r="Q13" s="4">
        <v>3668</v>
      </c>
      <c r="R13" s="4"/>
      <c r="S13" s="4">
        <v>4043</v>
      </c>
      <c r="T13" s="4"/>
      <c r="U13" s="4"/>
      <c r="V13" s="4"/>
      <c r="W13" s="4">
        <v>4674</v>
      </c>
      <c r="X13" s="4"/>
      <c r="Y13" s="4">
        <v>4949</v>
      </c>
      <c r="Z13" s="4"/>
      <c r="AA13" s="4">
        <v>5219</v>
      </c>
      <c r="AB13" s="4"/>
      <c r="AC13" s="4">
        <v>5294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18"/>
      <c r="CC13" s="17"/>
      <c r="CD13" s="17"/>
      <c r="CE13" s="17"/>
    </row>
    <row r="14" spans="1:83" x14ac:dyDescent="0.25">
      <c r="A14" s="2" t="s">
        <v>6</v>
      </c>
      <c r="B14" s="2" t="s">
        <v>31</v>
      </c>
      <c r="C14" s="3" t="s">
        <v>38</v>
      </c>
      <c r="D14" s="3" t="s">
        <v>39</v>
      </c>
      <c r="E14" s="4">
        <v>1310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Q14" s="4">
        <v>839</v>
      </c>
      <c r="R14" s="4"/>
      <c r="S14" s="4">
        <v>843</v>
      </c>
      <c r="T14" s="4"/>
      <c r="U14" s="4"/>
      <c r="V14" s="4"/>
      <c r="W14" s="4">
        <v>687</v>
      </c>
      <c r="X14" s="4"/>
      <c r="Y14" s="4">
        <v>686</v>
      </c>
      <c r="Z14" s="4"/>
      <c r="AA14" s="4">
        <v>643</v>
      </c>
      <c r="AB14" s="4"/>
      <c r="AC14" s="4">
        <v>648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18"/>
      <c r="CC14" s="17"/>
      <c r="CD14" s="17"/>
      <c r="CE14" s="17"/>
    </row>
    <row r="15" spans="1:83" x14ac:dyDescent="0.25">
      <c r="A15" s="2" t="s">
        <v>6</v>
      </c>
      <c r="B15" s="2" t="s">
        <v>31</v>
      </c>
      <c r="C15" s="3" t="s">
        <v>40</v>
      </c>
      <c r="D15" s="3" t="s">
        <v>41</v>
      </c>
      <c r="E15" s="4">
        <v>18453</v>
      </c>
      <c r="F15" s="4"/>
      <c r="G15" s="4"/>
      <c r="H15" s="4"/>
      <c r="I15" s="4"/>
      <c r="J15" s="4"/>
      <c r="K15" s="4"/>
      <c r="L15" s="4"/>
      <c r="M15" s="4"/>
      <c r="N15" s="4"/>
      <c r="O15" s="4"/>
      <c r="Q15" s="4">
        <v>11457</v>
      </c>
      <c r="R15" s="4"/>
      <c r="S15" s="4">
        <v>12178</v>
      </c>
      <c r="T15" s="4"/>
      <c r="U15" s="4"/>
      <c r="V15" s="4"/>
      <c r="W15" s="4">
        <v>14326</v>
      </c>
      <c r="X15" s="4"/>
      <c r="Y15" s="4">
        <v>15541</v>
      </c>
      <c r="Z15" s="4"/>
      <c r="AA15" s="4">
        <v>15799</v>
      </c>
      <c r="AB15" s="4"/>
      <c r="AC15" s="4">
        <v>15798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18"/>
      <c r="CC15" s="17"/>
      <c r="CD15" s="17"/>
      <c r="CE15" s="17"/>
    </row>
    <row r="16" spans="1:83" x14ac:dyDescent="0.25">
      <c r="A16" s="2" t="s">
        <v>6</v>
      </c>
      <c r="B16" s="2" t="s">
        <v>31</v>
      </c>
      <c r="C16" s="3" t="s">
        <v>42</v>
      </c>
      <c r="D16" s="3" t="s">
        <v>41</v>
      </c>
      <c r="E16" s="4">
        <v>6900</v>
      </c>
      <c r="F16" s="4"/>
      <c r="G16" s="4"/>
      <c r="H16" s="4"/>
      <c r="I16" s="4"/>
      <c r="J16" s="4"/>
      <c r="K16" s="4"/>
      <c r="L16" s="4"/>
      <c r="M16" s="4"/>
      <c r="N16" s="4"/>
      <c r="O16" s="4"/>
      <c r="Q16" s="4">
        <v>2539</v>
      </c>
      <c r="R16" s="4"/>
      <c r="S16" s="4">
        <v>2539</v>
      </c>
      <c r="T16" s="4"/>
      <c r="U16" s="4"/>
      <c r="V16" s="4"/>
      <c r="W16" s="4">
        <v>2539</v>
      </c>
      <c r="X16" s="4"/>
      <c r="Y16" s="4">
        <v>2539</v>
      </c>
      <c r="Z16" s="4"/>
      <c r="AA16" s="4">
        <v>2539</v>
      </c>
      <c r="AB16" s="4"/>
      <c r="AC16" s="4">
        <v>2539</v>
      </c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18"/>
      <c r="CC16" s="17"/>
      <c r="CD16" s="17"/>
      <c r="CE16" s="17"/>
    </row>
    <row r="17" spans="1:83" x14ac:dyDescent="0.25">
      <c r="A17" s="2" t="s">
        <v>6</v>
      </c>
      <c r="B17" s="2" t="s">
        <v>43</v>
      </c>
      <c r="C17" s="3" t="s">
        <v>44</v>
      </c>
      <c r="D17" s="3" t="s">
        <v>45</v>
      </c>
      <c r="E17" s="4">
        <v>3000</v>
      </c>
      <c r="F17" s="4"/>
      <c r="G17" s="4"/>
      <c r="H17" s="4"/>
      <c r="I17" s="4"/>
      <c r="J17" s="4"/>
      <c r="K17" s="4"/>
      <c r="L17" s="4"/>
      <c r="M17" s="4"/>
      <c r="N17" s="4"/>
      <c r="O17" s="4"/>
      <c r="Q17" s="4">
        <v>2018</v>
      </c>
      <c r="R17" s="4"/>
      <c r="S17" s="4">
        <v>1577</v>
      </c>
      <c r="T17" s="4"/>
      <c r="U17" s="4"/>
      <c r="V17" s="4"/>
      <c r="W17" s="4">
        <v>3726</v>
      </c>
      <c r="X17" s="4"/>
      <c r="Y17" s="4">
        <v>3995</v>
      </c>
      <c r="Z17" s="4"/>
      <c r="AA17" s="4">
        <v>3576</v>
      </c>
      <c r="AB17" s="4"/>
      <c r="AC17" s="4">
        <v>3307</v>
      </c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18"/>
      <c r="CC17" s="17"/>
      <c r="CD17" s="17"/>
      <c r="CE17" s="17"/>
    </row>
    <row r="18" spans="1:83" x14ac:dyDescent="0.25">
      <c r="A18" s="2" t="s">
        <v>6</v>
      </c>
      <c r="B18" s="2" t="s">
        <v>46</v>
      </c>
      <c r="C18" s="3" t="s">
        <v>47</v>
      </c>
      <c r="D18" s="3" t="s">
        <v>48</v>
      </c>
      <c r="E18" s="4">
        <v>69000</v>
      </c>
      <c r="F18" s="4"/>
      <c r="G18" s="4"/>
      <c r="H18" s="4"/>
      <c r="I18" s="4"/>
      <c r="J18" s="4"/>
      <c r="K18" s="4"/>
      <c r="L18" s="4"/>
      <c r="M18" s="4"/>
      <c r="N18" s="4"/>
      <c r="O18" s="4"/>
      <c r="Q18" s="4">
        <v>14118</v>
      </c>
      <c r="R18" s="4"/>
      <c r="S18" s="4">
        <v>14027</v>
      </c>
      <c r="T18" s="4"/>
      <c r="U18" s="4"/>
      <c r="V18" s="4"/>
      <c r="W18" s="4">
        <v>34529</v>
      </c>
      <c r="X18" s="4"/>
      <c r="Y18" s="4">
        <v>40034</v>
      </c>
      <c r="Z18" s="4"/>
      <c r="AA18" s="4">
        <v>31772</v>
      </c>
      <c r="AB18" s="4"/>
      <c r="AC18" s="4">
        <v>27013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18"/>
      <c r="CC18" s="17"/>
      <c r="CD18" s="17"/>
      <c r="CE18" s="17"/>
    </row>
    <row r="19" spans="1:83" x14ac:dyDescent="0.25">
      <c r="A19" s="2" t="s">
        <v>6</v>
      </c>
      <c r="B19" s="2" t="s">
        <v>49</v>
      </c>
      <c r="C19" s="3" t="s">
        <v>50</v>
      </c>
      <c r="D19" s="3" t="s">
        <v>51</v>
      </c>
      <c r="E19" s="4">
        <v>500</v>
      </c>
      <c r="F19" s="4"/>
      <c r="G19" s="4"/>
      <c r="H19" s="4"/>
      <c r="I19" s="4"/>
      <c r="J19" s="4"/>
      <c r="K19" s="4"/>
      <c r="L19" s="4"/>
      <c r="M19" s="4"/>
      <c r="N19" s="4"/>
      <c r="O19" s="4"/>
      <c r="Q19" s="4">
        <v>495</v>
      </c>
      <c r="R19" s="4"/>
      <c r="S19" s="4">
        <v>305</v>
      </c>
      <c r="T19" s="4"/>
      <c r="U19" s="4"/>
      <c r="V19" s="4"/>
      <c r="W19" s="4">
        <v>471</v>
      </c>
      <c r="X19" s="4"/>
      <c r="Y19" s="4">
        <v>354</v>
      </c>
      <c r="Z19" s="4"/>
      <c r="AA19" s="4">
        <v>522</v>
      </c>
      <c r="AB19" s="4"/>
      <c r="AC19" s="4">
        <v>551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18"/>
      <c r="CC19" s="17"/>
      <c r="CD19" s="17"/>
      <c r="CE19" s="17"/>
    </row>
    <row r="20" spans="1:83" x14ac:dyDescent="0.25">
      <c r="A20" s="2" t="s">
        <v>6</v>
      </c>
      <c r="B20" s="2" t="s">
        <v>58</v>
      </c>
      <c r="C20" s="3" t="s">
        <v>59</v>
      </c>
      <c r="D20" s="3" t="s">
        <v>28</v>
      </c>
      <c r="E20" s="4">
        <v>48000</v>
      </c>
      <c r="F20" s="4"/>
      <c r="G20" s="4"/>
      <c r="H20" s="4"/>
      <c r="I20" s="4"/>
      <c r="J20" s="4"/>
      <c r="K20" s="4"/>
      <c r="L20" s="4"/>
      <c r="M20" s="4"/>
      <c r="N20" s="4"/>
      <c r="O20" s="4"/>
      <c r="Q20" s="4">
        <v>9442</v>
      </c>
      <c r="R20" s="4"/>
      <c r="S20" s="4">
        <v>7656</v>
      </c>
      <c r="T20" s="4"/>
      <c r="U20" s="4"/>
      <c r="V20" s="4"/>
      <c r="W20" s="4">
        <v>14765</v>
      </c>
      <c r="X20" s="4"/>
      <c r="Y20" s="4">
        <v>20410</v>
      </c>
      <c r="Z20" s="4"/>
      <c r="AA20" s="4">
        <v>15750</v>
      </c>
      <c r="AB20" s="4"/>
      <c r="AC20" s="4">
        <v>7782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18"/>
      <c r="CC20" s="17"/>
      <c r="CD20" s="17"/>
      <c r="CE20" s="17"/>
    </row>
    <row r="21" spans="1:83" x14ac:dyDescent="0.25">
      <c r="A21" s="2" t="s">
        <v>6</v>
      </c>
      <c r="B21" s="2" t="s">
        <v>52</v>
      </c>
      <c r="C21" s="3" t="s">
        <v>53</v>
      </c>
      <c r="D21" s="3" t="s">
        <v>54</v>
      </c>
      <c r="E21" s="4">
        <v>5500</v>
      </c>
      <c r="F21" s="4"/>
      <c r="G21" s="4"/>
      <c r="H21" s="4"/>
      <c r="I21" s="4"/>
      <c r="J21" s="4"/>
      <c r="K21" s="4"/>
      <c r="L21" s="4"/>
      <c r="M21" s="4"/>
      <c r="N21" s="4"/>
      <c r="O21" s="4"/>
      <c r="Q21" s="4">
        <v>5809</v>
      </c>
      <c r="R21" s="4"/>
      <c r="S21" s="4">
        <v>5160</v>
      </c>
      <c r="T21" s="4"/>
      <c r="U21" s="4"/>
      <c r="V21" s="4"/>
      <c r="W21" s="4">
        <v>5374</v>
      </c>
      <c r="X21" s="4"/>
      <c r="Y21" s="4">
        <v>5563</v>
      </c>
      <c r="Z21" s="4"/>
      <c r="AA21" s="4">
        <v>5959</v>
      </c>
      <c r="AB21" s="4"/>
      <c r="AC21" s="4">
        <v>6231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18"/>
      <c r="CC21" s="17"/>
      <c r="CD21" s="17"/>
      <c r="CE21" s="17"/>
    </row>
    <row r="22" spans="1:83" x14ac:dyDescent="0.25">
      <c r="A22" s="2" t="s">
        <v>6</v>
      </c>
      <c r="B22" s="2" t="s">
        <v>52</v>
      </c>
      <c r="C22" s="3" t="s">
        <v>55</v>
      </c>
      <c r="D22" s="3" t="s">
        <v>54</v>
      </c>
      <c r="E22" s="4">
        <v>46</v>
      </c>
      <c r="F22" s="4"/>
      <c r="G22" s="4"/>
      <c r="H22" s="4"/>
      <c r="I22" s="4"/>
      <c r="J22" s="4"/>
      <c r="K22" s="4"/>
      <c r="L22" s="4"/>
      <c r="M22" s="4"/>
      <c r="N22" s="4"/>
      <c r="O22" s="4"/>
      <c r="Q22" s="4">
        <v>6915</v>
      </c>
      <c r="R22" s="4"/>
      <c r="S22" s="4">
        <v>3625</v>
      </c>
      <c r="T22" s="4"/>
      <c r="U22" s="4"/>
      <c r="V22" s="4"/>
      <c r="W22" s="4">
        <v>3236</v>
      </c>
      <c r="X22" s="4"/>
      <c r="Y22" s="4">
        <v>2987</v>
      </c>
      <c r="Z22" s="4"/>
      <c r="AA22" s="4">
        <v>2758</v>
      </c>
      <c r="AB22" s="4"/>
      <c r="AC22" s="4">
        <v>2612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18"/>
      <c r="CC22" s="17"/>
      <c r="CD22" s="17"/>
      <c r="CE22" s="17"/>
    </row>
    <row r="23" spans="1:83" x14ac:dyDescent="0.25">
      <c r="A23" s="2" t="s">
        <v>6</v>
      </c>
      <c r="B23" s="2" t="s">
        <v>13</v>
      </c>
      <c r="C23" s="3" t="s">
        <v>14</v>
      </c>
      <c r="D23" s="3" t="s">
        <v>15</v>
      </c>
      <c r="E23" s="4">
        <v>4775</v>
      </c>
      <c r="F23" s="4"/>
      <c r="G23" s="4"/>
      <c r="H23" s="4"/>
      <c r="I23" s="4"/>
      <c r="J23" s="4"/>
      <c r="K23" s="4"/>
      <c r="L23" s="4"/>
      <c r="M23" s="4"/>
      <c r="N23" s="4"/>
      <c r="O23" s="4"/>
      <c r="Q23" s="4">
        <v>1527</v>
      </c>
      <c r="R23" s="4"/>
      <c r="S23" s="4">
        <v>1509</v>
      </c>
      <c r="T23" s="4"/>
      <c r="U23" s="4"/>
      <c r="V23" s="4"/>
      <c r="W23" s="4">
        <v>1514</v>
      </c>
      <c r="X23" s="4"/>
      <c r="Y23" s="4">
        <v>1510</v>
      </c>
      <c r="Z23" s="4"/>
      <c r="AA23" s="4">
        <v>1505</v>
      </c>
      <c r="AB23" s="4"/>
      <c r="AC23" s="4">
        <v>1486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18"/>
      <c r="CC23" s="17"/>
      <c r="CD23" s="17"/>
      <c r="CE23" s="17"/>
    </row>
    <row r="24" spans="1:83" x14ac:dyDescent="0.25">
      <c r="A24" s="2" t="s">
        <v>6</v>
      </c>
      <c r="B24" s="2" t="s">
        <v>10</v>
      </c>
      <c r="C24" s="3" t="s">
        <v>11</v>
      </c>
      <c r="D24" s="3" t="s">
        <v>12</v>
      </c>
      <c r="E24" s="4">
        <v>513</v>
      </c>
      <c r="F24" s="4"/>
      <c r="G24" s="4"/>
      <c r="H24" s="4"/>
      <c r="I24" s="4"/>
      <c r="J24" s="4"/>
      <c r="K24" s="4"/>
      <c r="L24" s="4"/>
      <c r="M24" s="4"/>
      <c r="N24" s="4"/>
      <c r="O24" s="4"/>
      <c r="Q24" s="4">
        <v>3075</v>
      </c>
      <c r="R24" s="4"/>
      <c r="S24" s="4">
        <v>3040</v>
      </c>
      <c r="T24" s="4"/>
      <c r="U24" s="4"/>
      <c r="V24" s="4"/>
      <c r="W24" s="4">
        <v>2973</v>
      </c>
      <c r="X24" s="4"/>
      <c r="Y24" s="4">
        <v>2941</v>
      </c>
      <c r="Z24" s="4"/>
      <c r="AA24" s="4">
        <v>2918</v>
      </c>
      <c r="AB24" s="4"/>
      <c r="AC24" s="4">
        <v>2890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18"/>
      <c r="CC24" s="17"/>
      <c r="CD24" s="17"/>
      <c r="CE24" s="17"/>
    </row>
    <row r="25" spans="1:83" x14ac:dyDescent="0.25">
      <c r="A25" s="2" t="s">
        <v>6</v>
      </c>
      <c r="B25" s="2" t="s">
        <v>7</v>
      </c>
      <c r="C25" s="3" t="s">
        <v>8</v>
      </c>
      <c r="D25" s="3" t="s">
        <v>9</v>
      </c>
      <c r="E25" s="4">
        <v>18500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>
        <v>7610</v>
      </c>
      <c r="R25" s="4"/>
      <c r="S25" s="4">
        <v>8946</v>
      </c>
      <c r="T25" s="4"/>
      <c r="U25" s="4"/>
      <c r="V25" s="4"/>
      <c r="W25" s="4">
        <v>14191</v>
      </c>
      <c r="X25" s="4"/>
      <c r="Y25" s="4">
        <v>16933</v>
      </c>
      <c r="Z25" s="4"/>
      <c r="AA25" s="4">
        <v>13703</v>
      </c>
      <c r="AB25" s="4"/>
      <c r="AC25" s="4">
        <v>8743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18"/>
      <c r="CC25" s="17"/>
      <c r="CD25" s="17"/>
      <c r="CE25" s="17"/>
    </row>
    <row r="26" spans="1:83" ht="13.8" thickBot="1" x14ac:dyDescent="0.3">
      <c r="C26" s="3"/>
      <c r="D26" s="3"/>
      <c r="E26" s="5">
        <f>SUM(E3:E25)</f>
        <v>257098</v>
      </c>
      <c r="F26" s="5">
        <f t="shared" ref="F26:P26" si="0">SUM(F3:F25)</f>
        <v>0</v>
      </c>
      <c r="G26" s="5">
        <f t="shared" si="0"/>
        <v>0</v>
      </c>
      <c r="H26" s="5">
        <f t="shared" si="0"/>
        <v>0</v>
      </c>
      <c r="I26" s="5">
        <f t="shared" si="0"/>
        <v>0</v>
      </c>
      <c r="J26" s="5">
        <f t="shared" si="0"/>
        <v>0</v>
      </c>
      <c r="K26" s="5">
        <f t="shared" si="0"/>
        <v>0</v>
      </c>
      <c r="L26" s="5">
        <f t="shared" si="0"/>
        <v>0</v>
      </c>
      <c r="M26" s="5">
        <f t="shared" si="0"/>
        <v>0</v>
      </c>
      <c r="N26" s="5">
        <f t="shared" si="0"/>
        <v>0</v>
      </c>
      <c r="O26" s="5">
        <f t="shared" si="0"/>
        <v>0</v>
      </c>
      <c r="P26" s="5">
        <f t="shared" si="0"/>
        <v>0</v>
      </c>
      <c r="Q26" s="5">
        <f>SUM(Q3:Q25)</f>
        <v>107246</v>
      </c>
      <c r="R26" s="5"/>
      <c r="S26" s="5">
        <f>SUM(S3:S25)</f>
        <v>106050</v>
      </c>
      <c r="T26" s="5"/>
      <c r="U26" s="5"/>
      <c r="V26" s="5"/>
      <c r="W26" s="5">
        <f>SUM(W3:W25)</f>
        <v>155959</v>
      </c>
      <c r="X26" s="5"/>
      <c r="Y26" s="5">
        <f>SUM(Y3:Y25)</f>
        <v>180631</v>
      </c>
      <c r="Z26" s="5"/>
      <c r="AA26" s="5">
        <f>SUM(AA3:AA25)</f>
        <v>167004</v>
      </c>
      <c r="AB26" s="5"/>
      <c r="AC26" s="5">
        <f>SUM(AC3:AC25)</f>
        <v>136784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17"/>
      <c r="CD26" s="17"/>
      <c r="CE26" s="17"/>
    </row>
    <row r="27" spans="1:83" ht="13.8" thickTop="1" x14ac:dyDescent="0.25">
      <c r="C27" s="3"/>
      <c r="D27" s="3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</row>
    <row r="28" spans="1:83" x14ac:dyDescent="0.25">
      <c r="C28" s="3"/>
      <c r="D28" s="3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</row>
    <row r="29" spans="1:83" x14ac:dyDescent="0.25">
      <c r="C29" s="3"/>
      <c r="D29" s="3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</row>
    <row r="30" spans="1:83" x14ac:dyDescent="0.25">
      <c r="C30" s="3"/>
      <c r="D30" s="3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</row>
    <row r="31" spans="1:83" ht="13.8" thickBot="1" x14ac:dyDescent="0.3">
      <c r="C31" s="3"/>
      <c r="D31" s="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</row>
    <row r="32" spans="1:83" ht="21.6" thickBot="1" x14ac:dyDescent="0.3">
      <c r="A32" s="1" t="s">
        <v>0</v>
      </c>
      <c r="B32" s="14" t="s">
        <v>1</v>
      </c>
      <c r="C32" s="14" t="s">
        <v>2</v>
      </c>
      <c r="D32" s="14" t="s">
        <v>3</v>
      </c>
      <c r="E32" s="14" t="s">
        <v>4</v>
      </c>
      <c r="F32" s="14" t="s">
        <v>161</v>
      </c>
      <c r="G32" s="14" t="s">
        <v>133</v>
      </c>
      <c r="H32" s="14" t="s">
        <v>162</v>
      </c>
      <c r="I32" s="14" t="s">
        <v>131</v>
      </c>
      <c r="J32" s="14" t="s">
        <v>163</v>
      </c>
      <c r="K32" s="14" t="s">
        <v>129</v>
      </c>
      <c r="L32" s="14" t="s">
        <v>164</v>
      </c>
      <c r="M32" s="14" t="s">
        <v>128</v>
      </c>
      <c r="N32" s="14" t="s">
        <v>165</v>
      </c>
      <c r="O32" s="14" t="s">
        <v>127</v>
      </c>
      <c r="P32" s="14" t="s">
        <v>166</v>
      </c>
      <c r="Q32" s="14" t="s">
        <v>91</v>
      </c>
      <c r="R32" s="14" t="s">
        <v>93</v>
      </c>
      <c r="S32" s="14" t="s">
        <v>96</v>
      </c>
      <c r="T32" s="14" t="s">
        <v>97</v>
      </c>
      <c r="U32" s="14" t="s">
        <v>118</v>
      </c>
      <c r="V32" s="14" t="s">
        <v>167</v>
      </c>
      <c r="W32" s="14" t="s">
        <v>116</v>
      </c>
      <c r="X32" s="14" t="s">
        <v>142</v>
      </c>
      <c r="Y32" s="14" t="s">
        <v>111</v>
      </c>
      <c r="Z32" s="14" t="s">
        <v>140</v>
      </c>
      <c r="AA32" s="19" t="s">
        <v>114</v>
      </c>
      <c r="AB32" s="19" t="s">
        <v>138</v>
      </c>
      <c r="AC32" s="14" t="s">
        <v>107</v>
      </c>
    </row>
    <row r="33" spans="1:29" x14ac:dyDescent="0.25">
      <c r="A33" s="2" t="s">
        <v>6</v>
      </c>
      <c r="B33" s="2" t="s">
        <v>16</v>
      </c>
      <c r="C33" s="3" t="s">
        <v>17</v>
      </c>
      <c r="D33" s="3" t="s">
        <v>18</v>
      </c>
      <c r="E33" s="4">
        <v>5500</v>
      </c>
      <c r="G33" s="4">
        <v>2075</v>
      </c>
      <c r="I33" s="4">
        <v>1842</v>
      </c>
      <c r="K33" s="4">
        <v>1785</v>
      </c>
      <c r="M33" s="4">
        <v>1713</v>
      </c>
      <c r="O33" s="4">
        <v>1986</v>
      </c>
      <c r="Q33" s="4">
        <v>2252</v>
      </c>
      <c r="R33" s="4">
        <v>2301</v>
      </c>
      <c r="S33" s="4">
        <v>2105</v>
      </c>
      <c r="T33" s="4">
        <v>2103</v>
      </c>
      <c r="U33" s="4">
        <v>2162</v>
      </c>
      <c r="W33" s="4">
        <v>2354</v>
      </c>
      <c r="X33" s="4">
        <v>2594</v>
      </c>
      <c r="Y33" s="4">
        <v>2735</v>
      </c>
      <c r="Z33" s="4">
        <v>2720</v>
      </c>
      <c r="AA33" s="4">
        <v>2705</v>
      </c>
      <c r="AB33" s="4">
        <v>2405</v>
      </c>
      <c r="AC33" s="4">
        <v>2160</v>
      </c>
    </row>
    <row r="34" spans="1:29" x14ac:dyDescent="0.25">
      <c r="A34" s="2" t="s">
        <v>6</v>
      </c>
      <c r="B34" s="2" t="s">
        <v>16</v>
      </c>
      <c r="C34" s="3" t="s">
        <v>19</v>
      </c>
      <c r="D34" s="3" t="s">
        <v>18</v>
      </c>
      <c r="E34" s="4">
        <v>8000</v>
      </c>
      <c r="G34" s="4">
        <v>4121</v>
      </c>
      <c r="I34" s="4">
        <v>3665</v>
      </c>
      <c r="K34" s="4">
        <v>3897</v>
      </c>
      <c r="M34" s="4">
        <v>3727</v>
      </c>
      <c r="O34" s="4">
        <v>4814</v>
      </c>
      <c r="Q34" s="4">
        <v>5352</v>
      </c>
      <c r="R34" s="4">
        <v>5359</v>
      </c>
      <c r="S34" s="4">
        <v>4543</v>
      </c>
      <c r="T34" s="4">
        <v>4743</v>
      </c>
      <c r="U34" s="4">
        <v>4856</v>
      </c>
      <c r="W34" s="4">
        <v>5407</v>
      </c>
      <c r="X34" s="4">
        <v>5975</v>
      </c>
      <c r="Y34" s="4">
        <v>6337</v>
      </c>
      <c r="Z34" s="4">
        <v>6310</v>
      </c>
      <c r="AA34" s="4">
        <v>6289</v>
      </c>
      <c r="AB34" s="4">
        <v>5536</v>
      </c>
      <c r="AC34" s="4">
        <v>4892</v>
      </c>
    </row>
    <row r="35" spans="1:29" x14ac:dyDescent="0.25">
      <c r="A35" s="2" t="s">
        <v>6</v>
      </c>
      <c r="B35" s="2" t="s">
        <v>20</v>
      </c>
      <c r="C35" s="3" t="s">
        <v>21</v>
      </c>
      <c r="D35" s="3" t="s">
        <v>22</v>
      </c>
      <c r="E35" s="4">
        <v>100</v>
      </c>
      <c r="G35" s="4">
        <v>29</v>
      </c>
      <c r="I35" s="4">
        <v>29</v>
      </c>
      <c r="K35" s="4">
        <v>29</v>
      </c>
      <c r="M35" s="4">
        <v>29</v>
      </c>
      <c r="O35" s="4">
        <v>29</v>
      </c>
      <c r="Q35" s="4">
        <v>29</v>
      </c>
      <c r="R35" s="4">
        <v>29</v>
      </c>
      <c r="S35" s="4">
        <v>29</v>
      </c>
      <c r="T35" s="4">
        <v>29</v>
      </c>
      <c r="U35" s="4">
        <v>29</v>
      </c>
      <c r="W35" s="4">
        <v>29</v>
      </c>
      <c r="X35" s="4">
        <v>29</v>
      </c>
      <c r="Y35" s="4">
        <v>29</v>
      </c>
      <c r="Z35" s="4">
        <v>29</v>
      </c>
      <c r="AA35" s="4">
        <v>29</v>
      </c>
      <c r="AB35" s="4">
        <v>29</v>
      </c>
      <c r="AC35" s="4">
        <v>29</v>
      </c>
    </row>
    <row r="36" spans="1:29" x14ac:dyDescent="0.25">
      <c r="A36" s="2" t="s">
        <v>6</v>
      </c>
      <c r="B36" s="2" t="s">
        <v>26</v>
      </c>
      <c r="C36" s="3" t="s">
        <v>27</v>
      </c>
      <c r="D36" s="3" t="s">
        <v>28</v>
      </c>
      <c r="E36" s="4">
        <v>1000</v>
      </c>
      <c r="G36" s="4">
        <v>1135</v>
      </c>
      <c r="I36" s="4">
        <v>1192</v>
      </c>
      <c r="K36" s="4">
        <v>1148</v>
      </c>
      <c r="M36" s="4">
        <v>1070</v>
      </c>
      <c r="O36" s="4">
        <v>1206</v>
      </c>
      <c r="Q36" s="4">
        <v>1317</v>
      </c>
      <c r="R36" s="4">
        <v>1317</v>
      </c>
      <c r="S36" s="4">
        <v>1273</v>
      </c>
      <c r="T36" s="4">
        <v>1242</v>
      </c>
      <c r="U36" s="4">
        <v>1177</v>
      </c>
      <c r="W36" s="4">
        <v>1233</v>
      </c>
      <c r="X36" s="4">
        <v>1367</v>
      </c>
      <c r="Y36" s="4">
        <v>1378</v>
      </c>
      <c r="Z36" s="4">
        <v>1330</v>
      </c>
      <c r="AA36" s="4">
        <v>1362</v>
      </c>
      <c r="AB36" s="4">
        <v>1372</v>
      </c>
      <c r="AC36" s="4">
        <v>1291</v>
      </c>
    </row>
    <row r="37" spans="1:29" x14ac:dyDescent="0.25">
      <c r="A37" s="2" t="s">
        <v>6</v>
      </c>
      <c r="B37" s="2" t="s">
        <v>29</v>
      </c>
      <c r="C37" s="3" t="s">
        <v>30</v>
      </c>
      <c r="D37" s="3" t="s">
        <v>28</v>
      </c>
      <c r="E37" s="4">
        <v>45000</v>
      </c>
      <c r="G37" s="4">
        <v>11700</v>
      </c>
      <c r="I37" s="4">
        <v>3870</v>
      </c>
      <c r="K37" s="4">
        <v>11106</v>
      </c>
      <c r="M37" s="4">
        <v>18565</v>
      </c>
      <c r="O37" s="4">
        <v>27037</v>
      </c>
      <c r="Q37" s="4">
        <v>30180</v>
      </c>
      <c r="R37" s="4">
        <v>30257</v>
      </c>
      <c r="S37" s="4">
        <v>30621</v>
      </c>
      <c r="T37" s="4">
        <v>31244</v>
      </c>
      <c r="U37" s="4">
        <v>33174</v>
      </c>
      <c r="W37" s="4">
        <v>39813</v>
      </c>
      <c r="X37" s="4">
        <v>41945</v>
      </c>
      <c r="Y37" s="4">
        <v>45067</v>
      </c>
      <c r="Z37" s="4">
        <v>41490</v>
      </c>
      <c r="AA37" s="4">
        <v>37609</v>
      </c>
      <c r="AB37" s="4">
        <v>29052</v>
      </c>
      <c r="AC37" s="4">
        <v>21526</v>
      </c>
    </row>
    <row r="38" spans="1:29" x14ac:dyDescent="0.25">
      <c r="A38" s="2" t="s">
        <v>6</v>
      </c>
      <c r="B38" s="2" t="s">
        <v>23</v>
      </c>
      <c r="C38" s="3" t="s">
        <v>24</v>
      </c>
      <c r="D38" s="3" t="s">
        <v>25</v>
      </c>
      <c r="E38" s="4">
        <v>766</v>
      </c>
      <c r="G38" s="4">
        <v>2734</v>
      </c>
      <c r="I38" s="4">
        <v>2605</v>
      </c>
      <c r="K38" s="4">
        <v>2534</v>
      </c>
      <c r="M38" s="4">
        <v>2412</v>
      </c>
      <c r="O38" s="4">
        <v>2216</v>
      </c>
      <c r="Q38" s="4">
        <v>2057</v>
      </c>
      <c r="R38" s="4">
        <v>1692</v>
      </c>
      <c r="S38" s="4">
        <v>1925</v>
      </c>
      <c r="T38" s="4">
        <v>1417</v>
      </c>
      <c r="U38" s="4">
        <v>1799</v>
      </c>
      <c r="W38" s="4">
        <v>1683</v>
      </c>
      <c r="X38" s="4">
        <v>1621</v>
      </c>
      <c r="Y38" s="4">
        <v>1569</v>
      </c>
      <c r="Z38" s="4">
        <v>1500</v>
      </c>
      <c r="AA38" s="4">
        <v>1462</v>
      </c>
      <c r="AB38" s="4">
        <v>1401</v>
      </c>
      <c r="AC38" s="4">
        <v>1351</v>
      </c>
    </row>
    <row r="39" spans="1:29" x14ac:dyDescent="0.25">
      <c r="A39" s="2" t="s">
        <v>6</v>
      </c>
      <c r="B39" s="2" t="s">
        <v>31</v>
      </c>
      <c r="C39" s="3" t="s">
        <v>32</v>
      </c>
      <c r="D39" s="3" t="s">
        <v>33</v>
      </c>
      <c r="E39" s="4">
        <v>80</v>
      </c>
      <c r="G39" s="4">
        <v>80</v>
      </c>
      <c r="I39" s="4">
        <v>80</v>
      </c>
      <c r="K39" s="4">
        <v>80</v>
      </c>
      <c r="M39" s="4">
        <v>80</v>
      </c>
      <c r="O39" s="4">
        <v>80</v>
      </c>
      <c r="Q39" s="4">
        <v>80</v>
      </c>
      <c r="R39" s="4">
        <v>80</v>
      </c>
      <c r="S39" s="4">
        <v>80</v>
      </c>
      <c r="T39" s="4">
        <v>80</v>
      </c>
      <c r="U39" s="4">
        <v>80</v>
      </c>
      <c r="W39" s="4">
        <v>80</v>
      </c>
      <c r="X39" s="4">
        <v>80</v>
      </c>
      <c r="Y39" s="4">
        <v>80</v>
      </c>
      <c r="Z39" s="4">
        <v>80</v>
      </c>
      <c r="AA39" s="4">
        <v>80</v>
      </c>
      <c r="AB39" s="4">
        <v>80</v>
      </c>
      <c r="AC39" s="4">
        <v>80</v>
      </c>
    </row>
    <row r="40" spans="1:29" x14ac:dyDescent="0.25">
      <c r="A40" s="2" t="s">
        <v>6</v>
      </c>
      <c r="B40" s="2" t="s">
        <v>31</v>
      </c>
      <c r="C40" s="3" t="s">
        <v>34</v>
      </c>
      <c r="D40" s="3" t="s">
        <v>35</v>
      </c>
      <c r="E40" s="4">
        <v>8615</v>
      </c>
      <c r="G40" s="4">
        <v>5298</v>
      </c>
      <c r="I40" s="4">
        <v>5388</v>
      </c>
      <c r="K40" s="4">
        <v>5391</v>
      </c>
      <c r="M40" s="4">
        <v>5382</v>
      </c>
      <c r="O40" s="4">
        <v>5498</v>
      </c>
      <c r="Q40" s="4">
        <v>5498</v>
      </c>
      <c r="R40" s="4">
        <v>5498</v>
      </c>
      <c r="S40" s="4">
        <v>5497</v>
      </c>
      <c r="T40" s="4">
        <v>5682</v>
      </c>
      <c r="U40" s="4">
        <v>6042</v>
      </c>
      <c r="W40" s="4">
        <v>6636</v>
      </c>
      <c r="X40" s="4">
        <v>6882</v>
      </c>
      <c r="Y40" s="4">
        <v>7025</v>
      </c>
      <c r="Z40" s="4">
        <v>7080</v>
      </c>
      <c r="AA40" s="4">
        <v>7032</v>
      </c>
      <c r="AB40" s="4">
        <v>6699</v>
      </c>
      <c r="AC40" s="4">
        <v>6455</v>
      </c>
    </row>
    <row r="41" spans="1:29" x14ac:dyDescent="0.25">
      <c r="A41" s="2" t="s">
        <v>6</v>
      </c>
      <c r="B41" s="2" t="s">
        <v>31</v>
      </c>
      <c r="C41" s="3" t="s">
        <v>56</v>
      </c>
      <c r="D41" s="3" t="s">
        <v>33</v>
      </c>
      <c r="E41" s="4">
        <v>3425</v>
      </c>
      <c r="G41" s="4">
        <v>2970</v>
      </c>
      <c r="I41" s="4">
        <v>2872</v>
      </c>
      <c r="K41" s="4">
        <v>2699</v>
      </c>
      <c r="M41" s="4">
        <v>2556</v>
      </c>
      <c r="O41" s="4">
        <v>2627</v>
      </c>
      <c r="Q41" s="4">
        <v>2788</v>
      </c>
      <c r="R41" s="4">
        <v>2845</v>
      </c>
      <c r="S41" s="4">
        <v>2871</v>
      </c>
      <c r="T41" s="4">
        <v>2962</v>
      </c>
      <c r="U41" s="4">
        <v>3363</v>
      </c>
      <c r="W41" s="4">
        <v>3474</v>
      </c>
      <c r="X41" s="4">
        <v>3608</v>
      </c>
      <c r="Y41" s="4">
        <v>3636</v>
      </c>
      <c r="Z41" s="4">
        <v>3620</v>
      </c>
      <c r="AA41" s="4">
        <v>3667</v>
      </c>
      <c r="AB41" s="4">
        <v>3581</v>
      </c>
      <c r="AC41" s="4">
        <v>3374</v>
      </c>
    </row>
    <row r="42" spans="1:29" x14ac:dyDescent="0.25">
      <c r="A42" s="2" t="s">
        <v>6</v>
      </c>
      <c r="B42" s="2" t="s">
        <v>31</v>
      </c>
      <c r="C42" s="3" t="s">
        <v>36</v>
      </c>
      <c r="D42" s="3" t="s">
        <v>37</v>
      </c>
      <c r="E42" s="4">
        <v>2825</v>
      </c>
      <c r="G42" s="4">
        <v>3657</v>
      </c>
      <c r="I42" s="4">
        <v>3700</v>
      </c>
      <c r="K42" s="4">
        <v>3817</v>
      </c>
      <c r="M42" s="4">
        <v>3855</v>
      </c>
      <c r="O42" s="4">
        <v>3881</v>
      </c>
      <c r="Q42" s="4">
        <v>4000</v>
      </c>
      <c r="R42" s="4">
        <v>4034</v>
      </c>
      <c r="S42" s="4">
        <v>4039</v>
      </c>
      <c r="T42" s="4">
        <v>4038</v>
      </c>
      <c r="U42" s="4">
        <v>3980</v>
      </c>
      <c r="W42" s="4">
        <v>4165</v>
      </c>
      <c r="X42" s="4">
        <v>4225</v>
      </c>
      <c r="Y42" s="4">
        <v>4244</v>
      </c>
      <c r="Z42" s="4">
        <v>4230</v>
      </c>
      <c r="AA42" s="4">
        <v>4259</v>
      </c>
      <c r="AB42" s="4">
        <v>4162</v>
      </c>
      <c r="AC42" s="4">
        <v>4118</v>
      </c>
    </row>
    <row r="43" spans="1:29" x14ac:dyDescent="0.25">
      <c r="A43" s="2" t="s">
        <v>6</v>
      </c>
      <c r="B43" s="2" t="s">
        <v>31</v>
      </c>
      <c r="C43" s="3" t="s">
        <v>57</v>
      </c>
      <c r="D43" s="3" t="s">
        <v>33</v>
      </c>
      <c r="E43" s="4">
        <v>5290</v>
      </c>
      <c r="G43" s="4">
        <v>4724</v>
      </c>
      <c r="I43" s="4">
        <v>4527</v>
      </c>
      <c r="K43" s="4">
        <v>4806</v>
      </c>
      <c r="M43" s="4">
        <v>5352</v>
      </c>
      <c r="O43" s="4">
        <v>5830</v>
      </c>
      <c r="Q43" s="4">
        <v>5963</v>
      </c>
      <c r="R43" s="4">
        <v>6025</v>
      </c>
      <c r="S43" s="4">
        <v>6140</v>
      </c>
      <c r="T43" s="4">
        <v>6345</v>
      </c>
      <c r="U43" s="4">
        <v>6653</v>
      </c>
      <c r="W43" s="4">
        <v>6799</v>
      </c>
      <c r="X43" s="4">
        <v>6784</v>
      </c>
      <c r="Y43" s="4">
        <v>6491</v>
      </c>
      <c r="Z43" s="4">
        <v>6450</v>
      </c>
      <c r="AA43" s="4">
        <v>6210</v>
      </c>
      <c r="AB43" s="4">
        <v>5482</v>
      </c>
      <c r="AC43" s="4">
        <v>5005</v>
      </c>
    </row>
    <row r="44" spans="1:29" x14ac:dyDescent="0.25">
      <c r="A44" s="2" t="s">
        <v>6</v>
      </c>
      <c r="B44" s="2" t="s">
        <v>31</v>
      </c>
      <c r="C44" s="3" t="s">
        <v>38</v>
      </c>
      <c r="D44" s="3" t="s">
        <v>39</v>
      </c>
      <c r="E44" s="4">
        <v>1310</v>
      </c>
      <c r="G44" s="4">
        <v>637</v>
      </c>
      <c r="I44" s="4">
        <v>653</v>
      </c>
      <c r="K44" s="4">
        <v>644</v>
      </c>
      <c r="M44" s="4">
        <v>643</v>
      </c>
      <c r="O44" s="4">
        <v>651</v>
      </c>
      <c r="Q44" s="4">
        <v>644</v>
      </c>
      <c r="R44" s="4">
        <v>644</v>
      </c>
      <c r="S44" s="4">
        <v>644</v>
      </c>
      <c r="T44" s="4">
        <v>644</v>
      </c>
      <c r="U44" s="4">
        <v>642</v>
      </c>
      <c r="W44" s="4">
        <v>641</v>
      </c>
      <c r="X44" s="4">
        <v>641</v>
      </c>
      <c r="Y44" s="4">
        <v>640</v>
      </c>
      <c r="Z44" s="4">
        <v>640</v>
      </c>
      <c r="AA44" s="4">
        <v>639</v>
      </c>
      <c r="AB44" s="4">
        <v>639</v>
      </c>
      <c r="AC44" s="4">
        <v>639</v>
      </c>
    </row>
    <row r="45" spans="1:29" x14ac:dyDescent="0.25">
      <c r="A45" s="2" t="s">
        <v>6</v>
      </c>
      <c r="B45" s="2" t="s">
        <v>31</v>
      </c>
      <c r="C45" s="3" t="s">
        <v>40</v>
      </c>
      <c r="D45" s="3" t="s">
        <v>41</v>
      </c>
      <c r="E45" s="4">
        <v>18453</v>
      </c>
      <c r="G45" s="4">
        <v>14147</v>
      </c>
      <c r="I45" s="4">
        <v>12748</v>
      </c>
      <c r="K45" s="4">
        <v>12664</v>
      </c>
      <c r="M45" s="4">
        <v>11524</v>
      </c>
      <c r="O45" s="4">
        <v>11318</v>
      </c>
      <c r="Q45" s="4">
        <v>12084</v>
      </c>
      <c r="R45" s="4">
        <v>12557</v>
      </c>
      <c r="S45" s="4">
        <v>12473</v>
      </c>
      <c r="T45" s="4">
        <v>12786</v>
      </c>
      <c r="U45" s="4">
        <v>14019</v>
      </c>
      <c r="W45" s="4">
        <v>15477</v>
      </c>
      <c r="X45" s="4">
        <v>16432</v>
      </c>
      <c r="Y45" s="4">
        <v>16526</v>
      </c>
      <c r="Z45" s="4">
        <v>16410</v>
      </c>
      <c r="AA45" s="4">
        <v>16047</v>
      </c>
      <c r="AB45" s="4">
        <v>15210</v>
      </c>
      <c r="AC45" s="4">
        <v>13809</v>
      </c>
    </row>
    <row r="46" spans="1:29" x14ac:dyDescent="0.25">
      <c r="A46" s="2" t="s">
        <v>6</v>
      </c>
      <c r="B46" s="2" t="s">
        <v>31</v>
      </c>
      <c r="C46" s="3" t="s">
        <v>42</v>
      </c>
      <c r="D46" s="3" t="s">
        <v>41</v>
      </c>
      <c r="E46" s="4">
        <v>6900</v>
      </c>
      <c r="G46" s="4">
        <v>2520</v>
      </c>
      <c r="I46" s="4">
        <v>2486</v>
      </c>
      <c r="K46" s="4">
        <v>2447</v>
      </c>
      <c r="M46" s="4">
        <v>2409</v>
      </c>
      <c r="O46" s="4">
        <v>2373</v>
      </c>
      <c r="Q46" s="4">
        <v>2341</v>
      </c>
      <c r="R46" s="4">
        <v>2327</v>
      </c>
      <c r="S46" s="4">
        <v>2311</v>
      </c>
      <c r="T46" s="4">
        <v>2297</v>
      </c>
      <c r="U46" s="4">
        <v>2277</v>
      </c>
      <c r="W46" s="4">
        <v>2244</v>
      </c>
      <c r="X46" s="4">
        <v>2229</v>
      </c>
      <c r="Y46" s="4">
        <v>2209</v>
      </c>
      <c r="Z46" s="4">
        <v>2190</v>
      </c>
      <c r="AA46" s="4">
        <v>2174</v>
      </c>
      <c r="AB46" s="4">
        <v>2160</v>
      </c>
      <c r="AC46" s="4">
        <v>2144</v>
      </c>
    </row>
    <row r="47" spans="1:29" x14ac:dyDescent="0.25">
      <c r="A47" s="2" t="s">
        <v>6</v>
      </c>
      <c r="B47" s="2" t="s">
        <v>43</v>
      </c>
      <c r="C47" s="3" t="s">
        <v>44</v>
      </c>
      <c r="D47" s="3" t="s">
        <v>45</v>
      </c>
      <c r="E47" s="4">
        <v>3000</v>
      </c>
      <c r="G47" s="4">
        <v>2171</v>
      </c>
      <c r="I47" s="4">
        <v>1747</v>
      </c>
      <c r="K47" s="4">
        <v>2562</v>
      </c>
      <c r="M47" s="4">
        <v>3916</v>
      </c>
      <c r="O47" s="4">
        <v>3616</v>
      </c>
      <c r="Q47" s="4">
        <v>3133</v>
      </c>
      <c r="R47" s="4">
        <v>2956</v>
      </c>
      <c r="S47" s="4">
        <v>2574</v>
      </c>
      <c r="T47" s="4">
        <v>2341</v>
      </c>
      <c r="U47" s="4">
        <v>2071</v>
      </c>
      <c r="W47" s="4">
        <v>1564</v>
      </c>
      <c r="X47" s="4">
        <v>1428</v>
      </c>
      <c r="Y47" s="4">
        <v>1314</v>
      </c>
      <c r="Z47" s="4">
        <v>1240</v>
      </c>
      <c r="AA47" s="4">
        <v>1378</v>
      </c>
      <c r="AB47" s="4">
        <v>1296</v>
      </c>
      <c r="AC47" s="4">
        <v>1324</v>
      </c>
    </row>
    <row r="48" spans="1:29" x14ac:dyDescent="0.25">
      <c r="A48" s="2" t="s">
        <v>6</v>
      </c>
      <c r="B48" s="2" t="s">
        <v>46</v>
      </c>
      <c r="C48" s="3" t="s">
        <v>47</v>
      </c>
      <c r="D48" s="3" t="s">
        <v>48</v>
      </c>
      <c r="E48" s="4">
        <v>69000</v>
      </c>
      <c r="G48" s="4">
        <v>14608</v>
      </c>
      <c r="I48" s="4">
        <v>10692</v>
      </c>
      <c r="K48" s="4">
        <v>15027</v>
      </c>
      <c r="M48" s="4">
        <v>18887</v>
      </c>
      <c r="O48" s="4">
        <v>24055</v>
      </c>
      <c r="Q48" s="4">
        <v>28998</v>
      </c>
      <c r="R48" s="4">
        <v>29653</v>
      </c>
      <c r="S48" s="4">
        <v>25350</v>
      </c>
      <c r="T48" s="4">
        <v>27569</v>
      </c>
      <c r="U48" s="4">
        <v>29444</v>
      </c>
      <c r="W48" s="4">
        <v>40172</v>
      </c>
      <c r="X48" s="4">
        <v>43838</v>
      </c>
      <c r="Y48" s="4">
        <v>47502</v>
      </c>
      <c r="Z48" s="4">
        <v>45150</v>
      </c>
      <c r="AA48" s="4">
        <v>39131</v>
      </c>
      <c r="AB48" s="4">
        <v>30075</v>
      </c>
      <c r="AC48" s="4">
        <v>25847</v>
      </c>
    </row>
    <row r="49" spans="1:79" x14ac:dyDescent="0.25">
      <c r="A49" s="2" t="s">
        <v>6</v>
      </c>
      <c r="B49" s="2" t="s">
        <v>49</v>
      </c>
      <c r="C49" s="3" t="s">
        <v>50</v>
      </c>
      <c r="D49" s="3" t="s">
        <v>51</v>
      </c>
      <c r="E49" s="4">
        <v>500</v>
      </c>
      <c r="G49" s="4">
        <v>486</v>
      </c>
      <c r="I49" s="4">
        <v>408</v>
      </c>
      <c r="K49" s="4">
        <v>314</v>
      </c>
      <c r="M49" s="4">
        <v>438</v>
      </c>
      <c r="O49" s="4">
        <v>363</v>
      </c>
      <c r="Q49" s="4">
        <v>483</v>
      </c>
      <c r="R49" s="4">
        <v>511</v>
      </c>
      <c r="S49" s="4">
        <v>276</v>
      </c>
      <c r="T49" s="4">
        <v>339</v>
      </c>
      <c r="U49" s="4">
        <v>282</v>
      </c>
      <c r="W49" s="4">
        <v>120</v>
      </c>
      <c r="X49" s="4">
        <v>305</v>
      </c>
      <c r="Y49" s="4">
        <v>481</v>
      </c>
      <c r="Z49" s="4">
        <v>530</v>
      </c>
      <c r="AA49" s="4">
        <v>502</v>
      </c>
      <c r="AB49" s="4">
        <v>393</v>
      </c>
      <c r="AC49" s="4">
        <v>328</v>
      </c>
    </row>
    <row r="50" spans="1:79" x14ac:dyDescent="0.25">
      <c r="A50" s="2" t="s">
        <v>6</v>
      </c>
      <c r="B50" s="2" t="s">
        <v>58</v>
      </c>
      <c r="C50" s="3" t="s">
        <v>59</v>
      </c>
      <c r="D50" s="3" t="s">
        <v>28</v>
      </c>
      <c r="E50" s="4">
        <v>48000</v>
      </c>
      <c r="G50" s="4">
        <v>3021</v>
      </c>
      <c r="I50" s="4">
        <v>1878</v>
      </c>
      <c r="K50" s="4">
        <v>6496</v>
      </c>
      <c r="M50" s="4">
        <v>10485</v>
      </c>
      <c r="O50" s="4">
        <v>15434</v>
      </c>
      <c r="Q50" s="4">
        <v>21464</v>
      </c>
      <c r="R50" s="4">
        <v>24588</v>
      </c>
      <c r="S50" s="4">
        <v>27951</v>
      </c>
      <c r="T50" s="4">
        <v>30669</v>
      </c>
      <c r="U50" s="4">
        <v>32251</v>
      </c>
      <c r="W50" s="4">
        <v>30842</v>
      </c>
      <c r="X50" s="4">
        <v>29750</v>
      </c>
      <c r="Y50" s="4">
        <v>36486</v>
      </c>
      <c r="Z50" s="4">
        <v>34010</v>
      </c>
      <c r="AA50" s="4">
        <v>28767</v>
      </c>
      <c r="AB50" s="4">
        <v>23083</v>
      </c>
      <c r="AC50" s="4">
        <v>17447</v>
      </c>
    </row>
    <row r="51" spans="1:79" x14ac:dyDescent="0.25">
      <c r="A51" s="2" t="s">
        <v>6</v>
      </c>
      <c r="B51" s="2" t="s">
        <v>52</v>
      </c>
      <c r="C51" s="3" t="s">
        <v>53</v>
      </c>
      <c r="D51" s="3" t="s">
        <v>54</v>
      </c>
      <c r="E51" s="4">
        <v>5500</v>
      </c>
      <c r="G51" s="4">
        <v>5677</v>
      </c>
      <c r="I51" s="4">
        <v>4762</v>
      </c>
      <c r="K51" s="4">
        <v>4898</v>
      </c>
      <c r="M51" s="4">
        <v>5659</v>
      </c>
      <c r="O51" s="4">
        <v>6156</v>
      </c>
      <c r="Q51" s="4">
        <v>5892</v>
      </c>
      <c r="R51" s="4">
        <v>5745</v>
      </c>
      <c r="S51" s="4">
        <v>5160</v>
      </c>
      <c r="T51" s="4">
        <v>4969</v>
      </c>
      <c r="U51" s="4">
        <v>4332</v>
      </c>
      <c r="W51" s="4">
        <v>4119</v>
      </c>
      <c r="X51" s="4">
        <v>4578</v>
      </c>
      <c r="Y51" s="4">
        <v>5034</v>
      </c>
      <c r="Z51" s="4">
        <v>5490</v>
      </c>
      <c r="AA51" s="4">
        <v>6077</v>
      </c>
      <c r="AB51" s="4">
        <v>5654</v>
      </c>
      <c r="AC51" s="4">
        <v>5751</v>
      </c>
    </row>
    <row r="52" spans="1:79" x14ac:dyDescent="0.25">
      <c r="A52" s="2" t="s">
        <v>6</v>
      </c>
      <c r="B52" s="2" t="s">
        <v>52</v>
      </c>
      <c r="C52" s="3" t="s">
        <v>55</v>
      </c>
      <c r="D52" s="3" t="s">
        <v>54</v>
      </c>
      <c r="E52" s="4">
        <v>46</v>
      </c>
      <c r="G52" s="4">
        <v>2431</v>
      </c>
      <c r="I52" s="4">
        <v>2217</v>
      </c>
      <c r="K52" s="4">
        <v>1963</v>
      </c>
      <c r="M52" s="4">
        <v>1746</v>
      </c>
      <c r="O52" s="4">
        <v>1542</v>
      </c>
      <c r="Q52" s="4">
        <v>1379</v>
      </c>
      <c r="R52" s="4">
        <v>1314</v>
      </c>
      <c r="S52" s="4">
        <v>1236</v>
      </c>
      <c r="T52" s="4">
        <v>1172</v>
      </c>
      <c r="U52" s="4">
        <v>1111</v>
      </c>
      <c r="W52" s="4">
        <v>984</v>
      </c>
      <c r="X52" s="4">
        <v>934</v>
      </c>
      <c r="Y52" s="4">
        <v>860</v>
      </c>
      <c r="Z52" s="4">
        <v>820</v>
      </c>
      <c r="AA52" s="4">
        <v>750</v>
      </c>
      <c r="AB52" s="4">
        <v>705</v>
      </c>
      <c r="AC52" s="4">
        <v>657</v>
      </c>
    </row>
    <row r="53" spans="1:79" x14ac:dyDescent="0.25">
      <c r="A53" s="2" t="s">
        <v>6</v>
      </c>
      <c r="B53" s="2" t="s">
        <v>13</v>
      </c>
      <c r="C53" s="3" t="s">
        <v>14</v>
      </c>
      <c r="D53" s="3" t="s">
        <v>15</v>
      </c>
      <c r="E53" s="4">
        <v>4775</v>
      </c>
      <c r="G53" s="4">
        <v>1469</v>
      </c>
      <c r="I53" s="4">
        <v>1453</v>
      </c>
      <c r="K53" s="4">
        <v>1447</v>
      </c>
      <c r="M53" s="4">
        <v>1447</v>
      </c>
      <c r="O53" s="4">
        <v>1447</v>
      </c>
      <c r="Q53" s="4">
        <v>1447</v>
      </c>
      <c r="R53" s="4">
        <v>1447</v>
      </c>
      <c r="S53" s="4">
        <v>1447</v>
      </c>
      <c r="T53" s="4">
        <v>1447</v>
      </c>
      <c r="U53" s="4">
        <v>1447</v>
      </c>
      <c r="W53" s="4">
        <v>1447</v>
      </c>
      <c r="X53" s="4">
        <v>1447</v>
      </c>
      <c r="Y53" s="4">
        <v>1447</v>
      </c>
      <c r="Z53" s="4">
        <v>1440</v>
      </c>
      <c r="AA53" s="4">
        <v>1447</v>
      </c>
      <c r="AB53" s="4">
        <v>1447</v>
      </c>
      <c r="AC53" s="4">
        <v>1447</v>
      </c>
    </row>
    <row r="54" spans="1:79" x14ac:dyDescent="0.25">
      <c r="A54" s="2" t="s">
        <v>6</v>
      </c>
      <c r="B54" s="2" t="s">
        <v>10</v>
      </c>
      <c r="C54" s="3" t="s">
        <v>11</v>
      </c>
      <c r="D54" s="3" t="s">
        <v>12</v>
      </c>
      <c r="E54" s="4">
        <v>513</v>
      </c>
      <c r="G54" s="4">
        <v>2862</v>
      </c>
      <c r="I54" s="4">
        <v>2831</v>
      </c>
      <c r="K54" s="4">
        <v>2803</v>
      </c>
      <c r="M54" s="4">
        <v>2781</v>
      </c>
      <c r="O54" s="4">
        <v>2746</v>
      </c>
      <c r="Q54" s="4">
        <v>883</v>
      </c>
      <c r="R54" s="4">
        <v>2698</v>
      </c>
      <c r="S54" s="4">
        <v>851</v>
      </c>
      <c r="T54" s="4">
        <v>2665</v>
      </c>
      <c r="U54" s="4">
        <v>819</v>
      </c>
      <c r="W54" s="4">
        <v>788</v>
      </c>
      <c r="X54" s="4">
        <v>2604</v>
      </c>
      <c r="Y54" s="4">
        <v>758</v>
      </c>
      <c r="Z54" s="4">
        <v>2570</v>
      </c>
      <c r="AA54" s="4">
        <v>730</v>
      </c>
      <c r="AB54" s="4">
        <v>2546</v>
      </c>
      <c r="AC54" s="4">
        <v>701</v>
      </c>
    </row>
    <row r="55" spans="1:79" x14ac:dyDescent="0.25">
      <c r="A55" s="2" t="s">
        <v>6</v>
      </c>
      <c r="B55" s="2" t="s">
        <v>7</v>
      </c>
      <c r="C55" s="3" t="s">
        <v>8</v>
      </c>
      <c r="D55" s="3" t="s">
        <v>9</v>
      </c>
      <c r="E55" s="4">
        <v>18500</v>
      </c>
      <c r="G55" s="4">
        <v>3678</v>
      </c>
      <c r="I55" s="4">
        <v>2505</v>
      </c>
      <c r="K55" s="4">
        <v>6301</v>
      </c>
      <c r="M55" s="4">
        <v>9482</v>
      </c>
      <c r="O55" s="4">
        <v>13069</v>
      </c>
      <c r="Q55" s="4">
        <v>13254</v>
      </c>
      <c r="R55" s="4">
        <v>13093</v>
      </c>
      <c r="S55" s="4">
        <v>10289</v>
      </c>
      <c r="T55" s="4">
        <v>11008</v>
      </c>
      <c r="U55" s="4">
        <v>10721</v>
      </c>
      <c r="W55" s="4">
        <v>10658</v>
      </c>
      <c r="X55" s="4">
        <v>11054</v>
      </c>
      <c r="Y55" s="4">
        <v>12363</v>
      </c>
      <c r="Z55" s="4">
        <v>11880</v>
      </c>
      <c r="AA55" s="4">
        <v>11088</v>
      </c>
      <c r="AB55" s="4">
        <v>9331</v>
      </c>
      <c r="AC55" s="4">
        <v>7105</v>
      </c>
    </row>
    <row r="56" spans="1:79" ht="13.8" thickBot="1" x14ac:dyDescent="0.3">
      <c r="C56" s="3"/>
      <c r="D56" s="3"/>
      <c r="E56" s="5">
        <f>SUM(E33:E55)</f>
        <v>257098</v>
      </c>
      <c r="F56" s="5">
        <f t="shared" ref="F56:AC56" si="1">SUM(F33:F55)</f>
        <v>0</v>
      </c>
      <c r="G56" s="5">
        <f t="shared" si="1"/>
        <v>92230</v>
      </c>
      <c r="H56" s="5">
        <f t="shared" si="1"/>
        <v>0</v>
      </c>
      <c r="I56" s="5">
        <f t="shared" si="1"/>
        <v>74150</v>
      </c>
      <c r="J56" s="5">
        <f t="shared" si="1"/>
        <v>0</v>
      </c>
      <c r="K56" s="5">
        <f t="shared" si="1"/>
        <v>94858</v>
      </c>
      <c r="L56" s="5">
        <f t="shared" si="1"/>
        <v>0</v>
      </c>
      <c r="M56" s="5">
        <f t="shared" si="1"/>
        <v>114158</v>
      </c>
      <c r="N56" s="5">
        <f t="shared" si="1"/>
        <v>0</v>
      </c>
      <c r="O56" s="5">
        <f t="shared" si="1"/>
        <v>137974</v>
      </c>
      <c r="P56" s="5">
        <f t="shared" si="1"/>
        <v>0</v>
      </c>
      <c r="Q56" s="5">
        <f t="shared" si="1"/>
        <v>151518</v>
      </c>
      <c r="R56" s="5">
        <f t="shared" si="1"/>
        <v>156970</v>
      </c>
      <c r="S56" s="5">
        <f t="shared" si="1"/>
        <v>149685</v>
      </c>
      <c r="T56" s="5">
        <f t="shared" si="1"/>
        <v>157791</v>
      </c>
      <c r="U56" s="5">
        <f t="shared" si="1"/>
        <v>162731</v>
      </c>
      <c r="V56" s="5">
        <f t="shared" si="1"/>
        <v>0</v>
      </c>
      <c r="W56" s="5">
        <f t="shared" si="1"/>
        <v>180729</v>
      </c>
      <c r="X56" s="5">
        <f t="shared" si="1"/>
        <v>190350</v>
      </c>
      <c r="Y56" s="5">
        <f t="shared" si="1"/>
        <v>204211</v>
      </c>
      <c r="Z56" s="5">
        <f t="shared" si="1"/>
        <v>197209</v>
      </c>
      <c r="AA56" s="5">
        <f t="shared" si="1"/>
        <v>179434</v>
      </c>
      <c r="AB56" s="5">
        <f t="shared" si="1"/>
        <v>152338</v>
      </c>
      <c r="AC56" s="5">
        <f t="shared" si="1"/>
        <v>127480</v>
      </c>
    </row>
    <row r="57" spans="1:79" ht="14.4" thickTop="1" thickBot="1" x14ac:dyDescent="0.3">
      <c r="C57" s="3"/>
      <c r="D57" s="3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</row>
    <row r="58" spans="1:79" ht="21.6" thickBot="1" x14ac:dyDescent="0.3">
      <c r="B58" s="14" t="s">
        <v>1</v>
      </c>
      <c r="C58" s="14" t="s">
        <v>2</v>
      </c>
      <c r="D58" s="14" t="s">
        <v>3</v>
      </c>
      <c r="E58" s="14" t="s">
        <v>4</v>
      </c>
      <c r="F58" s="14" t="s">
        <v>136</v>
      </c>
      <c r="G58" s="14" t="s">
        <v>109</v>
      </c>
      <c r="H58" s="14" t="s">
        <v>134</v>
      </c>
      <c r="I58" s="14" t="s">
        <v>104</v>
      </c>
      <c r="J58" s="14" t="s">
        <v>132</v>
      </c>
      <c r="K58" s="14" t="s">
        <v>101</v>
      </c>
      <c r="L58" s="14" t="s">
        <v>130</v>
      </c>
      <c r="M58" s="14" t="s">
        <v>99</v>
      </c>
      <c r="N58" s="14" t="s">
        <v>126</v>
      </c>
      <c r="O58" s="14" t="s">
        <v>125</v>
      </c>
      <c r="P58" s="14" t="s">
        <v>124</v>
      </c>
      <c r="Q58" s="14" t="s">
        <v>123</v>
      </c>
      <c r="R58" s="14" t="s">
        <v>122</v>
      </c>
      <c r="S58" s="14" t="s">
        <v>121</v>
      </c>
      <c r="T58" s="14" t="s">
        <v>120</v>
      </c>
      <c r="U58" s="14" t="s">
        <v>117</v>
      </c>
      <c r="V58" s="14" t="s">
        <v>119</v>
      </c>
      <c r="W58" s="14" t="s">
        <v>115</v>
      </c>
      <c r="X58" s="14" t="s">
        <v>90</v>
      </c>
      <c r="Y58" s="14" t="s">
        <v>110</v>
      </c>
      <c r="Z58" s="19" t="s">
        <v>112</v>
      </c>
      <c r="AA58" s="19" t="s">
        <v>113</v>
      </c>
      <c r="AB58" s="14" t="s">
        <v>89</v>
      </c>
      <c r="AC58" s="14" t="s">
        <v>106</v>
      </c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</row>
    <row r="59" spans="1:79" x14ac:dyDescent="0.25">
      <c r="B59" s="2" t="s">
        <v>16</v>
      </c>
      <c r="C59" s="3" t="s">
        <v>17</v>
      </c>
      <c r="D59" s="3" t="s">
        <v>18</v>
      </c>
      <c r="E59" s="4">
        <v>5500</v>
      </c>
      <c r="F59" s="4">
        <v>1967</v>
      </c>
      <c r="G59" s="4">
        <v>1903</v>
      </c>
      <c r="H59" s="4">
        <v>1714</v>
      </c>
      <c r="I59" s="4">
        <v>1734</v>
      </c>
      <c r="J59" s="4">
        <v>1611</v>
      </c>
      <c r="K59" s="4">
        <v>1608</v>
      </c>
      <c r="L59" s="4">
        <v>1737</v>
      </c>
      <c r="M59" s="4">
        <v>2003</v>
      </c>
      <c r="N59" s="4">
        <v>2178</v>
      </c>
      <c r="O59" s="4">
        <v>2208</v>
      </c>
      <c r="P59" s="4">
        <v>2221</v>
      </c>
      <c r="Q59" s="4">
        <v>2261</v>
      </c>
      <c r="R59" s="4">
        <v>2317</v>
      </c>
      <c r="S59" s="4">
        <v>2170</v>
      </c>
      <c r="T59" s="4">
        <v>2178</v>
      </c>
      <c r="U59" s="4">
        <v>2365</v>
      </c>
      <c r="V59" s="4">
        <v>2491</v>
      </c>
      <c r="W59" s="4">
        <v>2563</v>
      </c>
      <c r="X59" s="4">
        <v>2568</v>
      </c>
      <c r="Y59" s="4">
        <v>2681</v>
      </c>
      <c r="Z59" s="4">
        <v>2662</v>
      </c>
      <c r="AA59" s="4">
        <v>2579</v>
      </c>
      <c r="AB59" s="4">
        <v>2613</v>
      </c>
      <c r="AC59" s="4">
        <v>2564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</row>
    <row r="60" spans="1:79" x14ac:dyDescent="0.25">
      <c r="B60" s="2" t="s">
        <v>16</v>
      </c>
      <c r="C60" s="3" t="s">
        <v>19</v>
      </c>
      <c r="D60" s="3" t="s">
        <v>18</v>
      </c>
      <c r="E60" s="4">
        <v>8000</v>
      </c>
      <c r="F60" s="4">
        <v>4284</v>
      </c>
      <c r="G60" s="4">
        <v>3853</v>
      </c>
      <c r="H60" s="4">
        <v>3602</v>
      </c>
      <c r="I60" s="4">
        <v>3952</v>
      </c>
      <c r="J60" s="4">
        <v>3649</v>
      </c>
      <c r="K60" s="4">
        <v>4122</v>
      </c>
      <c r="L60" s="4">
        <v>4585</v>
      </c>
      <c r="M60" s="4">
        <v>5307</v>
      </c>
      <c r="N60" s="4">
        <v>5571</v>
      </c>
      <c r="O60" s="4">
        <v>5486</v>
      </c>
      <c r="P60" s="4">
        <v>5377</v>
      </c>
      <c r="Q60" s="4">
        <v>5551</v>
      </c>
      <c r="R60" s="4">
        <v>5623</v>
      </c>
      <c r="S60" s="4">
        <v>5101</v>
      </c>
      <c r="T60" s="4">
        <v>5108</v>
      </c>
      <c r="U60" s="4">
        <v>5708</v>
      </c>
      <c r="V60" s="4">
        <v>6038</v>
      </c>
      <c r="W60" s="4">
        <v>6296</v>
      </c>
      <c r="X60" s="4">
        <v>6352</v>
      </c>
      <c r="Y60" s="4">
        <v>6571</v>
      </c>
      <c r="Z60" s="4">
        <v>6633</v>
      </c>
      <c r="AA60" s="4">
        <v>6461</v>
      </c>
      <c r="AB60" s="4">
        <v>6296</v>
      </c>
      <c r="AC60" s="4">
        <v>6039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</row>
    <row r="61" spans="1:79" x14ac:dyDescent="0.25">
      <c r="B61" s="2" t="s">
        <v>20</v>
      </c>
      <c r="C61" s="3" t="s">
        <v>21</v>
      </c>
      <c r="D61" s="3" t="s">
        <v>22</v>
      </c>
      <c r="E61" s="4">
        <v>100</v>
      </c>
      <c r="F61" s="4">
        <v>29</v>
      </c>
      <c r="G61" s="4">
        <v>29</v>
      </c>
      <c r="H61" s="4">
        <v>29</v>
      </c>
      <c r="I61" s="4">
        <v>29</v>
      </c>
      <c r="J61" s="4">
        <v>29</v>
      </c>
      <c r="K61" s="4">
        <v>29</v>
      </c>
      <c r="L61" s="4">
        <v>29</v>
      </c>
      <c r="M61" s="4">
        <v>29</v>
      </c>
      <c r="N61" s="4">
        <v>29</v>
      </c>
      <c r="O61" s="4">
        <v>29</v>
      </c>
      <c r="P61" s="4">
        <v>29</v>
      </c>
      <c r="Q61" s="4">
        <v>29</v>
      </c>
      <c r="R61" s="4">
        <v>29</v>
      </c>
      <c r="S61" s="4">
        <v>29</v>
      </c>
      <c r="T61" s="4">
        <v>29</v>
      </c>
      <c r="U61" s="4">
        <v>29</v>
      </c>
      <c r="V61" s="4">
        <v>29</v>
      </c>
      <c r="W61" s="4">
        <v>29</v>
      </c>
      <c r="X61" s="4">
        <v>29</v>
      </c>
      <c r="Y61" s="4">
        <v>29</v>
      </c>
      <c r="Z61" s="4">
        <v>29</v>
      </c>
      <c r="AA61" s="4">
        <v>29</v>
      </c>
      <c r="AB61" s="4">
        <v>29</v>
      </c>
      <c r="AC61" s="4">
        <v>29</v>
      </c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</row>
    <row r="62" spans="1:79" x14ac:dyDescent="0.25">
      <c r="B62" s="2" t="s">
        <v>26</v>
      </c>
      <c r="C62" s="3" t="s">
        <v>27</v>
      </c>
      <c r="D62" s="3" t="s">
        <v>28</v>
      </c>
      <c r="E62" s="4">
        <v>1000</v>
      </c>
      <c r="F62" s="4">
        <v>1266</v>
      </c>
      <c r="G62" s="4">
        <v>1168</v>
      </c>
      <c r="H62" s="4">
        <v>1168</v>
      </c>
      <c r="I62" s="4">
        <v>1178</v>
      </c>
      <c r="J62" s="4">
        <v>1176</v>
      </c>
      <c r="K62" s="4">
        <v>1216</v>
      </c>
      <c r="L62" s="4">
        <v>1249</v>
      </c>
      <c r="M62" s="4">
        <v>1296</v>
      </c>
      <c r="N62" s="4">
        <v>1296</v>
      </c>
      <c r="O62" s="4">
        <v>1296</v>
      </c>
      <c r="P62" s="4">
        <v>1302</v>
      </c>
      <c r="Q62" s="4">
        <v>1299</v>
      </c>
      <c r="R62" s="4">
        <v>1299</v>
      </c>
      <c r="S62" s="4">
        <v>1300</v>
      </c>
      <c r="T62" s="4">
        <v>1300</v>
      </c>
      <c r="U62" s="4">
        <v>1300</v>
      </c>
      <c r="V62" s="4">
        <v>1300</v>
      </c>
      <c r="W62" s="4">
        <v>1300</v>
      </c>
      <c r="X62" s="4">
        <v>1300</v>
      </c>
      <c r="Y62" s="4">
        <v>1314</v>
      </c>
      <c r="Z62" s="4">
        <v>1285</v>
      </c>
      <c r="AA62" s="4">
        <v>1314</v>
      </c>
      <c r="AB62" s="4">
        <v>1398</v>
      </c>
      <c r="AC62" s="4">
        <v>1306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</row>
    <row r="63" spans="1:79" x14ac:dyDescent="0.25">
      <c r="B63" s="2" t="s">
        <v>29</v>
      </c>
      <c r="C63" s="3" t="s">
        <v>30</v>
      </c>
      <c r="D63" s="3" t="s">
        <v>28</v>
      </c>
      <c r="E63" s="4">
        <v>45000</v>
      </c>
      <c r="F63" s="4">
        <v>14471</v>
      </c>
      <c r="G63" s="4">
        <v>7885</v>
      </c>
      <c r="H63" s="4">
        <v>10749</v>
      </c>
      <c r="I63" s="4">
        <v>14089</v>
      </c>
      <c r="J63" s="4">
        <v>14639</v>
      </c>
      <c r="K63" s="4">
        <v>19850</v>
      </c>
      <c r="L63" s="4">
        <v>24322</v>
      </c>
      <c r="M63" s="4">
        <v>28459</v>
      </c>
      <c r="N63" s="4">
        <v>32701</v>
      </c>
      <c r="O63" s="4">
        <v>36857</v>
      </c>
      <c r="P63" s="4">
        <v>39183</v>
      </c>
      <c r="Q63" s="4">
        <v>41072</v>
      </c>
      <c r="R63" s="4">
        <v>43030</v>
      </c>
      <c r="S63" s="4">
        <v>43798</v>
      </c>
      <c r="T63" s="4">
        <v>45746</v>
      </c>
      <c r="U63" s="4">
        <v>44843</v>
      </c>
      <c r="V63" s="4">
        <v>46079</v>
      </c>
      <c r="W63" s="4">
        <v>47781</v>
      </c>
      <c r="X63" s="4">
        <v>50226</v>
      </c>
      <c r="Y63" s="4">
        <v>51838</v>
      </c>
      <c r="Z63" s="4">
        <v>51847</v>
      </c>
      <c r="AA63" s="4">
        <v>51605</v>
      </c>
      <c r="AB63" s="4">
        <v>47333</v>
      </c>
      <c r="AC63" s="4">
        <v>41799</v>
      </c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</row>
    <row r="64" spans="1:79" x14ac:dyDescent="0.25">
      <c r="B64" s="2" t="s">
        <v>23</v>
      </c>
      <c r="C64" s="3" t="s">
        <v>24</v>
      </c>
      <c r="D64" s="3" t="s">
        <v>25</v>
      </c>
      <c r="E64" s="4">
        <v>766</v>
      </c>
      <c r="F64" s="4">
        <v>1290</v>
      </c>
      <c r="G64" s="4">
        <v>1262</v>
      </c>
      <c r="H64" s="4">
        <v>80</v>
      </c>
      <c r="I64" s="4">
        <v>1173</v>
      </c>
      <c r="J64" s="4">
        <v>1185</v>
      </c>
      <c r="K64" s="4">
        <v>1090</v>
      </c>
      <c r="L64" s="4">
        <v>1049</v>
      </c>
      <c r="M64" s="4">
        <v>1016</v>
      </c>
      <c r="N64" s="4">
        <v>971</v>
      </c>
      <c r="O64" s="4">
        <v>932</v>
      </c>
      <c r="P64" s="4">
        <v>987</v>
      </c>
      <c r="Q64" s="4">
        <v>1016</v>
      </c>
      <c r="R64" s="4">
        <v>987</v>
      </c>
      <c r="S64" s="4">
        <v>787</v>
      </c>
      <c r="T64" s="4">
        <v>766</v>
      </c>
      <c r="U64" s="4">
        <v>741</v>
      </c>
      <c r="V64" s="4">
        <v>721</v>
      </c>
      <c r="W64" s="4">
        <v>671</v>
      </c>
      <c r="X64" s="4">
        <v>654</v>
      </c>
      <c r="Y64" s="4">
        <v>616</v>
      </c>
      <c r="Z64" s="4">
        <v>588</v>
      </c>
      <c r="AA64" s="4">
        <v>567</v>
      </c>
      <c r="AB64" s="4">
        <v>537</v>
      </c>
      <c r="AC64" s="4">
        <v>511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</row>
    <row r="65" spans="2:79" x14ac:dyDescent="0.25">
      <c r="B65" s="2" t="s">
        <v>31</v>
      </c>
      <c r="C65" s="3" t="s">
        <v>32</v>
      </c>
      <c r="D65" s="3" t="s">
        <v>33</v>
      </c>
      <c r="E65" s="4">
        <v>80</v>
      </c>
      <c r="F65" s="4">
        <v>80</v>
      </c>
      <c r="G65" s="4">
        <v>80</v>
      </c>
      <c r="H65" s="4">
        <v>1213</v>
      </c>
      <c r="I65" s="4">
        <v>80</v>
      </c>
      <c r="J65" s="4">
        <v>80</v>
      </c>
      <c r="K65" s="4">
        <v>80</v>
      </c>
      <c r="L65" s="4">
        <v>80</v>
      </c>
      <c r="M65" s="4">
        <v>80</v>
      </c>
      <c r="N65" s="4">
        <v>80</v>
      </c>
      <c r="O65" s="4">
        <v>80</v>
      </c>
      <c r="P65" s="4">
        <v>80</v>
      </c>
      <c r="Q65" s="4">
        <v>80</v>
      </c>
      <c r="R65" s="4">
        <v>80</v>
      </c>
      <c r="S65" s="4">
        <v>80</v>
      </c>
      <c r="T65" s="4">
        <v>80</v>
      </c>
      <c r="U65" s="4">
        <v>80</v>
      </c>
      <c r="V65" s="4">
        <v>80</v>
      </c>
      <c r="W65" s="4">
        <v>80</v>
      </c>
      <c r="X65" s="4">
        <v>80</v>
      </c>
      <c r="Y65" s="4">
        <v>80</v>
      </c>
      <c r="Z65" s="4">
        <v>80</v>
      </c>
      <c r="AA65" s="4">
        <v>80</v>
      </c>
      <c r="AB65" s="4">
        <v>80</v>
      </c>
      <c r="AC65" s="4">
        <v>80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</row>
    <row r="66" spans="2:79" x14ac:dyDescent="0.25">
      <c r="B66" s="2" t="s">
        <v>31</v>
      </c>
      <c r="C66" s="3" t="s">
        <v>34</v>
      </c>
      <c r="D66" s="3" t="s">
        <v>35</v>
      </c>
      <c r="E66" s="4">
        <v>8615</v>
      </c>
      <c r="F66" s="4">
        <v>6119</v>
      </c>
      <c r="G66" s="4">
        <v>5799</v>
      </c>
      <c r="H66" s="4">
        <v>5594</v>
      </c>
      <c r="I66" s="4">
        <v>5488</v>
      </c>
      <c r="J66" s="4">
        <v>5338</v>
      </c>
      <c r="K66" s="4">
        <v>5325</v>
      </c>
      <c r="L66" s="4">
        <v>5325</v>
      </c>
      <c r="M66" s="4">
        <v>2325</v>
      </c>
      <c r="N66" s="4">
        <v>5325</v>
      </c>
      <c r="O66" s="4">
        <v>5404</v>
      </c>
      <c r="P66" s="4">
        <v>5406</v>
      </c>
      <c r="Q66" s="4">
        <v>5405</v>
      </c>
      <c r="R66" s="4">
        <v>5548</v>
      </c>
      <c r="S66" s="4">
        <v>5906</v>
      </c>
      <c r="T66" s="4">
        <v>5955</v>
      </c>
      <c r="U66" s="4">
        <v>6033</v>
      </c>
      <c r="V66" s="4">
        <v>6150</v>
      </c>
      <c r="W66" s="4">
        <v>6403</v>
      </c>
      <c r="X66" s="4">
        <v>6567</v>
      </c>
      <c r="Y66" s="4">
        <v>6845</v>
      </c>
      <c r="Z66" s="4">
        <v>6618</v>
      </c>
      <c r="AA66" s="4">
        <v>6639</v>
      </c>
      <c r="AB66" s="4">
        <v>6565</v>
      </c>
      <c r="AC66" s="4">
        <v>5777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</row>
    <row r="67" spans="2:79" x14ac:dyDescent="0.25">
      <c r="B67" s="2" t="s">
        <v>31</v>
      </c>
      <c r="C67" s="3" t="s">
        <v>56</v>
      </c>
      <c r="D67" s="3" t="s">
        <v>33</v>
      </c>
      <c r="E67" s="4">
        <v>3425</v>
      </c>
      <c r="F67" s="4">
        <v>3231</v>
      </c>
      <c r="G67" s="4">
        <v>2856</v>
      </c>
      <c r="H67" s="4">
        <v>2693</v>
      </c>
      <c r="I67" s="4">
        <v>2693</v>
      </c>
      <c r="J67" s="4">
        <v>2350</v>
      </c>
      <c r="K67" s="4">
        <v>2441</v>
      </c>
      <c r="L67" s="4">
        <v>2626</v>
      </c>
      <c r="M67" s="4">
        <v>2944</v>
      </c>
      <c r="N67" s="4">
        <v>3114</v>
      </c>
      <c r="O67" s="4">
        <v>3180</v>
      </c>
      <c r="P67" s="4">
        <v>3234</v>
      </c>
      <c r="Q67" s="4">
        <v>3235</v>
      </c>
      <c r="R67" s="4">
        <v>3404</v>
      </c>
      <c r="S67" s="4">
        <v>3554</v>
      </c>
      <c r="T67" s="4">
        <v>3554</v>
      </c>
      <c r="U67" s="4">
        <v>3795</v>
      </c>
      <c r="V67" s="4">
        <v>3859</v>
      </c>
      <c r="W67" s="4">
        <v>3653</v>
      </c>
      <c r="X67" s="4">
        <v>3897</v>
      </c>
      <c r="Y67" s="4">
        <v>3650</v>
      </c>
      <c r="Z67" s="4">
        <v>3605</v>
      </c>
      <c r="AA67" s="4">
        <v>3669</v>
      </c>
      <c r="AB67" s="4">
        <v>3622</v>
      </c>
      <c r="AC67" s="4">
        <v>3126</v>
      </c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</row>
    <row r="68" spans="2:79" x14ac:dyDescent="0.25">
      <c r="B68" s="2" t="s">
        <v>31</v>
      </c>
      <c r="C68" s="3" t="s">
        <v>36</v>
      </c>
      <c r="D68" s="3" t="s">
        <v>37</v>
      </c>
      <c r="E68" s="4">
        <v>2825</v>
      </c>
      <c r="F68" s="4">
        <v>4087</v>
      </c>
      <c r="G68" s="4">
        <v>4002</v>
      </c>
      <c r="H68" s="4">
        <v>3989</v>
      </c>
      <c r="I68" s="4">
        <v>4017</v>
      </c>
      <c r="J68" s="4">
        <v>3772</v>
      </c>
      <c r="K68" s="4">
        <v>3770</v>
      </c>
      <c r="L68" s="4">
        <v>3845</v>
      </c>
      <c r="M68" s="4">
        <v>3921</v>
      </c>
      <c r="N68" s="4">
        <v>3986</v>
      </c>
      <c r="O68" s="4">
        <v>3979</v>
      </c>
      <c r="P68" s="4">
        <v>3974</v>
      </c>
      <c r="Q68" s="4">
        <v>3972</v>
      </c>
      <c r="R68" s="4">
        <v>3966</v>
      </c>
      <c r="S68" s="4">
        <v>3991</v>
      </c>
      <c r="T68" s="4">
        <v>4009</v>
      </c>
      <c r="U68" s="4">
        <v>4023</v>
      </c>
      <c r="V68" s="4">
        <v>4037</v>
      </c>
      <c r="W68" s="4">
        <v>4059</v>
      </c>
      <c r="X68" s="4">
        <v>4152</v>
      </c>
      <c r="Y68" s="4">
        <v>4225</v>
      </c>
      <c r="Z68" s="4">
        <v>4217</v>
      </c>
      <c r="AA68" s="4">
        <v>4280</v>
      </c>
      <c r="AB68" s="4">
        <v>4261</v>
      </c>
      <c r="AC68" s="4">
        <v>3960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</row>
    <row r="69" spans="2:79" x14ac:dyDescent="0.25">
      <c r="B69" s="2" t="s">
        <v>31</v>
      </c>
      <c r="C69" s="3" t="s">
        <v>57</v>
      </c>
      <c r="D69" s="3" t="s">
        <v>33</v>
      </c>
      <c r="E69" s="4">
        <v>5290</v>
      </c>
      <c r="F69" s="4">
        <v>4705</v>
      </c>
      <c r="G69" s="4">
        <v>4068</v>
      </c>
      <c r="H69" s="4">
        <v>3928</v>
      </c>
      <c r="I69" s="4">
        <v>3947</v>
      </c>
      <c r="J69" s="4">
        <v>3748</v>
      </c>
      <c r="K69" s="4">
        <v>3939</v>
      </c>
      <c r="L69" s="4">
        <v>4058</v>
      </c>
      <c r="M69" s="4">
        <v>4208</v>
      </c>
      <c r="N69" s="4">
        <v>4312</v>
      </c>
      <c r="O69" s="4">
        <v>4518</v>
      </c>
      <c r="P69" s="4">
        <v>4595</v>
      </c>
      <c r="Q69" s="4">
        <v>4660</v>
      </c>
      <c r="R69" s="4">
        <v>4660</v>
      </c>
      <c r="S69" s="4">
        <v>4946</v>
      </c>
      <c r="T69" s="4">
        <v>5373</v>
      </c>
      <c r="U69" s="4">
        <v>5215</v>
      </c>
      <c r="V69" s="4">
        <v>5215</v>
      </c>
      <c r="W69" s="4">
        <v>5868</v>
      </c>
      <c r="X69" s="4">
        <v>5900</v>
      </c>
      <c r="Y69" s="4">
        <v>6375</v>
      </c>
      <c r="Z69" s="4">
        <v>6140</v>
      </c>
      <c r="AA69" s="4">
        <v>6145</v>
      </c>
      <c r="AB69" s="4">
        <v>6010</v>
      </c>
      <c r="AC69" s="4">
        <v>4744</v>
      </c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</row>
    <row r="70" spans="2:79" x14ac:dyDescent="0.25">
      <c r="B70" s="2" t="s">
        <v>31</v>
      </c>
      <c r="C70" s="3" t="s">
        <v>38</v>
      </c>
      <c r="D70" s="3" t="s">
        <v>39</v>
      </c>
      <c r="E70" s="4">
        <v>1310</v>
      </c>
      <c r="F70" s="4">
        <v>637</v>
      </c>
      <c r="G70" s="4">
        <v>636</v>
      </c>
      <c r="H70" s="4">
        <v>636</v>
      </c>
      <c r="I70" s="4">
        <v>635</v>
      </c>
      <c r="J70" s="4">
        <v>635</v>
      </c>
      <c r="K70" s="4">
        <v>634</v>
      </c>
      <c r="L70" s="4">
        <v>634</v>
      </c>
      <c r="M70" s="4">
        <v>633</v>
      </c>
      <c r="N70" s="4">
        <v>633</v>
      </c>
      <c r="O70" s="4">
        <v>625</v>
      </c>
      <c r="P70" s="4">
        <v>632</v>
      </c>
      <c r="Q70" s="4">
        <v>624</v>
      </c>
      <c r="R70" s="4">
        <v>631</v>
      </c>
      <c r="S70" s="4">
        <v>624</v>
      </c>
      <c r="T70" s="4">
        <v>630</v>
      </c>
      <c r="U70" s="4">
        <v>629</v>
      </c>
      <c r="V70" s="4">
        <v>629</v>
      </c>
      <c r="W70" s="4">
        <v>622</v>
      </c>
      <c r="X70" s="4">
        <v>628</v>
      </c>
      <c r="Y70" s="4">
        <v>621</v>
      </c>
      <c r="Z70" s="4">
        <v>627</v>
      </c>
      <c r="AA70" s="4">
        <v>620</v>
      </c>
      <c r="AB70" s="4">
        <v>626</v>
      </c>
      <c r="AC70" s="4">
        <v>614</v>
      </c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</row>
    <row r="71" spans="2:79" x14ac:dyDescent="0.25">
      <c r="B71" s="2" t="s">
        <v>31</v>
      </c>
      <c r="C71" s="3" t="s">
        <v>40</v>
      </c>
      <c r="D71" s="3" t="s">
        <v>41</v>
      </c>
      <c r="E71" s="4">
        <v>18453</v>
      </c>
      <c r="F71" s="4">
        <v>13580</v>
      </c>
      <c r="G71" s="4">
        <v>12234</v>
      </c>
      <c r="H71" s="4">
        <v>12027</v>
      </c>
      <c r="I71" s="4">
        <v>12239</v>
      </c>
      <c r="J71" s="4">
        <v>11750</v>
      </c>
      <c r="K71" s="4">
        <v>11496</v>
      </c>
      <c r="L71" s="4">
        <v>11849</v>
      </c>
      <c r="M71" s="4">
        <v>12890</v>
      </c>
      <c r="N71" s="4">
        <v>13327</v>
      </c>
      <c r="O71" s="4">
        <v>14354</v>
      </c>
      <c r="P71" s="4">
        <v>14215</v>
      </c>
      <c r="Q71" s="4">
        <v>14867</v>
      </c>
      <c r="R71" s="4">
        <v>15249</v>
      </c>
      <c r="S71" s="4">
        <v>16449</v>
      </c>
      <c r="T71" s="4">
        <v>16283</v>
      </c>
      <c r="U71" s="4">
        <v>16270</v>
      </c>
      <c r="V71" s="4">
        <v>16636</v>
      </c>
      <c r="W71" s="4">
        <v>17347</v>
      </c>
      <c r="X71" s="4">
        <v>17312</v>
      </c>
      <c r="Y71" s="4">
        <v>17936</v>
      </c>
      <c r="Z71" s="4">
        <v>16845</v>
      </c>
      <c r="AA71" s="4">
        <v>17379</v>
      </c>
      <c r="AB71" s="4">
        <v>16593</v>
      </c>
      <c r="AC71" s="4">
        <v>14094</v>
      </c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</row>
    <row r="72" spans="2:79" x14ac:dyDescent="0.25">
      <c r="B72" s="2" t="s">
        <v>31</v>
      </c>
      <c r="C72" s="3" t="s">
        <v>42</v>
      </c>
      <c r="D72" s="3" t="s">
        <v>41</v>
      </c>
      <c r="E72" s="4">
        <v>6900</v>
      </c>
      <c r="F72" s="4">
        <v>2141</v>
      </c>
      <c r="G72" s="4">
        <v>2129</v>
      </c>
      <c r="H72" s="4">
        <v>2122</v>
      </c>
      <c r="I72" s="4">
        <v>2108</v>
      </c>
      <c r="J72" s="4">
        <v>2100</v>
      </c>
      <c r="K72" s="4">
        <v>2100</v>
      </c>
      <c r="L72" s="4">
        <v>2100</v>
      </c>
      <c r="M72" s="4">
        <v>2100</v>
      </c>
      <c r="N72" s="4">
        <v>2100</v>
      </c>
      <c r="O72" s="4">
        <v>2100</v>
      </c>
      <c r="P72" s="4">
        <v>2100</v>
      </c>
      <c r="Q72" s="4">
        <v>2100</v>
      </c>
      <c r="R72" s="4">
        <v>2100</v>
      </c>
      <c r="S72" s="4">
        <v>2100</v>
      </c>
      <c r="T72" s="4">
        <v>2100</v>
      </c>
      <c r="U72" s="4">
        <v>2100</v>
      </c>
      <c r="V72" s="4">
        <v>2100</v>
      </c>
      <c r="W72" s="4">
        <v>2100</v>
      </c>
      <c r="X72" s="4">
        <v>2100</v>
      </c>
      <c r="Y72" s="4">
        <v>2100</v>
      </c>
      <c r="Z72" s="4">
        <v>2100</v>
      </c>
      <c r="AA72" s="4">
        <v>2100</v>
      </c>
      <c r="AB72" s="4">
        <v>2100</v>
      </c>
      <c r="AC72" s="4">
        <v>2100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</row>
    <row r="73" spans="2:79" x14ac:dyDescent="0.25">
      <c r="B73" s="2" t="s">
        <v>43</v>
      </c>
      <c r="C73" s="3" t="s">
        <v>44</v>
      </c>
      <c r="D73" s="3" t="s">
        <v>45</v>
      </c>
      <c r="E73" s="4">
        <v>3000</v>
      </c>
      <c r="F73" s="4">
        <v>1482</v>
      </c>
      <c r="G73" s="4">
        <v>1362</v>
      </c>
      <c r="H73" s="4">
        <v>1377</v>
      </c>
      <c r="I73" s="4">
        <v>1342</v>
      </c>
      <c r="J73" s="4">
        <v>1258</v>
      </c>
      <c r="K73" s="4">
        <v>1105</v>
      </c>
      <c r="L73" s="4">
        <v>1185</v>
      </c>
      <c r="M73" s="4">
        <v>1221</v>
      </c>
      <c r="N73" s="4">
        <v>1353</v>
      </c>
      <c r="O73" s="4">
        <v>1459</v>
      </c>
      <c r="P73" s="4">
        <v>1634</v>
      </c>
      <c r="Q73" s="4">
        <v>1338</v>
      </c>
      <c r="R73" s="4">
        <v>1372</v>
      </c>
      <c r="S73" s="4">
        <v>1291</v>
      </c>
      <c r="T73" s="4">
        <v>1496</v>
      </c>
      <c r="U73" s="4">
        <v>2140</v>
      </c>
      <c r="V73" s="4">
        <v>2750</v>
      </c>
      <c r="W73" s="4">
        <v>3151</v>
      </c>
      <c r="X73" s="4">
        <v>3145</v>
      </c>
      <c r="Y73" s="4">
        <v>3651</v>
      </c>
      <c r="Z73" s="4">
        <v>3460</v>
      </c>
      <c r="AA73" s="4">
        <v>3763</v>
      </c>
      <c r="AB73" s="4">
        <v>3693</v>
      </c>
      <c r="AC73" s="4">
        <v>3365</v>
      </c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</row>
    <row r="74" spans="2:79" x14ac:dyDescent="0.25">
      <c r="B74" s="2" t="s">
        <v>46</v>
      </c>
      <c r="C74" s="3" t="s">
        <v>47</v>
      </c>
      <c r="D74" s="3" t="s">
        <v>48</v>
      </c>
      <c r="E74" s="4">
        <v>69000</v>
      </c>
      <c r="F74" s="4">
        <v>24176</v>
      </c>
      <c r="G74" s="4">
        <v>22320</v>
      </c>
      <c r="H74" s="4">
        <v>22214</v>
      </c>
      <c r="I74" s="4">
        <v>22387</v>
      </c>
      <c r="J74" s="4">
        <v>23363</v>
      </c>
      <c r="K74" s="4">
        <v>26642</v>
      </c>
      <c r="L74" s="4">
        <v>32094</v>
      </c>
      <c r="M74" s="4">
        <v>37255</v>
      </c>
      <c r="N74" s="4">
        <v>42069</v>
      </c>
      <c r="O74" s="4">
        <v>46841</v>
      </c>
      <c r="P74" s="4">
        <v>52080</v>
      </c>
      <c r="Q74" s="4">
        <v>57002</v>
      </c>
      <c r="R74" s="4">
        <v>61654</v>
      </c>
      <c r="S74" s="4">
        <v>65753</v>
      </c>
      <c r="T74" s="4">
        <v>69303</v>
      </c>
      <c r="U74" s="4">
        <v>71761</v>
      </c>
      <c r="V74" s="4">
        <v>72577</v>
      </c>
      <c r="W74" s="4">
        <v>72533</v>
      </c>
      <c r="X74" s="4">
        <v>74102</v>
      </c>
      <c r="Y74" s="4">
        <v>76491</v>
      </c>
      <c r="Z74" s="4">
        <v>76708</v>
      </c>
      <c r="AA74" s="4">
        <v>77700</v>
      </c>
      <c r="AB74" s="4">
        <v>79186</v>
      </c>
      <c r="AC74" s="4">
        <v>71415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</row>
    <row r="75" spans="2:79" x14ac:dyDescent="0.25">
      <c r="B75" s="2" t="s">
        <v>49</v>
      </c>
      <c r="C75" s="3" t="s">
        <v>50</v>
      </c>
      <c r="D75" s="3" t="s">
        <v>51</v>
      </c>
      <c r="E75" s="4">
        <v>500</v>
      </c>
      <c r="F75" s="4">
        <v>309</v>
      </c>
      <c r="G75" s="4">
        <v>318</v>
      </c>
      <c r="H75" s="4">
        <v>240</v>
      </c>
      <c r="I75" s="4">
        <v>211</v>
      </c>
      <c r="J75" s="4">
        <v>226</v>
      </c>
      <c r="K75" s="4">
        <v>362</v>
      </c>
      <c r="L75" s="4">
        <v>487</v>
      </c>
      <c r="M75" s="4">
        <v>573</v>
      </c>
      <c r="N75" s="4">
        <v>622</v>
      </c>
      <c r="O75" s="4">
        <v>561</v>
      </c>
      <c r="P75" s="4">
        <v>573</v>
      </c>
      <c r="Q75" s="4">
        <v>556</v>
      </c>
      <c r="R75" s="4">
        <v>573</v>
      </c>
      <c r="S75" s="4">
        <v>413</v>
      </c>
      <c r="T75" s="4">
        <v>508</v>
      </c>
      <c r="U75" s="4">
        <v>285</v>
      </c>
      <c r="V75" s="4">
        <v>298</v>
      </c>
      <c r="W75" s="4">
        <v>208</v>
      </c>
      <c r="X75" s="4">
        <v>352</v>
      </c>
      <c r="Y75" s="4">
        <v>489</v>
      </c>
      <c r="Z75" s="4">
        <v>629</v>
      </c>
      <c r="AA75" s="4">
        <v>502</v>
      </c>
      <c r="AB75" s="4">
        <v>609</v>
      </c>
      <c r="AC75" s="4">
        <v>574</v>
      </c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</row>
    <row r="76" spans="2:79" x14ac:dyDescent="0.25">
      <c r="B76" s="2" t="s">
        <v>58</v>
      </c>
      <c r="C76" s="3" t="s">
        <v>59</v>
      </c>
      <c r="D76" s="3" t="s">
        <v>28</v>
      </c>
      <c r="E76" s="4">
        <v>48000</v>
      </c>
      <c r="F76" s="4">
        <v>14416</v>
      </c>
      <c r="G76" s="4">
        <v>11448</v>
      </c>
      <c r="H76" s="4">
        <v>14581</v>
      </c>
      <c r="I76" s="4">
        <v>17351</v>
      </c>
      <c r="J76" s="4">
        <v>18508</v>
      </c>
      <c r="K76" s="4">
        <v>21371</v>
      </c>
      <c r="L76" s="4">
        <v>23395</v>
      </c>
      <c r="M76" s="4">
        <v>26396</v>
      </c>
      <c r="N76" s="4">
        <v>29479</v>
      </c>
      <c r="O76" s="4">
        <v>32271</v>
      </c>
      <c r="P76" s="4">
        <v>35185</v>
      </c>
      <c r="Q76" s="4">
        <v>38067</v>
      </c>
      <c r="R76" s="4">
        <v>40138</v>
      </c>
      <c r="S76" s="4">
        <v>42676</v>
      </c>
      <c r="T76" s="4">
        <v>45417</v>
      </c>
      <c r="U76" s="4">
        <v>48582</v>
      </c>
      <c r="V76" s="4">
        <v>51331</v>
      </c>
      <c r="W76" s="4">
        <v>49956</v>
      </c>
      <c r="X76" s="4">
        <v>52000</v>
      </c>
      <c r="Y76" s="4">
        <v>55099</v>
      </c>
      <c r="Z76" s="4">
        <v>53032</v>
      </c>
      <c r="AA76" s="4">
        <v>53573</v>
      </c>
      <c r="AB76" s="4">
        <v>54851</v>
      </c>
      <c r="AC76" s="4">
        <v>46778</v>
      </c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</row>
    <row r="77" spans="2:79" x14ac:dyDescent="0.25">
      <c r="B77" s="2" t="s">
        <v>52</v>
      </c>
      <c r="C77" s="3" t="s">
        <v>53</v>
      </c>
      <c r="D77" s="3" t="s">
        <v>54</v>
      </c>
      <c r="E77" s="4">
        <v>5500</v>
      </c>
      <c r="F77" s="4">
        <v>5802</v>
      </c>
      <c r="G77" s="4">
        <v>5840</v>
      </c>
      <c r="H77" s="4">
        <v>5541</v>
      </c>
      <c r="I77" s="4">
        <v>5126</v>
      </c>
      <c r="J77" s="4">
        <v>4715</v>
      </c>
      <c r="K77" s="4">
        <v>4625</v>
      </c>
      <c r="L77" s="4">
        <v>4861</v>
      </c>
      <c r="M77" s="4">
        <v>5272</v>
      </c>
      <c r="N77" s="4">
        <v>5322</v>
      </c>
      <c r="O77" s="4">
        <v>5407</v>
      </c>
      <c r="P77" s="4">
        <v>5616</v>
      </c>
      <c r="Q77" s="4">
        <v>5200</v>
      </c>
      <c r="R77" s="4">
        <v>4976</v>
      </c>
      <c r="S77" s="4">
        <v>4791</v>
      </c>
      <c r="T77" s="4">
        <v>4683</v>
      </c>
      <c r="U77" s="4">
        <v>4401</v>
      </c>
      <c r="V77" s="4">
        <v>4275</v>
      </c>
      <c r="W77" s="4">
        <v>4523</v>
      </c>
      <c r="X77" s="4">
        <v>4923</v>
      </c>
      <c r="Y77" s="4">
        <v>5321</v>
      </c>
      <c r="Z77" s="4">
        <v>5758</v>
      </c>
      <c r="AA77" s="4">
        <v>6166</v>
      </c>
      <c r="AB77" s="4">
        <v>6128</v>
      </c>
      <c r="AC77" s="4">
        <v>5865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</row>
    <row r="78" spans="2:79" x14ac:dyDescent="0.25">
      <c r="B78" s="2" t="s">
        <v>52</v>
      </c>
      <c r="C78" s="3" t="s">
        <v>55</v>
      </c>
      <c r="D78" s="3" t="s">
        <v>54</v>
      </c>
      <c r="E78" s="4">
        <v>46</v>
      </c>
      <c r="F78" s="4">
        <v>631</v>
      </c>
      <c r="G78" s="4">
        <v>576</v>
      </c>
      <c r="H78" s="4">
        <v>559</v>
      </c>
      <c r="I78" s="4">
        <v>506</v>
      </c>
      <c r="J78" s="4">
        <v>464</v>
      </c>
      <c r="K78" s="4">
        <v>411</v>
      </c>
      <c r="L78" s="4">
        <v>372</v>
      </c>
      <c r="M78" s="4">
        <v>319</v>
      </c>
      <c r="N78" s="4">
        <v>288</v>
      </c>
      <c r="O78" s="4">
        <v>236</v>
      </c>
      <c r="P78" s="4">
        <v>211</v>
      </c>
      <c r="Q78" s="4">
        <v>160</v>
      </c>
      <c r="R78" s="4">
        <v>127</v>
      </c>
      <c r="S78" s="4">
        <v>72</v>
      </c>
      <c r="T78" s="4">
        <v>46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</row>
    <row r="79" spans="2:79" x14ac:dyDescent="0.25">
      <c r="B79" s="2" t="s">
        <v>13</v>
      </c>
      <c r="C79" s="3" t="s">
        <v>14</v>
      </c>
      <c r="D79" s="3" t="s">
        <v>15</v>
      </c>
      <c r="E79" s="4">
        <v>4775</v>
      </c>
      <c r="F79" s="4">
        <v>1447</v>
      </c>
      <c r="G79" s="4">
        <v>1447</v>
      </c>
      <c r="H79" s="4">
        <v>1447</v>
      </c>
      <c r="I79" s="4">
        <v>1447</v>
      </c>
      <c r="J79" s="4">
        <v>1447</v>
      </c>
      <c r="K79" s="4">
        <v>1447</v>
      </c>
      <c r="L79" s="4">
        <v>1447</v>
      </c>
      <c r="M79" s="4">
        <v>1447</v>
      </c>
      <c r="N79" s="4">
        <v>1447</v>
      </c>
      <c r="O79" s="4">
        <v>1421</v>
      </c>
      <c r="P79" s="4">
        <v>1421</v>
      </c>
      <c r="Q79" s="4">
        <v>1393</v>
      </c>
      <c r="R79" s="4">
        <v>1393</v>
      </c>
      <c r="S79" s="4">
        <v>1366</v>
      </c>
      <c r="T79" s="4">
        <v>1366</v>
      </c>
      <c r="U79" s="4">
        <v>1338</v>
      </c>
      <c r="V79" s="4">
        <v>1338</v>
      </c>
      <c r="W79" s="4">
        <v>1312</v>
      </c>
      <c r="X79" s="4">
        <v>1312</v>
      </c>
      <c r="Y79" s="4">
        <v>1290</v>
      </c>
      <c r="Z79" s="4">
        <v>1290</v>
      </c>
      <c r="AA79" s="4">
        <v>1269</v>
      </c>
      <c r="AB79" s="4">
        <v>1269</v>
      </c>
      <c r="AC79" s="4">
        <v>1251</v>
      </c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</row>
    <row r="80" spans="2:79" x14ac:dyDescent="0.25">
      <c r="B80" s="2" t="s">
        <v>10</v>
      </c>
      <c r="C80" s="3" t="s">
        <v>11</v>
      </c>
      <c r="D80" s="3" t="s">
        <v>12</v>
      </c>
      <c r="E80" s="4">
        <v>513</v>
      </c>
      <c r="F80" s="4">
        <v>2518</v>
      </c>
      <c r="G80" s="4">
        <v>674</v>
      </c>
      <c r="H80" s="4">
        <v>2491</v>
      </c>
      <c r="I80" s="4">
        <v>649</v>
      </c>
      <c r="J80" s="4">
        <v>2467</v>
      </c>
      <c r="K80" s="4">
        <v>623</v>
      </c>
      <c r="L80" s="4">
        <v>2442</v>
      </c>
      <c r="M80" s="4">
        <v>599</v>
      </c>
      <c r="N80" s="4">
        <v>2417</v>
      </c>
      <c r="O80" s="4">
        <v>573</v>
      </c>
      <c r="P80" s="4">
        <v>2392</v>
      </c>
      <c r="Q80" s="4">
        <v>550</v>
      </c>
      <c r="R80" s="4">
        <v>538</v>
      </c>
      <c r="S80" s="4">
        <v>525</v>
      </c>
      <c r="T80" s="4">
        <v>513</v>
      </c>
      <c r="U80" s="4">
        <v>501</v>
      </c>
      <c r="V80" s="4">
        <v>490</v>
      </c>
      <c r="W80" s="4">
        <v>479</v>
      </c>
      <c r="X80" s="4">
        <v>467</v>
      </c>
      <c r="Y80" s="4">
        <v>455</v>
      </c>
      <c r="Z80" s="4">
        <v>444</v>
      </c>
      <c r="AA80" s="4">
        <v>433</v>
      </c>
      <c r="AB80" s="4">
        <v>422</v>
      </c>
      <c r="AC80" s="4">
        <v>410</v>
      </c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</row>
    <row r="81" spans="2:79" x14ac:dyDescent="0.25">
      <c r="B81" s="2" t="s">
        <v>7</v>
      </c>
      <c r="C81" s="3" t="s">
        <v>8</v>
      </c>
      <c r="D81" s="3" t="s">
        <v>9</v>
      </c>
      <c r="E81" s="4">
        <v>18500</v>
      </c>
      <c r="F81" s="4">
        <v>6619</v>
      </c>
      <c r="G81" s="4">
        <v>7145</v>
      </c>
      <c r="H81" s="4">
        <v>7993</v>
      </c>
      <c r="I81" s="4">
        <v>9129</v>
      </c>
      <c r="J81" s="4">
        <v>8431</v>
      </c>
      <c r="K81" s="4">
        <v>9594</v>
      </c>
      <c r="L81" s="4">
        <v>12267</v>
      </c>
      <c r="M81" s="4">
        <v>14683</v>
      </c>
      <c r="N81" s="4">
        <v>16475</v>
      </c>
      <c r="O81" s="4">
        <v>17781</v>
      </c>
      <c r="P81" s="4">
        <v>18058</v>
      </c>
      <c r="Q81" s="4">
        <v>17971</v>
      </c>
      <c r="R81" s="4">
        <v>18044</v>
      </c>
      <c r="S81" s="4">
        <v>16313</v>
      </c>
      <c r="T81" s="4">
        <v>16095</v>
      </c>
      <c r="U81" s="4">
        <v>16104</v>
      </c>
      <c r="V81" s="4">
        <v>16407</v>
      </c>
      <c r="W81" s="4">
        <v>17744</v>
      </c>
      <c r="X81" s="4">
        <v>19650</v>
      </c>
      <c r="Y81" s="4">
        <v>20577</v>
      </c>
      <c r="Z81" s="4">
        <v>19650</v>
      </c>
      <c r="AA81" s="4">
        <v>20960</v>
      </c>
      <c r="AB81" s="4">
        <v>20318</v>
      </c>
      <c r="AC81" s="4">
        <v>16741</v>
      </c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</row>
    <row r="82" spans="2:79" ht="13.8" thickBot="1" x14ac:dyDescent="0.3">
      <c r="C82" s="3"/>
      <c r="D82" s="3"/>
      <c r="E82" s="5">
        <f>SUM(E59:E81)</f>
        <v>257098</v>
      </c>
      <c r="F82" s="5">
        <f t="shared" ref="F82:AC82" si="2">SUM(F59:F81)</f>
        <v>115287</v>
      </c>
      <c r="G82" s="5">
        <f t="shared" si="2"/>
        <v>99034</v>
      </c>
      <c r="H82" s="5">
        <f t="shared" si="2"/>
        <v>105987</v>
      </c>
      <c r="I82" s="5">
        <f t="shared" si="2"/>
        <v>111510</v>
      </c>
      <c r="J82" s="5">
        <f t="shared" si="2"/>
        <v>112941</v>
      </c>
      <c r="K82" s="5">
        <f t="shared" si="2"/>
        <v>123880</v>
      </c>
      <c r="L82" s="5">
        <f t="shared" si="2"/>
        <v>142038</v>
      </c>
      <c r="M82" s="5">
        <f t="shared" si="2"/>
        <v>154976</v>
      </c>
      <c r="N82" s="5">
        <f t="shared" si="2"/>
        <v>175095</v>
      </c>
      <c r="O82" s="5">
        <f t="shared" si="2"/>
        <v>187598</v>
      </c>
      <c r="P82" s="5">
        <f t="shared" si="2"/>
        <v>200505</v>
      </c>
      <c r="Q82" s="5">
        <f t="shared" si="2"/>
        <v>208408</v>
      </c>
      <c r="R82" s="5">
        <f t="shared" si="2"/>
        <v>217738</v>
      </c>
      <c r="S82" s="5">
        <f t="shared" si="2"/>
        <v>224035</v>
      </c>
      <c r="T82" s="5">
        <f t="shared" si="2"/>
        <v>232538</v>
      </c>
      <c r="U82" s="5">
        <f t="shared" si="2"/>
        <v>238243</v>
      </c>
      <c r="V82" s="5">
        <f t="shared" si="2"/>
        <v>244830</v>
      </c>
      <c r="W82" s="5">
        <f t="shared" si="2"/>
        <v>248678</v>
      </c>
      <c r="X82" s="5">
        <f t="shared" si="2"/>
        <v>257716</v>
      </c>
      <c r="Y82" s="5">
        <f t="shared" si="2"/>
        <v>268254</v>
      </c>
      <c r="Z82" s="5">
        <f t="shared" si="2"/>
        <v>264247</v>
      </c>
      <c r="AA82" s="5">
        <f t="shared" si="2"/>
        <v>267833</v>
      </c>
      <c r="AB82" s="5">
        <f t="shared" si="2"/>
        <v>264539</v>
      </c>
      <c r="AC82" s="5">
        <f t="shared" si="2"/>
        <v>233142</v>
      </c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</row>
    <row r="83" spans="2:79" ht="13.8" thickTop="1" x14ac:dyDescent="0.25">
      <c r="C83" s="3"/>
      <c r="D83" s="3"/>
      <c r="E83" s="7"/>
      <c r="F83" s="7"/>
      <c r="G83" s="7"/>
      <c r="H83" s="7">
        <f>H82-G82</f>
        <v>6953</v>
      </c>
      <c r="I83" s="7">
        <f t="shared" ref="I83:Y83" si="3">I82-H82</f>
        <v>5523</v>
      </c>
      <c r="J83" s="7">
        <f t="shared" si="3"/>
        <v>1431</v>
      </c>
      <c r="K83" s="7">
        <f t="shared" si="3"/>
        <v>10939</v>
      </c>
      <c r="L83" s="7">
        <f t="shared" si="3"/>
        <v>18158</v>
      </c>
      <c r="M83" s="7">
        <f t="shared" si="3"/>
        <v>12938</v>
      </c>
      <c r="N83" s="7">
        <f t="shared" si="3"/>
        <v>20119</v>
      </c>
      <c r="O83" s="7">
        <f t="shared" si="3"/>
        <v>12503</v>
      </c>
      <c r="P83" s="7">
        <f t="shared" si="3"/>
        <v>12907</v>
      </c>
      <c r="Q83" s="7">
        <f t="shared" si="3"/>
        <v>7903</v>
      </c>
      <c r="R83" s="7">
        <f t="shared" si="3"/>
        <v>9330</v>
      </c>
      <c r="S83" s="7">
        <f t="shared" si="3"/>
        <v>6297</v>
      </c>
      <c r="T83" s="7">
        <f t="shared" si="3"/>
        <v>8503</v>
      </c>
      <c r="U83" s="7">
        <f t="shared" si="3"/>
        <v>5705</v>
      </c>
      <c r="V83" s="7">
        <f t="shared" si="3"/>
        <v>6587</v>
      </c>
      <c r="W83" s="7">
        <f t="shared" si="3"/>
        <v>3848</v>
      </c>
      <c r="X83" s="7">
        <f t="shared" si="3"/>
        <v>9038</v>
      </c>
      <c r="Y83" s="7">
        <f t="shared" si="3"/>
        <v>10538</v>
      </c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</row>
    <row r="84" spans="2:79" x14ac:dyDescent="0.25">
      <c r="C84" s="3"/>
      <c r="D84" s="3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f>SUM(O83:U83)/105</f>
        <v>601.40952380952376</v>
      </c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</row>
    <row r="85" spans="2:79" x14ac:dyDescent="0.25">
      <c r="C85" s="3"/>
      <c r="D85" s="3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</row>
    <row r="86" spans="2:79" x14ac:dyDescent="0.25">
      <c r="C86" s="3"/>
      <c r="D86" s="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</row>
    <row r="87" spans="2:79" ht="13.8" thickBot="1" x14ac:dyDescent="0.3">
      <c r="C87" s="3"/>
      <c r="D87" s="3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</row>
    <row r="88" spans="2:79" ht="21.6" thickBot="1" x14ac:dyDescent="0.3">
      <c r="B88" s="14" t="s">
        <v>1</v>
      </c>
      <c r="C88" s="14" t="s">
        <v>2</v>
      </c>
      <c r="D88" s="14" t="s">
        <v>3</v>
      </c>
      <c r="E88" s="14" t="s">
        <v>4</v>
      </c>
      <c r="F88" s="14" t="s">
        <v>88</v>
      </c>
      <c r="G88" s="14" t="s">
        <v>108</v>
      </c>
      <c r="H88" s="14" t="s">
        <v>87</v>
      </c>
      <c r="I88" s="14" t="s">
        <v>103</v>
      </c>
      <c r="J88" s="14" t="s">
        <v>105</v>
      </c>
      <c r="K88" s="14" t="s">
        <v>100</v>
      </c>
      <c r="L88" s="14" t="s">
        <v>102</v>
      </c>
      <c r="M88" s="14" t="s">
        <v>98</v>
      </c>
      <c r="N88" s="14" t="s">
        <v>5</v>
      </c>
      <c r="O88" s="14" t="s">
        <v>169</v>
      </c>
      <c r="P88" s="14" t="s">
        <v>183</v>
      </c>
      <c r="Q88" s="14" t="s">
        <v>170</v>
      </c>
      <c r="R88" s="14" t="s">
        <v>171</v>
      </c>
      <c r="S88" s="14" t="s">
        <v>172</v>
      </c>
      <c r="T88" s="14" t="s">
        <v>173</v>
      </c>
      <c r="U88" s="14" t="s">
        <v>174</v>
      </c>
      <c r="V88" s="14" t="s">
        <v>175</v>
      </c>
      <c r="W88" s="14" t="s">
        <v>176</v>
      </c>
      <c r="X88" s="14" t="s">
        <v>177</v>
      </c>
      <c r="Y88" s="14" t="s">
        <v>178</v>
      </c>
      <c r="Z88" s="19" t="s">
        <v>179</v>
      </c>
      <c r="AA88" s="19" t="s">
        <v>180</v>
      </c>
      <c r="AB88" s="14" t="s">
        <v>181</v>
      </c>
      <c r="AC88" s="14" t="s">
        <v>182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</row>
    <row r="89" spans="2:79" x14ac:dyDescent="0.25">
      <c r="B89" s="2" t="s">
        <v>16</v>
      </c>
      <c r="C89" s="3" t="s">
        <v>17</v>
      </c>
      <c r="D89" s="3" t="s">
        <v>18</v>
      </c>
      <c r="E89" s="4">
        <v>5500</v>
      </c>
      <c r="F89" s="4">
        <v>2270</v>
      </c>
      <c r="G89" s="4">
        <v>2153</v>
      </c>
      <c r="H89" s="4">
        <v>2055</v>
      </c>
      <c r="I89" s="4">
        <v>1887</v>
      </c>
      <c r="J89" s="4">
        <v>1834</v>
      </c>
      <c r="K89" s="4">
        <v>1832</v>
      </c>
      <c r="L89" s="4">
        <v>1758</v>
      </c>
      <c r="M89" s="4">
        <v>1735</v>
      </c>
      <c r="N89" s="4">
        <v>1773</v>
      </c>
      <c r="O89" s="18">
        <v>1735</v>
      </c>
      <c r="P89" s="7">
        <v>1772</v>
      </c>
      <c r="Q89" s="7">
        <v>2118</v>
      </c>
      <c r="R89" s="7">
        <v>2216</v>
      </c>
      <c r="S89" s="7">
        <v>2054</v>
      </c>
      <c r="T89" s="7">
        <v>1973</v>
      </c>
      <c r="U89" s="7">
        <v>1972</v>
      </c>
      <c r="V89" s="7">
        <v>1900</v>
      </c>
      <c r="W89" s="7">
        <v>1892</v>
      </c>
      <c r="X89" s="7">
        <v>1897</v>
      </c>
      <c r="Y89" s="7">
        <v>1831</v>
      </c>
      <c r="Z89" s="7">
        <v>1831</v>
      </c>
      <c r="AA89" s="7">
        <v>1892</v>
      </c>
      <c r="AB89" s="7">
        <v>1872</v>
      </c>
      <c r="AC89" s="7">
        <v>1892</v>
      </c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</row>
    <row r="90" spans="2:79" x14ac:dyDescent="0.25">
      <c r="B90" s="2" t="s">
        <v>16</v>
      </c>
      <c r="C90" s="3" t="s">
        <v>19</v>
      </c>
      <c r="D90" s="3" t="s">
        <v>18</v>
      </c>
      <c r="E90" s="4">
        <v>8000</v>
      </c>
      <c r="F90" s="4">
        <v>5242</v>
      </c>
      <c r="G90" s="4">
        <v>5057</v>
      </c>
      <c r="H90" s="4">
        <v>4878</v>
      </c>
      <c r="I90" s="4">
        <v>4710</v>
      </c>
      <c r="J90" s="4">
        <v>4201</v>
      </c>
      <c r="K90" s="4">
        <v>3916</v>
      </c>
      <c r="L90" s="4">
        <v>3792</v>
      </c>
      <c r="M90" s="4">
        <v>3836</v>
      </c>
      <c r="N90" s="4">
        <v>4078</v>
      </c>
      <c r="O90" s="18">
        <v>3836</v>
      </c>
      <c r="P90" s="7">
        <v>4078</v>
      </c>
      <c r="Q90" s="7">
        <v>5098</v>
      </c>
      <c r="R90" s="7">
        <v>5325</v>
      </c>
      <c r="S90" s="7">
        <v>4946</v>
      </c>
      <c r="T90" s="7">
        <v>4720</v>
      </c>
      <c r="U90" s="7">
        <v>4718</v>
      </c>
      <c r="V90" s="7">
        <v>4605</v>
      </c>
      <c r="W90" s="7">
        <v>4596</v>
      </c>
      <c r="X90" s="7">
        <v>4444</v>
      </c>
      <c r="Y90" s="7">
        <v>4229</v>
      </c>
      <c r="Z90" s="7">
        <v>4527</v>
      </c>
      <c r="AA90" s="7">
        <v>4484</v>
      </c>
      <c r="AB90" s="7">
        <v>4373</v>
      </c>
      <c r="AC90" s="7">
        <v>4284</v>
      </c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</row>
    <row r="91" spans="2:79" x14ac:dyDescent="0.25">
      <c r="B91" s="2" t="s">
        <v>20</v>
      </c>
      <c r="C91" s="3" t="s">
        <v>21</v>
      </c>
      <c r="D91" s="3" t="s">
        <v>22</v>
      </c>
      <c r="E91" s="4">
        <v>100</v>
      </c>
      <c r="F91" s="4">
        <v>29</v>
      </c>
      <c r="G91" s="4">
        <v>29</v>
      </c>
      <c r="H91" s="4">
        <v>29</v>
      </c>
      <c r="I91" s="4">
        <v>29</v>
      </c>
      <c r="J91" s="4">
        <v>29</v>
      </c>
      <c r="K91" s="4">
        <v>29</v>
      </c>
      <c r="L91" s="4">
        <v>29</v>
      </c>
      <c r="M91" s="4">
        <v>29</v>
      </c>
      <c r="N91" s="4">
        <v>29</v>
      </c>
      <c r="O91" s="18">
        <v>29</v>
      </c>
      <c r="P91" s="7">
        <v>29</v>
      </c>
      <c r="Q91" s="7">
        <v>29</v>
      </c>
      <c r="R91" s="7">
        <v>29</v>
      </c>
      <c r="S91" s="7">
        <v>29</v>
      </c>
      <c r="T91" s="7">
        <v>29</v>
      </c>
      <c r="U91" s="7">
        <v>29</v>
      </c>
      <c r="V91" s="7">
        <v>29</v>
      </c>
      <c r="W91" s="7">
        <v>29</v>
      </c>
      <c r="X91" s="7">
        <v>29</v>
      </c>
      <c r="Y91" s="7">
        <v>29</v>
      </c>
      <c r="Z91" s="7">
        <v>29</v>
      </c>
      <c r="AA91" s="7">
        <v>29</v>
      </c>
      <c r="AB91" s="7">
        <v>29</v>
      </c>
      <c r="AC91" s="7">
        <v>29</v>
      </c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</row>
    <row r="92" spans="2:79" x14ac:dyDescent="0.25">
      <c r="B92" s="2" t="s">
        <v>26</v>
      </c>
      <c r="C92" s="3" t="s">
        <v>27</v>
      </c>
      <c r="D92" s="3" t="s">
        <v>28</v>
      </c>
      <c r="E92" s="4">
        <v>1000</v>
      </c>
      <c r="F92" s="4">
        <v>1306</v>
      </c>
      <c r="G92" s="4">
        <v>1358</v>
      </c>
      <c r="H92" s="4">
        <v>1358</v>
      </c>
      <c r="I92" s="4">
        <v>1347</v>
      </c>
      <c r="J92" s="4">
        <v>1323</v>
      </c>
      <c r="K92" s="4">
        <v>1306</v>
      </c>
      <c r="L92" s="4">
        <v>1306</v>
      </c>
      <c r="M92" s="4">
        <v>1306</v>
      </c>
      <c r="N92" s="4">
        <v>1311</v>
      </c>
      <c r="O92" s="18">
        <v>1266</v>
      </c>
      <c r="P92" s="7">
        <v>1266</v>
      </c>
      <c r="Q92" s="7">
        <v>1247</v>
      </c>
      <c r="R92" s="7">
        <v>1247</v>
      </c>
      <c r="S92" s="7">
        <v>1247</v>
      </c>
      <c r="T92" s="7">
        <v>1247</v>
      </c>
      <c r="U92" s="7">
        <v>1247</v>
      </c>
      <c r="V92" s="7">
        <v>1247</v>
      </c>
      <c r="W92" s="7">
        <v>1247</v>
      </c>
      <c r="X92" s="7">
        <v>1247</v>
      </c>
      <c r="Y92" s="7">
        <v>1247</v>
      </c>
      <c r="Z92" s="7">
        <v>1247</v>
      </c>
      <c r="AA92" s="7">
        <v>719</v>
      </c>
      <c r="AB92" s="7">
        <v>719</v>
      </c>
      <c r="AC92" s="7">
        <v>672</v>
      </c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</row>
    <row r="93" spans="2:79" x14ac:dyDescent="0.25">
      <c r="B93" s="2" t="s">
        <v>29</v>
      </c>
      <c r="C93" s="3" t="s">
        <v>30</v>
      </c>
      <c r="D93" s="3" t="s">
        <v>28</v>
      </c>
      <c r="E93" s="4">
        <v>45000</v>
      </c>
      <c r="F93" s="4">
        <v>36005</v>
      </c>
      <c r="G93" s="4">
        <v>35871</v>
      </c>
      <c r="H93" s="4">
        <v>37451</v>
      </c>
      <c r="I93" s="4">
        <v>39454</v>
      </c>
      <c r="J93" s="4">
        <v>38175</v>
      </c>
      <c r="K93" s="4">
        <v>35745</v>
      </c>
      <c r="L93" s="4">
        <v>37778</v>
      </c>
      <c r="M93" s="4">
        <v>40179</v>
      </c>
      <c r="N93" s="4">
        <v>42880</v>
      </c>
      <c r="O93" s="18">
        <v>44120</v>
      </c>
      <c r="P93" s="7">
        <v>45811</v>
      </c>
      <c r="Q93" s="7">
        <v>46546</v>
      </c>
      <c r="R93" s="7">
        <v>46272</v>
      </c>
      <c r="S93" s="7">
        <v>46301</v>
      </c>
      <c r="T93" s="7">
        <v>47713</v>
      </c>
      <c r="U93" s="7">
        <v>48416</v>
      </c>
      <c r="V93" s="7">
        <v>49294</v>
      </c>
      <c r="W93" s="7">
        <v>49618</v>
      </c>
      <c r="X93" s="7">
        <v>51148</v>
      </c>
      <c r="Y93" s="7">
        <v>51902</v>
      </c>
      <c r="Z93" s="7">
        <v>51833</v>
      </c>
      <c r="AA93" s="7">
        <v>50865</v>
      </c>
      <c r="AB93" s="7">
        <v>49682</v>
      </c>
      <c r="AC93" s="7">
        <v>42191</v>
      </c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</row>
    <row r="94" spans="2:79" x14ac:dyDescent="0.25">
      <c r="B94" s="2" t="s">
        <v>23</v>
      </c>
      <c r="C94" s="3" t="s">
        <v>24</v>
      </c>
      <c r="D94" s="3" t="s">
        <v>25</v>
      </c>
      <c r="E94" s="4">
        <v>766</v>
      </c>
      <c r="F94" s="4">
        <v>481</v>
      </c>
      <c r="G94" s="4">
        <v>458</v>
      </c>
      <c r="H94" s="4">
        <v>428</v>
      </c>
      <c r="I94" s="4">
        <v>402</v>
      </c>
      <c r="J94" s="4">
        <v>372</v>
      </c>
      <c r="K94" s="4">
        <v>345</v>
      </c>
      <c r="L94" s="4">
        <v>315</v>
      </c>
      <c r="M94" s="4">
        <v>259</v>
      </c>
      <c r="N94" s="4">
        <v>259</v>
      </c>
      <c r="O94" s="18">
        <v>289</v>
      </c>
      <c r="P94" s="7">
        <v>259</v>
      </c>
      <c r="Q94" s="7">
        <v>185</v>
      </c>
      <c r="R94" s="7">
        <v>155</v>
      </c>
      <c r="S94" s="7">
        <v>139</v>
      </c>
      <c r="T94" s="7">
        <v>109</v>
      </c>
      <c r="U94" s="7">
        <v>93</v>
      </c>
      <c r="V94" s="7">
        <v>63</v>
      </c>
      <c r="W94" s="7">
        <v>63</v>
      </c>
      <c r="X94" s="7">
        <v>33</v>
      </c>
      <c r="Y94" s="7">
        <v>28</v>
      </c>
      <c r="Z94" s="7">
        <v>13</v>
      </c>
      <c r="AA94" s="7">
        <v>28</v>
      </c>
      <c r="AB94" s="7">
        <v>13</v>
      </c>
      <c r="AC94" s="7">
        <v>28</v>
      </c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</row>
    <row r="95" spans="2:79" x14ac:dyDescent="0.25">
      <c r="B95" s="2" t="s">
        <v>31</v>
      </c>
      <c r="C95" s="3" t="s">
        <v>32</v>
      </c>
      <c r="D95" s="3" t="s">
        <v>33</v>
      </c>
      <c r="E95" s="4">
        <v>80</v>
      </c>
      <c r="F95" s="4">
        <v>80</v>
      </c>
      <c r="G95" s="4">
        <v>80</v>
      </c>
      <c r="H95" s="4">
        <v>80</v>
      </c>
      <c r="I95" s="4">
        <v>80</v>
      </c>
      <c r="J95" s="4">
        <v>80</v>
      </c>
      <c r="K95" s="4">
        <v>80</v>
      </c>
      <c r="L95" s="4">
        <v>80</v>
      </c>
      <c r="M95" s="4">
        <v>80</v>
      </c>
      <c r="N95" s="4">
        <v>80</v>
      </c>
      <c r="O95" s="18">
        <v>80</v>
      </c>
      <c r="P95" s="7">
        <v>80</v>
      </c>
      <c r="Q95" s="7">
        <v>80</v>
      </c>
      <c r="R95" s="7">
        <v>80</v>
      </c>
      <c r="S95" s="7">
        <v>80</v>
      </c>
      <c r="T95" s="7">
        <v>80</v>
      </c>
      <c r="U95" s="7">
        <v>80</v>
      </c>
      <c r="V95" s="7">
        <v>80</v>
      </c>
      <c r="W95" s="7">
        <v>80</v>
      </c>
      <c r="X95" s="7">
        <v>80</v>
      </c>
      <c r="Y95" s="7">
        <v>80</v>
      </c>
      <c r="Z95" s="7">
        <v>80</v>
      </c>
      <c r="AA95" s="7">
        <v>80</v>
      </c>
      <c r="AB95" s="7">
        <v>80</v>
      </c>
      <c r="AC95" s="7">
        <v>80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</row>
    <row r="96" spans="2:79" x14ac:dyDescent="0.25">
      <c r="B96" s="2" t="s">
        <v>31</v>
      </c>
      <c r="C96" s="3" t="s">
        <v>34</v>
      </c>
      <c r="D96" s="3" t="s">
        <v>35</v>
      </c>
      <c r="E96" s="4">
        <v>8615</v>
      </c>
      <c r="F96" s="4">
        <v>5559</v>
      </c>
      <c r="G96" s="4">
        <v>5090</v>
      </c>
      <c r="H96" s="4">
        <v>4976</v>
      </c>
      <c r="I96" s="4">
        <v>4863</v>
      </c>
      <c r="J96" s="4">
        <v>4831</v>
      </c>
      <c r="K96" s="4">
        <v>4775</v>
      </c>
      <c r="L96" s="4">
        <v>4771</v>
      </c>
      <c r="M96" s="4">
        <v>4770</v>
      </c>
      <c r="N96" s="4">
        <v>4790</v>
      </c>
      <c r="O96" s="18">
        <v>5058</v>
      </c>
      <c r="P96" s="7">
        <v>5380</v>
      </c>
      <c r="Q96" s="7">
        <v>5866</v>
      </c>
      <c r="R96" s="7">
        <v>6192</v>
      </c>
      <c r="S96" s="7">
        <v>6501</v>
      </c>
      <c r="T96" s="7">
        <v>6559</v>
      </c>
      <c r="U96" s="7">
        <v>6776</v>
      </c>
      <c r="V96" s="7">
        <v>6834</v>
      </c>
      <c r="W96" s="7">
        <v>7238</v>
      </c>
      <c r="X96" s="7">
        <v>7298</v>
      </c>
      <c r="Y96" s="7">
        <v>7076</v>
      </c>
      <c r="Z96" s="7">
        <v>7062</v>
      </c>
      <c r="AA96" s="7">
        <v>7077</v>
      </c>
      <c r="AB96" s="7">
        <v>6799</v>
      </c>
      <c r="AC96" s="7">
        <v>6071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</row>
    <row r="97" spans="2:79" x14ac:dyDescent="0.25">
      <c r="B97" s="2" t="s">
        <v>31</v>
      </c>
      <c r="C97" s="3" t="s">
        <v>56</v>
      </c>
      <c r="D97" s="3" t="s">
        <v>33</v>
      </c>
      <c r="E97" s="4">
        <v>3425</v>
      </c>
      <c r="F97" s="4">
        <v>2698</v>
      </c>
      <c r="G97" s="4">
        <v>1987</v>
      </c>
      <c r="H97" s="4">
        <v>1893</v>
      </c>
      <c r="I97" s="4">
        <v>1714</v>
      </c>
      <c r="J97" s="4">
        <v>1645</v>
      </c>
      <c r="K97" s="4">
        <v>1548</v>
      </c>
      <c r="L97" s="4">
        <v>1635</v>
      </c>
      <c r="M97" s="4">
        <v>1682</v>
      </c>
      <c r="N97" s="4">
        <v>2027</v>
      </c>
      <c r="O97" s="18">
        <v>2604</v>
      </c>
      <c r="P97" s="7">
        <v>2767</v>
      </c>
      <c r="Q97" s="7">
        <v>3163</v>
      </c>
      <c r="R97" s="7">
        <v>3198</v>
      </c>
      <c r="S97" s="7">
        <v>3163</v>
      </c>
      <c r="T97" s="7">
        <v>3241</v>
      </c>
      <c r="U97" s="7">
        <v>3302</v>
      </c>
      <c r="V97" s="7">
        <v>3303</v>
      </c>
      <c r="W97" s="7">
        <v>3289</v>
      </c>
      <c r="X97" s="7">
        <v>3469</v>
      </c>
      <c r="Y97" s="7">
        <v>3531</v>
      </c>
      <c r="Z97" s="7">
        <v>3556</v>
      </c>
      <c r="AA97" s="7">
        <v>3560</v>
      </c>
      <c r="AB97" s="7">
        <v>3527</v>
      </c>
      <c r="AC97" s="7">
        <v>3412</v>
      </c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</row>
    <row r="98" spans="2:79" x14ac:dyDescent="0.25">
      <c r="B98" s="2" t="s">
        <v>31</v>
      </c>
      <c r="C98" s="3" t="s">
        <v>36</v>
      </c>
      <c r="D98" s="3" t="s">
        <v>37</v>
      </c>
      <c r="E98" s="4">
        <v>2825</v>
      </c>
      <c r="F98" s="4">
        <v>3871</v>
      </c>
      <c r="G98" s="4">
        <v>3975</v>
      </c>
      <c r="H98" s="4">
        <v>4006</v>
      </c>
      <c r="I98" s="4">
        <v>3950</v>
      </c>
      <c r="J98" s="4">
        <v>3710</v>
      </c>
      <c r="K98" s="4">
        <v>3340</v>
      </c>
      <c r="L98" s="4">
        <v>3315</v>
      </c>
      <c r="M98" s="4">
        <v>3236</v>
      </c>
      <c r="N98" s="4">
        <v>3354</v>
      </c>
      <c r="O98" s="18">
        <v>3474</v>
      </c>
      <c r="P98" s="7">
        <v>3569</v>
      </c>
      <c r="Q98" s="7">
        <v>3646</v>
      </c>
      <c r="R98" s="7">
        <v>3646</v>
      </c>
      <c r="S98" s="7">
        <v>3647</v>
      </c>
      <c r="T98" s="7">
        <v>3663</v>
      </c>
      <c r="U98" s="7">
        <v>3727</v>
      </c>
      <c r="V98" s="7">
        <v>3821</v>
      </c>
      <c r="W98" s="7">
        <v>3982</v>
      </c>
      <c r="X98" s="7">
        <v>3997</v>
      </c>
      <c r="Y98" s="7">
        <v>3996</v>
      </c>
      <c r="Z98" s="7">
        <v>3996</v>
      </c>
      <c r="AA98" s="7">
        <v>4204</v>
      </c>
      <c r="AB98" s="7">
        <v>4105</v>
      </c>
      <c r="AC98" s="7">
        <v>4082</v>
      </c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</row>
    <row r="99" spans="2:79" x14ac:dyDescent="0.25">
      <c r="B99" s="2" t="s">
        <v>31</v>
      </c>
      <c r="C99" s="3" t="s">
        <v>57</v>
      </c>
      <c r="D99" s="3" t="s">
        <v>33</v>
      </c>
      <c r="E99" s="4">
        <v>5290</v>
      </c>
      <c r="F99" s="4">
        <v>4408</v>
      </c>
      <c r="G99" s="4">
        <v>3849</v>
      </c>
      <c r="H99" s="4">
        <v>3712</v>
      </c>
      <c r="I99" s="4">
        <v>3554</v>
      </c>
      <c r="J99" s="4">
        <v>3487</v>
      </c>
      <c r="K99" s="4">
        <v>3537</v>
      </c>
      <c r="L99" s="4">
        <v>3537</v>
      </c>
      <c r="M99" s="4">
        <v>3550</v>
      </c>
      <c r="N99" s="4">
        <v>3685</v>
      </c>
      <c r="O99" s="18">
        <v>3995</v>
      </c>
      <c r="P99" s="7">
        <v>4210</v>
      </c>
      <c r="Q99" s="7">
        <v>4554</v>
      </c>
      <c r="R99" s="7">
        <v>4807</v>
      </c>
      <c r="S99" s="7">
        <v>4899</v>
      </c>
      <c r="T99" s="7">
        <v>4913</v>
      </c>
      <c r="U99" s="7">
        <v>5036</v>
      </c>
      <c r="V99" s="7">
        <v>5036</v>
      </c>
      <c r="W99" s="7">
        <v>5687</v>
      </c>
      <c r="X99" s="7">
        <v>5786</v>
      </c>
      <c r="Y99" s="7">
        <v>5694</v>
      </c>
      <c r="Z99" s="7">
        <v>5760</v>
      </c>
      <c r="AA99" s="7">
        <v>6137</v>
      </c>
      <c r="AB99" s="7">
        <v>5620</v>
      </c>
      <c r="AC99" s="7">
        <v>2959</v>
      </c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</row>
    <row r="100" spans="2:79" x14ac:dyDescent="0.25">
      <c r="B100" s="2" t="s">
        <v>31</v>
      </c>
      <c r="C100" s="3" t="s">
        <v>38</v>
      </c>
      <c r="D100" s="3" t="s">
        <v>39</v>
      </c>
      <c r="E100" s="4">
        <v>1310</v>
      </c>
      <c r="F100" s="4">
        <v>620</v>
      </c>
      <c r="G100" s="4">
        <v>572</v>
      </c>
      <c r="H100" s="4">
        <v>561</v>
      </c>
      <c r="I100" s="4">
        <v>629</v>
      </c>
      <c r="J100" s="4">
        <v>561</v>
      </c>
      <c r="K100" s="4">
        <v>548</v>
      </c>
      <c r="L100" s="4">
        <v>555</v>
      </c>
      <c r="M100" s="4">
        <v>547</v>
      </c>
      <c r="N100" s="4">
        <v>554</v>
      </c>
      <c r="O100" s="18">
        <v>625</v>
      </c>
      <c r="P100" s="7">
        <v>546</v>
      </c>
      <c r="Q100" s="7">
        <v>624</v>
      </c>
      <c r="R100" s="7">
        <v>545</v>
      </c>
      <c r="S100" s="7">
        <v>624</v>
      </c>
      <c r="T100" s="7">
        <v>544</v>
      </c>
      <c r="U100" s="7">
        <v>544</v>
      </c>
      <c r="V100" s="7">
        <v>544</v>
      </c>
      <c r="W100" s="7">
        <v>622</v>
      </c>
      <c r="X100" s="7">
        <v>543</v>
      </c>
      <c r="Y100" s="7">
        <v>621</v>
      </c>
      <c r="Z100" s="7">
        <v>542</v>
      </c>
      <c r="AA100" s="7">
        <v>541</v>
      </c>
      <c r="AB100" s="7">
        <v>541</v>
      </c>
      <c r="AC100" s="7">
        <v>540</v>
      </c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</row>
    <row r="101" spans="2:79" x14ac:dyDescent="0.25">
      <c r="B101" s="2" t="s">
        <v>31</v>
      </c>
      <c r="C101" s="3" t="s">
        <v>40</v>
      </c>
      <c r="D101" s="3" t="s">
        <v>41</v>
      </c>
      <c r="E101" s="4">
        <v>18453</v>
      </c>
      <c r="F101" s="4">
        <v>13104</v>
      </c>
      <c r="G101" s="4">
        <v>10883</v>
      </c>
      <c r="H101" s="4">
        <v>10282</v>
      </c>
      <c r="I101" s="4">
        <v>9932</v>
      </c>
      <c r="J101" s="4">
        <v>10147</v>
      </c>
      <c r="K101" s="4">
        <v>10482</v>
      </c>
      <c r="L101" s="4">
        <v>10724</v>
      </c>
      <c r="M101" s="4">
        <v>10713</v>
      </c>
      <c r="N101" s="4">
        <v>11331</v>
      </c>
      <c r="O101" s="18">
        <v>12420</v>
      </c>
      <c r="P101" s="7">
        <v>12927</v>
      </c>
      <c r="Q101" s="7">
        <v>13643</v>
      </c>
      <c r="R101" s="7">
        <v>13981</v>
      </c>
      <c r="S101" s="7">
        <v>14421</v>
      </c>
      <c r="T101" s="7">
        <v>14494</v>
      </c>
      <c r="U101" s="7">
        <v>14948</v>
      </c>
      <c r="V101" s="7">
        <v>15528</v>
      </c>
      <c r="W101" s="7">
        <v>15783</v>
      </c>
      <c r="X101" s="7">
        <v>16011</v>
      </c>
      <c r="Y101" s="7">
        <v>15725</v>
      </c>
      <c r="Z101" s="7">
        <v>16144</v>
      </c>
      <c r="AA101" s="7">
        <v>16698</v>
      </c>
      <c r="AB101" s="7">
        <v>15936</v>
      </c>
      <c r="AC101" s="7">
        <v>13273</v>
      </c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</row>
    <row r="102" spans="2:79" x14ac:dyDescent="0.25">
      <c r="B102" s="2" t="s">
        <v>31</v>
      </c>
      <c r="C102" s="3" t="s">
        <v>42</v>
      </c>
      <c r="D102" s="3" t="s">
        <v>41</v>
      </c>
      <c r="E102" s="4">
        <v>6900</v>
      </c>
      <c r="F102" s="4">
        <v>2100</v>
      </c>
      <c r="G102" s="4">
        <v>2100</v>
      </c>
      <c r="H102" s="4">
        <v>2100</v>
      </c>
      <c r="I102" s="4">
        <v>2100</v>
      </c>
      <c r="J102" s="4">
        <v>2100</v>
      </c>
      <c r="K102" s="4">
        <v>2100</v>
      </c>
      <c r="L102" s="4">
        <v>2100</v>
      </c>
      <c r="M102" s="4">
        <v>2100</v>
      </c>
      <c r="N102" s="4">
        <v>2100</v>
      </c>
      <c r="O102" s="18">
        <v>2100</v>
      </c>
      <c r="P102" s="7">
        <v>2100</v>
      </c>
      <c r="Q102" s="7">
        <v>2100</v>
      </c>
      <c r="R102" s="7">
        <v>2100</v>
      </c>
      <c r="S102" s="7">
        <v>2100</v>
      </c>
      <c r="T102" s="7">
        <v>2100</v>
      </c>
      <c r="U102" s="7">
        <v>2100</v>
      </c>
      <c r="V102" s="7">
        <v>2100</v>
      </c>
      <c r="W102" s="7">
        <v>2100</v>
      </c>
      <c r="X102" s="7">
        <v>2100</v>
      </c>
      <c r="Y102" s="7">
        <v>2100</v>
      </c>
      <c r="Z102" s="7">
        <v>2100</v>
      </c>
      <c r="AA102" s="7">
        <v>2100</v>
      </c>
      <c r="AB102" s="7">
        <v>2100</v>
      </c>
      <c r="AC102" s="7">
        <v>2100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</row>
    <row r="103" spans="2:79" x14ac:dyDescent="0.25">
      <c r="B103" s="2" t="s">
        <v>43</v>
      </c>
      <c r="C103" s="3" t="s">
        <v>44</v>
      </c>
      <c r="D103" s="3" t="s">
        <v>45</v>
      </c>
      <c r="E103" s="4">
        <v>3000</v>
      </c>
      <c r="F103" s="4">
        <v>3325</v>
      </c>
      <c r="G103" s="4">
        <v>3477</v>
      </c>
      <c r="H103" s="4">
        <v>3475</v>
      </c>
      <c r="I103" s="4">
        <v>3431</v>
      </c>
      <c r="J103" s="4">
        <v>3091</v>
      </c>
      <c r="K103" s="4">
        <v>3105</v>
      </c>
      <c r="L103" s="4">
        <v>3030</v>
      </c>
      <c r="M103" s="4">
        <v>2681</v>
      </c>
      <c r="N103" s="4">
        <v>2652</v>
      </c>
      <c r="O103" s="18">
        <v>2503</v>
      </c>
      <c r="P103" s="7">
        <v>2200</v>
      </c>
      <c r="Q103" s="7">
        <v>2985</v>
      </c>
      <c r="R103" s="7">
        <v>3119</v>
      </c>
      <c r="S103" s="7">
        <v>3214</v>
      </c>
      <c r="T103" s="7">
        <v>2912</v>
      </c>
      <c r="U103" s="7">
        <v>2798</v>
      </c>
      <c r="V103" s="7">
        <v>2732</v>
      </c>
      <c r="W103" s="7">
        <v>3075</v>
      </c>
      <c r="X103" s="7">
        <v>3531</v>
      </c>
      <c r="Y103" s="7">
        <v>4265</v>
      </c>
      <c r="Z103" s="7">
        <v>4676</v>
      </c>
      <c r="AA103" s="7">
        <v>5093</v>
      </c>
      <c r="AB103" s="7">
        <v>5015</v>
      </c>
      <c r="AC103" s="7">
        <v>3788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</row>
    <row r="104" spans="2:79" x14ac:dyDescent="0.25">
      <c r="B104" s="2" t="s">
        <v>46</v>
      </c>
      <c r="C104" s="3" t="s">
        <v>47</v>
      </c>
      <c r="D104" s="3" t="s">
        <v>48</v>
      </c>
      <c r="E104" s="4">
        <v>69000</v>
      </c>
      <c r="F104" s="4">
        <v>62754</v>
      </c>
      <c r="G104" s="4">
        <v>59289</v>
      </c>
      <c r="H104" s="4">
        <v>58726</v>
      </c>
      <c r="I104" s="4">
        <v>55887</v>
      </c>
      <c r="J104" s="4">
        <v>53028</v>
      </c>
      <c r="K104" s="4">
        <v>44334</v>
      </c>
      <c r="L104" s="4">
        <v>45974</v>
      </c>
      <c r="M104" s="4">
        <v>45204</v>
      </c>
      <c r="N104" s="4">
        <v>49569</v>
      </c>
      <c r="O104" s="18">
        <v>51584</v>
      </c>
      <c r="P104" s="7">
        <v>53092</v>
      </c>
      <c r="Q104" s="7">
        <v>58402</v>
      </c>
      <c r="R104" s="7">
        <v>62820</v>
      </c>
      <c r="S104" s="7">
        <v>64395</v>
      </c>
      <c r="T104" s="7">
        <v>63295</v>
      </c>
      <c r="U104" s="7">
        <v>64664</v>
      </c>
      <c r="V104" s="7">
        <v>65522</v>
      </c>
      <c r="W104" s="7">
        <v>69767</v>
      </c>
      <c r="X104" s="7">
        <v>71293</v>
      </c>
      <c r="Y104" s="7">
        <v>71851</v>
      </c>
      <c r="Z104" s="7">
        <v>65366</v>
      </c>
      <c r="AA104" s="7">
        <v>65084</v>
      </c>
      <c r="AB104" s="7">
        <v>64222</v>
      </c>
      <c r="AC104" s="7">
        <v>62102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</row>
    <row r="105" spans="2:79" x14ac:dyDescent="0.25">
      <c r="B105" s="2" t="s">
        <v>49</v>
      </c>
      <c r="C105" s="3" t="s">
        <v>50</v>
      </c>
      <c r="D105" s="3" t="s">
        <v>51</v>
      </c>
      <c r="E105" s="4">
        <v>500</v>
      </c>
      <c r="F105" s="4">
        <v>508</v>
      </c>
      <c r="G105" s="4">
        <v>554</v>
      </c>
      <c r="H105" s="4">
        <v>450</v>
      </c>
      <c r="I105" s="4">
        <v>423</v>
      </c>
      <c r="J105" s="4">
        <v>341</v>
      </c>
      <c r="K105" s="4">
        <v>337</v>
      </c>
      <c r="L105" s="4">
        <v>441</v>
      </c>
      <c r="M105" s="4">
        <v>438</v>
      </c>
      <c r="N105" s="4">
        <v>542</v>
      </c>
      <c r="O105" s="18">
        <v>653</v>
      </c>
      <c r="P105" s="7">
        <v>641</v>
      </c>
      <c r="Q105" s="7">
        <v>620</v>
      </c>
      <c r="R105" s="7">
        <v>580</v>
      </c>
      <c r="S105" s="7">
        <v>429</v>
      </c>
      <c r="T105" s="7">
        <v>308</v>
      </c>
      <c r="U105" s="7">
        <v>305</v>
      </c>
      <c r="V105" s="7">
        <v>310</v>
      </c>
      <c r="W105" s="7">
        <v>235</v>
      </c>
      <c r="X105" s="7">
        <v>237</v>
      </c>
      <c r="Y105" s="7">
        <v>359</v>
      </c>
      <c r="Z105" s="7">
        <v>446</v>
      </c>
      <c r="AA105" s="7">
        <v>496</v>
      </c>
      <c r="AB105" s="7">
        <v>446</v>
      </c>
      <c r="AC105" s="7">
        <v>443</v>
      </c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</row>
    <row r="106" spans="2:79" x14ac:dyDescent="0.25">
      <c r="B106" s="2" t="s">
        <v>58</v>
      </c>
      <c r="C106" s="3" t="s">
        <v>59</v>
      </c>
      <c r="D106" s="3" t="s">
        <v>28</v>
      </c>
      <c r="E106" s="4">
        <v>48000</v>
      </c>
      <c r="F106" s="4">
        <v>42215</v>
      </c>
      <c r="G106" s="4">
        <v>43766</v>
      </c>
      <c r="H106" s="4">
        <v>46609</v>
      </c>
      <c r="I106" s="4">
        <v>49257</v>
      </c>
      <c r="J106" s="4">
        <v>52381</v>
      </c>
      <c r="K106" s="4">
        <v>55772</v>
      </c>
      <c r="L106" s="4">
        <v>59521</v>
      </c>
      <c r="M106" s="4">
        <v>62863</v>
      </c>
      <c r="N106" s="4">
        <v>62675</v>
      </c>
      <c r="O106" s="18">
        <v>66501</v>
      </c>
      <c r="P106" s="7">
        <v>69351</v>
      </c>
      <c r="Q106" s="7">
        <v>73256</v>
      </c>
      <c r="R106" s="7">
        <v>73463</v>
      </c>
      <c r="S106" s="7">
        <v>78179</v>
      </c>
      <c r="T106" s="7">
        <v>71497</v>
      </c>
      <c r="U106" s="7">
        <v>65674</v>
      </c>
      <c r="V106" s="7">
        <v>61154</v>
      </c>
      <c r="W106" s="7">
        <v>61655</v>
      </c>
      <c r="X106" s="7">
        <v>64705</v>
      </c>
      <c r="Y106" s="7">
        <v>63532</v>
      </c>
      <c r="Z106" s="7">
        <v>63647</v>
      </c>
      <c r="AA106" s="7">
        <v>61709</v>
      </c>
      <c r="AB106" s="7">
        <v>62955</v>
      </c>
      <c r="AC106" s="7">
        <v>58887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</row>
    <row r="107" spans="2:79" x14ac:dyDescent="0.25">
      <c r="B107" s="2" t="s">
        <v>52</v>
      </c>
      <c r="C107" s="3" t="s">
        <v>53</v>
      </c>
      <c r="D107" s="3" t="s">
        <v>54</v>
      </c>
      <c r="E107" s="4">
        <v>5500</v>
      </c>
      <c r="F107" s="4">
        <v>5572</v>
      </c>
      <c r="G107" s="4">
        <v>5853</v>
      </c>
      <c r="H107" s="4">
        <v>5785</v>
      </c>
      <c r="I107" s="4">
        <v>5659</v>
      </c>
      <c r="J107" s="4">
        <v>5681</v>
      </c>
      <c r="K107" s="4">
        <v>251</v>
      </c>
      <c r="L107" s="4">
        <v>5674</v>
      </c>
      <c r="M107" s="4">
        <v>5913</v>
      </c>
      <c r="N107" s="4">
        <v>6177</v>
      </c>
      <c r="O107" s="18">
        <v>6364</v>
      </c>
      <c r="P107" s="7">
        <v>6418</v>
      </c>
      <c r="Q107" s="7">
        <v>6414</v>
      </c>
      <c r="R107" s="7">
        <v>6340</v>
      </c>
      <c r="S107" s="7">
        <v>5397</v>
      </c>
      <c r="T107" s="7">
        <v>4777</v>
      </c>
      <c r="U107" s="7">
        <v>4578</v>
      </c>
      <c r="V107" s="7">
        <v>4578</v>
      </c>
      <c r="W107" s="7">
        <v>4512</v>
      </c>
      <c r="X107" s="7">
        <v>4795</v>
      </c>
      <c r="Y107" s="7">
        <v>5499</v>
      </c>
      <c r="Z107" s="7">
        <v>6046</v>
      </c>
      <c r="AA107" s="7">
        <v>6895</v>
      </c>
      <c r="AB107" s="7">
        <v>6848</v>
      </c>
      <c r="AC107" s="7">
        <v>7033</v>
      </c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</row>
    <row r="108" spans="2:79" x14ac:dyDescent="0.25">
      <c r="B108" s="2" t="s">
        <v>52</v>
      </c>
      <c r="C108" s="3" t="s">
        <v>55</v>
      </c>
      <c r="D108" s="3" t="s">
        <v>54</v>
      </c>
      <c r="E108" s="4">
        <v>46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18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</row>
    <row r="109" spans="2:79" x14ac:dyDescent="0.25">
      <c r="B109" s="2" t="s">
        <v>13</v>
      </c>
      <c r="C109" s="3" t="s">
        <v>14</v>
      </c>
      <c r="D109" s="3" t="s">
        <v>15</v>
      </c>
      <c r="E109" s="4">
        <v>4775</v>
      </c>
      <c r="F109" s="4">
        <v>1251</v>
      </c>
      <c r="G109" s="4">
        <v>1234</v>
      </c>
      <c r="H109" s="4">
        <v>1234</v>
      </c>
      <c r="I109" s="4">
        <v>1219</v>
      </c>
      <c r="J109" s="4">
        <v>1219</v>
      </c>
      <c r="K109" s="4">
        <v>1204</v>
      </c>
      <c r="L109" s="4">
        <v>1204</v>
      </c>
      <c r="M109" s="4">
        <v>1191</v>
      </c>
      <c r="N109" s="4">
        <v>1191</v>
      </c>
      <c r="O109" s="18">
        <v>1178</v>
      </c>
      <c r="P109" s="7">
        <v>1178</v>
      </c>
      <c r="Q109" s="7">
        <v>1166</v>
      </c>
      <c r="R109" s="7">
        <v>1166</v>
      </c>
      <c r="S109" s="7">
        <v>1156</v>
      </c>
      <c r="T109" s="7">
        <v>1156</v>
      </c>
      <c r="U109" s="7">
        <v>1145</v>
      </c>
      <c r="V109" s="7">
        <v>1145</v>
      </c>
      <c r="W109" s="7">
        <v>1136</v>
      </c>
      <c r="X109" s="7">
        <v>1136</v>
      </c>
      <c r="Y109" s="7">
        <v>1125</v>
      </c>
      <c r="Z109" s="7">
        <v>1125</v>
      </c>
      <c r="AA109" s="7">
        <v>1114</v>
      </c>
      <c r="AB109" s="7">
        <v>1114</v>
      </c>
      <c r="AC109" s="7">
        <v>1105</v>
      </c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</row>
    <row r="110" spans="2:79" x14ac:dyDescent="0.25">
      <c r="B110" s="2" t="s">
        <v>10</v>
      </c>
      <c r="C110" s="3" t="s">
        <v>11</v>
      </c>
      <c r="D110" s="3" t="s">
        <v>12</v>
      </c>
      <c r="E110" s="4">
        <v>513</v>
      </c>
      <c r="F110" s="4">
        <v>400</v>
      </c>
      <c r="G110" s="4">
        <v>388</v>
      </c>
      <c r="H110" s="4">
        <v>377</v>
      </c>
      <c r="I110" s="4">
        <v>368</v>
      </c>
      <c r="J110" s="4">
        <v>357</v>
      </c>
      <c r="K110" s="4">
        <v>347</v>
      </c>
      <c r="L110" s="4">
        <v>337</v>
      </c>
      <c r="M110" s="4">
        <v>326</v>
      </c>
      <c r="N110" s="4">
        <v>315</v>
      </c>
      <c r="O110" s="18">
        <v>305</v>
      </c>
      <c r="P110" s="7">
        <v>284</v>
      </c>
      <c r="Q110" s="7">
        <v>285</v>
      </c>
      <c r="R110" s="7">
        <v>254</v>
      </c>
      <c r="S110" s="7">
        <v>265</v>
      </c>
      <c r="T110" s="7">
        <v>224</v>
      </c>
      <c r="U110" s="7">
        <v>205</v>
      </c>
      <c r="V110" s="7">
        <v>195</v>
      </c>
      <c r="W110" s="7">
        <v>226</v>
      </c>
      <c r="X110" s="7">
        <v>167</v>
      </c>
      <c r="Y110" s="7">
        <v>207</v>
      </c>
      <c r="Z110" s="7">
        <v>138</v>
      </c>
      <c r="AA110" s="7">
        <v>120</v>
      </c>
      <c r="AB110" s="7">
        <v>111</v>
      </c>
      <c r="AC110" s="7">
        <v>93</v>
      </c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</row>
    <row r="111" spans="2:79" x14ac:dyDescent="0.25">
      <c r="B111" s="2" t="s">
        <v>7</v>
      </c>
      <c r="C111" s="3" t="s">
        <v>8</v>
      </c>
      <c r="D111" s="3" t="s">
        <v>9</v>
      </c>
      <c r="E111" s="4">
        <v>18500</v>
      </c>
      <c r="F111" s="4">
        <v>13350</v>
      </c>
      <c r="G111" s="4">
        <v>11235</v>
      </c>
      <c r="H111" s="4">
        <v>11995</v>
      </c>
      <c r="I111" s="4">
        <v>12392</v>
      </c>
      <c r="J111" s="4">
        <v>12510</v>
      </c>
      <c r="K111" s="4">
        <v>11470</v>
      </c>
      <c r="L111" s="4">
        <v>11928</v>
      </c>
      <c r="M111" s="4">
        <v>12030</v>
      </c>
      <c r="N111" s="4">
        <v>13316</v>
      </c>
      <c r="O111" s="18">
        <v>13558</v>
      </c>
      <c r="P111" s="7">
        <v>14742</v>
      </c>
      <c r="Q111" s="7">
        <v>16001</v>
      </c>
      <c r="R111" s="7">
        <v>15748</v>
      </c>
      <c r="S111" s="7">
        <v>15330</v>
      </c>
      <c r="T111" s="7">
        <v>15432</v>
      </c>
      <c r="U111" s="7">
        <v>15831</v>
      </c>
      <c r="V111" s="7">
        <v>16879</v>
      </c>
      <c r="W111" s="7">
        <v>18717</v>
      </c>
      <c r="X111" s="7">
        <v>19463</v>
      </c>
      <c r="Y111" s="7">
        <v>20194</v>
      </c>
      <c r="Z111" s="7">
        <v>20126</v>
      </c>
      <c r="AA111" s="7">
        <v>20613</v>
      </c>
      <c r="AB111" s="7">
        <v>20046</v>
      </c>
      <c r="AC111" s="7">
        <v>15370</v>
      </c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</row>
    <row r="112" spans="2:79" ht="13.8" thickBot="1" x14ac:dyDescent="0.3">
      <c r="C112" s="3"/>
      <c r="D112" s="3"/>
      <c r="E112" s="5">
        <f>SUM(E89:E111)</f>
        <v>257098</v>
      </c>
      <c r="F112" s="5">
        <f t="shared" ref="F112:N112" si="4">SUM(F89:F111)</f>
        <v>207148</v>
      </c>
      <c r="G112" s="5">
        <f t="shared" si="4"/>
        <v>199258</v>
      </c>
      <c r="H112" s="5">
        <f t="shared" si="4"/>
        <v>202460</v>
      </c>
      <c r="I112" s="5">
        <f t="shared" si="4"/>
        <v>203287</v>
      </c>
      <c r="J112" s="5">
        <f t="shared" si="4"/>
        <v>201103</v>
      </c>
      <c r="K112" s="5">
        <f t="shared" si="4"/>
        <v>186403</v>
      </c>
      <c r="L112" s="5">
        <f t="shared" si="4"/>
        <v>199804</v>
      </c>
      <c r="M112" s="5">
        <f t="shared" si="4"/>
        <v>204668</v>
      </c>
      <c r="N112" s="5">
        <f t="shared" si="4"/>
        <v>214688</v>
      </c>
      <c r="O112" s="5">
        <f>SUM(O89:O111)</f>
        <v>224277</v>
      </c>
      <c r="P112" s="5">
        <f>SUM(P89:P111)</f>
        <v>232700</v>
      </c>
      <c r="Q112" s="5">
        <f t="shared" ref="Q112:AC112" si="5">SUM(Q89:Q111)</f>
        <v>248028</v>
      </c>
      <c r="R112" s="5">
        <f t="shared" si="5"/>
        <v>253283</v>
      </c>
      <c r="S112" s="5">
        <f t="shared" si="5"/>
        <v>258516</v>
      </c>
      <c r="T112" s="5">
        <f t="shared" si="5"/>
        <v>250986</v>
      </c>
      <c r="U112" s="5">
        <f t="shared" si="5"/>
        <v>248188</v>
      </c>
      <c r="V112" s="5">
        <f t="shared" si="5"/>
        <v>246899</v>
      </c>
      <c r="W112" s="5">
        <f t="shared" si="5"/>
        <v>255549</v>
      </c>
      <c r="X112" s="5">
        <f t="shared" si="5"/>
        <v>263409</v>
      </c>
      <c r="Y112" s="5">
        <f t="shared" si="5"/>
        <v>265121</v>
      </c>
      <c r="Z112" s="5">
        <f t="shared" si="5"/>
        <v>260290</v>
      </c>
      <c r="AA112" s="5">
        <f t="shared" si="5"/>
        <v>259538</v>
      </c>
      <c r="AB112" s="5">
        <f t="shared" si="5"/>
        <v>256153</v>
      </c>
      <c r="AC112" s="5">
        <f t="shared" si="5"/>
        <v>230434</v>
      </c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</row>
    <row r="113" spans="1:79" ht="13.8" thickTop="1" x14ac:dyDescent="0.25">
      <c r="C113" s="3"/>
      <c r="D113" s="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</row>
    <row r="114" spans="1:79" x14ac:dyDescent="0.25">
      <c r="C114" s="3"/>
      <c r="D114" s="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f>SUM(O113:U113)/105</f>
        <v>0</v>
      </c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</row>
    <row r="115" spans="1:79" x14ac:dyDescent="0.25">
      <c r="A115" s="1" t="s">
        <v>0</v>
      </c>
      <c r="C115" s="3"/>
      <c r="D115" s="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</row>
    <row r="116" spans="1:79" x14ac:dyDescent="0.25">
      <c r="A116" s="2" t="s">
        <v>6</v>
      </c>
      <c r="C116" s="3"/>
      <c r="D116" s="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</row>
    <row r="117" spans="1:79" ht="13.8" thickBot="1" x14ac:dyDescent="0.3">
      <c r="A117" s="2" t="s">
        <v>6</v>
      </c>
      <c r="C117" s="3"/>
      <c r="D117" s="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</row>
    <row r="118" spans="1:79" ht="21.6" thickBot="1" x14ac:dyDescent="0.3">
      <c r="A118" s="2" t="s">
        <v>6</v>
      </c>
      <c r="B118" s="14" t="s">
        <v>1</v>
      </c>
      <c r="C118" s="14" t="s">
        <v>2</v>
      </c>
      <c r="D118" s="14" t="s">
        <v>3</v>
      </c>
      <c r="E118" s="14" t="s">
        <v>4</v>
      </c>
      <c r="F118" s="14" t="s">
        <v>187</v>
      </c>
      <c r="G118" s="14" t="s">
        <v>188</v>
      </c>
      <c r="H118" s="14" t="s">
        <v>189</v>
      </c>
      <c r="I118" s="14" t="s">
        <v>190</v>
      </c>
      <c r="J118" s="14" t="s">
        <v>191</v>
      </c>
      <c r="K118" s="14" t="s">
        <v>192</v>
      </c>
      <c r="L118" s="14" t="s">
        <v>193</v>
      </c>
      <c r="M118" s="14" t="s">
        <v>194</v>
      </c>
      <c r="N118" s="14" t="s">
        <v>195</v>
      </c>
      <c r="O118" s="14" t="s">
        <v>196</v>
      </c>
      <c r="P118" s="14" t="s">
        <v>197</v>
      </c>
      <c r="Q118" s="14" t="s">
        <v>198</v>
      </c>
      <c r="R118" s="14" t="s">
        <v>199</v>
      </c>
      <c r="S118" s="14" t="s">
        <v>200</v>
      </c>
      <c r="T118" s="14" t="s">
        <v>201</v>
      </c>
      <c r="U118" s="14" t="s">
        <v>202</v>
      </c>
      <c r="V118" s="14" t="s">
        <v>203</v>
      </c>
      <c r="W118" s="14" t="s">
        <v>204</v>
      </c>
      <c r="X118" s="14" t="s">
        <v>205</v>
      </c>
      <c r="Y118" s="14" t="s">
        <v>206</v>
      </c>
      <c r="Z118" s="19" t="s">
        <v>207</v>
      </c>
      <c r="AA118" s="19" t="s">
        <v>208</v>
      </c>
      <c r="AB118" s="14" t="s">
        <v>209</v>
      </c>
      <c r="AC118" s="14" t="s">
        <v>210</v>
      </c>
      <c r="AD118" s="7"/>
      <c r="AE118" s="7" t="s">
        <v>240</v>
      </c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</row>
    <row r="119" spans="1:79" x14ac:dyDescent="0.25">
      <c r="A119" s="2" t="s">
        <v>6</v>
      </c>
      <c r="B119" s="2" t="s">
        <v>16</v>
      </c>
      <c r="C119" s="3" t="s">
        <v>17</v>
      </c>
      <c r="D119" s="3" t="s">
        <v>18</v>
      </c>
      <c r="E119" s="4">
        <v>5500</v>
      </c>
      <c r="F119" s="4">
        <v>1871</v>
      </c>
      <c r="G119" s="4">
        <v>1840</v>
      </c>
      <c r="H119" s="4">
        <v>1853</v>
      </c>
      <c r="I119" s="4">
        <v>1854</v>
      </c>
      <c r="J119" s="4">
        <v>1843</v>
      </c>
      <c r="K119" s="4">
        <v>1844</v>
      </c>
      <c r="L119" s="4">
        <v>1844</v>
      </c>
      <c r="M119" s="4">
        <v>1880</v>
      </c>
      <c r="N119" s="4">
        <v>1880</v>
      </c>
      <c r="O119" s="18">
        <v>1880</v>
      </c>
      <c r="P119" s="7">
        <v>1880</v>
      </c>
      <c r="Q119" s="7">
        <v>1880</v>
      </c>
      <c r="R119" s="7">
        <v>1933</v>
      </c>
      <c r="S119" s="7">
        <v>1933</v>
      </c>
      <c r="T119" s="7">
        <v>1720</v>
      </c>
      <c r="U119" s="7">
        <v>1518</v>
      </c>
      <c r="V119" s="7">
        <v>1495</v>
      </c>
      <c r="W119" s="7">
        <v>1515</v>
      </c>
      <c r="X119" s="7">
        <v>1492</v>
      </c>
      <c r="Y119" s="7">
        <f>763.489+800</f>
        <v>1563.489</v>
      </c>
      <c r="Z119" s="7">
        <f>756.776+800</f>
        <v>1556.7759999999998</v>
      </c>
      <c r="AA119" s="7">
        <v>844</v>
      </c>
      <c r="AB119" s="7">
        <v>628</v>
      </c>
      <c r="AC119" s="7">
        <v>1194</v>
      </c>
      <c r="AD119" s="7"/>
      <c r="AE119" s="7">
        <f>Y119-I119</f>
        <v>-290.51099999999997</v>
      </c>
      <c r="AF119" s="7">
        <f>Y119-H145</f>
        <v>643.48900000000003</v>
      </c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</row>
    <row r="120" spans="1:79" x14ac:dyDescent="0.25">
      <c r="A120" s="2" t="s">
        <v>6</v>
      </c>
      <c r="B120" s="2" t="s">
        <v>16</v>
      </c>
      <c r="C120" s="3" t="s">
        <v>19</v>
      </c>
      <c r="D120" s="3" t="s">
        <v>18</v>
      </c>
      <c r="E120" s="4">
        <v>8000</v>
      </c>
      <c r="F120" s="4">
        <v>4284</v>
      </c>
      <c r="G120" s="4">
        <v>4126</v>
      </c>
      <c r="H120" s="4">
        <v>4221</v>
      </c>
      <c r="I120" s="4">
        <v>4085</v>
      </c>
      <c r="J120" s="4">
        <v>3958</v>
      </c>
      <c r="K120" s="4">
        <v>3936</v>
      </c>
      <c r="L120" s="4">
        <v>3936</v>
      </c>
      <c r="M120" s="4">
        <v>4095</v>
      </c>
      <c r="N120" s="4">
        <v>4108</v>
      </c>
      <c r="O120" s="18">
        <v>4095</v>
      </c>
      <c r="P120" s="7">
        <v>4108</v>
      </c>
      <c r="Q120" s="7">
        <v>3279</v>
      </c>
      <c r="R120" s="7">
        <v>3520</v>
      </c>
      <c r="S120" s="7">
        <v>3338</v>
      </c>
      <c r="T120" s="7">
        <v>3266</v>
      </c>
      <c r="U120" s="7">
        <v>3080</v>
      </c>
      <c r="V120" s="7">
        <v>3006</v>
      </c>
      <c r="W120" s="7">
        <v>3149</v>
      </c>
      <c r="X120" s="7">
        <v>3044</v>
      </c>
      <c r="Y120" s="7">
        <f>2602.645+800</f>
        <v>3402.645</v>
      </c>
      <c r="Z120" s="7">
        <f>2801.605+800</f>
        <v>3601.605</v>
      </c>
      <c r="AA120" s="7">
        <v>3169</v>
      </c>
      <c r="AB120" s="7">
        <v>2601</v>
      </c>
      <c r="AC120" s="7">
        <v>3019</v>
      </c>
      <c r="AD120" s="7"/>
      <c r="AE120" s="7">
        <f t="shared" ref="AE120:AE141" si="6">Y120-I120</f>
        <v>-682.35500000000002</v>
      </c>
      <c r="AF120" s="7">
        <f t="shared" ref="AF120:AF141" si="7">Y120-H146</f>
        <v>817.64499999999998</v>
      </c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</row>
    <row r="121" spans="1:79" ht="12" customHeight="1" x14ac:dyDescent="0.25">
      <c r="A121" s="2" t="s">
        <v>6</v>
      </c>
      <c r="B121" s="2" t="s">
        <v>20</v>
      </c>
      <c r="C121" s="3" t="s">
        <v>21</v>
      </c>
      <c r="D121" s="3" t="s">
        <v>22</v>
      </c>
      <c r="E121" s="4">
        <v>100</v>
      </c>
      <c r="F121" s="4">
        <v>29</v>
      </c>
      <c r="G121" s="4">
        <v>29</v>
      </c>
      <c r="H121" s="4">
        <v>29</v>
      </c>
      <c r="I121" s="4">
        <v>29</v>
      </c>
      <c r="J121" s="4">
        <v>29</v>
      </c>
      <c r="K121" s="4">
        <v>29</v>
      </c>
      <c r="L121" s="4">
        <v>29</v>
      </c>
      <c r="M121" s="4">
        <v>29</v>
      </c>
      <c r="N121" s="4">
        <v>29</v>
      </c>
      <c r="O121" s="18">
        <v>29</v>
      </c>
      <c r="P121" s="7">
        <v>29</v>
      </c>
      <c r="Q121" s="7">
        <v>29</v>
      </c>
      <c r="R121" s="7">
        <v>29</v>
      </c>
      <c r="S121" s="7">
        <v>29</v>
      </c>
      <c r="T121" s="7">
        <v>29</v>
      </c>
      <c r="U121" s="7">
        <v>29</v>
      </c>
      <c r="V121" s="7">
        <v>29</v>
      </c>
      <c r="W121" s="7">
        <v>29</v>
      </c>
      <c r="X121" s="7">
        <v>29</v>
      </c>
      <c r="Y121" s="7">
        <v>29</v>
      </c>
      <c r="Z121" s="7">
        <v>29</v>
      </c>
      <c r="AA121" s="7">
        <v>29</v>
      </c>
      <c r="AB121" s="7">
        <v>29</v>
      </c>
      <c r="AC121" s="7">
        <v>29</v>
      </c>
      <c r="AD121" s="7"/>
      <c r="AE121" s="7">
        <f t="shared" si="6"/>
        <v>0</v>
      </c>
      <c r="AF121" s="7">
        <f t="shared" si="7"/>
        <v>0</v>
      </c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</row>
    <row r="122" spans="1:79" x14ac:dyDescent="0.25">
      <c r="A122" s="2" t="s">
        <v>6</v>
      </c>
      <c r="B122" s="2" t="s">
        <v>26</v>
      </c>
      <c r="C122" s="3" t="s">
        <v>27</v>
      </c>
      <c r="D122" s="3" t="s">
        <v>28</v>
      </c>
      <c r="E122" s="4">
        <v>1000</v>
      </c>
      <c r="F122" s="4">
        <v>617</v>
      </c>
      <c r="G122" s="4">
        <v>592</v>
      </c>
      <c r="H122" s="4">
        <v>592</v>
      </c>
      <c r="I122" s="4">
        <v>592</v>
      </c>
      <c r="J122" s="4">
        <v>592</v>
      </c>
      <c r="K122" s="4">
        <v>0</v>
      </c>
      <c r="L122" s="4">
        <v>0</v>
      </c>
      <c r="M122" s="4">
        <v>0</v>
      </c>
      <c r="N122" s="4">
        <v>0</v>
      </c>
      <c r="O122" s="18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/>
      <c r="AE122" s="7">
        <f t="shared" si="6"/>
        <v>-592</v>
      </c>
      <c r="AF122" s="7">
        <f t="shared" si="7"/>
        <v>0</v>
      </c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</row>
    <row r="123" spans="1:79" x14ac:dyDescent="0.25">
      <c r="A123" s="2" t="s">
        <v>6</v>
      </c>
      <c r="B123" s="2" t="s">
        <v>29</v>
      </c>
      <c r="C123" s="3" t="s">
        <v>30</v>
      </c>
      <c r="D123" s="3" t="s">
        <v>28</v>
      </c>
      <c r="E123" s="4">
        <v>45000</v>
      </c>
      <c r="F123" s="4">
        <v>41355</v>
      </c>
      <c r="G123" s="4">
        <v>36106</v>
      </c>
      <c r="H123" s="4">
        <v>30383</v>
      </c>
      <c r="I123" s="4">
        <v>30000</v>
      </c>
      <c r="J123" s="4">
        <v>33834</v>
      </c>
      <c r="K123" s="4">
        <v>38164</v>
      </c>
      <c r="L123" s="4">
        <v>40469</v>
      </c>
      <c r="M123" s="4">
        <v>42856</v>
      </c>
      <c r="N123" s="4">
        <v>43874</v>
      </c>
      <c r="O123" s="18">
        <v>45706</v>
      </c>
      <c r="P123" s="7">
        <v>46582</v>
      </c>
      <c r="Q123" s="7">
        <v>47336</v>
      </c>
      <c r="R123" s="7">
        <v>46827</v>
      </c>
      <c r="S123" s="7">
        <v>45835</v>
      </c>
      <c r="T123" s="7">
        <v>45441</v>
      </c>
      <c r="U123" s="7">
        <v>44575</v>
      </c>
      <c r="V123" s="7">
        <v>44110</v>
      </c>
      <c r="W123" s="7">
        <v>44664</v>
      </c>
      <c r="X123" s="7">
        <v>43356</v>
      </c>
      <c r="Y123" s="7">
        <v>43778.908000000003</v>
      </c>
      <c r="Z123" s="7">
        <v>42132.737999999998</v>
      </c>
      <c r="AA123" s="7">
        <v>38553</v>
      </c>
      <c r="AB123" s="7">
        <v>32507</v>
      </c>
      <c r="AC123" s="7">
        <v>23492</v>
      </c>
      <c r="AD123" s="7"/>
      <c r="AE123" s="7">
        <f t="shared" si="6"/>
        <v>13778.908000000003</v>
      </c>
      <c r="AF123" s="7">
        <f t="shared" si="7"/>
        <v>37467.908000000003</v>
      </c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</row>
    <row r="124" spans="1:79" x14ac:dyDescent="0.25">
      <c r="A124" s="2" t="s">
        <v>6</v>
      </c>
      <c r="B124" s="2" t="s">
        <v>23</v>
      </c>
      <c r="C124" s="3" t="s">
        <v>24</v>
      </c>
      <c r="D124" s="3" t="s">
        <v>25</v>
      </c>
      <c r="E124" s="4">
        <v>766</v>
      </c>
      <c r="F124" s="4">
        <v>13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18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/>
      <c r="AE124" s="7">
        <f t="shared" si="6"/>
        <v>0</v>
      </c>
      <c r="AF124" s="7">
        <f t="shared" si="7"/>
        <v>0</v>
      </c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</row>
    <row r="125" spans="1:79" x14ac:dyDescent="0.25">
      <c r="A125" s="2" t="s">
        <v>6</v>
      </c>
      <c r="B125" s="2" t="s">
        <v>31</v>
      </c>
      <c r="C125" s="3" t="s">
        <v>32</v>
      </c>
      <c r="D125" s="3" t="s">
        <v>33</v>
      </c>
      <c r="E125" s="4">
        <v>80</v>
      </c>
      <c r="F125" s="4">
        <v>80</v>
      </c>
      <c r="G125" s="4">
        <v>80</v>
      </c>
      <c r="H125" s="4">
        <v>80</v>
      </c>
      <c r="I125" s="4">
        <v>80</v>
      </c>
      <c r="J125" s="4">
        <v>80</v>
      </c>
      <c r="K125" s="4">
        <v>80</v>
      </c>
      <c r="L125" s="4">
        <v>80</v>
      </c>
      <c r="M125" s="4">
        <v>80</v>
      </c>
      <c r="N125" s="4">
        <v>80</v>
      </c>
      <c r="O125" s="18">
        <v>80</v>
      </c>
      <c r="P125" s="7">
        <v>80</v>
      </c>
      <c r="Q125" s="7">
        <v>80</v>
      </c>
      <c r="R125" s="7">
        <v>80</v>
      </c>
      <c r="S125" s="7">
        <v>80</v>
      </c>
      <c r="T125" s="7">
        <v>80</v>
      </c>
      <c r="U125" s="7">
        <v>80</v>
      </c>
      <c r="V125" s="7">
        <v>80</v>
      </c>
      <c r="W125" s="7">
        <v>80</v>
      </c>
      <c r="X125" s="7">
        <v>80</v>
      </c>
      <c r="Y125" s="7">
        <v>80</v>
      </c>
      <c r="Z125" s="7">
        <v>80</v>
      </c>
      <c r="AA125" s="7">
        <v>80</v>
      </c>
      <c r="AB125" s="7">
        <v>80</v>
      </c>
      <c r="AC125" s="7">
        <v>80</v>
      </c>
      <c r="AD125" s="7"/>
      <c r="AE125" s="7">
        <f t="shared" si="6"/>
        <v>0</v>
      </c>
      <c r="AF125" s="7">
        <f t="shared" si="7"/>
        <v>0</v>
      </c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</row>
    <row r="126" spans="1:79" x14ac:dyDescent="0.25">
      <c r="A126" s="2" t="s">
        <v>6</v>
      </c>
      <c r="B126" s="2" t="s">
        <v>31</v>
      </c>
      <c r="C126" s="3" t="s">
        <v>34</v>
      </c>
      <c r="D126" s="3" t="s">
        <v>35</v>
      </c>
      <c r="E126" s="4">
        <v>8615</v>
      </c>
      <c r="F126" s="4">
        <v>5792</v>
      </c>
      <c r="G126" s="4">
        <v>5452</v>
      </c>
      <c r="H126" s="4">
        <v>5439</v>
      </c>
      <c r="I126" s="4">
        <v>5503</v>
      </c>
      <c r="J126" s="4">
        <v>5602</v>
      </c>
      <c r="K126" s="4">
        <v>5713</v>
      </c>
      <c r="L126" s="4">
        <v>5782</v>
      </c>
      <c r="M126" s="4">
        <v>5958</v>
      </c>
      <c r="N126" s="4">
        <v>6138</v>
      </c>
      <c r="O126" s="18">
        <v>5928</v>
      </c>
      <c r="P126" s="7">
        <v>5928</v>
      </c>
      <c r="Q126" s="7">
        <v>5823</v>
      </c>
      <c r="R126" s="7">
        <v>5795</v>
      </c>
      <c r="S126" s="7">
        <v>5909</v>
      </c>
      <c r="T126" s="7">
        <v>5881</v>
      </c>
      <c r="U126" s="7">
        <v>5880</v>
      </c>
      <c r="V126" s="7">
        <v>5965</v>
      </c>
      <c r="W126" s="7">
        <v>5956</v>
      </c>
      <c r="X126" s="7">
        <v>5857</v>
      </c>
      <c r="Y126" s="7">
        <v>5698</v>
      </c>
      <c r="Z126" s="7">
        <v>5808</v>
      </c>
      <c r="AA126" s="7">
        <v>4903</v>
      </c>
      <c r="AB126" s="7">
        <v>4801</v>
      </c>
      <c r="AC126" s="7">
        <v>5194</v>
      </c>
      <c r="AD126" s="7"/>
      <c r="AE126" s="7">
        <f t="shared" si="6"/>
        <v>195</v>
      </c>
      <c r="AF126" s="7">
        <f t="shared" si="7"/>
        <v>904</v>
      </c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</row>
    <row r="127" spans="1:79" x14ac:dyDescent="0.25">
      <c r="A127" s="2" t="s">
        <v>6</v>
      </c>
      <c r="B127" s="2" t="s">
        <v>31</v>
      </c>
      <c r="C127" s="3" t="s">
        <v>56</v>
      </c>
      <c r="D127" s="3" t="s">
        <v>33</v>
      </c>
      <c r="E127" s="4">
        <v>3425</v>
      </c>
      <c r="F127" s="4">
        <v>3295</v>
      </c>
      <c r="G127" s="4">
        <v>2714</v>
      </c>
      <c r="H127" s="4">
        <v>2689</v>
      </c>
      <c r="I127" s="4">
        <v>2568</v>
      </c>
      <c r="J127" s="4">
        <v>2499</v>
      </c>
      <c r="K127" s="4">
        <v>2692</v>
      </c>
      <c r="L127" s="4">
        <v>2780</v>
      </c>
      <c r="M127" s="4">
        <v>2743</v>
      </c>
      <c r="N127" s="4">
        <v>2743</v>
      </c>
      <c r="O127" s="18">
        <v>2932</v>
      </c>
      <c r="P127" s="7">
        <v>3146</v>
      </c>
      <c r="Q127" s="7">
        <v>3193</v>
      </c>
      <c r="R127" s="7">
        <v>3243</v>
      </c>
      <c r="S127" s="7">
        <v>3244</v>
      </c>
      <c r="T127" s="7">
        <v>3294</v>
      </c>
      <c r="U127" s="7">
        <v>3244</v>
      </c>
      <c r="V127" s="7">
        <v>3244</v>
      </c>
      <c r="W127" s="7">
        <v>3244</v>
      </c>
      <c r="X127" s="7">
        <v>3244</v>
      </c>
      <c r="Y127" s="7">
        <v>3255</v>
      </c>
      <c r="Z127" s="7">
        <v>3220</v>
      </c>
      <c r="AA127" s="7">
        <v>3296</v>
      </c>
      <c r="AB127" s="7">
        <v>3092</v>
      </c>
      <c r="AC127" s="7">
        <v>2379</v>
      </c>
      <c r="AD127" s="7"/>
      <c r="AE127" s="7">
        <f t="shared" si="6"/>
        <v>687</v>
      </c>
      <c r="AF127" s="7">
        <f t="shared" si="7"/>
        <v>2570</v>
      </c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</row>
    <row r="128" spans="1:79" x14ac:dyDescent="0.25">
      <c r="B128" s="2" t="s">
        <v>31</v>
      </c>
      <c r="C128" s="3" t="s">
        <v>36</v>
      </c>
      <c r="D128" s="3" t="s">
        <v>37</v>
      </c>
      <c r="E128" s="4">
        <v>2825</v>
      </c>
      <c r="F128" s="4">
        <v>4093</v>
      </c>
      <c r="G128" s="4">
        <v>3802</v>
      </c>
      <c r="H128" s="4">
        <v>3799</v>
      </c>
      <c r="I128" s="4">
        <v>3815</v>
      </c>
      <c r="J128" s="4">
        <v>3689</v>
      </c>
      <c r="K128" s="4">
        <v>3897</v>
      </c>
      <c r="L128" s="4">
        <v>3932</v>
      </c>
      <c r="M128" s="4">
        <v>4041</v>
      </c>
      <c r="N128" s="4">
        <v>4021</v>
      </c>
      <c r="O128" s="18">
        <v>3916</v>
      </c>
      <c r="P128" s="7">
        <v>3966</v>
      </c>
      <c r="Q128" s="7">
        <v>3945</v>
      </c>
      <c r="R128" s="7">
        <v>3949</v>
      </c>
      <c r="S128" s="7">
        <v>3931</v>
      </c>
      <c r="T128" s="7">
        <v>3936</v>
      </c>
      <c r="U128" s="7">
        <v>3857</v>
      </c>
      <c r="V128" s="7">
        <v>3877</v>
      </c>
      <c r="W128" s="7">
        <v>4024</v>
      </c>
      <c r="X128" s="7">
        <v>4080</v>
      </c>
      <c r="Y128" s="7">
        <v>4209</v>
      </c>
      <c r="Z128" s="7">
        <v>4069</v>
      </c>
      <c r="AA128" s="7">
        <v>2673</v>
      </c>
      <c r="AB128" s="7">
        <v>2427</v>
      </c>
      <c r="AC128" s="7">
        <v>3487</v>
      </c>
      <c r="AD128" s="7"/>
      <c r="AE128" s="7">
        <f t="shared" si="6"/>
        <v>394</v>
      </c>
      <c r="AF128" s="7">
        <f t="shared" si="7"/>
        <v>1143</v>
      </c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</row>
    <row r="129" spans="1:79" x14ac:dyDescent="0.25">
      <c r="B129" s="2" t="s">
        <v>31</v>
      </c>
      <c r="C129" s="3" t="s">
        <v>57</v>
      </c>
      <c r="D129" s="3" t="s">
        <v>33</v>
      </c>
      <c r="E129" s="4">
        <v>5290</v>
      </c>
      <c r="F129" s="4">
        <v>2687</v>
      </c>
      <c r="G129" s="4">
        <v>2234</v>
      </c>
      <c r="H129" s="4">
        <v>2210</v>
      </c>
      <c r="I129" s="4">
        <v>2365</v>
      </c>
      <c r="J129" s="4">
        <v>2415</v>
      </c>
      <c r="K129" s="4">
        <v>2656</v>
      </c>
      <c r="L129" s="4">
        <v>2850</v>
      </c>
      <c r="M129" s="4">
        <v>3267</v>
      </c>
      <c r="N129" s="4">
        <v>3456</v>
      </c>
      <c r="O129" s="18">
        <v>3181</v>
      </c>
      <c r="P129" s="7">
        <v>3166</v>
      </c>
      <c r="Q129" s="7">
        <v>2973</v>
      </c>
      <c r="R129" s="7">
        <v>2959</v>
      </c>
      <c r="S129" s="7">
        <v>3050</v>
      </c>
      <c r="T129" s="7">
        <v>3036</v>
      </c>
      <c r="U129" s="7">
        <v>3012</v>
      </c>
      <c r="V129" s="7">
        <v>3194</v>
      </c>
      <c r="W129" s="7">
        <v>4259</v>
      </c>
      <c r="X129" s="7">
        <v>4507</v>
      </c>
      <c r="Y129" s="7">
        <v>5055</v>
      </c>
      <c r="Z129" s="7">
        <v>4826</v>
      </c>
      <c r="AA129" s="7">
        <v>4672</v>
      </c>
      <c r="AB129" s="7">
        <v>4070</v>
      </c>
      <c r="AC129" s="7">
        <v>3013</v>
      </c>
      <c r="AD129" s="7"/>
      <c r="AE129" s="7">
        <f t="shared" si="6"/>
        <v>2690</v>
      </c>
      <c r="AF129" s="7">
        <f t="shared" si="7"/>
        <v>2830</v>
      </c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1:79" ht="14.25" customHeight="1" x14ac:dyDescent="0.25">
      <c r="B130" s="2" t="s">
        <v>31</v>
      </c>
      <c r="C130" s="3" t="s">
        <v>38</v>
      </c>
      <c r="D130" s="3" t="s">
        <v>39</v>
      </c>
      <c r="E130" s="4">
        <v>1310</v>
      </c>
      <c r="F130" s="4">
        <v>528</v>
      </c>
      <c r="G130" s="4">
        <v>514</v>
      </c>
      <c r="H130" s="4">
        <v>514</v>
      </c>
      <c r="I130" s="4">
        <v>513</v>
      </c>
      <c r="J130" s="4">
        <v>512</v>
      </c>
      <c r="K130" s="4">
        <v>512</v>
      </c>
      <c r="L130" s="4">
        <v>512</v>
      </c>
      <c r="M130" s="4">
        <v>511</v>
      </c>
      <c r="N130" s="4">
        <v>511</v>
      </c>
      <c r="O130" s="18">
        <v>510</v>
      </c>
      <c r="P130" s="7">
        <v>510</v>
      </c>
      <c r="Q130" s="7">
        <v>505</v>
      </c>
      <c r="R130" s="7">
        <v>505</v>
      </c>
      <c r="S130" s="7">
        <v>503</v>
      </c>
      <c r="T130" s="7">
        <v>504</v>
      </c>
      <c r="U130" s="7">
        <v>505</v>
      </c>
      <c r="V130" s="7">
        <v>505</v>
      </c>
      <c r="W130" s="7">
        <v>507</v>
      </c>
      <c r="X130" s="7">
        <v>507</v>
      </c>
      <c r="Y130" s="7">
        <v>506</v>
      </c>
      <c r="Z130" s="7">
        <v>506</v>
      </c>
      <c r="AA130" s="7">
        <v>355</v>
      </c>
      <c r="AB130" s="7">
        <v>351</v>
      </c>
      <c r="AC130" s="7">
        <v>487</v>
      </c>
      <c r="AD130" s="7"/>
      <c r="AE130" s="7">
        <f t="shared" si="6"/>
        <v>-7</v>
      </c>
      <c r="AF130" s="7">
        <f t="shared" si="7"/>
        <v>32</v>
      </c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1:79" x14ac:dyDescent="0.25">
      <c r="A131" s="1" t="s">
        <v>0</v>
      </c>
      <c r="B131" s="2" t="s">
        <v>31</v>
      </c>
      <c r="C131" s="3" t="s">
        <v>40</v>
      </c>
      <c r="D131" s="3" t="s">
        <v>41</v>
      </c>
      <c r="E131" s="4">
        <v>18453</v>
      </c>
      <c r="F131" s="4">
        <v>12319</v>
      </c>
      <c r="G131" s="4">
        <v>10164</v>
      </c>
      <c r="H131" s="4">
        <v>9722</v>
      </c>
      <c r="I131" s="4">
        <v>9007</v>
      </c>
      <c r="J131" s="4">
        <v>9362</v>
      </c>
      <c r="K131" s="4">
        <v>10086</v>
      </c>
      <c r="L131" s="4">
        <v>10077</v>
      </c>
      <c r="M131" s="4">
        <v>10085</v>
      </c>
      <c r="N131" s="4">
        <v>10208</v>
      </c>
      <c r="O131" s="18">
        <v>11248</v>
      </c>
      <c r="P131" s="7">
        <v>11951</v>
      </c>
      <c r="Q131" s="7">
        <v>12271</v>
      </c>
      <c r="R131" s="7">
        <v>12767</v>
      </c>
      <c r="S131" s="7">
        <v>12747</v>
      </c>
      <c r="T131" s="7">
        <v>13242</v>
      </c>
      <c r="U131" s="7">
        <v>12869</v>
      </c>
      <c r="V131" s="7">
        <v>13201</v>
      </c>
      <c r="W131" s="7">
        <v>14068</v>
      </c>
      <c r="X131" s="7">
        <v>14522</v>
      </c>
      <c r="Y131" s="7">
        <v>15391</v>
      </c>
      <c r="Z131" s="7">
        <v>15594</v>
      </c>
      <c r="AA131" s="7">
        <v>15850</v>
      </c>
      <c r="AB131" s="7">
        <v>15263</v>
      </c>
      <c r="AC131" s="7">
        <v>11559</v>
      </c>
      <c r="AD131" s="7"/>
      <c r="AE131" s="7">
        <f t="shared" si="6"/>
        <v>6384</v>
      </c>
      <c r="AF131" s="7">
        <f t="shared" si="7"/>
        <v>5523</v>
      </c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1:79" x14ac:dyDescent="0.25">
      <c r="B132" s="2" t="s">
        <v>31</v>
      </c>
      <c r="C132" s="3" t="s">
        <v>42</v>
      </c>
      <c r="D132" s="3" t="s">
        <v>41</v>
      </c>
      <c r="E132" s="4">
        <v>6900</v>
      </c>
      <c r="F132" s="4">
        <v>2100</v>
      </c>
      <c r="G132" s="4">
        <v>2100</v>
      </c>
      <c r="H132" s="4">
        <v>2100</v>
      </c>
      <c r="I132" s="4">
        <v>2100</v>
      </c>
      <c r="J132" s="4">
        <v>2100</v>
      </c>
      <c r="K132" s="4">
        <v>2100</v>
      </c>
      <c r="L132" s="4">
        <v>2084</v>
      </c>
      <c r="M132" s="4">
        <v>2042</v>
      </c>
      <c r="N132" s="4">
        <v>2089</v>
      </c>
      <c r="O132" s="18">
        <v>2012</v>
      </c>
      <c r="P132" s="7">
        <v>2003</v>
      </c>
      <c r="Q132" s="7">
        <v>1988</v>
      </c>
      <c r="R132" s="7">
        <v>1980</v>
      </c>
      <c r="S132" s="7">
        <v>1939</v>
      </c>
      <c r="T132" s="7">
        <v>1930</v>
      </c>
      <c r="U132" s="7">
        <v>1895</v>
      </c>
      <c r="V132" s="7">
        <v>1884</v>
      </c>
      <c r="W132" s="7">
        <v>1861</v>
      </c>
      <c r="X132" s="7">
        <v>1853</v>
      </c>
      <c r="Y132" s="7">
        <v>1846</v>
      </c>
      <c r="Z132" s="7">
        <v>1839</v>
      </c>
      <c r="AA132" s="7">
        <v>1831</v>
      </c>
      <c r="AB132" s="7">
        <v>1825</v>
      </c>
      <c r="AC132" s="7">
        <v>1819</v>
      </c>
      <c r="AD132" s="7"/>
      <c r="AE132" s="7">
        <f t="shared" si="6"/>
        <v>-254</v>
      </c>
      <c r="AF132" s="7">
        <f t="shared" si="7"/>
        <v>52</v>
      </c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1:79" x14ac:dyDescent="0.25">
      <c r="B133" s="2" t="s">
        <v>43</v>
      </c>
      <c r="C133" s="3" t="s">
        <v>44</v>
      </c>
      <c r="D133" s="3" t="s">
        <v>45</v>
      </c>
      <c r="E133" s="4">
        <v>3000</v>
      </c>
      <c r="F133" s="4">
        <v>3705</v>
      </c>
      <c r="G133" s="4">
        <v>3182</v>
      </c>
      <c r="H133" s="4">
        <v>2961</v>
      </c>
      <c r="I133" s="4">
        <v>2965</v>
      </c>
      <c r="J133" s="4">
        <v>2317</v>
      </c>
      <c r="K133" s="4">
        <v>1911</v>
      </c>
      <c r="L133" s="4">
        <v>1781</v>
      </c>
      <c r="M133" s="4">
        <v>1699</v>
      </c>
      <c r="N133" s="4">
        <v>1737</v>
      </c>
      <c r="O133" s="18">
        <v>1418</v>
      </c>
      <c r="P133" s="7">
        <v>1687</v>
      </c>
      <c r="Q133" s="7">
        <v>1565</v>
      </c>
      <c r="R133" s="7">
        <v>1864</v>
      </c>
      <c r="S133" s="7">
        <v>2007</v>
      </c>
      <c r="T133" s="7">
        <v>2133</v>
      </c>
      <c r="U133" s="7">
        <v>2202</v>
      </c>
      <c r="V133" s="7">
        <v>2104</v>
      </c>
      <c r="W133" s="7">
        <v>2401</v>
      </c>
      <c r="X133" s="7">
        <v>2825</v>
      </c>
      <c r="Y133" s="7">
        <v>3476</v>
      </c>
      <c r="Z133" s="7">
        <v>3465</v>
      </c>
      <c r="AA133" s="7">
        <v>3349</v>
      </c>
      <c r="AB133" s="7">
        <v>3097</v>
      </c>
      <c r="AC133" s="7">
        <v>2451</v>
      </c>
      <c r="AD133" s="7"/>
      <c r="AE133" s="7">
        <f t="shared" si="6"/>
        <v>511</v>
      </c>
      <c r="AF133" s="7">
        <f t="shared" si="7"/>
        <v>1554</v>
      </c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1:79" x14ac:dyDescent="0.25">
      <c r="B134" s="2" t="s">
        <v>46</v>
      </c>
      <c r="C134" s="3" t="s">
        <v>47</v>
      </c>
      <c r="D134" s="3" t="s">
        <v>48</v>
      </c>
      <c r="E134" s="4">
        <v>69000</v>
      </c>
      <c r="F134" s="4">
        <v>57718</v>
      </c>
      <c r="G134" s="4">
        <v>34781</v>
      </c>
      <c r="H134" s="4">
        <v>24698</v>
      </c>
      <c r="I134" s="4">
        <v>16209</v>
      </c>
      <c r="J134" s="4">
        <v>14673</v>
      </c>
      <c r="K134" s="4">
        <v>12234</v>
      </c>
      <c r="L134" s="4">
        <v>11078</v>
      </c>
      <c r="M134" s="4">
        <v>11498</v>
      </c>
      <c r="N134" s="4">
        <v>13274</v>
      </c>
      <c r="O134" s="18">
        <v>17464</v>
      </c>
      <c r="P134" s="7">
        <v>18818</v>
      </c>
      <c r="Q134" s="7">
        <v>23158</v>
      </c>
      <c r="R134" s="7">
        <v>27385</v>
      </c>
      <c r="S134" s="7">
        <v>23158</v>
      </c>
      <c r="T134" s="7">
        <v>27385</v>
      </c>
      <c r="U134" s="7">
        <v>29242</v>
      </c>
      <c r="V134" s="7">
        <v>30365</v>
      </c>
      <c r="W134" s="7">
        <v>35590</v>
      </c>
      <c r="X134" s="7">
        <v>35590</v>
      </c>
      <c r="Y134" s="7">
        <v>42274</v>
      </c>
      <c r="Z134" s="7">
        <v>42266</v>
      </c>
      <c r="AA134" s="7">
        <v>27834</v>
      </c>
      <c r="AB134" s="7">
        <v>26485</v>
      </c>
      <c r="AC134" s="7">
        <v>27666</v>
      </c>
      <c r="AD134" s="7"/>
      <c r="AE134" s="7">
        <f t="shared" si="6"/>
        <v>26065</v>
      </c>
      <c r="AF134" s="7">
        <f t="shared" si="7"/>
        <v>31293</v>
      </c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1:79" x14ac:dyDescent="0.25">
      <c r="B135" s="2" t="s">
        <v>49</v>
      </c>
      <c r="C135" s="3" t="s">
        <v>50</v>
      </c>
      <c r="D135" s="3" t="s">
        <v>51</v>
      </c>
      <c r="E135" s="4">
        <v>500</v>
      </c>
      <c r="F135" s="4">
        <v>440</v>
      </c>
      <c r="G135" s="4">
        <v>325</v>
      </c>
      <c r="H135" s="4">
        <v>295</v>
      </c>
      <c r="I135" s="4">
        <v>271</v>
      </c>
      <c r="J135" s="4">
        <v>266</v>
      </c>
      <c r="K135" s="4">
        <v>304</v>
      </c>
      <c r="L135" s="4">
        <v>295</v>
      </c>
      <c r="M135" s="4">
        <v>401</v>
      </c>
      <c r="N135" s="4">
        <v>466</v>
      </c>
      <c r="O135" s="18">
        <v>521</v>
      </c>
      <c r="P135" s="7">
        <v>522</v>
      </c>
      <c r="Q135" s="7">
        <v>533</v>
      </c>
      <c r="R135" s="7">
        <v>480</v>
      </c>
      <c r="S135" s="7">
        <v>450</v>
      </c>
      <c r="T135" s="7">
        <v>308</v>
      </c>
      <c r="U135" s="7">
        <v>257</v>
      </c>
      <c r="V135" s="7">
        <v>214</v>
      </c>
      <c r="W135" s="7">
        <v>242</v>
      </c>
      <c r="X135" s="7">
        <v>345</v>
      </c>
      <c r="Y135" s="7">
        <v>242</v>
      </c>
      <c r="Z135" s="7">
        <v>145</v>
      </c>
      <c r="AA135" s="7">
        <v>455</v>
      </c>
      <c r="AB135" s="7">
        <v>393</v>
      </c>
      <c r="AC135" s="7">
        <v>392</v>
      </c>
      <c r="AD135" s="7"/>
      <c r="AE135" s="7">
        <f t="shared" si="6"/>
        <v>-29</v>
      </c>
      <c r="AF135" s="7">
        <f t="shared" si="7"/>
        <v>-165</v>
      </c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1:79" x14ac:dyDescent="0.25">
      <c r="B136" s="2" t="s">
        <v>58</v>
      </c>
      <c r="C136" s="3" t="s">
        <v>59</v>
      </c>
      <c r="D136" s="3" t="s">
        <v>28</v>
      </c>
      <c r="E136" s="4">
        <v>48000</v>
      </c>
      <c r="F136" s="4">
        <v>60807</v>
      </c>
      <c r="G136" s="4">
        <v>55660</v>
      </c>
      <c r="H136" s="4">
        <v>50318</v>
      </c>
      <c r="I136" s="4">
        <v>48742</v>
      </c>
      <c r="J136" s="4">
        <v>50845</v>
      </c>
      <c r="K136" s="4">
        <v>52220</v>
      </c>
      <c r="L136" s="4">
        <v>53252</v>
      </c>
      <c r="M136" s="4">
        <v>54497</v>
      </c>
      <c r="N136" s="4">
        <v>53252</v>
      </c>
      <c r="O136" s="18">
        <v>54497</v>
      </c>
      <c r="P136" s="7">
        <v>53586</v>
      </c>
      <c r="Q136" s="7">
        <v>42096</v>
      </c>
      <c r="R136" s="7">
        <v>39015</v>
      </c>
      <c r="S136" s="7">
        <v>35218</v>
      </c>
      <c r="T136" s="7">
        <v>35327</v>
      </c>
      <c r="U136" s="7">
        <v>30487</v>
      </c>
      <c r="V136" s="7">
        <v>24558</v>
      </c>
      <c r="W136" s="7">
        <v>20691</v>
      </c>
      <c r="X136" s="7">
        <v>17094</v>
      </c>
      <c r="Y136" s="7">
        <f>17136.544</f>
        <v>17136.544000000002</v>
      </c>
      <c r="Z136" s="7">
        <v>16078.153</v>
      </c>
      <c r="AA136" s="7">
        <v>13867</v>
      </c>
      <c r="AB136" s="7">
        <v>11675</v>
      </c>
      <c r="AC136" s="7">
        <v>9235</v>
      </c>
      <c r="AD136" s="7"/>
      <c r="AE136" s="7">
        <f t="shared" si="6"/>
        <v>-31605.455999999998</v>
      </c>
      <c r="AF136" s="7">
        <f t="shared" si="7"/>
        <v>10867.544000000002</v>
      </c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1:79" x14ac:dyDescent="0.25">
      <c r="B137" s="2" t="s">
        <v>52</v>
      </c>
      <c r="C137" s="3" t="s">
        <v>53</v>
      </c>
      <c r="D137" s="3" t="s">
        <v>54</v>
      </c>
      <c r="E137" s="4">
        <v>5500</v>
      </c>
      <c r="F137" s="4">
        <v>6842</v>
      </c>
      <c r="G137" s="4">
        <v>5735</v>
      </c>
      <c r="H137" s="4">
        <v>5537</v>
      </c>
      <c r="I137" s="4">
        <v>5618</v>
      </c>
      <c r="J137" s="4">
        <v>5763</v>
      </c>
      <c r="K137" s="4">
        <v>5901</v>
      </c>
      <c r="L137" s="4">
        <v>5909</v>
      </c>
      <c r="M137" s="4">
        <v>5827</v>
      </c>
      <c r="N137" s="4">
        <v>5703</v>
      </c>
      <c r="O137" s="18">
        <v>5670</v>
      </c>
      <c r="P137" s="7">
        <v>5931</v>
      </c>
      <c r="Q137" s="7">
        <v>5904</v>
      </c>
      <c r="R137" s="7">
        <v>5712</v>
      </c>
      <c r="S137" s="7">
        <v>5363</v>
      </c>
      <c r="T137" s="7">
        <v>4968</v>
      </c>
      <c r="U137" s="7">
        <v>4505</v>
      </c>
      <c r="V137" s="7">
        <v>4596</v>
      </c>
      <c r="W137" s="7">
        <v>5183</v>
      </c>
      <c r="X137" s="7">
        <v>5264</v>
      </c>
      <c r="Y137" s="7">
        <v>6000</v>
      </c>
      <c r="Z137" s="7">
        <v>6022</v>
      </c>
      <c r="AA137" s="7">
        <v>6494</v>
      </c>
      <c r="AB137" s="7">
        <v>5993</v>
      </c>
      <c r="AC137" s="7">
        <v>5719</v>
      </c>
      <c r="AD137" s="7"/>
      <c r="AE137" s="7">
        <f t="shared" si="6"/>
        <v>382</v>
      </c>
      <c r="AF137" s="7">
        <f t="shared" si="7"/>
        <v>826</v>
      </c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1:79" x14ac:dyDescent="0.25">
      <c r="B138" s="2" t="s">
        <v>52</v>
      </c>
      <c r="C138" s="3" t="s">
        <v>55</v>
      </c>
      <c r="D138" s="3" t="s">
        <v>54</v>
      </c>
      <c r="E138" s="4">
        <v>46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18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/>
      <c r="AE138" s="7">
        <f t="shared" si="6"/>
        <v>0</v>
      </c>
      <c r="AF138" s="7">
        <f t="shared" si="7"/>
        <v>0</v>
      </c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1:79" x14ac:dyDescent="0.25">
      <c r="B139" s="2" t="s">
        <v>13</v>
      </c>
      <c r="C139" s="3" t="s">
        <v>14</v>
      </c>
      <c r="D139" s="3" t="s">
        <v>15</v>
      </c>
      <c r="E139" s="4">
        <v>4775</v>
      </c>
      <c r="F139" s="4">
        <v>1104</v>
      </c>
      <c r="G139" s="4">
        <v>1095</v>
      </c>
      <c r="H139" s="4">
        <v>1095</v>
      </c>
      <c r="I139" s="4">
        <v>1087</v>
      </c>
      <c r="J139" s="4">
        <v>1087</v>
      </c>
      <c r="K139" s="4">
        <v>1079</v>
      </c>
      <c r="L139" s="4">
        <v>1079</v>
      </c>
      <c r="M139" s="4">
        <v>1071</v>
      </c>
      <c r="N139" s="4">
        <v>1071</v>
      </c>
      <c r="O139" s="18">
        <v>1062</v>
      </c>
      <c r="P139" s="7">
        <v>1062</v>
      </c>
      <c r="Q139" s="7">
        <v>1051</v>
      </c>
      <c r="R139" s="7">
        <v>1051</v>
      </c>
      <c r="S139" s="7">
        <v>1039</v>
      </c>
      <c r="T139" s="7">
        <v>1039</v>
      </c>
      <c r="U139" s="7">
        <v>1029</v>
      </c>
      <c r="V139" s="7">
        <v>1029</v>
      </c>
      <c r="W139" s="7">
        <v>1019</v>
      </c>
      <c r="X139" s="7">
        <v>1019</v>
      </c>
      <c r="Y139" s="7">
        <v>1008</v>
      </c>
      <c r="Z139" s="7">
        <v>1008</v>
      </c>
      <c r="AA139" s="7">
        <v>1000</v>
      </c>
      <c r="AB139" s="7">
        <v>1000</v>
      </c>
      <c r="AC139" s="7">
        <v>990</v>
      </c>
      <c r="AD139" s="7"/>
      <c r="AE139" s="7">
        <f t="shared" si="6"/>
        <v>-79</v>
      </c>
      <c r="AF139" s="7">
        <f t="shared" si="7"/>
        <v>27</v>
      </c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1:79" x14ac:dyDescent="0.25">
      <c r="B140" s="2" t="s">
        <v>10</v>
      </c>
      <c r="C140" s="3" t="s">
        <v>11</v>
      </c>
      <c r="D140" s="3" t="s">
        <v>12</v>
      </c>
      <c r="E140" s="4">
        <v>513</v>
      </c>
      <c r="F140" s="4">
        <v>84</v>
      </c>
      <c r="G140" s="4">
        <v>154</v>
      </c>
      <c r="H140" s="4">
        <v>143</v>
      </c>
      <c r="I140" s="4">
        <v>152</v>
      </c>
      <c r="J140" s="4">
        <v>142</v>
      </c>
      <c r="K140" s="4">
        <v>135</v>
      </c>
      <c r="L140" s="4">
        <v>127</v>
      </c>
      <c r="M140" s="4">
        <v>118</v>
      </c>
      <c r="N140" s="4">
        <v>127</v>
      </c>
      <c r="O140" s="18">
        <v>100</v>
      </c>
      <c r="P140" s="7">
        <v>91</v>
      </c>
      <c r="Q140" s="7">
        <v>83</v>
      </c>
      <c r="R140" s="7">
        <v>75</v>
      </c>
      <c r="S140" s="7">
        <v>66</v>
      </c>
      <c r="T140" s="7">
        <v>57</v>
      </c>
      <c r="U140" s="7">
        <v>48</v>
      </c>
      <c r="V140" s="7">
        <v>40</v>
      </c>
      <c r="W140" s="7">
        <v>31</v>
      </c>
      <c r="X140" s="7">
        <v>23</v>
      </c>
      <c r="Y140" s="7">
        <v>31</v>
      </c>
      <c r="Z140" s="7">
        <v>23</v>
      </c>
      <c r="AA140" s="7">
        <v>15</v>
      </c>
      <c r="AB140" s="7">
        <v>8</v>
      </c>
      <c r="AC140" s="7">
        <v>185</v>
      </c>
      <c r="AD140" s="7"/>
      <c r="AE140" s="7">
        <f t="shared" si="6"/>
        <v>-121</v>
      </c>
      <c r="AF140" s="7">
        <f t="shared" si="7"/>
        <v>-131</v>
      </c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1:79" x14ac:dyDescent="0.25">
      <c r="B141" s="2" t="s">
        <v>7</v>
      </c>
      <c r="C141" s="3" t="s">
        <v>8</v>
      </c>
      <c r="D141" s="3" t="s">
        <v>9</v>
      </c>
      <c r="E141" s="4">
        <v>18500</v>
      </c>
      <c r="F141" s="4">
        <v>13471</v>
      </c>
      <c r="G141" s="4">
        <v>9091</v>
      </c>
      <c r="H141" s="4">
        <v>6974</v>
      </c>
      <c r="I141" s="4">
        <v>4259</v>
      </c>
      <c r="J141" s="4">
        <v>5911</v>
      </c>
      <c r="K141" s="4">
        <v>7614</v>
      </c>
      <c r="L141" s="4">
        <v>9064</v>
      </c>
      <c r="M141" s="4">
        <v>11867</v>
      </c>
      <c r="N141" s="4">
        <v>9064</v>
      </c>
      <c r="O141" s="18">
        <v>11325</v>
      </c>
      <c r="P141" s="7">
        <v>10311</v>
      </c>
      <c r="Q141" s="7">
        <v>11296</v>
      </c>
      <c r="R141" s="7">
        <v>11859</v>
      </c>
      <c r="S141" s="7">
        <v>8930</v>
      </c>
      <c r="T141" s="7">
        <v>8847</v>
      </c>
      <c r="U141" s="7">
        <v>9787</v>
      </c>
      <c r="V141" s="7">
        <v>10880</v>
      </c>
      <c r="W141" s="7">
        <v>13944</v>
      </c>
      <c r="X141" s="7">
        <v>14629</v>
      </c>
      <c r="Y141" s="7">
        <v>17746</v>
      </c>
      <c r="Z141" s="7">
        <v>17605</v>
      </c>
      <c r="AA141" s="7">
        <v>15731</v>
      </c>
      <c r="AB141" s="7">
        <v>12832</v>
      </c>
      <c r="AC141" s="7">
        <v>9068</v>
      </c>
      <c r="AD141" s="7"/>
      <c r="AE141" s="7">
        <f t="shared" si="6"/>
        <v>13487</v>
      </c>
      <c r="AF141" s="7">
        <f t="shared" si="7"/>
        <v>12268</v>
      </c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1:79" ht="13.8" thickBot="1" x14ac:dyDescent="0.3">
      <c r="C142" s="3"/>
      <c r="D142" s="3"/>
      <c r="E142" s="5">
        <f t="shared" ref="E142:AF142" si="8">SUM(E119:E141)</f>
        <v>257098</v>
      </c>
      <c r="F142" s="5">
        <f t="shared" si="8"/>
        <v>223234</v>
      </c>
      <c r="G142" s="5">
        <f t="shared" si="8"/>
        <v>179776</v>
      </c>
      <c r="H142" s="5">
        <f t="shared" si="8"/>
        <v>155652</v>
      </c>
      <c r="I142" s="5">
        <f t="shared" si="8"/>
        <v>141814</v>
      </c>
      <c r="J142" s="5">
        <f t="shared" si="8"/>
        <v>147519</v>
      </c>
      <c r="K142" s="5">
        <f t="shared" si="8"/>
        <v>153107</v>
      </c>
      <c r="L142" s="5">
        <f t="shared" si="8"/>
        <v>156960</v>
      </c>
      <c r="M142" s="5">
        <f t="shared" si="8"/>
        <v>164565</v>
      </c>
      <c r="N142" s="5">
        <f t="shared" si="8"/>
        <v>163831</v>
      </c>
      <c r="O142" s="5">
        <f t="shared" si="8"/>
        <v>173574</v>
      </c>
      <c r="P142" s="5">
        <f t="shared" si="8"/>
        <v>175357</v>
      </c>
      <c r="Q142" s="5">
        <f t="shared" si="8"/>
        <v>168988</v>
      </c>
      <c r="R142" s="5">
        <f t="shared" si="8"/>
        <v>171028</v>
      </c>
      <c r="S142" s="5">
        <f t="shared" si="8"/>
        <v>158769</v>
      </c>
      <c r="T142" s="5">
        <f t="shared" si="8"/>
        <v>162423</v>
      </c>
      <c r="U142" s="5">
        <f t="shared" si="8"/>
        <v>158101</v>
      </c>
      <c r="V142" s="5">
        <f t="shared" si="8"/>
        <v>154376</v>
      </c>
      <c r="W142" s="5">
        <f t="shared" si="8"/>
        <v>162457</v>
      </c>
      <c r="X142" s="5">
        <f t="shared" si="8"/>
        <v>159360</v>
      </c>
      <c r="Y142" s="5">
        <f t="shared" si="8"/>
        <v>172727.58600000001</v>
      </c>
      <c r="Z142" s="5">
        <f t="shared" si="8"/>
        <v>169874.272</v>
      </c>
      <c r="AA142" s="5">
        <f t="shared" si="8"/>
        <v>145000</v>
      </c>
      <c r="AB142" s="5">
        <f t="shared" si="8"/>
        <v>129157</v>
      </c>
      <c r="AC142" s="5">
        <f t="shared" si="8"/>
        <v>111458</v>
      </c>
      <c r="AD142" s="7"/>
      <c r="AE142" s="5">
        <f t="shared" si="8"/>
        <v>30913.586000000003</v>
      </c>
      <c r="AF142" s="5">
        <f t="shared" si="8"/>
        <v>108522.58600000001</v>
      </c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1:79" ht="14.4" thickTop="1" thickBot="1" x14ac:dyDescent="0.3">
      <c r="C143" s="3"/>
      <c r="D143" s="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1:79" ht="21.6" thickBot="1" x14ac:dyDescent="0.3">
      <c r="B144" s="14" t="s">
        <v>1</v>
      </c>
      <c r="C144" s="14" t="s">
        <v>2</v>
      </c>
      <c r="D144" s="14" t="s">
        <v>3</v>
      </c>
      <c r="E144" s="14" t="s">
        <v>4</v>
      </c>
      <c r="F144" s="14" t="s">
        <v>237</v>
      </c>
      <c r="G144" s="14" t="s">
        <v>214</v>
      </c>
      <c r="H144" s="14" t="s">
        <v>215</v>
      </c>
      <c r="I144" s="14" t="s">
        <v>216</v>
      </c>
      <c r="J144" s="14" t="s">
        <v>217</v>
      </c>
      <c r="K144" s="14" t="s">
        <v>218</v>
      </c>
      <c r="L144" s="14" t="s">
        <v>219</v>
      </c>
      <c r="M144" s="14" t="s">
        <v>220</v>
      </c>
      <c r="N144" s="14" t="s">
        <v>221</v>
      </c>
      <c r="O144" s="14" t="s">
        <v>222</v>
      </c>
      <c r="P144" s="14" t="s">
        <v>223</v>
      </c>
      <c r="Q144" s="14" t="s">
        <v>224</v>
      </c>
      <c r="R144" s="14" t="s">
        <v>225</v>
      </c>
      <c r="S144" s="14" t="s">
        <v>226</v>
      </c>
      <c r="T144" s="14" t="s">
        <v>227</v>
      </c>
      <c r="U144" s="14" t="s">
        <v>228</v>
      </c>
      <c r="V144" s="14" t="s">
        <v>229</v>
      </c>
      <c r="W144" s="14" t="s">
        <v>230</v>
      </c>
      <c r="X144" s="14" t="s">
        <v>231</v>
      </c>
      <c r="Y144" s="14" t="s">
        <v>232</v>
      </c>
      <c r="Z144" s="19" t="s">
        <v>233</v>
      </c>
      <c r="AA144" s="19" t="s">
        <v>234</v>
      </c>
      <c r="AB144" s="14" t="s">
        <v>235</v>
      </c>
      <c r="AC144" s="14" t="s">
        <v>236</v>
      </c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2:79" x14ac:dyDescent="0.25">
      <c r="B145" s="2" t="s">
        <v>274</v>
      </c>
      <c r="C145" s="3" t="s">
        <v>17</v>
      </c>
      <c r="D145" s="3" t="s">
        <v>18</v>
      </c>
      <c r="E145" s="4">
        <v>5500</v>
      </c>
      <c r="F145" s="4">
        <v>1081</v>
      </c>
      <c r="G145" s="4">
        <v>935</v>
      </c>
      <c r="H145" s="4">
        <v>920</v>
      </c>
      <c r="I145" s="4">
        <v>1145</v>
      </c>
      <c r="J145" s="4">
        <v>1421</v>
      </c>
      <c r="K145" s="4">
        <v>1302</v>
      </c>
      <c r="L145" s="4">
        <v>1296</v>
      </c>
      <c r="M145" s="4">
        <v>1399</v>
      </c>
      <c r="N145" s="4">
        <v>1643</v>
      </c>
      <c r="O145" s="18">
        <v>1563</v>
      </c>
      <c r="P145" s="7">
        <v>1500</v>
      </c>
      <c r="Q145" s="7">
        <v>1159</v>
      </c>
      <c r="R145" s="7">
        <v>1094</v>
      </c>
      <c r="S145" s="7">
        <v>972</v>
      </c>
      <c r="T145" s="7">
        <v>874</v>
      </c>
      <c r="U145" s="7">
        <v>837</v>
      </c>
      <c r="V145" s="7">
        <v>961</v>
      </c>
      <c r="W145" s="7">
        <v>962</v>
      </c>
      <c r="X145" s="7">
        <v>1120</v>
      </c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2:79" x14ac:dyDescent="0.25">
      <c r="B146" s="2" t="s">
        <v>274</v>
      </c>
      <c r="C146" s="3" t="s">
        <v>19</v>
      </c>
      <c r="D146" s="3" t="s">
        <v>18</v>
      </c>
      <c r="E146" s="4">
        <v>8000</v>
      </c>
      <c r="F146" s="4">
        <v>2805</v>
      </c>
      <c r="G146" s="4">
        <v>2649</v>
      </c>
      <c r="H146" s="4">
        <v>2585</v>
      </c>
      <c r="I146" s="4">
        <v>2583</v>
      </c>
      <c r="J146" s="4">
        <v>2583</v>
      </c>
      <c r="K146" s="4">
        <v>2565</v>
      </c>
      <c r="L146" s="4">
        <v>2506</v>
      </c>
      <c r="M146" s="4">
        <v>2565</v>
      </c>
      <c r="N146" s="4">
        <v>2506</v>
      </c>
      <c r="O146" s="18">
        <v>2379</v>
      </c>
      <c r="P146" s="7">
        <v>2343</v>
      </c>
      <c r="Q146" s="7">
        <v>2294</v>
      </c>
      <c r="R146" s="7">
        <v>2279</v>
      </c>
      <c r="S146" s="7">
        <v>2273</v>
      </c>
      <c r="T146" s="7">
        <v>2248</v>
      </c>
      <c r="U146" s="7">
        <v>2230</v>
      </c>
      <c r="V146" s="7">
        <v>2230</v>
      </c>
      <c r="W146" s="7">
        <v>2227</v>
      </c>
      <c r="X146" s="7">
        <v>2227</v>
      </c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2:79" x14ac:dyDescent="0.25">
      <c r="B147" s="2" t="s">
        <v>20</v>
      </c>
      <c r="C147" s="3" t="s">
        <v>21</v>
      </c>
      <c r="D147" s="3" t="s">
        <v>22</v>
      </c>
      <c r="E147" s="4">
        <v>100</v>
      </c>
      <c r="F147" s="4">
        <v>29</v>
      </c>
      <c r="G147" s="4">
        <v>29</v>
      </c>
      <c r="H147" s="4">
        <v>29</v>
      </c>
      <c r="I147" s="4">
        <v>29</v>
      </c>
      <c r="J147" s="4">
        <v>29</v>
      </c>
      <c r="K147" s="4">
        <v>29</v>
      </c>
      <c r="L147" s="4">
        <v>29</v>
      </c>
      <c r="M147" s="4">
        <v>29</v>
      </c>
      <c r="N147" s="4">
        <v>29</v>
      </c>
      <c r="O147" s="18">
        <v>29</v>
      </c>
      <c r="P147" s="7">
        <v>29</v>
      </c>
      <c r="Q147" s="7">
        <v>29</v>
      </c>
      <c r="R147" s="7">
        <v>29</v>
      </c>
      <c r="S147" s="7">
        <v>29</v>
      </c>
      <c r="T147" s="7">
        <v>29</v>
      </c>
      <c r="U147" s="7">
        <v>29</v>
      </c>
      <c r="V147" s="7">
        <v>29</v>
      </c>
      <c r="W147" s="7">
        <v>29</v>
      </c>
      <c r="X147" s="7">
        <v>29</v>
      </c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2:79" x14ac:dyDescent="0.25">
      <c r="B148" s="2" t="s">
        <v>275</v>
      </c>
      <c r="C148" s="3" t="s">
        <v>27</v>
      </c>
      <c r="D148" s="3" t="s">
        <v>28</v>
      </c>
      <c r="E148" s="4">
        <v>1000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18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2:79" x14ac:dyDescent="0.25">
      <c r="B149" s="2" t="s">
        <v>29</v>
      </c>
      <c r="C149" s="3" t="s">
        <v>30</v>
      </c>
      <c r="D149" s="3" t="s">
        <v>28</v>
      </c>
      <c r="E149" s="4">
        <v>45000</v>
      </c>
      <c r="F149" s="4">
        <v>15594</v>
      </c>
      <c r="G149" s="4">
        <v>9426</v>
      </c>
      <c r="H149" s="4">
        <v>6311</v>
      </c>
      <c r="I149" s="4">
        <v>4708</v>
      </c>
      <c r="J149" s="4">
        <v>9649</v>
      </c>
      <c r="K149" s="4">
        <v>13616</v>
      </c>
      <c r="L149" s="4">
        <v>16772</v>
      </c>
      <c r="M149" s="4">
        <v>21003</v>
      </c>
      <c r="N149" s="4">
        <v>24544</v>
      </c>
      <c r="O149" s="18">
        <v>28369</v>
      </c>
      <c r="P149" s="7">
        <v>35652</v>
      </c>
      <c r="Q149" s="7">
        <v>42702</v>
      </c>
      <c r="R149" s="7">
        <v>44171</v>
      </c>
      <c r="S149" s="7">
        <v>45707</v>
      </c>
      <c r="T149" s="7">
        <v>47065</v>
      </c>
      <c r="U149" s="7">
        <v>49311</v>
      </c>
      <c r="V149" s="7">
        <v>49517</v>
      </c>
      <c r="W149" s="7">
        <v>49766</v>
      </c>
      <c r="X149" s="7">
        <v>50515</v>
      </c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2:79" x14ac:dyDescent="0.25">
      <c r="B150" s="2" t="s">
        <v>276</v>
      </c>
      <c r="C150" s="3" t="s">
        <v>24</v>
      </c>
      <c r="D150" s="3" t="s">
        <v>25</v>
      </c>
      <c r="E150" s="4">
        <v>766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18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2:79" x14ac:dyDescent="0.25">
      <c r="B151" s="2" t="s">
        <v>31</v>
      </c>
      <c r="C151" s="3" t="s">
        <v>32</v>
      </c>
      <c r="D151" s="3" t="s">
        <v>33</v>
      </c>
      <c r="E151" s="4">
        <v>80</v>
      </c>
      <c r="F151" s="4">
        <v>80</v>
      </c>
      <c r="G151" s="4">
        <v>80</v>
      </c>
      <c r="H151" s="4">
        <v>80</v>
      </c>
      <c r="I151" s="4">
        <v>80</v>
      </c>
      <c r="J151" s="4">
        <v>80</v>
      </c>
      <c r="K151" s="4">
        <v>80</v>
      </c>
      <c r="L151" s="4">
        <v>80</v>
      </c>
      <c r="M151" s="4">
        <v>80</v>
      </c>
      <c r="N151" s="4">
        <v>80</v>
      </c>
      <c r="O151" s="18">
        <v>80</v>
      </c>
      <c r="P151" s="7">
        <v>80</v>
      </c>
      <c r="Q151" s="7">
        <v>80</v>
      </c>
      <c r="R151" s="7">
        <v>80</v>
      </c>
      <c r="S151" s="7">
        <v>80</v>
      </c>
      <c r="T151" s="7">
        <v>80</v>
      </c>
      <c r="U151" s="7">
        <v>80</v>
      </c>
      <c r="V151" s="7">
        <v>80</v>
      </c>
      <c r="W151" s="7">
        <v>80</v>
      </c>
      <c r="X151" s="7">
        <v>80</v>
      </c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2:79" x14ac:dyDescent="0.25">
      <c r="B152" s="2" t="s">
        <v>31</v>
      </c>
      <c r="C152" s="3" t="s">
        <v>34</v>
      </c>
      <c r="D152" s="3" t="s">
        <v>35</v>
      </c>
      <c r="E152" s="4">
        <v>8615</v>
      </c>
      <c r="F152" s="4">
        <v>5091</v>
      </c>
      <c r="G152" s="4">
        <v>4897</v>
      </c>
      <c r="H152" s="4">
        <v>4794</v>
      </c>
      <c r="I152" s="4">
        <v>4608</v>
      </c>
      <c r="J152" s="4">
        <v>4477</v>
      </c>
      <c r="K152" s="4">
        <v>4293</v>
      </c>
      <c r="L152" s="4">
        <v>4293</v>
      </c>
      <c r="M152" s="4">
        <v>3993</v>
      </c>
      <c r="N152" s="4">
        <v>3993</v>
      </c>
      <c r="O152" s="18">
        <v>3988</v>
      </c>
      <c r="P152" s="7">
        <v>3988</v>
      </c>
      <c r="Q152" s="7">
        <v>3988</v>
      </c>
      <c r="R152" s="7">
        <v>4338</v>
      </c>
      <c r="S152" s="7">
        <v>4785</v>
      </c>
      <c r="T152" s="7">
        <v>4785</v>
      </c>
      <c r="U152" s="7">
        <v>4785</v>
      </c>
      <c r="V152" s="7">
        <v>5085</v>
      </c>
      <c r="W152" s="7">
        <v>5507</v>
      </c>
      <c r="X152" s="7">
        <v>5807</v>
      </c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2:79" x14ac:dyDescent="0.25">
      <c r="B153" s="2" t="s">
        <v>31</v>
      </c>
      <c r="C153" s="3" t="s">
        <v>56</v>
      </c>
      <c r="D153" s="3" t="s">
        <v>33</v>
      </c>
      <c r="E153" s="4">
        <v>3425</v>
      </c>
      <c r="F153" s="4">
        <v>1972</v>
      </c>
      <c r="G153" s="4">
        <v>1092</v>
      </c>
      <c r="H153" s="4">
        <v>685</v>
      </c>
      <c r="I153" s="4">
        <v>882</v>
      </c>
      <c r="J153" s="4">
        <v>898</v>
      </c>
      <c r="K153" s="4">
        <v>742</v>
      </c>
      <c r="L153" s="4">
        <v>999</v>
      </c>
      <c r="M153" s="4">
        <v>1467</v>
      </c>
      <c r="N153" s="4">
        <v>1773</v>
      </c>
      <c r="O153" s="18">
        <v>2196</v>
      </c>
      <c r="P153" s="7">
        <v>2501</v>
      </c>
      <c r="Q153" s="7">
        <v>2957</v>
      </c>
      <c r="R153" s="7">
        <v>3344</v>
      </c>
      <c r="S153" s="7">
        <v>3055</v>
      </c>
      <c r="T153" s="7">
        <v>3055</v>
      </c>
      <c r="U153" s="7">
        <v>3206</v>
      </c>
      <c r="V153" s="7">
        <v>3303</v>
      </c>
      <c r="W153" s="7">
        <v>3206</v>
      </c>
      <c r="X153" s="7">
        <v>3209</v>
      </c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2:79" x14ac:dyDescent="0.25">
      <c r="B154" s="2" t="s">
        <v>31</v>
      </c>
      <c r="C154" s="3" t="s">
        <v>36</v>
      </c>
      <c r="D154" s="3" t="s">
        <v>37</v>
      </c>
      <c r="E154" s="4">
        <v>2825</v>
      </c>
      <c r="F154" s="4">
        <v>3332</v>
      </c>
      <c r="G154" s="4">
        <v>3220</v>
      </c>
      <c r="H154" s="4">
        <v>3066</v>
      </c>
      <c r="I154" s="4">
        <v>3106</v>
      </c>
      <c r="J154" s="4">
        <v>3185</v>
      </c>
      <c r="K154" s="4">
        <v>3010</v>
      </c>
      <c r="L154" s="4">
        <v>3103</v>
      </c>
      <c r="M154" s="4">
        <v>3334</v>
      </c>
      <c r="N154" s="4">
        <v>3490</v>
      </c>
      <c r="O154" s="18">
        <v>3675</v>
      </c>
      <c r="P154" s="7">
        <v>3832</v>
      </c>
      <c r="Q154" s="7">
        <v>4000</v>
      </c>
      <c r="R154" s="7">
        <v>4066</v>
      </c>
      <c r="S154" s="7">
        <v>4060</v>
      </c>
      <c r="T154" s="7">
        <v>4107</v>
      </c>
      <c r="U154" s="7">
        <v>4186</v>
      </c>
      <c r="V154" s="7">
        <v>4224</v>
      </c>
      <c r="W154" s="7">
        <v>4186</v>
      </c>
      <c r="X154" s="7">
        <v>4207</v>
      </c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2:79" x14ac:dyDescent="0.25">
      <c r="B155" s="2" t="s">
        <v>31</v>
      </c>
      <c r="C155" s="3" t="s">
        <v>57</v>
      </c>
      <c r="D155" s="3" t="s">
        <v>33</v>
      </c>
      <c r="E155" s="4">
        <v>5290</v>
      </c>
      <c r="F155" s="4">
        <v>2781</v>
      </c>
      <c r="G155" s="4">
        <v>2456</v>
      </c>
      <c r="H155" s="4">
        <v>2225</v>
      </c>
      <c r="I155" s="4">
        <v>2478</v>
      </c>
      <c r="J155" s="4">
        <v>2636</v>
      </c>
      <c r="K155" s="4">
        <v>2382</v>
      </c>
      <c r="L155" s="4">
        <v>2593</v>
      </c>
      <c r="M155" s="4">
        <v>2981</v>
      </c>
      <c r="N155" s="4">
        <v>3303</v>
      </c>
      <c r="O155" s="18">
        <v>3591</v>
      </c>
      <c r="P155" s="7">
        <v>3913</v>
      </c>
      <c r="Q155" s="7">
        <v>4220</v>
      </c>
      <c r="R155" s="7">
        <v>4416</v>
      </c>
      <c r="S155" s="7">
        <v>4424</v>
      </c>
      <c r="T155" s="7">
        <v>4468</v>
      </c>
      <c r="U155" s="7">
        <v>4639</v>
      </c>
      <c r="V155" s="7">
        <v>4879</v>
      </c>
      <c r="W155" s="7">
        <v>5281</v>
      </c>
      <c r="X155" s="7">
        <v>5483</v>
      </c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2:79" x14ac:dyDescent="0.25">
      <c r="B156" s="2" t="s">
        <v>31</v>
      </c>
      <c r="C156" s="3" t="s">
        <v>38</v>
      </c>
      <c r="D156" s="3" t="s">
        <v>39</v>
      </c>
      <c r="E156" s="4">
        <v>1310</v>
      </c>
      <c r="F156" s="4">
        <v>481</v>
      </c>
      <c r="G156" s="4">
        <v>479</v>
      </c>
      <c r="H156" s="4">
        <v>474</v>
      </c>
      <c r="I156" s="4">
        <v>473</v>
      </c>
      <c r="J156" s="4">
        <v>473</v>
      </c>
      <c r="K156" s="4">
        <v>471</v>
      </c>
      <c r="L156" s="4">
        <v>471</v>
      </c>
      <c r="M156" s="4">
        <v>470</v>
      </c>
      <c r="N156" s="4">
        <v>470</v>
      </c>
      <c r="O156" s="18">
        <v>467</v>
      </c>
      <c r="P156" s="7">
        <v>467</v>
      </c>
      <c r="Q156" s="7">
        <v>465</v>
      </c>
      <c r="R156" s="7">
        <v>465</v>
      </c>
      <c r="S156" s="7">
        <v>465</v>
      </c>
      <c r="T156" s="7">
        <v>465</v>
      </c>
      <c r="U156" s="7">
        <v>464</v>
      </c>
      <c r="V156" s="7">
        <v>464</v>
      </c>
      <c r="W156" s="7">
        <v>464</v>
      </c>
      <c r="X156" s="7">
        <v>464</v>
      </c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2:79" x14ac:dyDescent="0.25">
      <c r="B157" s="2" t="s">
        <v>31</v>
      </c>
      <c r="C157" s="3" t="s">
        <v>40</v>
      </c>
      <c r="D157" s="3" t="s">
        <v>41</v>
      </c>
      <c r="E157" s="4">
        <v>18453</v>
      </c>
      <c r="F157" s="4">
        <v>10497</v>
      </c>
      <c r="G157" s="4">
        <v>10929</v>
      </c>
      <c r="H157" s="4">
        <v>9868</v>
      </c>
      <c r="I157" s="4">
        <v>9981</v>
      </c>
      <c r="J157" s="4">
        <v>9454</v>
      </c>
      <c r="K157" s="4">
        <v>8372</v>
      </c>
      <c r="L157" s="4">
        <v>9185</v>
      </c>
      <c r="M157" s="4">
        <v>10644</v>
      </c>
      <c r="N157" s="4">
        <v>11741</v>
      </c>
      <c r="O157" s="18">
        <v>13103</v>
      </c>
      <c r="P157" s="7">
        <v>14200</v>
      </c>
      <c r="Q157" s="7">
        <v>15239</v>
      </c>
      <c r="R157" s="7">
        <v>16206</v>
      </c>
      <c r="S157" s="7">
        <v>17050</v>
      </c>
      <c r="T157" s="7">
        <v>17258</v>
      </c>
      <c r="U157" s="7">
        <v>17243</v>
      </c>
      <c r="V157" s="7">
        <v>17213</v>
      </c>
      <c r="W157" s="7">
        <v>17309</v>
      </c>
      <c r="X157" s="7">
        <v>17309</v>
      </c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2:79" x14ac:dyDescent="0.25">
      <c r="B158" s="2" t="s">
        <v>31</v>
      </c>
      <c r="C158" s="3" t="s">
        <v>42</v>
      </c>
      <c r="D158" s="3" t="s">
        <v>41</v>
      </c>
      <c r="E158" s="4">
        <v>6900</v>
      </c>
      <c r="F158" s="4">
        <v>1816</v>
      </c>
      <c r="G158" s="4">
        <v>1803</v>
      </c>
      <c r="H158" s="4">
        <v>1794</v>
      </c>
      <c r="I158" s="4">
        <v>1779</v>
      </c>
      <c r="J158" s="4">
        <v>1771</v>
      </c>
      <c r="K158" s="4">
        <v>1752</v>
      </c>
      <c r="L158" s="4">
        <v>1743</v>
      </c>
      <c r="M158" s="4">
        <v>1727</v>
      </c>
      <c r="N158" s="4">
        <v>1718</v>
      </c>
      <c r="O158" s="18">
        <v>1702</v>
      </c>
      <c r="P158" s="7">
        <v>1693</v>
      </c>
      <c r="Q158" s="7">
        <v>1677</v>
      </c>
      <c r="R158" s="7">
        <v>1669</v>
      </c>
      <c r="S158" s="7">
        <v>1652</v>
      </c>
      <c r="T158" s="7">
        <v>1643</v>
      </c>
      <c r="U158" s="7">
        <v>1627</v>
      </c>
      <c r="V158" s="7">
        <v>1621</v>
      </c>
      <c r="W158" s="7">
        <v>1604</v>
      </c>
      <c r="X158" s="7">
        <v>1597</v>
      </c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2:79" x14ac:dyDescent="0.25">
      <c r="B159" s="2" t="s">
        <v>43</v>
      </c>
      <c r="C159" s="3" t="s">
        <v>44</v>
      </c>
      <c r="D159" s="3" t="s">
        <v>45</v>
      </c>
      <c r="E159" s="4">
        <v>3000</v>
      </c>
      <c r="F159" s="4">
        <v>2184</v>
      </c>
      <c r="G159" s="4">
        <v>1891</v>
      </c>
      <c r="H159" s="4">
        <v>1922</v>
      </c>
      <c r="I159" s="4">
        <v>1892</v>
      </c>
      <c r="J159" s="4">
        <v>1858</v>
      </c>
      <c r="K159" s="4">
        <v>2177</v>
      </c>
      <c r="L159" s="4">
        <v>2059</v>
      </c>
      <c r="M159" s="4">
        <v>2270</v>
      </c>
      <c r="N159" s="4">
        <v>2939</v>
      </c>
      <c r="O159" s="18">
        <v>3096</v>
      </c>
      <c r="P159" s="7">
        <v>3073</v>
      </c>
      <c r="Q159" s="7">
        <v>2884</v>
      </c>
      <c r="R159" s="7">
        <v>2894</v>
      </c>
      <c r="S159" s="7">
        <v>2532</v>
      </c>
      <c r="T159" s="7">
        <v>2471</v>
      </c>
      <c r="U159" s="7">
        <v>2836</v>
      </c>
      <c r="V159" s="7">
        <v>2919</v>
      </c>
      <c r="W159" s="7">
        <v>3283</v>
      </c>
      <c r="X159" s="7">
        <v>3479</v>
      </c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2:79" x14ac:dyDescent="0.25">
      <c r="B160" s="2" t="s">
        <v>46</v>
      </c>
      <c r="C160" s="3" t="s">
        <v>47</v>
      </c>
      <c r="D160" s="3" t="s">
        <v>48</v>
      </c>
      <c r="E160" s="4">
        <v>69000</v>
      </c>
      <c r="F160" s="4">
        <v>21937</v>
      </c>
      <c r="G160" s="4">
        <v>11832</v>
      </c>
      <c r="H160" s="4">
        <v>10981</v>
      </c>
      <c r="I160" s="4">
        <v>12504</v>
      </c>
      <c r="J160" s="4">
        <v>12513</v>
      </c>
      <c r="K160" s="4">
        <v>10692</v>
      </c>
      <c r="L160" s="4">
        <v>10692</v>
      </c>
      <c r="M160" s="4">
        <v>13398</v>
      </c>
      <c r="N160" s="4">
        <v>17590</v>
      </c>
      <c r="O160" s="18">
        <v>23557</v>
      </c>
      <c r="P160" s="7">
        <v>26906</v>
      </c>
      <c r="Q160" s="7">
        <v>34794</v>
      </c>
      <c r="R160" s="7">
        <v>40651</v>
      </c>
      <c r="S160" s="7">
        <v>46290</v>
      </c>
      <c r="T160" s="7">
        <v>49632</v>
      </c>
      <c r="U160" s="7">
        <v>56296</v>
      </c>
      <c r="V160" s="7">
        <v>59263</v>
      </c>
      <c r="W160" s="7">
        <v>63733</v>
      </c>
      <c r="X160" s="7">
        <v>69061</v>
      </c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2:83" x14ac:dyDescent="0.25">
      <c r="B161" s="2" t="s">
        <v>49</v>
      </c>
      <c r="C161" s="3" t="s">
        <v>50</v>
      </c>
      <c r="D161" s="3" t="s">
        <v>51</v>
      </c>
      <c r="E161" s="4">
        <v>500</v>
      </c>
      <c r="F161" s="4">
        <v>339</v>
      </c>
      <c r="G161" s="4">
        <v>304</v>
      </c>
      <c r="H161" s="4">
        <v>407</v>
      </c>
      <c r="I161" s="4">
        <v>311</v>
      </c>
      <c r="J161" s="4">
        <v>247</v>
      </c>
      <c r="K161" s="4">
        <v>254</v>
      </c>
      <c r="L161" s="4">
        <v>301</v>
      </c>
      <c r="M161" s="4">
        <v>254</v>
      </c>
      <c r="N161" s="4">
        <v>301</v>
      </c>
      <c r="O161" s="18">
        <v>493</v>
      </c>
      <c r="P161" s="7">
        <v>529</v>
      </c>
      <c r="Q161" s="7">
        <v>493</v>
      </c>
      <c r="R161" s="7">
        <v>393</v>
      </c>
      <c r="S161" s="7">
        <v>297</v>
      </c>
      <c r="T161" s="7">
        <v>367</v>
      </c>
      <c r="U161" s="7">
        <v>482</v>
      </c>
      <c r="V161" s="7">
        <v>482</v>
      </c>
      <c r="W161" s="7">
        <v>468</v>
      </c>
      <c r="X161" s="7">
        <v>434</v>
      </c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2:83" x14ac:dyDescent="0.25">
      <c r="B162" s="2" t="s">
        <v>58</v>
      </c>
      <c r="C162" s="3" t="s">
        <v>59</v>
      </c>
      <c r="D162" s="3" t="s">
        <v>28</v>
      </c>
      <c r="E162" s="4">
        <v>48000</v>
      </c>
      <c r="F162" s="4">
        <v>7323</v>
      </c>
      <c r="G162" s="4">
        <v>6261</v>
      </c>
      <c r="H162" s="4">
        <v>6269</v>
      </c>
      <c r="I162" s="4">
        <v>6875</v>
      </c>
      <c r="J162" s="4">
        <v>8181</v>
      </c>
      <c r="K162" s="4">
        <v>9184</v>
      </c>
      <c r="L162" s="4">
        <v>11206</v>
      </c>
      <c r="M162" s="4">
        <v>13655</v>
      </c>
      <c r="N162" s="4">
        <v>17217</v>
      </c>
      <c r="O162" s="18">
        <v>21253</v>
      </c>
      <c r="P162" s="7">
        <v>24726</v>
      </c>
      <c r="Q162" s="7">
        <v>28597</v>
      </c>
      <c r="R162" s="7">
        <v>32020</v>
      </c>
      <c r="S162" s="7">
        <v>34390</v>
      </c>
      <c r="T162" s="7">
        <v>37884</v>
      </c>
      <c r="U162" s="7">
        <v>42263</v>
      </c>
      <c r="V162" s="7">
        <v>44704</v>
      </c>
      <c r="W162" s="7">
        <v>48202</v>
      </c>
      <c r="X162" s="7">
        <v>51760</v>
      </c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2:83" x14ac:dyDescent="0.25">
      <c r="B163" s="2" t="s">
        <v>52</v>
      </c>
      <c r="C163" s="3" t="s">
        <v>53</v>
      </c>
      <c r="D163" s="3" t="s">
        <v>54</v>
      </c>
      <c r="E163" s="4">
        <v>5500</v>
      </c>
      <c r="F163" s="4">
        <v>5772</v>
      </c>
      <c r="G163" s="4">
        <v>5476</v>
      </c>
      <c r="H163" s="4">
        <v>5174</v>
      </c>
      <c r="I163" s="4">
        <v>5369</v>
      </c>
      <c r="J163" s="4">
        <v>4818</v>
      </c>
      <c r="K163" s="4">
        <v>4869</v>
      </c>
      <c r="L163" s="4">
        <v>5367</v>
      </c>
      <c r="M163" s="4">
        <v>6189</v>
      </c>
      <c r="N163" s="4">
        <v>6248</v>
      </c>
      <c r="O163" s="18">
        <v>6249</v>
      </c>
      <c r="P163" s="7">
        <v>5966</v>
      </c>
      <c r="Q163" s="7">
        <v>5535</v>
      </c>
      <c r="R163" s="7">
        <v>5322</v>
      </c>
      <c r="S163" s="7">
        <v>4899</v>
      </c>
      <c r="T163" s="7">
        <v>4633</v>
      </c>
      <c r="U163" s="7">
        <v>5131</v>
      </c>
      <c r="V163" s="7">
        <v>5016</v>
      </c>
      <c r="W163" s="7">
        <v>5329</v>
      </c>
      <c r="X163" s="7">
        <v>5641</v>
      </c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2:83" x14ac:dyDescent="0.25">
      <c r="B164" s="2" t="s">
        <v>52</v>
      </c>
      <c r="C164" s="3" t="s">
        <v>55</v>
      </c>
      <c r="D164" s="3" t="s">
        <v>54</v>
      </c>
      <c r="E164" s="4">
        <v>46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18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2:83" x14ac:dyDescent="0.25">
      <c r="B165" s="2" t="s">
        <v>13</v>
      </c>
      <c r="C165" s="3" t="s">
        <v>14</v>
      </c>
      <c r="D165" s="3" t="s">
        <v>15</v>
      </c>
      <c r="E165" s="4">
        <v>4775</v>
      </c>
      <c r="F165" s="4">
        <v>990</v>
      </c>
      <c r="G165" s="4">
        <v>982</v>
      </c>
      <c r="H165" s="4">
        <v>981</v>
      </c>
      <c r="I165" s="4">
        <v>974</v>
      </c>
      <c r="J165" s="4">
        <v>974</v>
      </c>
      <c r="K165" s="4">
        <v>966</v>
      </c>
      <c r="L165" s="4">
        <v>966</v>
      </c>
      <c r="M165" s="4">
        <v>959</v>
      </c>
      <c r="N165" s="4">
        <v>959</v>
      </c>
      <c r="O165" s="18">
        <v>952</v>
      </c>
      <c r="P165" s="7">
        <v>952</v>
      </c>
      <c r="Q165" s="7">
        <v>946</v>
      </c>
      <c r="R165" s="7">
        <v>946</v>
      </c>
      <c r="S165" s="7">
        <v>940</v>
      </c>
      <c r="T165" s="7">
        <v>940</v>
      </c>
      <c r="U165" s="7">
        <v>934</v>
      </c>
      <c r="V165" s="7">
        <v>934</v>
      </c>
      <c r="W165" s="7">
        <v>929</v>
      </c>
      <c r="X165" s="7">
        <v>929</v>
      </c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2:83" x14ac:dyDescent="0.25">
      <c r="B166" s="2" t="s">
        <v>10</v>
      </c>
      <c r="C166" s="3" t="s">
        <v>11</v>
      </c>
      <c r="D166" s="3" t="s">
        <v>12</v>
      </c>
      <c r="E166" s="4">
        <v>513</v>
      </c>
      <c r="F166" s="4">
        <v>177</v>
      </c>
      <c r="G166" s="4">
        <v>169</v>
      </c>
      <c r="H166" s="4">
        <v>162</v>
      </c>
      <c r="I166" s="4">
        <v>155</v>
      </c>
      <c r="J166" s="4">
        <v>148</v>
      </c>
      <c r="K166" s="4">
        <v>140</v>
      </c>
      <c r="L166" s="4">
        <v>133</v>
      </c>
      <c r="M166" s="4">
        <v>126</v>
      </c>
      <c r="N166" s="4">
        <v>118</v>
      </c>
      <c r="O166" s="18">
        <v>111</v>
      </c>
      <c r="P166" s="7">
        <v>104</v>
      </c>
      <c r="Q166" s="7">
        <v>96</v>
      </c>
      <c r="R166" s="7">
        <v>89</v>
      </c>
      <c r="S166" s="7">
        <v>82</v>
      </c>
      <c r="T166" s="7">
        <v>75</v>
      </c>
      <c r="U166" s="7">
        <v>67</v>
      </c>
      <c r="V166" s="7">
        <v>60</v>
      </c>
      <c r="W166" s="7">
        <v>53</v>
      </c>
      <c r="X166" s="7">
        <v>46</v>
      </c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2:83" x14ac:dyDescent="0.25">
      <c r="B167" s="2" t="s">
        <v>7</v>
      </c>
      <c r="C167" s="3" t="s">
        <v>8</v>
      </c>
      <c r="D167" s="3" t="s">
        <v>9</v>
      </c>
      <c r="E167" s="4">
        <v>18500</v>
      </c>
      <c r="F167" s="4">
        <v>7301</v>
      </c>
      <c r="G167" s="4">
        <v>4477</v>
      </c>
      <c r="H167" s="4">
        <v>5478</v>
      </c>
      <c r="I167" s="4">
        <v>4978</v>
      </c>
      <c r="J167" s="4">
        <v>6176</v>
      </c>
      <c r="K167" s="4">
        <v>7989</v>
      </c>
      <c r="L167" s="4">
        <v>9105</v>
      </c>
      <c r="M167" s="4">
        <v>13171</v>
      </c>
      <c r="N167" s="4">
        <v>14623</v>
      </c>
      <c r="O167" s="18">
        <v>16364</v>
      </c>
      <c r="P167" s="7">
        <v>17622</v>
      </c>
      <c r="Q167" s="7">
        <v>19475</v>
      </c>
      <c r="R167" s="7">
        <v>19903</v>
      </c>
      <c r="S167" s="7">
        <v>19115</v>
      </c>
      <c r="T167" s="7">
        <v>18441</v>
      </c>
      <c r="U167" s="7">
        <v>18235</v>
      </c>
      <c r="V167" s="7">
        <v>19262</v>
      </c>
      <c r="W167" s="7">
        <v>21057</v>
      </c>
      <c r="X167" s="7">
        <v>21590</v>
      </c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2:83" ht="13.8" thickBot="1" x14ac:dyDescent="0.3">
      <c r="C168" s="3"/>
      <c r="D168" s="3"/>
      <c r="E168" s="5">
        <f t="shared" ref="E168:AC168" si="9">SUM(E145:E167)</f>
        <v>257098</v>
      </c>
      <c r="F168" s="5">
        <f t="shared" si="9"/>
        <v>91582</v>
      </c>
      <c r="G168" s="5">
        <f t="shared" si="9"/>
        <v>69387</v>
      </c>
      <c r="H168" s="5">
        <f t="shared" si="9"/>
        <v>64205</v>
      </c>
      <c r="I168" s="5">
        <f t="shared" si="9"/>
        <v>64910</v>
      </c>
      <c r="J168" s="5">
        <f t="shared" si="9"/>
        <v>71571</v>
      </c>
      <c r="K168" s="5">
        <f t="shared" si="9"/>
        <v>74885</v>
      </c>
      <c r="L168" s="5">
        <f t="shared" si="9"/>
        <v>82899</v>
      </c>
      <c r="M168" s="5">
        <f t="shared" si="9"/>
        <v>99714</v>
      </c>
      <c r="N168" s="5">
        <f t="shared" si="9"/>
        <v>115285</v>
      </c>
      <c r="O168" s="5">
        <f t="shared" si="9"/>
        <v>133217</v>
      </c>
      <c r="P168" s="5">
        <f t="shared" si="9"/>
        <v>150076</v>
      </c>
      <c r="Q168" s="5">
        <f t="shared" si="9"/>
        <v>171630</v>
      </c>
      <c r="R168" s="5">
        <f t="shared" si="9"/>
        <v>184375</v>
      </c>
      <c r="S168" s="5">
        <f t="shared" si="9"/>
        <v>193097</v>
      </c>
      <c r="T168" s="5">
        <f t="shared" si="9"/>
        <v>200520</v>
      </c>
      <c r="U168" s="5">
        <f t="shared" si="9"/>
        <v>214881</v>
      </c>
      <c r="V168" s="5">
        <f t="shared" si="9"/>
        <v>222246</v>
      </c>
      <c r="W168" s="5">
        <f t="shared" si="9"/>
        <v>233675</v>
      </c>
      <c r="X168" s="5">
        <f t="shared" si="9"/>
        <v>244987</v>
      </c>
      <c r="Y168" s="5">
        <f t="shared" si="9"/>
        <v>0</v>
      </c>
      <c r="Z168" s="5">
        <f t="shared" si="9"/>
        <v>0</v>
      </c>
      <c r="AA168" s="5">
        <f t="shared" si="9"/>
        <v>0</v>
      </c>
      <c r="AB168" s="5">
        <f t="shared" si="9"/>
        <v>0</v>
      </c>
      <c r="AC168" s="5">
        <f t="shared" si="9"/>
        <v>0</v>
      </c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2:83" ht="13.8" thickTop="1" x14ac:dyDescent="0.25">
      <c r="C169" s="3"/>
      <c r="D169" s="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2:83" x14ac:dyDescent="0.25">
      <c r="C170" s="3"/>
      <c r="D170" s="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2:83" ht="13.8" thickBot="1" x14ac:dyDescent="0.3">
      <c r="C171" s="3"/>
      <c r="D171" s="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2:83" ht="16.2" thickBot="1" x14ac:dyDescent="0.35">
      <c r="B172" s="11" t="s">
        <v>145</v>
      </c>
      <c r="C172" s="13"/>
      <c r="D172" s="3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6"/>
      <c r="Y172" s="6"/>
      <c r="Z172" s="6"/>
      <c r="AA172" s="6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6"/>
      <c r="AP172" s="6"/>
      <c r="AQ172" s="6"/>
      <c r="AR172" s="6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8"/>
      <c r="BM172" s="6"/>
      <c r="BN172" s="6"/>
      <c r="BO172" s="6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</row>
    <row r="173" spans="2:83" ht="21.6" thickBot="1" x14ac:dyDescent="0.3">
      <c r="B173" s="14" t="s">
        <v>1</v>
      </c>
      <c r="C173" s="14" t="s">
        <v>2</v>
      </c>
      <c r="D173" s="14" t="s">
        <v>3</v>
      </c>
      <c r="E173" s="14" t="s">
        <v>4</v>
      </c>
      <c r="F173" s="14" t="s">
        <v>146</v>
      </c>
      <c r="G173" s="14" t="s">
        <v>147</v>
      </c>
      <c r="H173" s="14" t="s">
        <v>148</v>
      </c>
      <c r="I173" s="14" t="s">
        <v>149</v>
      </c>
      <c r="J173" s="14" t="s">
        <v>148</v>
      </c>
      <c r="K173" s="14" t="s">
        <v>150</v>
      </c>
      <c r="L173" s="14" t="s">
        <v>152</v>
      </c>
      <c r="M173" s="14" t="s">
        <v>151</v>
      </c>
      <c r="N173" s="14" t="s">
        <v>153</v>
      </c>
      <c r="O173" s="14" t="s">
        <v>154</v>
      </c>
      <c r="P173" s="14" t="s">
        <v>155</v>
      </c>
      <c r="Q173" s="14" t="s">
        <v>92</v>
      </c>
      <c r="R173" s="14" t="s">
        <v>168</v>
      </c>
      <c r="S173" s="14" t="s">
        <v>95</v>
      </c>
      <c r="T173" s="14" t="s">
        <v>156</v>
      </c>
      <c r="U173" s="14" t="s">
        <v>143</v>
      </c>
      <c r="V173" s="14" t="s">
        <v>157</v>
      </c>
      <c r="W173" s="14" t="s">
        <v>141</v>
      </c>
      <c r="X173" s="14" t="s">
        <v>158</v>
      </c>
      <c r="Y173" s="14" t="s">
        <v>139</v>
      </c>
      <c r="Z173" s="14" t="s">
        <v>159</v>
      </c>
      <c r="AA173" s="19" t="s">
        <v>137</v>
      </c>
      <c r="AB173" s="19" t="s">
        <v>160</v>
      </c>
      <c r="AC173" s="14" t="s">
        <v>135</v>
      </c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6"/>
      <c r="AS173" s="16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6"/>
      <c r="BP173" s="16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7"/>
      <c r="CD173" s="17"/>
      <c r="CE173" s="17"/>
    </row>
    <row r="174" spans="2:83" ht="13.5" customHeight="1" x14ac:dyDescent="0.25">
      <c r="B174" s="2" t="s">
        <v>16</v>
      </c>
      <c r="C174" s="3" t="s">
        <v>60</v>
      </c>
      <c r="D174" s="3" t="s">
        <v>18</v>
      </c>
      <c r="E174" s="4">
        <v>3000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Q174" s="4">
        <v>1607</v>
      </c>
      <c r="S174" s="4">
        <v>1184</v>
      </c>
      <c r="T174" s="4"/>
      <c r="W174" s="4">
        <v>1555</v>
      </c>
      <c r="X174" s="4"/>
      <c r="Y174" s="4">
        <v>1552</v>
      </c>
      <c r="Z174" s="4"/>
      <c r="AA174" s="4">
        <v>1438</v>
      </c>
      <c r="AB174" s="4"/>
      <c r="AC174" s="4">
        <v>2440</v>
      </c>
    </row>
    <row r="175" spans="2:83" x14ac:dyDescent="0.25">
      <c r="B175" s="2" t="s">
        <v>63</v>
      </c>
      <c r="C175" s="3" t="s">
        <v>64</v>
      </c>
      <c r="D175" s="3" t="s">
        <v>65</v>
      </c>
      <c r="E175" s="4">
        <v>5200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Q175" s="4">
        <v>1901</v>
      </c>
      <c r="S175" s="4">
        <v>2100</v>
      </c>
      <c r="T175" s="4"/>
      <c r="W175" s="4">
        <v>4049</v>
      </c>
      <c r="X175" s="4"/>
      <c r="Y175" s="4">
        <v>4211</v>
      </c>
      <c r="Z175" s="4"/>
      <c r="AA175" s="4">
        <v>3613</v>
      </c>
      <c r="AB175" s="4"/>
      <c r="AC175" s="4">
        <v>3189</v>
      </c>
    </row>
    <row r="176" spans="2:83" x14ac:dyDescent="0.25">
      <c r="B176" s="2" t="s">
        <v>66</v>
      </c>
      <c r="C176" s="3" t="s">
        <v>67</v>
      </c>
      <c r="D176" s="3" t="s">
        <v>62</v>
      </c>
      <c r="E176" s="4">
        <v>2580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Q176" s="4">
        <f>1097+2253</f>
        <v>3350</v>
      </c>
      <c r="S176" s="4">
        <f>1369+2333</f>
        <v>3702</v>
      </c>
      <c r="T176" s="4"/>
      <c r="W176" s="4">
        <f>1293+3441</f>
        <v>4734</v>
      </c>
      <c r="X176" s="4"/>
      <c r="Y176" s="4">
        <f>3841+1208</f>
        <v>5049</v>
      </c>
      <c r="Z176" s="4"/>
      <c r="AA176" s="4">
        <f>4227</f>
        <v>4227</v>
      </c>
      <c r="AB176" s="4"/>
      <c r="AC176" s="4">
        <f>2715+817</f>
        <v>3532</v>
      </c>
    </row>
    <row r="177" spans="2:78" x14ac:dyDescent="0.25">
      <c r="B177" s="2" t="s">
        <v>69</v>
      </c>
      <c r="C177" s="3" t="s">
        <v>70</v>
      </c>
      <c r="D177" s="3" t="s">
        <v>71</v>
      </c>
      <c r="E177" s="4">
        <v>3659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Q177" s="4">
        <v>638</v>
      </c>
      <c r="S177" s="4">
        <v>1700</v>
      </c>
      <c r="T177" s="4"/>
      <c r="W177" s="4">
        <v>1756</v>
      </c>
      <c r="X177" s="4"/>
      <c r="Y177" s="7">
        <v>1240</v>
      </c>
      <c r="Z177" s="7"/>
      <c r="AA177" s="4">
        <v>527</v>
      </c>
      <c r="AB177" s="4"/>
      <c r="AC177" s="4">
        <v>1454</v>
      </c>
    </row>
    <row r="178" spans="2:78" x14ac:dyDescent="0.25">
      <c r="B178" s="2" t="s">
        <v>31</v>
      </c>
      <c r="C178" s="3" t="s">
        <v>72</v>
      </c>
      <c r="D178" s="3" t="s">
        <v>73</v>
      </c>
      <c r="E178" s="7">
        <v>7100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Q178" s="7">
        <v>5179</v>
      </c>
      <c r="S178" s="7">
        <v>5251</v>
      </c>
      <c r="T178" s="7"/>
      <c r="W178" s="7">
        <v>5862</v>
      </c>
      <c r="X178" s="7"/>
      <c r="Y178" s="4">
        <v>6250</v>
      </c>
      <c r="Z178" s="4"/>
      <c r="AA178" s="7">
        <v>5883</v>
      </c>
      <c r="AB178" s="7"/>
      <c r="AC178" s="7">
        <v>5910</v>
      </c>
    </row>
    <row r="179" spans="2:78" x14ac:dyDescent="0.25">
      <c r="B179" s="2" t="s">
        <v>74</v>
      </c>
      <c r="C179" s="3" t="s">
        <v>75</v>
      </c>
      <c r="D179" s="3" t="s">
        <v>71</v>
      </c>
      <c r="E179" s="4">
        <v>10000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Q179" s="4">
        <v>3133</v>
      </c>
      <c r="S179" s="4">
        <v>3594</v>
      </c>
      <c r="T179" s="4"/>
      <c r="W179" s="4">
        <v>7383</v>
      </c>
      <c r="X179" s="4"/>
      <c r="Y179" s="4">
        <v>6655</v>
      </c>
      <c r="Z179" s="4"/>
      <c r="AA179" s="4">
        <v>6075</v>
      </c>
      <c r="AB179" s="4"/>
      <c r="AC179" s="4">
        <v>5077</v>
      </c>
    </row>
    <row r="180" spans="2:78" x14ac:dyDescent="0.25">
      <c r="B180" s="2" t="s">
        <v>82</v>
      </c>
      <c r="C180" s="3" t="s">
        <v>83</v>
      </c>
      <c r="D180" s="3" t="s">
        <v>84</v>
      </c>
      <c r="E180" s="4">
        <v>8299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Q180" s="4">
        <v>4942</v>
      </c>
      <c r="S180" s="4">
        <v>4933</v>
      </c>
      <c r="T180" s="4"/>
      <c r="W180" s="4">
        <v>6236</v>
      </c>
      <c r="X180" s="4"/>
      <c r="Y180" s="4">
        <v>5692</v>
      </c>
      <c r="Z180" s="4"/>
      <c r="AA180" s="4">
        <v>5828</v>
      </c>
      <c r="AB180" s="4"/>
      <c r="AC180" s="4">
        <v>6313</v>
      </c>
    </row>
    <row r="181" spans="2:78" x14ac:dyDescent="0.25">
      <c r="B181" s="2" t="s">
        <v>79</v>
      </c>
      <c r="C181" s="3" t="s">
        <v>80</v>
      </c>
      <c r="D181" s="3" t="s">
        <v>62</v>
      </c>
      <c r="E181" s="4">
        <v>1800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Q181" s="4">
        <v>547</v>
      </c>
      <c r="S181" s="4">
        <v>538</v>
      </c>
      <c r="T181" s="4"/>
      <c r="W181" s="4">
        <v>1287</v>
      </c>
      <c r="X181" s="4"/>
      <c r="Y181" s="4">
        <v>1072</v>
      </c>
      <c r="Z181" s="4"/>
      <c r="AA181" s="4">
        <v>1124</v>
      </c>
      <c r="AB181" s="4"/>
      <c r="AC181" s="4">
        <v>1056</v>
      </c>
    </row>
    <row r="182" spans="2:78" x14ac:dyDescent="0.25">
      <c r="B182" s="2" t="s">
        <v>68</v>
      </c>
      <c r="C182" s="3" t="s">
        <v>64</v>
      </c>
      <c r="D182" s="3" t="s">
        <v>65</v>
      </c>
      <c r="E182" s="4">
        <v>8500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Q182" s="4">
        <v>1535</v>
      </c>
      <c r="S182" s="4">
        <v>2283</v>
      </c>
      <c r="T182" s="4"/>
      <c r="W182" s="4">
        <v>1691</v>
      </c>
      <c r="X182" s="4"/>
      <c r="Y182" s="4">
        <v>1685</v>
      </c>
      <c r="Z182" s="4"/>
      <c r="AA182" s="4">
        <v>5980</v>
      </c>
      <c r="AB182" s="4"/>
      <c r="AC182" s="4">
        <v>4712</v>
      </c>
    </row>
    <row r="183" spans="2:78" x14ac:dyDescent="0.25">
      <c r="B183" s="2" t="s">
        <v>61</v>
      </c>
      <c r="C183" s="3" t="s">
        <v>94</v>
      </c>
      <c r="D183" s="3" t="s">
        <v>62</v>
      </c>
      <c r="E183" s="4">
        <v>1700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Q183" s="4">
        <v>1422</v>
      </c>
      <c r="S183" s="4">
        <v>1431</v>
      </c>
      <c r="T183" s="4"/>
      <c r="W183" s="4">
        <v>813</v>
      </c>
      <c r="X183" s="4"/>
      <c r="Y183" s="4">
        <v>1524</v>
      </c>
      <c r="Z183" s="4"/>
      <c r="AA183" s="4">
        <v>827</v>
      </c>
      <c r="AB183" s="4"/>
      <c r="AC183" s="4">
        <v>1399</v>
      </c>
    </row>
    <row r="184" spans="2:78" x14ac:dyDescent="0.25">
      <c r="B184" s="2" t="s">
        <v>76</v>
      </c>
      <c r="C184" s="3" t="s">
        <v>77</v>
      </c>
      <c r="D184" s="3" t="s">
        <v>78</v>
      </c>
      <c r="E184" s="4">
        <v>6000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Q184" s="4">
        <v>1095</v>
      </c>
      <c r="S184" s="4">
        <v>1489</v>
      </c>
      <c r="T184" s="4"/>
      <c r="W184" s="4">
        <v>3745</v>
      </c>
      <c r="X184" s="4"/>
      <c r="Y184" s="4">
        <v>3124</v>
      </c>
      <c r="Z184" s="4"/>
      <c r="AA184" s="4">
        <v>2713</v>
      </c>
      <c r="AB184" s="4"/>
      <c r="AC184" s="4">
        <v>4041</v>
      </c>
    </row>
    <row r="185" spans="2:78" x14ac:dyDescent="0.25">
      <c r="B185" s="2" t="s">
        <v>52</v>
      </c>
      <c r="C185" s="3" t="s">
        <v>81</v>
      </c>
      <c r="D185" s="3" t="s">
        <v>73</v>
      </c>
      <c r="E185" s="4">
        <v>8810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Q185" s="4">
        <v>8114</v>
      </c>
      <c r="S185" s="4">
        <v>6956</v>
      </c>
      <c r="T185" s="4"/>
      <c r="W185" s="4">
        <v>6655</v>
      </c>
      <c r="X185" s="4"/>
      <c r="Y185" s="4">
        <v>7441</v>
      </c>
      <c r="Z185" s="4"/>
      <c r="AA185" s="4">
        <v>8190</v>
      </c>
      <c r="AB185" s="4"/>
      <c r="AC185" s="4">
        <v>8659</v>
      </c>
    </row>
    <row r="186" spans="2:78" ht="13.8" thickBot="1" x14ac:dyDescent="0.3">
      <c r="B186" s="2" t="s">
        <v>85</v>
      </c>
      <c r="C186" s="3"/>
      <c r="D186" s="3"/>
      <c r="E186" s="5">
        <f>SUM(E174:E185)</f>
        <v>66648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>
        <f>SUM(Q174:Q185)</f>
        <v>33463</v>
      </c>
      <c r="R186" s="5"/>
      <c r="S186" s="5">
        <f>SUM(S174:S185)</f>
        <v>35161</v>
      </c>
      <c r="T186" s="5"/>
      <c r="U186" s="5"/>
      <c r="V186" s="5"/>
      <c r="W186" s="5">
        <f>SUM(W174:W185)</f>
        <v>45766</v>
      </c>
      <c r="X186" s="5"/>
      <c r="Y186" s="5">
        <f>SUM(Y174:Y185)</f>
        <v>45495</v>
      </c>
      <c r="Z186" s="5"/>
      <c r="AA186" s="5">
        <f>SUM(AA174:AA185)</f>
        <v>46425</v>
      </c>
      <c r="AB186" s="5"/>
      <c r="AC186" s="5">
        <f>SUM(AC174:AC185)</f>
        <v>47782</v>
      </c>
      <c r="AD186" s="5"/>
    </row>
    <row r="187" spans="2:78" ht="14.4" thickTop="1" thickBot="1" x14ac:dyDescent="0.3">
      <c r="B187" s="2" t="s">
        <v>86</v>
      </c>
      <c r="E187" s="9">
        <f t="shared" ref="E187:AC187" si="10">E186+E26</f>
        <v>323746</v>
      </c>
      <c r="F187" s="9">
        <f t="shared" si="10"/>
        <v>0</v>
      </c>
      <c r="G187" s="9">
        <f t="shared" si="10"/>
        <v>0</v>
      </c>
      <c r="H187" s="9">
        <f t="shared" si="10"/>
        <v>0</v>
      </c>
      <c r="I187" s="9">
        <f t="shared" si="10"/>
        <v>0</v>
      </c>
      <c r="J187" s="9">
        <f t="shared" si="10"/>
        <v>0</v>
      </c>
      <c r="K187" s="9">
        <f t="shared" si="10"/>
        <v>0</v>
      </c>
      <c r="L187" s="9">
        <f t="shared" si="10"/>
        <v>0</v>
      </c>
      <c r="M187" s="9">
        <f t="shared" si="10"/>
        <v>0</v>
      </c>
      <c r="N187" s="9">
        <f t="shared" si="10"/>
        <v>0</v>
      </c>
      <c r="O187" s="9">
        <f t="shared" si="10"/>
        <v>0</v>
      </c>
      <c r="P187" s="9">
        <f t="shared" si="10"/>
        <v>0</v>
      </c>
      <c r="Q187" s="9">
        <f t="shared" si="10"/>
        <v>140709</v>
      </c>
      <c r="R187" s="9">
        <f t="shared" si="10"/>
        <v>0</v>
      </c>
      <c r="S187" s="9">
        <f t="shared" si="10"/>
        <v>141211</v>
      </c>
      <c r="T187" s="9">
        <f t="shared" si="10"/>
        <v>0</v>
      </c>
      <c r="U187" s="9">
        <f t="shared" si="10"/>
        <v>0</v>
      </c>
      <c r="V187" s="9">
        <f t="shared" si="10"/>
        <v>0</v>
      </c>
      <c r="W187" s="9">
        <f t="shared" si="10"/>
        <v>201725</v>
      </c>
      <c r="X187" s="9">
        <f t="shared" si="10"/>
        <v>0</v>
      </c>
      <c r="Y187" s="9">
        <f t="shared" si="10"/>
        <v>226126</v>
      </c>
      <c r="Z187" s="9">
        <f t="shared" si="10"/>
        <v>0</v>
      </c>
      <c r="AA187" s="9">
        <f t="shared" si="10"/>
        <v>213429</v>
      </c>
      <c r="AB187" s="9">
        <f t="shared" si="10"/>
        <v>0</v>
      </c>
      <c r="AC187" s="9">
        <f t="shared" si="10"/>
        <v>184566</v>
      </c>
      <c r="AD187" s="9"/>
    </row>
    <row r="188" spans="2:78" ht="14.4" thickTop="1" thickBot="1" x14ac:dyDescent="0.3">
      <c r="X188" s="10"/>
      <c r="Y188" s="10"/>
      <c r="Z188" s="10"/>
      <c r="AA188" s="10"/>
      <c r="AB188" s="10"/>
      <c r="AC188" s="10"/>
      <c r="AD188" s="10" t="e">
        <f>#REF!/#REF!</f>
        <v>#REF!</v>
      </c>
      <c r="AE188" s="10"/>
      <c r="AO188" s="10" t="e">
        <f>#REF!/C187</f>
        <v>#REF!</v>
      </c>
      <c r="AP188" s="10"/>
      <c r="AQ188" s="10"/>
      <c r="AR188" s="10"/>
      <c r="AS188" s="10" t="e">
        <f>#REF!/S187</f>
        <v>#REF!</v>
      </c>
      <c r="AT188" s="10"/>
      <c r="AU188" s="10" t="e">
        <f>#REF!/#REF!</f>
        <v>#REF!</v>
      </c>
      <c r="AV188" s="10"/>
      <c r="AW188" s="10" t="e">
        <f>#REF!/#REF!</f>
        <v>#REF!</v>
      </c>
      <c r="AX188" s="10" t="e">
        <f>#REF!/#REF!</f>
        <v>#REF!</v>
      </c>
      <c r="AY188" s="10" t="e">
        <f>#REF!/#REF!</f>
        <v>#REF!</v>
      </c>
      <c r="AZ188" s="10"/>
      <c r="BL188" s="10" t="e">
        <f>#REF!/#REF!</f>
        <v>#REF!</v>
      </c>
      <c r="BM188" s="10" t="e">
        <f>#REF!/B187</f>
        <v>#REF!</v>
      </c>
      <c r="BN188" s="10" t="e">
        <f>#REF!/D187</f>
        <v>#REF!</v>
      </c>
      <c r="BO188" s="10"/>
      <c r="BP188" s="10" t="e">
        <f>#REF!/E187</f>
        <v>#REF!</v>
      </c>
      <c r="BQ188" s="10" t="e">
        <f>#REF!/Q187</f>
        <v>#REF!</v>
      </c>
      <c r="BR188" s="10" t="e">
        <f>#REF!/#REF!</f>
        <v>#REF!</v>
      </c>
      <c r="BS188" s="10" t="e">
        <f>#REF!/#REF!</f>
        <v>#REF!</v>
      </c>
      <c r="BT188" s="10" t="e">
        <f>#REF!/#REF!</f>
        <v>#REF!</v>
      </c>
      <c r="BU188" s="10" t="e">
        <f>#REF!/#REF!</f>
        <v>#REF!</v>
      </c>
      <c r="BV188" s="10" t="e">
        <f>#REF!/#REF!</f>
        <v>#REF!</v>
      </c>
      <c r="BW188" s="10" t="e">
        <f>#REF!/#REF!</f>
        <v>#REF!</v>
      </c>
      <c r="BX188" s="10" t="e">
        <f>#REF!/#REF!</f>
        <v>#REF!</v>
      </c>
      <c r="BZ188" s="10"/>
    </row>
    <row r="189" spans="2:78" ht="21.6" thickBot="1" x14ac:dyDescent="0.3">
      <c r="B189" s="14" t="s">
        <v>1</v>
      </c>
      <c r="C189" s="14" t="s">
        <v>2</v>
      </c>
      <c r="D189" s="14" t="s">
        <v>3</v>
      </c>
      <c r="E189" s="14" t="s">
        <v>4</v>
      </c>
      <c r="F189" s="14" t="s">
        <v>161</v>
      </c>
      <c r="G189" s="14" t="s">
        <v>133</v>
      </c>
      <c r="H189" s="14" t="s">
        <v>162</v>
      </c>
      <c r="I189" s="14" t="s">
        <v>131</v>
      </c>
      <c r="J189" s="14" t="s">
        <v>163</v>
      </c>
      <c r="K189" s="14" t="s">
        <v>129</v>
      </c>
      <c r="L189" s="14" t="s">
        <v>164</v>
      </c>
      <c r="M189" s="14" t="s">
        <v>128</v>
      </c>
      <c r="N189" s="14" t="s">
        <v>165</v>
      </c>
      <c r="O189" s="14" t="s">
        <v>127</v>
      </c>
      <c r="P189" s="14" t="s">
        <v>166</v>
      </c>
      <c r="Q189" s="14" t="s">
        <v>91</v>
      </c>
      <c r="R189" s="14" t="s">
        <v>93</v>
      </c>
      <c r="S189" s="14" t="s">
        <v>96</v>
      </c>
      <c r="T189" s="14" t="s">
        <v>97</v>
      </c>
      <c r="U189" s="14" t="s">
        <v>118</v>
      </c>
      <c r="V189" s="14" t="s">
        <v>167</v>
      </c>
      <c r="W189" s="14" t="s">
        <v>116</v>
      </c>
      <c r="X189" s="14" t="s">
        <v>142</v>
      </c>
      <c r="Y189" s="14" t="s">
        <v>111</v>
      </c>
      <c r="Z189" s="14" t="s">
        <v>140</v>
      </c>
      <c r="AA189" s="19" t="s">
        <v>114</v>
      </c>
      <c r="AB189" s="19" t="s">
        <v>138</v>
      </c>
      <c r="AC189" s="14" t="s">
        <v>107</v>
      </c>
    </row>
    <row r="190" spans="2:78" ht="6" customHeight="1" x14ac:dyDescent="0.25">
      <c r="B190" s="2" t="s">
        <v>16</v>
      </c>
      <c r="C190" s="3" t="s">
        <v>60</v>
      </c>
      <c r="D190" s="3" t="s">
        <v>18</v>
      </c>
      <c r="E190" s="4">
        <v>3000</v>
      </c>
      <c r="G190" s="4">
        <v>1696</v>
      </c>
      <c r="I190" s="4">
        <v>904</v>
      </c>
      <c r="K190" s="4">
        <v>1842</v>
      </c>
      <c r="M190" s="4">
        <v>658</v>
      </c>
      <c r="O190" s="4">
        <v>1766</v>
      </c>
      <c r="Q190" s="4">
        <v>1759</v>
      </c>
      <c r="R190" s="4">
        <v>850</v>
      </c>
      <c r="S190" s="4">
        <v>415</v>
      </c>
      <c r="T190" s="4">
        <v>824</v>
      </c>
      <c r="U190" s="4">
        <v>458</v>
      </c>
      <c r="W190" s="4">
        <v>1772</v>
      </c>
      <c r="X190" s="4">
        <v>2056</v>
      </c>
      <c r="Y190" s="4">
        <v>1665</v>
      </c>
      <c r="Z190" s="4">
        <v>1420</v>
      </c>
      <c r="AA190" s="4">
        <v>1974</v>
      </c>
      <c r="AB190" s="4">
        <v>985</v>
      </c>
      <c r="AC190" s="4">
        <v>2146</v>
      </c>
    </row>
    <row r="191" spans="2:78" x14ac:dyDescent="0.25">
      <c r="B191" s="2" t="s">
        <v>63</v>
      </c>
      <c r="C191" s="3" t="s">
        <v>64</v>
      </c>
      <c r="D191" s="3" t="s">
        <v>65</v>
      </c>
      <c r="E191" s="4">
        <v>5200</v>
      </c>
      <c r="G191" s="4">
        <v>1427</v>
      </c>
      <c r="I191" s="4">
        <v>926</v>
      </c>
      <c r="K191" s="4">
        <v>1585</v>
      </c>
      <c r="M191" s="4">
        <v>3027</v>
      </c>
      <c r="O191" s="4">
        <v>4313</v>
      </c>
      <c r="Q191" s="4">
        <v>4675</v>
      </c>
      <c r="R191" s="4">
        <v>4524</v>
      </c>
      <c r="S191" s="4">
        <v>4084</v>
      </c>
      <c r="T191" s="4">
        <v>4512</v>
      </c>
      <c r="U191" s="4">
        <v>3867</v>
      </c>
      <c r="W191" s="4">
        <v>5573</v>
      </c>
      <c r="X191" s="4">
        <v>6874</v>
      </c>
      <c r="Y191" s="4">
        <v>7142</v>
      </c>
      <c r="Z191" s="4">
        <v>7090</v>
      </c>
      <c r="AA191" s="4">
        <v>7135</v>
      </c>
      <c r="AB191" s="4">
        <v>5788</v>
      </c>
      <c r="AC191" s="4">
        <v>4929</v>
      </c>
    </row>
    <row r="192" spans="2:78" x14ac:dyDescent="0.25">
      <c r="B192" s="2" t="s">
        <v>66</v>
      </c>
      <c r="C192" s="3" t="s">
        <v>67</v>
      </c>
      <c r="D192" s="3" t="s">
        <v>62</v>
      </c>
      <c r="E192" s="4">
        <v>2580</v>
      </c>
      <c r="G192" s="4">
        <f>2072+706</f>
        <v>2778</v>
      </c>
      <c r="I192" s="4">
        <f>1872+683</f>
        <v>2555</v>
      </c>
      <c r="K192" s="4">
        <f>2694+775</f>
        <v>3469</v>
      </c>
      <c r="M192" s="4">
        <f>3171+865</f>
        <v>4036</v>
      </c>
      <c r="O192" s="4">
        <f>3524+967</f>
        <v>4491</v>
      </c>
      <c r="Q192" s="4">
        <f>745+3573</f>
        <v>4318</v>
      </c>
      <c r="R192" s="4">
        <f>749+3689</f>
        <v>4438</v>
      </c>
      <c r="S192" s="4">
        <f>3709+805</f>
        <v>4514</v>
      </c>
      <c r="T192" s="4">
        <f>566+3709</f>
        <v>4275</v>
      </c>
      <c r="U192" s="4">
        <f>3709+545</f>
        <v>4254</v>
      </c>
      <c r="W192" s="4">
        <f>3772+638</f>
        <v>4410</v>
      </c>
      <c r="X192" s="4">
        <f>304+3821</f>
        <v>4125</v>
      </c>
      <c r="Y192" s="4">
        <f>3815+926</f>
        <v>4741</v>
      </c>
      <c r="Z192" s="4">
        <f>3640+1210</f>
        <v>4850</v>
      </c>
      <c r="AA192" s="4">
        <f>3315+746</f>
        <v>4061</v>
      </c>
      <c r="AB192" s="4">
        <f>2804+60</f>
        <v>2864</v>
      </c>
      <c r="AC192" s="4">
        <f>2407+851</f>
        <v>3258</v>
      </c>
    </row>
    <row r="193" spans="2:79" x14ac:dyDescent="0.25">
      <c r="B193" s="2" t="s">
        <v>69</v>
      </c>
      <c r="C193" s="3" t="s">
        <v>70</v>
      </c>
      <c r="D193" s="3" t="s">
        <v>71</v>
      </c>
      <c r="E193" s="4">
        <v>3659</v>
      </c>
      <c r="G193" s="4">
        <v>953</v>
      </c>
      <c r="I193" s="4">
        <v>439</v>
      </c>
      <c r="K193" s="4">
        <v>846</v>
      </c>
      <c r="M193" s="4">
        <v>56</v>
      </c>
      <c r="O193" s="4">
        <v>108</v>
      </c>
      <c r="Q193" s="4">
        <v>339</v>
      </c>
      <c r="R193" s="4">
        <v>424</v>
      </c>
      <c r="S193" s="4">
        <v>568</v>
      </c>
      <c r="T193" s="4">
        <v>243</v>
      </c>
      <c r="U193" s="4">
        <v>904</v>
      </c>
      <c r="W193" s="4">
        <v>902</v>
      </c>
      <c r="X193" s="4">
        <v>1099</v>
      </c>
      <c r="Y193" s="4">
        <v>737</v>
      </c>
      <c r="Z193" s="4">
        <v>900</v>
      </c>
      <c r="AA193" s="4">
        <v>1176</v>
      </c>
      <c r="AB193" s="7">
        <v>735</v>
      </c>
      <c r="AC193" s="4">
        <v>597</v>
      </c>
    </row>
    <row r="194" spans="2:79" x14ac:dyDescent="0.25">
      <c r="B194" s="2" t="s">
        <v>31</v>
      </c>
      <c r="C194" s="3" t="s">
        <v>72</v>
      </c>
      <c r="D194" s="3" t="s">
        <v>73</v>
      </c>
      <c r="E194" s="7">
        <v>7100</v>
      </c>
      <c r="G194" s="7">
        <v>4982</v>
      </c>
      <c r="I194" s="7">
        <v>2104</v>
      </c>
      <c r="K194" s="7">
        <v>4423</v>
      </c>
      <c r="M194" s="4">
        <v>3570</v>
      </c>
      <c r="O194" s="4">
        <v>4155</v>
      </c>
      <c r="Q194" s="7">
        <v>4631</v>
      </c>
      <c r="R194" s="7">
        <v>4589</v>
      </c>
      <c r="S194" s="4">
        <v>4643</v>
      </c>
      <c r="T194" s="7">
        <v>4792</v>
      </c>
      <c r="U194" s="4">
        <v>5345</v>
      </c>
      <c r="W194" s="7">
        <v>6117</v>
      </c>
      <c r="X194" s="7">
        <v>6171</v>
      </c>
      <c r="Y194" s="7">
        <v>6256</v>
      </c>
      <c r="Z194" s="7">
        <v>6300</v>
      </c>
      <c r="AA194" s="7">
        <v>6454</v>
      </c>
      <c r="AB194" s="4">
        <v>6371</v>
      </c>
      <c r="AC194" s="7">
        <v>6330</v>
      </c>
    </row>
    <row r="195" spans="2:79" x14ac:dyDescent="0.25">
      <c r="B195" s="2" t="s">
        <v>74</v>
      </c>
      <c r="C195" s="3" t="s">
        <v>75</v>
      </c>
      <c r="D195" s="3" t="s">
        <v>71</v>
      </c>
      <c r="E195" s="4">
        <v>10000</v>
      </c>
      <c r="G195" s="4">
        <v>2439</v>
      </c>
      <c r="I195" s="4">
        <v>1392</v>
      </c>
      <c r="K195" s="4">
        <v>2477</v>
      </c>
      <c r="M195" s="4">
        <v>2564</v>
      </c>
      <c r="O195" s="4">
        <v>3915</v>
      </c>
      <c r="Q195" s="4">
        <v>5520</v>
      </c>
      <c r="R195" s="4">
        <v>5552</v>
      </c>
      <c r="S195" s="4">
        <v>3765</v>
      </c>
      <c r="T195" s="4">
        <v>3809</v>
      </c>
      <c r="U195" s="4">
        <v>3379</v>
      </c>
      <c r="W195" s="4">
        <v>4509</v>
      </c>
      <c r="X195" s="4">
        <v>5811</v>
      </c>
      <c r="Y195" s="4">
        <v>6701</v>
      </c>
      <c r="Z195" s="4">
        <v>6760</v>
      </c>
      <c r="AA195" s="4">
        <v>6388</v>
      </c>
      <c r="AB195" s="4">
        <v>5781</v>
      </c>
      <c r="AC195" s="4">
        <v>4015</v>
      </c>
    </row>
    <row r="196" spans="2:79" x14ac:dyDescent="0.25">
      <c r="B196" s="2" t="s">
        <v>82</v>
      </c>
      <c r="C196" s="3" t="s">
        <v>83</v>
      </c>
      <c r="D196" s="3" t="s">
        <v>84</v>
      </c>
      <c r="E196" s="4">
        <v>8299</v>
      </c>
      <c r="G196" s="4">
        <v>3521</v>
      </c>
      <c r="I196" s="4">
        <v>720</v>
      </c>
      <c r="K196" s="4">
        <v>2988</v>
      </c>
      <c r="M196" s="4">
        <v>3051</v>
      </c>
      <c r="O196" s="4">
        <v>5122</v>
      </c>
      <c r="Q196" s="4">
        <v>5122</v>
      </c>
      <c r="R196" s="4">
        <v>5317</v>
      </c>
      <c r="S196" s="4">
        <v>2707</v>
      </c>
      <c r="T196" s="4">
        <v>1794</v>
      </c>
      <c r="U196" s="4">
        <v>1986</v>
      </c>
      <c r="W196" s="4">
        <v>4212</v>
      </c>
      <c r="X196" s="4">
        <v>6207</v>
      </c>
      <c r="Y196" s="4">
        <v>5270</v>
      </c>
      <c r="Z196" s="4">
        <v>5149</v>
      </c>
      <c r="AA196" s="4">
        <v>5696</v>
      </c>
      <c r="AB196" s="4">
        <v>4492</v>
      </c>
      <c r="AC196" s="4">
        <v>4701</v>
      </c>
    </row>
    <row r="197" spans="2:79" x14ac:dyDescent="0.25">
      <c r="B197" s="2" t="s">
        <v>79</v>
      </c>
      <c r="C197" s="3" t="s">
        <v>80</v>
      </c>
      <c r="D197" s="3" t="s">
        <v>62</v>
      </c>
      <c r="E197" s="4">
        <v>1800</v>
      </c>
      <c r="G197" s="4">
        <v>537</v>
      </c>
      <c r="I197" s="4">
        <v>513</v>
      </c>
      <c r="K197" s="4">
        <v>605</v>
      </c>
      <c r="M197" s="4">
        <v>937</v>
      </c>
      <c r="O197" s="4">
        <v>999</v>
      </c>
      <c r="Q197" s="4">
        <v>956</v>
      </c>
      <c r="R197" s="4">
        <v>921</v>
      </c>
      <c r="S197" s="4">
        <v>885</v>
      </c>
      <c r="T197" s="4">
        <v>794</v>
      </c>
      <c r="U197" s="4">
        <v>806</v>
      </c>
      <c r="W197" s="4">
        <v>1027</v>
      </c>
      <c r="X197" s="4">
        <v>758</v>
      </c>
      <c r="Y197" s="4">
        <v>1328</v>
      </c>
      <c r="Z197" s="4">
        <v>1349</v>
      </c>
      <c r="AA197" s="4">
        <v>1160</v>
      </c>
      <c r="AB197" s="4">
        <v>1056</v>
      </c>
      <c r="AC197" s="4">
        <v>1004</v>
      </c>
    </row>
    <row r="198" spans="2:79" x14ac:dyDescent="0.25">
      <c r="B198" s="2" t="s">
        <v>68</v>
      </c>
      <c r="C198" s="3" t="s">
        <v>64</v>
      </c>
      <c r="D198" s="3" t="s">
        <v>65</v>
      </c>
      <c r="E198" s="4">
        <v>8500</v>
      </c>
      <c r="G198" s="4">
        <v>2947</v>
      </c>
      <c r="I198" s="4">
        <v>1443</v>
      </c>
      <c r="K198" s="4">
        <v>2810</v>
      </c>
      <c r="M198" s="4">
        <v>3216</v>
      </c>
      <c r="O198" s="4">
        <v>3777</v>
      </c>
      <c r="Q198" s="4">
        <v>5692</v>
      </c>
      <c r="R198" s="4">
        <v>4274</v>
      </c>
      <c r="S198" s="4">
        <v>2569</v>
      </c>
      <c r="T198" s="4">
        <v>2256</v>
      </c>
      <c r="U198" s="4">
        <v>1472</v>
      </c>
      <c r="W198" s="4">
        <v>706</v>
      </c>
      <c r="X198" s="4">
        <v>1095</v>
      </c>
      <c r="Y198" s="4">
        <v>2416</v>
      </c>
      <c r="Z198" s="4">
        <v>3879</v>
      </c>
      <c r="AA198" s="4">
        <v>5504</v>
      </c>
      <c r="AB198" s="4">
        <v>4467</v>
      </c>
      <c r="AC198" s="4">
        <v>5392</v>
      </c>
    </row>
    <row r="199" spans="2:79" x14ac:dyDescent="0.25">
      <c r="B199" s="2" t="s">
        <v>61</v>
      </c>
      <c r="C199" s="3" t="s">
        <v>94</v>
      </c>
      <c r="D199" s="3" t="s">
        <v>62</v>
      </c>
      <c r="E199" s="4">
        <v>1700</v>
      </c>
      <c r="G199" s="4">
        <v>765</v>
      </c>
      <c r="I199" s="4">
        <v>698</v>
      </c>
      <c r="K199" s="4">
        <v>481</v>
      </c>
      <c r="M199" s="4">
        <v>359</v>
      </c>
      <c r="O199" s="4">
        <v>864</v>
      </c>
      <c r="Q199" s="4">
        <v>1261</v>
      </c>
      <c r="R199" s="4">
        <v>927</v>
      </c>
      <c r="S199" s="4">
        <v>905</v>
      </c>
      <c r="T199" s="4">
        <v>1156</v>
      </c>
      <c r="U199" s="4">
        <v>773</v>
      </c>
      <c r="W199" s="4">
        <v>395</v>
      </c>
      <c r="X199" s="4">
        <v>1184</v>
      </c>
      <c r="Y199" s="4">
        <v>530</v>
      </c>
      <c r="Z199" s="4">
        <v>509</v>
      </c>
      <c r="AA199" s="4">
        <v>736</v>
      </c>
      <c r="AB199" s="4">
        <v>690</v>
      </c>
      <c r="AC199" s="4">
        <v>988</v>
      </c>
    </row>
    <row r="200" spans="2:79" x14ac:dyDescent="0.25">
      <c r="B200" s="2" t="s">
        <v>76</v>
      </c>
      <c r="C200" s="3" t="s">
        <v>77</v>
      </c>
      <c r="D200" s="3" t="s">
        <v>78</v>
      </c>
      <c r="E200" s="4">
        <v>6000</v>
      </c>
      <c r="G200" s="4">
        <v>2511</v>
      </c>
      <c r="I200" s="4">
        <v>1012</v>
      </c>
      <c r="K200" s="4">
        <v>734</v>
      </c>
      <c r="M200" s="4">
        <v>892</v>
      </c>
      <c r="O200" s="4">
        <v>1752</v>
      </c>
      <c r="Q200" s="4">
        <v>2214</v>
      </c>
      <c r="R200" s="4">
        <v>1903</v>
      </c>
      <c r="S200" s="4">
        <v>606</v>
      </c>
      <c r="T200" s="4">
        <v>1151</v>
      </c>
      <c r="U200" s="4">
        <v>2738</v>
      </c>
      <c r="W200" s="4">
        <v>3774</v>
      </c>
      <c r="X200" s="4">
        <v>3640</v>
      </c>
      <c r="Y200" s="4">
        <v>3505</v>
      </c>
      <c r="Z200" s="4">
        <v>3809</v>
      </c>
      <c r="AA200" s="4">
        <v>3248</v>
      </c>
      <c r="AB200" s="4">
        <v>2871</v>
      </c>
      <c r="AC200" s="4">
        <v>3122</v>
      </c>
    </row>
    <row r="201" spans="2:79" x14ac:dyDescent="0.25">
      <c r="B201" s="2" t="s">
        <v>52</v>
      </c>
      <c r="C201" s="3" t="s">
        <v>81</v>
      </c>
      <c r="D201" s="3" t="s">
        <v>73</v>
      </c>
      <c r="E201" s="4">
        <v>8810</v>
      </c>
      <c r="G201" s="4">
        <v>7583</v>
      </c>
      <c r="I201" s="4">
        <v>6786</v>
      </c>
      <c r="K201" s="4">
        <v>6760</v>
      </c>
      <c r="M201" s="4">
        <v>7433</v>
      </c>
      <c r="O201" s="4">
        <v>8042</v>
      </c>
      <c r="Q201" s="4">
        <v>8285</v>
      </c>
      <c r="R201" s="4">
        <v>7855</v>
      </c>
      <c r="S201" s="4">
        <v>6952</v>
      </c>
      <c r="T201" s="4">
        <v>6263</v>
      </c>
      <c r="U201" s="4">
        <v>5691</v>
      </c>
      <c r="W201" s="4">
        <v>5060</v>
      </c>
      <c r="X201" s="4">
        <v>6596</v>
      </c>
      <c r="Y201" s="4">
        <v>7333</v>
      </c>
      <c r="Z201" s="4">
        <v>8099</v>
      </c>
      <c r="AA201" s="4">
        <v>8541</v>
      </c>
      <c r="AB201" s="4">
        <v>8234</v>
      </c>
      <c r="AC201" s="4">
        <v>8405</v>
      </c>
    </row>
    <row r="202" spans="2:79" ht="13.8" thickBot="1" x14ac:dyDescent="0.3">
      <c r="B202" s="2" t="s">
        <v>85</v>
      </c>
      <c r="C202" s="3"/>
      <c r="D202" s="3"/>
      <c r="E202" s="5">
        <f t="shared" ref="E202:U202" si="11">SUM(E190:E201)</f>
        <v>66648</v>
      </c>
      <c r="F202" s="5">
        <f t="shared" si="11"/>
        <v>0</v>
      </c>
      <c r="G202" s="5">
        <f t="shared" si="11"/>
        <v>32139</v>
      </c>
      <c r="H202" s="5">
        <f t="shared" si="11"/>
        <v>0</v>
      </c>
      <c r="I202" s="5">
        <f t="shared" si="11"/>
        <v>19492</v>
      </c>
      <c r="J202" s="5">
        <f t="shared" si="11"/>
        <v>0</v>
      </c>
      <c r="K202" s="5">
        <f t="shared" si="11"/>
        <v>29020</v>
      </c>
      <c r="L202" s="5">
        <f t="shared" si="11"/>
        <v>0</v>
      </c>
      <c r="M202" s="5">
        <f t="shared" si="11"/>
        <v>29799</v>
      </c>
      <c r="N202" s="5">
        <f t="shared" si="11"/>
        <v>0</v>
      </c>
      <c r="O202" s="5">
        <f t="shared" si="11"/>
        <v>39304</v>
      </c>
      <c r="P202" s="5">
        <f t="shared" si="11"/>
        <v>0</v>
      </c>
      <c r="Q202" s="5">
        <f t="shared" si="11"/>
        <v>44772</v>
      </c>
      <c r="R202" s="5">
        <f t="shared" si="11"/>
        <v>41574</v>
      </c>
      <c r="S202" s="5">
        <f t="shared" si="11"/>
        <v>32613</v>
      </c>
      <c r="T202" s="5">
        <f t="shared" si="11"/>
        <v>31869</v>
      </c>
      <c r="U202" s="5">
        <f t="shared" si="11"/>
        <v>31673</v>
      </c>
      <c r="W202" s="5">
        <f t="shared" ref="W202:AC202" si="12">SUM(W190:W201)</f>
        <v>38457</v>
      </c>
      <c r="X202" s="5">
        <f t="shared" si="12"/>
        <v>45616</v>
      </c>
      <c r="Y202" s="5">
        <f t="shared" si="12"/>
        <v>47624</v>
      </c>
      <c r="Z202" s="5">
        <f t="shared" si="12"/>
        <v>50114</v>
      </c>
      <c r="AA202" s="5">
        <f t="shared" si="12"/>
        <v>52073</v>
      </c>
      <c r="AB202" s="5">
        <f t="shared" si="12"/>
        <v>44334</v>
      </c>
      <c r="AC202" s="5">
        <f t="shared" si="12"/>
        <v>44887</v>
      </c>
    </row>
    <row r="203" spans="2:79" ht="14.4" thickTop="1" thickBot="1" x14ac:dyDescent="0.3"/>
    <row r="204" spans="2:79" ht="21.6" thickBot="1" x14ac:dyDescent="0.3">
      <c r="B204" s="14" t="s">
        <v>1</v>
      </c>
      <c r="C204" s="14" t="s">
        <v>2</v>
      </c>
      <c r="D204" s="14" t="s">
        <v>3</v>
      </c>
      <c r="E204" s="14" t="s">
        <v>4</v>
      </c>
      <c r="F204" s="14" t="s">
        <v>136</v>
      </c>
      <c r="G204" s="14" t="s">
        <v>109</v>
      </c>
      <c r="H204" s="14" t="s">
        <v>134</v>
      </c>
      <c r="I204" s="14" t="s">
        <v>104</v>
      </c>
      <c r="J204" s="14" t="s">
        <v>132</v>
      </c>
      <c r="K204" s="14" t="s">
        <v>101</v>
      </c>
      <c r="L204" s="14" t="s">
        <v>130</v>
      </c>
      <c r="M204" s="14" t="s">
        <v>99</v>
      </c>
      <c r="N204" s="14" t="s">
        <v>126</v>
      </c>
      <c r="O204" s="14" t="s">
        <v>125</v>
      </c>
      <c r="P204" s="14" t="s">
        <v>124</v>
      </c>
      <c r="Q204" s="14" t="s">
        <v>123</v>
      </c>
      <c r="R204" s="14" t="s">
        <v>122</v>
      </c>
      <c r="S204" s="14" t="s">
        <v>121</v>
      </c>
      <c r="T204" s="14" t="s">
        <v>120</v>
      </c>
      <c r="U204" s="14" t="s">
        <v>117</v>
      </c>
      <c r="V204" s="14" t="s">
        <v>119</v>
      </c>
      <c r="W204" s="14" t="s">
        <v>115</v>
      </c>
      <c r="X204" s="14" t="s">
        <v>90</v>
      </c>
      <c r="Y204" s="14" t="s">
        <v>110</v>
      </c>
      <c r="Z204" s="19" t="s">
        <v>112</v>
      </c>
      <c r="AA204" s="19" t="s">
        <v>113</v>
      </c>
      <c r="AB204" s="14" t="s">
        <v>89</v>
      </c>
      <c r="AC204" s="14" t="s">
        <v>106</v>
      </c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2:79" x14ac:dyDescent="0.25">
      <c r="B205" s="2" t="s">
        <v>16</v>
      </c>
      <c r="C205" s="3" t="s">
        <v>60</v>
      </c>
      <c r="D205" s="3" t="s">
        <v>18</v>
      </c>
      <c r="E205" s="4">
        <v>3000</v>
      </c>
      <c r="F205" s="4">
        <v>1370</v>
      </c>
      <c r="G205" s="4">
        <v>1694</v>
      </c>
      <c r="H205" s="4">
        <v>1752</v>
      </c>
      <c r="I205" s="4">
        <v>1510</v>
      </c>
      <c r="J205" s="4">
        <v>1664</v>
      </c>
      <c r="K205" s="4">
        <v>1604</v>
      </c>
      <c r="L205" s="4">
        <v>1774</v>
      </c>
      <c r="M205" s="4">
        <v>2395</v>
      </c>
      <c r="N205" s="4">
        <v>2394</v>
      </c>
      <c r="O205" s="4">
        <v>1410</v>
      </c>
      <c r="P205" s="4">
        <v>2121</v>
      </c>
      <c r="Q205" s="4">
        <v>1668</v>
      </c>
      <c r="R205" s="4">
        <v>1299</v>
      </c>
      <c r="S205" s="4">
        <v>1364</v>
      </c>
      <c r="T205" s="4">
        <v>2136</v>
      </c>
      <c r="U205" s="4">
        <v>1656</v>
      </c>
      <c r="V205" s="4">
        <v>1557</v>
      </c>
      <c r="W205" s="4">
        <v>1482</v>
      </c>
      <c r="X205" s="4">
        <v>1941</v>
      </c>
      <c r="Y205" s="4">
        <v>2014</v>
      </c>
      <c r="Z205" s="4">
        <v>1285</v>
      </c>
      <c r="AA205" s="4">
        <v>2121</v>
      </c>
      <c r="AB205" s="4">
        <v>2184</v>
      </c>
      <c r="AC205" s="4">
        <v>2497</v>
      </c>
    </row>
    <row r="206" spans="2:79" x14ac:dyDescent="0.25">
      <c r="B206" s="2" t="s">
        <v>63</v>
      </c>
      <c r="C206" s="3" t="s">
        <v>64</v>
      </c>
      <c r="D206" s="3" t="s">
        <v>65</v>
      </c>
      <c r="E206" s="4">
        <v>5200</v>
      </c>
      <c r="F206" s="4">
        <v>3797</v>
      </c>
      <c r="G206" s="4">
        <v>2706</v>
      </c>
      <c r="H206" s="4">
        <v>2333</v>
      </c>
      <c r="I206" s="4">
        <v>2839</v>
      </c>
      <c r="J206" s="4">
        <v>2944</v>
      </c>
      <c r="K206" s="4">
        <v>3445</v>
      </c>
      <c r="L206" s="4">
        <v>4824</v>
      </c>
      <c r="M206" s="4">
        <v>5587</v>
      </c>
      <c r="N206" s="4">
        <v>5711</v>
      </c>
      <c r="O206" s="4">
        <v>5889</v>
      </c>
      <c r="P206" s="4">
        <v>5966</v>
      </c>
      <c r="Q206" s="4">
        <v>5134</v>
      </c>
      <c r="R206" s="4">
        <v>5966</v>
      </c>
      <c r="S206" s="4">
        <v>5825</v>
      </c>
      <c r="T206" s="4">
        <v>6929</v>
      </c>
      <c r="U206" s="4">
        <v>7460</v>
      </c>
      <c r="V206" s="4">
        <v>6308</v>
      </c>
      <c r="W206" s="4">
        <v>5117</v>
      </c>
      <c r="X206" s="4">
        <v>6308</v>
      </c>
      <c r="Y206" s="4">
        <v>7948</v>
      </c>
      <c r="Z206" s="4">
        <v>7944</v>
      </c>
      <c r="AA206" s="4">
        <v>8149</v>
      </c>
      <c r="AB206" s="4">
        <v>7528</v>
      </c>
      <c r="AC206" s="4">
        <v>6909</v>
      </c>
    </row>
    <row r="207" spans="2:79" x14ac:dyDescent="0.25">
      <c r="B207" s="2" t="s">
        <v>66</v>
      </c>
      <c r="C207" s="3" t="s">
        <v>67</v>
      </c>
      <c r="D207" s="3" t="s">
        <v>62</v>
      </c>
      <c r="E207" s="4">
        <v>2580</v>
      </c>
      <c r="F207" s="4">
        <f>1495+851</f>
        <v>2346</v>
      </c>
      <c r="G207" s="4">
        <f>926+852</f>
        <v>1778</v>
      </c>
      <c r="H207" s="4">
        <f>595+852</f>
        <v>1447</v>
      </c>
      <c r="I207" s="4">
        <f>419+974</f>
        <v>1393</v>
      </c>
      <c r="J207" s="4">
        <f>214+841</f>
        <v>1055</v>
      </c>
      <c r="K207" s="4">
        <v>897</v>
      </c>
      <c r="L207" s="4">
        <f>124+853</f>
        <v>977</v>
      </c>
      <c r="M207" s="4">
        <v>958</v>
      </c>
      <c r="N207" s="4">
        <f>124+989</f>
        <v>1113</v>
      </c>
      <c r="O207" s="4">
        <f>413+1065</f>
        <v>1478</v>
      </c>
      <c r="P207" s="4">
        <f>892+935</f>
        <v>1827</v>
      </c>
      <c r="Q207" s="4">
        <f>1918+779</f>
        <v>2697</v>
      </c>
      <c r="R207" s="4">
        <f>1968+1879</f>
        <v>3847</v>
      </c>
      <c r="S207" s="4">
        <f>2082+499</f>
        <v>2581</v>
      </c>
      <c r="T207" s="4">
        <f>2082+498</f>
        <v>2580</v>
      </c>
      <c r="U207" s="4">
        <f>2344+776</f>
        <v>3120</v>
      </c>
      <c r="V207" s="4">
        <f>3518+776</f>
        <v>4294</v>
      </c>
      <c r="W207" s="4">
        <f>2585+692</f>
        <v>3277</v>
      </c>
      <c r="X207" s="4">
        <f>2908+692</f>
        <v>3600</v>
      </c>
      <c r="Y207" s="4">
        <f>3470+827</f>
        <v>4297</v>
      </c>
      <c r="Z207" s="4">
        <f>3717+827</f>
        <v>4544</v>
      </c>
      <c r="AA207" s="4">
        <f>3768+801</f>
        <v>4569</v>
      </c>
      <c r="AB207" s="4">
        <f>3511+801</f>
        <v>4312</v>
      </c>
      <c r="AC207" s="4">
        <f>3421+897</f>
        <v>4318</v>
      </c>
    </row>
    <row r="208" spans="2:79" x14ac:dyDescent="0.25">
      <c r="B208" s="2" t="s">
        <v>69</v>
      </c>
      <c r="C208" s="3" t="s">
        <v>70</v>
      </c>
      <c r="D208" s="3" t="s">
        <v>71</v>
      </c>
      <c r="E208" s="4">
        <v>3659</v>
      </c>
      <c r="F208" s="4">
        <v>753</v>
      </c>
      <c r="G208" s="4">
        <v>753</v>
      </c>
      <c r="H208" s="4">
        <v>614</v>
      </c>
      <c r="I208" s="4">
        <v>697</v>
      </c>
      <c r="J208" s="7">
        <v>615</v>
      </c>
      <c r="K208" s="4">
        <v>766</v>
      </c>
      <c r="L208" s="4">
        <v>1519</v>
      </c>
      <c r="M208" s="4">
        <v>2938</v>
      </c>
      <c r="N208" s="4">
        <v>2538</v>
      </c>
      <c r="O208" s="4">
        <v>3734</v>
      </c>
      <c r="P208" s="4">
        <v>3565</v>
      </c>
      <c r="Q208" s="4">
        <v>3088</v>
      </c>
      <c r="R208" s="4">
        <v>3588</v>
      </c>
      <c r="S208" s="4">
        <v>3370</v>
      </c>
      <c r="T208" s="4">
        <v>3659</v>
      </c>
      <c r="U208" s="4">
        <v>3746</v>
      </c>
      <c r="V208" s="4">
        <v>3328</v>
      </c>
      <c r="W208" s="4">
        <v>2862</v>
      </c>
      <c r="X208" s="4">
        <v>3754</v>
      </c>
      <c r="Y208" s="7">
        <v>3979</v>
      </c>
      <c r="Z208" s="4">
        <v>2913</v>
      </c>
      <c r="AA208" s="4">
        <v>3920</v>
      </c>
      <c r="AB208" s="4">
        <v>4071</v>
      </c>
      <c r="AC208" s="4">
        <v>3593</v>
      </c>
    </row>
    <row r="209" spans="2:79" x14ac:dyDescent="0.25">
      <c r="B209" s="2" t="s">
        <v>31</v>
      </c>
      <c r="C209" s="3" t="s">
        <v>72</v>
      </c>
      <c r="D209" s="3" t="s">
        <v>73</v>
      </c>
      <c r="E209" s="7">
        <v>7100</v>
      </c>
      <c r="F209" s="7">
        <v>6172</v>
      </c>
      <c r="G209" s="7">
        <v>5626</v>
      </c>
      <c r="H209" s="7">
        <v>5447</v>
      </c>
      <c r="I209" s="7">
        <v>5492</v>
      </c>
      <c r="J209" s="4">
        <v>4775</v>
      </c>
      <c r="K209" s="7">
        <v>4619</v>
      </c>
      <c r="L209" s="7">
        <v>4581</v>
      </c>
      <c r="M209" s="4">
        <v>4901</v>
      </c>
      <c r="N209" s="4">
        <v>5162</v>
      </c>
      <c r="O209" s="4">
        <v>5362</v>
      </c>
      <c r="P209" s="4">
        <v>5362</v>
      </c>
      <c r="Q209" s="4">
        <v>5580</v>
      </c>
      <c r="R209" s="4">
        <v>5925</v>
      </c>
      <c r="S209" s="4">
        <v>6150</v>
      </c>
      <c r="T209" s="4">
        <v>6177</v>
      </c>
      <c r="U209" s="4">
        <v>6165</v>
      </c>
      <c r="V209" s="4">
        <v>6209</v>
      </c>
      <c r="W209" s="7">
        <v>6258</v>
      </c>
      <c r="X209" s="7">
        <v>6538</v>
      </c>
      <c r="Y209" s="4">
        <v>6710</v>
      </c>
      <c r="Z209" s="7">
        <v>6304</v>
      </c>
      <c r="AA209" s="7">
        <v>6725</v>
      </c>
      <c r="AB209" s="7">
        <v>6724</v>
      </c>
      <c r="AC209" s="7">
        <v>5102</v>
      </c>
    </row>
    <row r="210" spans="2:79" x14ac:dyDescent="0.25">
      <c r="B210" s="2" t="s">
        <v>74</v>
      </c>
      <c r="C210" s="3" t="s">
        <v>75</v>
      </c>
      <c r="D210" s="3" t="s">
        <v>71</v>
      </c>
      <c r="E210" s="4">
        <v>10000</v>
      </c>
      <c r="F210" s="4">
        <v>3854</v>
      </c>
      <c r="G210" s="4">
        <v>3963</v>
      </c>
      <c r="H210" s="4">
        <v>3613</v>
      </c>
      <c r="I210" s="4">
        <v>4111</v>
      </c>
      <c r="J210" s="4">
        <v>2057</v>
      </c>
      <c r="K210" s="4">
        <v>3364</v>
      </c>
      <c r="L210" s="4">
        <v>5031</v>
      </c>
      <c r="M210" s="4">
        <v>6025</v>
      </c>
      <c r="N210" s="4">
        <v>5744</v>
      </c>
      <c r="O210" s="4">
        <v>4801</v>
      </c>
      <c r="P210" s="4">
        <v>5692</v>
      </c>
      <c r="Q210" s="4">
        <v>5779</v>
      </c>
      <c r="R210" s="4">
        <v>7409</v>
      </c>
      <c r="S210" s="4">
        <v>7813</v>
      </c>
      <c r="T210" s="4">
        <v>8399</v>
      </c>
      <c r="U210" s="4">
        <v>8664</v>
      </c>
      <c r="V210" s="4">
        <v>7519</v>
      </c>
      <c r="W210" s="4">
        <v>6585</v>
      </c>
      <c r="X210" s="4">
        <v>8520</v>
      </c>
      <c r="Y210" s="4">
        <v>9347</v>
      </c>
      <c r="Z210" s="4">
        <v>9635</v>
      </c>
      <c r="AA210" s="4">
        <v>10131</v>
      </c>
      <c r="AB210" s="4">
        <v>9563</v>
      </c>
      <c r="AC210" s="4">
        <v>8752</v>
      </c>
    </row>
    <row r="211" spans="2:79" x14ac:dyDescent="0.25">
      <c r="B211" s="2" t="s">
        <v>82</v>
      </c>
      <c r="C211" s="3" t="s">
        <v>83</v>
      </c>
      <c r="D211" s="3" t="s">
        <v>84</v>
      </c>
      <c r="E211" s="4">
        <v>8299</v>
      </c>
      <c r="F211" s="4">
        <v>4644</v>
      </c>
      <c r="G211" s="4">
        <v>4025</v>
      </c>
      <c r="H211" s="4">
        <v>3434</v>
      </c>
      <c r="I211" s="4">
        <v>2641</v>
      </c>
      <c r="J211" s="4">
        <v>1805</v>
      </c>
      <c r="K211" s="4">
        <v>1887</v>
      </c>
      <c r="L211" s="4">
        <v>2354</v>
      </c>
      <c r="M211" s="4">
        <v>3101</v>
      </c>
      <c r="N211" s="4">
        <v>2408</v>
      </c>
      <c r="O211" s="4">
        <v>1412</v>
      </c>
      <c r="P211" s="4">
        <v>1308</v>
      </c>
      <c r="Q211" s="4">
        <v>1743</v>
      </c>
      <c r="R211" s="4">
        <v>1717</v>
      </c>
      <c r="S211" s="4">
        <v>2268</v>
      </c>
      <c r="T211" s="4">
        <v>2948</v>
      </c>
      <c r="U211" s="4">
        <v>2637</v>
      </c>
      <c r="V211" s="4">
        <v>2650</v>
      </c>
      <c r="W211" s="4">
        <v>3104</v>
      </c>
      <c r="X211" s="4">
        <v>4259</v>
      </c>
      <c r="Y211" s="4">
        <v>5287</v>
      </c>
      <c r="Z211" s="4">
        <v>5088</v>
      </c>
      <c r="AA211" s="4">
        <v>6055</v>
      </c>
      <c r="AB211" s="4">
        <v>5682</v>
      </c>
      <c r="AC211" s="4">
        <v>5798</v>
      </c>
    </row>
    <row r="212" spans="2:79" x14ac:dyDescent="0.25">
      <c r="B212" s="2" t="s">
        <v>79</v>
      </c>
      <c r="C212" s="3" t="s">
        <v>80</v>
      </c>
      <c r="D212" s="3" t="s">
        <v>62</v>
      </c>
      <c r="E212" s="4">
        <v>1800</v>
      </c>
      <c r="F212" s="4">
        <v>968</v>
      </c>
      <c r="G212" s="4">
        <v>942</v>
      </c>
      <c r="H212" s="4">
        <v>907</v>
      </c>
      <c r="I212" s="4">
        <v>851</v>
      </c>
      <c r="J212" s="4">
        <v>823</v>
      </c>
      <c r="K212" s="4">
        <v>718</v>
      </c>
      <c r="L212" s="4">
        <v>648</v>
      </c>
      <c r="M212" s="4">
        <v>1417</v>
      </c>
      <c r="N212" s="4">
        <v>1184</v>
      </c>
      <c r="O212" s="4">
        <v>806</v>
      </c>
      <c r="P212" s="4">
        <v>778</v>
      </c>
      <c r="Q212" s="4">
        <v>828</v>
      </c>
      <c r="R212" s="4">
        <v>841</v>
      </c>
      <c r="S212" s="4">
        <v>826</v>
      </c>
      <c r="T212" s="4">
        <v>968</v>
      </c>
      <c r="U212" s="4">
        <v>376</v>
      </c>
      <c r="V212" s="4">
        <v>625</v>
      </c>
      <c r="W212" s="4">
        <v>1136</v>
      </c>
      <c r="X212" s="4">
        <v>1424</v>
      </c>
      <c r="Y212" s="4">
        <v>1622</v>
      </c>
      <c r="Z212" s="4">
        <v>1692</v>
      </c>
      <c r="AA212" s="4">
        <v>1747</v>
      </c>
      <c r="AB212" s="4">
        <v>1849</v>
      </c>
      <c r="AC212" s="4">
        <v>1787</v>
      </c>
    </row>
    <row r="213" spans="2:79" x14ac:dyDescent="0.25">
      <c r="B213" s="2" t="s">
        <v>68</v>
      </c>
      <c r="C213" s="3" t="s">
        <v>64</v>
      </c>
      <c r="D213" s="3" t="s">
        <v>65</v>
      </c>
      <c r="E213" s="4">
        <v>8500</v>
      </c>
      <c r="F213" s="4">
        <v>5021</v>
      </c>
      <c r="G213" s="4">
        <v>4644</v>
      </c>
      <c r="H213" s="4">
        <v>4488</v>
      </c>
      <c r="I213" s="4">
        <v>4618</v>
      </c>
      <c r="J213" s="4">
        <v>4077</v>
      </c>
      <c r="K213" s="4">
        <v>3370</v>
      </c>
      <c r="L213" s="4">
        <v>3882</v>
      </c>
      <c r="M213" s="4">
        <v>4278</v>
      </c>
      <c r="N213" s="4">
        <v>4056</v>
      </c>
      <c r="O213" s="4">
        <v>3065</v>
      </c>
      <c r="P213" s="4">
        <v>3062</v>
      </c>
      <c r="Q213" s="4">
        <v>4376</v>
      </c>
      <c r="R213" s="4">
        <v>4352</v>
      </c>
      <c r="S213" s="4">
        <v>3740</v>
      </c>
      <c r="T213" s="4">
        <v>4466</v>
      </c>
      <c r="U213" s="4">
        <v>4765</v>
      </c>
      <c r="V213" s="4">
        <v>4712</v>
      </c>
      <c r="W213" s="4">
        <v>5487</v>
      </c>
      <c r="X213" s="4">
        <v>6482</v>
      </c>
      <c r="Y213" s="4">
        <v>6758</v>
      </c>
      <c r="Z213" s="4">
        <v>6908</v>
      </c>
      <c r="AA213" s="4">
        <v>6972</v>
      </c>
      <c r="AB213" s="4">
        <v>6647</v>
      </c>
      <c r="AC213" s="4">
        <v>6730</v>
      </c>
    </row>
    <row r="214" spans="2:79" x14ac:dyDescent="0.25">
      <c r="B214" s="2" t="s">
        <v>61</v>
      </c>
      <c r="C214" s="3" t="s">
        <v>94</v>
      </c>
      <c r="D214" s="3" t="s">
        <v>62</v>
      </c>
      <c r="E214" s="4">
        <v>1700</v>
      </c>
      <c r="F214" s="4">
        <v>1128</v>
      </c>
      <c r="G214" s="4">
        <v>1144</v>
      </c>
      <c r="H214" s="4">
        <v>811</v>
      </c>
      <c r="I214" s="4">
        <v>637</v>
      </c>
      <c r="J214" s="4">
        <v>796</v>
      </c>
      <c r="K214" s="4">
        <v>748</v>
      </c>
      <c r="L214" s="4">
        <v>760</v>
      </c>
      <c r="M214" s="4">
        <v>0</v>
      </c>
      <c r="N214" s="4">
        <v>1009</v>
      </c>
      <c r="O214" s="4">
        <v>1044</v>
      </c>
      <c r="P214" s="4">
        <v>870</v>
      </c>
      <c r="Q214" s="4">
        <v>982</v>
      </c>
      <c r="R214" s="4">
        <v>1030</v>
      </c>
      <c r="S214" s="4">
        <v>1134</v>
      </c>
      <c r="T214" s="4">
        <v>1081</v>
      </c>
      <c r="U214" s="4">
        <v>1213</v>
      </c>
      <c r="V214" s="4">
        <v>1112</v>
      </c>
      <c r="W214" s="4">
        <v>1335</v>
      </c>
      <c r="X214" s="4">
        <v>1109</v>
      </c>
      <c r="Y214" s="4">
        <v>1469</v>
      </c>
      <c r="Z214" s="4">
        <v>1331</v>
      </c>
      <c r="AA214" s="4">
        <v>1218</v>
      </c>
      <c r="AB214" s="4">
        <v>1045</v>
      </c>
      <c r="AC214" s="4">
        <v>1109</v>
      </c>
    </row>
    <row r="215" spans="2:79" x14ac:dyDescent="0.25">
      <c r="B215" s="2" t="s">
        <v>76</v>
      </c>
      <c r="C215" s="3" t="s">
        <v>77</v>
      </c>
      <c r="D215" s="3" t="s">
        <v>78</v>
      </c>
      <c r="E215" s="4">
        <v>6000</v>
      </c>
      <c r="F215" s="4">
        <v>3345</v>
      </c>
      <c r="G215" s="4">
        <v>2886</v>
      </c>
      <c r="H215" s="4">
        <v>1102</v>
      </c>
      <c r="I215" s="4">
        <v>192</v>
      </c>
      <c r="J215" s="4">
        <v>226</v>
      </c>
      <c r="K215" s="4">
        <v>794</v>
      </c>
      <c r="L215" s="4">
        <v>460</v>
      </c>
      <c r="M215" s="4">
        <v>1364</v>
      </c>
      <c r="N215" s="4">
        <v>2199</v>
      </c>
      <c r="O215" s="4">
        <v>3332</v>
      </c>
      <c r="P215" s="4">
        <v>3334</v>
      </c>
      <c r="Q215" s="4">
        <v>2169</v>
      </c>
      <c r="R215" s="4">
        <v>3334</v>
      </c>
      <c r="S215" s="4">
        <v>2715</v>
      </c>
      <c r="T215" s="4">
        <v>2901</v>
      </c>
      <c r="U215" s="4">
        <v>2801</v>
      </c>
      <c r="V215" s="4">
        <v>2144</v>
      </c>
      <c r="W215" s="4">
        <v>2415</v>
      </c>
      <c r="X215" s="4">
        <v>2431</v>
      </c>
      <c r="Y215" s="4">
        <v>4199</v>
      </c>
      <c r="Z215" s="4">
        <v>4279</v>
      </c>
      <c r="AA215" s="4">
        <v>4442</v>
      </c>
      <c r="AB215" s="4">
        <f>3990</f>
        <v>3990</v>
      </c>
      <c r="AC215" s="4">
        <v>3330</v>
      </c>
    </row>
    <row r="216" spans="2:79" x14ac:dyDescent="0.25">
      <c r="B216" s="2" t="s">
        <v>52</v>
      </c>
      <c r="C216" s="3" t="s">
        <v>81</v>
      </c>
      <c r="D216" s="3" t="s">
        <v>73</v>
      </c>
      <c r="E216" s="4">
        <v>8810</v>
      </c>
      <c r="F216" s="4">
        <v>8429</v>
      </c>
      <c r="G216" s="4">
        <v>8128</v>
      </c>
      <c r="H216" s="4">
        <v>7370</v>
      </c>
      <c r="I216" s="4">
        <v>6932</v>
      </c>
      <c r="J216" s="4">
        <v>6536</v>
      </c>
      <c r="K216" s="4">
        <v>6820</v>
      </c>
      <c r="L216" s="4">
        <v>7235</v>
      </c>
      <c r="M216" s="4">
        <v>7537</v>
      </c>
      <c r="N216" s="4">
        <v>7418</v>
      </c>
      <c r="O216" s="4">
        <v>7567</v>
      </c>
      <c r="P216" s="4">
        <v>8041</v>
      </c>
      <c r="Q216" s="4">
        <v>8393</v>
      </c>
      <c r="R216" s="4">
        <v>8542</v>
      </c>
      <c r="S216" s="4">
        <v>8051</v>
      </c>
      <c r="T216" s="4">
        <v>7402</v>
      </c>
      <c r="U216" s="4">
        <v>6589</v>
      </c>
      <c r="V216" s="4">
        <v>6662</v>
      </c>
      <c r="W216" s="4">
        <v>5565</v>
      </c>
      <c r="X216" s="4">
        <v>6445</v>
      </c>
      <c r="Y216" s="4">
        <v>7681</v>
      </c>
      <c r="Z216" s="4">
        <v>7608</v>
      </c>
      <c r="AA216" s="4">
        <v>8219</v>
      </c>
      <c r="AB216" s="4">
        <v>8172</v>
      </c>
      <c r="AC216" s="4">
        <v>6993</v>
      </c>
    </row>
    <row r="217" spans="2:79" ht="13.8" thickBot="1" x14ac:dyDescent="0.3">
      <c r="B217" s="2" t="s">
        <v>85</v>
      </c>
      <c r="C217" s="3"/>
      <c r="D217" s="3"/>
      <c r="E217" s="5">
        <f t="shared" ref="E217:AC217" si="13">SUM(E205:E216)</f>
        <v>66648</v>
      </c>
      <c r="F217" s="5">
        <f t="shared" si="13"/>
        <v>41827</v>
      </c>
      <c r="G217" s="5">
        <f t="shared" si="13"/>
        <v>38289</v>
      </c>
      <c r="H217" s="5">
        <f t="shared" si="13"/>
        <v>33318</v>
      </c>
      <c r="I217" s="5">
        <f t="shared" si="13"/>
        <v>31913</v>
      </c>
      <c r="J217" s="5">
        <f t="shared" si="13"/>
        <v>27373</v>
      </c>
      <c r="K217" s="5">
        <f t="shared" si="13"/>
        <v>29032</v>
      </c>
      <c r="L217" s="5">
        <f t="shared" si="13"/>
        <v>34045</v>
      </c>
      <c r="M217" s="5">
        <f t="shared" si="13"/>
        <v>40501</v>
      </c>
      <c r="N217" s="5">
        <f t="shared" si="13"/>
        <v>40936</v>
      </c>
      <c r="O217" s="5">
        <f t="shared" si="13"/>
        <v>39900</v>
      </c>
      <c r="P217" s="5">
        <f t="shared" si="13"/>
        <v>41926</v>
      </c>
      <c r="Q217" s="5">
        <f t="shared" si="13"/>
        <v>42437</v>
      </c>
      <c r="R217" s="5">
        <f t="shared" si="13"/>
        <v>47850</v>
      </c>
      <c r="S217" s="5">
        <f t="shared" si="13"/>
        <v>45837</v>
      </c>
      <c r="T217" s="5">
        <f t="shared" si="13"/>
        <v>49646</v>
      </c>
      <c r="U217" s="5">
        <f t="shared" si="13"/>
        <v>49192</v>
      </c>
      <c r="V217" s="5">
        <f t="shared" si="13"/>
        <v>47120</v>
      </c>
      <c r="W217" s="5">
        <f t="shared" si="13"/>
        <v>44623</v>
      </c>
      <c r="X217" s="5">
        <f t="shared" si="13"/>
        <v>52811</v>
      </c>
      <c r="Y217" s="5">
        <f t="shared" si="13"/>
        <v>61311</v>
      </c>
      <c r="Z217" s="5">
        <f t="shared" si="13"/>
        <v>59531</v>
      </c>
      <c r="AA217" s="5">
        <f t="shared" si="13"/>
        <v>64268</v>
      </c>
      <c r="AB217" s="5">
        <f t="shared" si="13"/>
        <v>61767</v>
      </c>
      <c r="AC217" s="5">
        <f t="shared" si="13"/>
        <v>56918</v>
      </c>
    </row>
    <row r="218" spans="2:79" ht="14.4" thickTop="1" thickBot="1" x14ac:dyDescent="0.3"/>
    <row r="219" spans="2:79" ht="21.6" thickBot="1" x14ac:dyDescent="0.3">
      <c r="B219" s="14" t="s">
        <v>1</v>
      </c>
      <c r="C219" s="14" t="s">
        <v>2</v>
      </c>
      <c r="D219" s="14" t="s">
        <v>3</v>
      </c>
      <c r="E219" s="14" t="s">
        <v>4</v>
      </c>
      <c r="F219" s="14" t="s">
        <v>88</v>
      </c>
      <c r="G219" s="14" t="s">
        <v>108</v>
      </c>
      <c r="H219" s="14" t="s">
        <v>87</v>
      </c>
      <c r="I219" s="14" t="s">
        <v>103</v>
      </c>
      <c r="J219" s="14" t="s">
        <v>105</v>
      </c>
      <c r="K219" s="14" t="s">
        <v>100</v>
      </c>
      <c r="L219" s="14" t="s">
        <v>102</v>
      </c>
      <c r="M219" s="14" t="s">
        <v>98</v>
      </c>
      <c r="N219" s="14" t="s">
        <v>5</v>
      </c>
      <c r="O219" s="14" t="s">
        <v>169</v>
      </c>
      <c r="P219" s="14" t="s">
        <v>183</v>
      </c>
      <c r="Q219" s="14" t="s">
        <v>170</v>
      </c>
      <c r="R219" s="14" t="s">
        <v>171</v>
      </c>
      <c r="S219" s="14" t="s">
        <v>172</v>
      </c>
      <c r="T219" s="14" t="s">
        <v>173</v>
      </c>
      <c r="U219" s="14" t="s">
        <v>174</v>
      </c>
      <c r="V219" s="14" t="s">
        <v>175</v>
      </c>
      <c r="W219" s="14" t="s">
        <v>176</v>
      </c>
      <c r="X219" s="14" t="s">
        <v>177</v>
      </c>
      <c r="Y219" s="14" t="s">
        <v>178</v>
      </c>
      <c r="Z219" s="19" t="s">
        <v>179</v>
      </c>
      <c r="AA219" s="19" t="s">
        <v>180</v>
      </c>
      <c r="AB219" s="14" t="s">
        <v>181</v>
      </c>
      <c r="AC219" s="14" t="s">
        <v>182</v>
      </c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2:79" x14ac:dyDescent="0.25">
      <c r="B220" s="2" t="s">
        <v>16</v>
      </c>
      <c r="C220" s="3" t="s">
        <v>60</v>
      </c>
      <c r="D220" s="3" t="s">
        <v>18</v>
      </c>
      <c r="E220" s="4">
        <v>3000</v>
      </c>
      <c r="F220" s="4">
        <v>1470</v>
      </c>
      <c r="G220" s="4">
        <v>1838</v>
      </c>
      <c r="H220" s="4">
        <v>2286</v>
      </c>
      <c r="I220" s="4">
        <v>2141</v>
      </c>
      <c r="J220" s="4">
        <v>799</v>
      </c>
      <c r="K220" s="4">
        <v>893</v>
      </c>
      <c r="L220" s="4">
        <v>576</v>
      </c>
      <c r="M220" s="4">
        <v>1544</v>
      </c>
      <c r="N220" s="4">
        <v>1934</v>
      </c>
      <c r="O220" s="18">
        <v>1544</v>
      </c>
      <c r="P220" s="27">
        <v>1934</v>
      </c>
      <c r="Q220" s="27">
        <v>1945</v>
      </c>
      <c r="R220" s="27">
        <v>1598</v>
      </c>
      <c r="S220" s="27">
        <v>371</v>
      </c>
      <c r="T220" s="27">
        <v>903</v>
      </c>
      <c r="U220" s="27">
        <v>1139</v>
      </c>
      <c r="V220" s="38">
        <v>924</v>
      </c>
      <c r="W220" s="38">
        <v>1334</v>
      </c>
      <c r="X220" s="38">
        <v>1418</v>
      </c>
      <c r="Y220" s="38">
        <v>2050</v>
      </c>
      <c r="Z220" s="38">
        <v>2528</v>
      </c>
      <c r="AA220" s="38">
        <v>1948</v>
      </c>
      <c r="AB220" s="38">
        <v>1247</v>
      </c>
      <c r="AC220" s="38">
        <v>1665</v>
      </c>
    </row>
    <row r="221" spans="2:79" x14ac:dyDescent="0.25">
      <c r="B221" s="2" t="s">
        <v>63</v>
      </c>
      <c r="C221" s="3" t="s">
        <v>64</v>
      </c>
      <c r="D221" s="3" t="s">
        <v>65</v>
      </c>
      <c r="E221" s="4">
        <v>5200</v>
      </c>
      <c r="F221" s="4">
        <v>4567</v>
      </c>
      <c r="G221" s="4">
        <v>4072</v>
      </c>
      <c r="H221" s="4">
        <v>3376</v>
      </c>
      <c r="I221" s="4">
        <v>3308</v>
      </c>
      <c r="J221" s="4">
        <v>2764</v>
      </c>
      <c r="K221" s="4">
        <v>2902</v>
      </c>
      <c r="L221" s="4">
        <v>3438</v>
      </c>
      <c r="M221" s="4">
        <v>3257</v>
      </c>
      <c r="N221" s="4">
        <v>3542</v>
      </c>
      <c r="O221" s="18">
        <v>4392</v>
      </c>
      <c r="P221" s="27">
        <v>4946</v>
      </c>
      <c r="Q221" s="27">
        <v>5410</v>
      </c>
      <c r="R221" s="27">
        <v>5747</v>
      </c>
      <c r="S221" s="27">
        <v>5511</v>
      </c>
      <c r="T221" s="27">
        <v>5648</v>
      </c>
      <c r="U221" s="27">
        <v>6295</v>
      </c>
      <c r="V221" s="38">
        <v>6962</v>
      </c>
      <c r="W221" s="38">
        <v>7753</v>
      </c>
      <c r="X221" s="38">
        <v>7824</v>
      </c>
      <c r="Y221" s="38">
        <v>7749</v>
      </c>
      <c r="Z221" s="38">
        <v>8155</v>
      </c>
      <c r="AA221" s="38">
        <v>7983</v>
      </c>
      <c r="AB221" s="38">
        <v>8156</v>
      </c>
      <c r="AC221" s="38">
        <v>7312</v>
      </c>
    </row>
    <row r="222" spans="2:79" x14ac:dyDescent="0.25">
      <c r="B222" s="2" t="s">
        <v>66</v>
      </c>
      <c r="C222" s="3" t="s">
        <v>67</v>
      </c>
      <c r="D222" s="3" t="s">
        <v>62</v>
      </c>
      <c r="E222" s="4">
        <v>2580</v>
      </c>
      <c r="F222" s="4">
        <f>2445+897</f>
        <v>3342</v>
      </c>
      <c r="G222" s="4">
        <f>874+2204</f>
        <v>3078</v>
      </c>
      <c r="H222" s="4">
        <f>874+1974</f>
        <v>2848</v>
      </c>
      <c r="I222" s="4">
        <f>1669+860</f>
        <v>2529</v>
      </c>
      <c r="J222" s="4">
        <f>1641+860</f>
        <v>2501</v>
      </c>
      <c r="K222" s="4">
        <f>1667+689</f>
        <v>2356</v>
      </c>
      <c r="L222" s="4">
        <f>2077+689</f>
        <v>2766</v>
      </c>
      <c r="M222" s="4">
        <f>2574+883</f>
        <v>3457</v>
      </c>
      <c r="N222" s="4">
        <f>883+3009</f>
        <v>3892</v>
      </c>
      <c r="O222" s="18">
        <f>3340+914</f>
        <v>4254</v>
      </c>
      <c r="P222" s="27">
        <f>3340+914</f>
        <v>4254</v>
      </c>
      <c r="Q222" s="27">
        <f>3340+857</f>
        <v>4197</v>
      </c>
      <c r="R222" s="27">
        <f>3340+857</f>
        <v>4197</v>
      </c>
      <c r="S222" s="27">
        <f>3340+794</f>
        <v>4134</v>
      </c>
      <c r="T222" s="27">
        <f>3340+794</f>
        <v>4134</v>
      </c>
      <c r="U222" s="27">
        <f>3340+807</f>
        <v>4147</v>
      </c>
      <c r="V222" s="38">
        <f>3340+807</f>
        <v>4147</v>
      </c>
      <c r="W222" s="38">
        <f>3340+887</f>
        <v>4227</v>
      </c>
      <c r="X222" s="38">
        <f>3340+886</f>
        <v>4226</v>
      </c>
      <c r="Y222" s="38">
        <f>3340+986</f>
        <v>4326</v>
      </c>
      <c r="Z222" s="38">
        <f>3340+986</f>
        <v>4326</v>
      </c>
      <c r="AA222" s="38">
        <f>3340+680</f>
        <v>4020</v>
      </c>
      <c r="AB222" s="38">
        <f>3340+680</f>
        <v>4020</v>
      </c>
      <c r="AC222" s="38">
        <f>2340+598</f>
        <v>2938</v>
      </c>
    </row>
    <row r="223" spans="2:79" x14ac:dyDescent="0.25">
      <c r="B223" s="2" t="s">
        <v>69</v>
      </c>
      <c r="C223" s="3" t="s">
        <v>70</v>
      </c>
      <c r="D223" s="3" t="s">
        <v>71</v>
      </c>
      <c r="E223" s="4">
        <v>3659</v>
      </c>
      <c r="F223" s="4">
        <v>1762</v>
      </c>
      <c r="G223" s="4">
        <v>2131</v>
      </c>
      <c r="H223" s="4">
        <v>1711</v>
      </c>
      <c r="I223" s="4">
        <v>1816</v>
      </c>
      <c r="J223" s="4">
        <v>1452</v>
      </c>
      <c r="K223" s="4">
        <v>2606</v>
      </c>
      <c r="L223" s="4">
        <v>2073</v>
      </c>
      <c r="M223" s="4">
        <v>1930</v>
      </c>
      <c r="N223" s="4">
        <v>3257</v>
      </c>
      <c r="O223" s="18">
        <v>3757</v>
      </c>
      <c r="P223" s="27">
        <v>3880</v>
      </c>
      <c r="Q223" s="27">
        <v>3268</v>
      </c>
      <c r="R223" s="27">
        <v>3852</v>
      </c>
      <c r="S223" s="27">
        <v>2953</v>
      </c>
      <c r="T223" s="27">
        <v>2026</v>
      </c>
      <c r="U223" s="27">
        <v>1945</v>
      </c>
      <c r="V223" s="38">
        <v>3183</v>
      </c>
      <c r="W223" s="38">
        <v>4235</v>
      </c>
      <c r="X223" s="38">
        <v>3893</v>
      </c>
      <c r="Y223" s="38">
        <v>3906</v>
      </c>
      <c r="Z223" s="38">
        <v>4003</v>
      </c>
      <c r="AA223" s="38">
        <v>4350</v>
      </c>
      <c r="AB223" s="38">
        <v>2872</v>
      </c>
      <c r="AC223" s="38">
        <v>2919</v>
      </c>
    </row>
    <row r="224" spans="2:79" x14ac:dyDescent="0.25">
      <c r="B224" s="2" t="s">
        <v>31</v>
      </c>
      <c r="C224" s="3" t="s">
        <v>72</v>
      </c>
      <c r="D224" s="3" t="s">
        <v>73</v>
      </c>
      <c r="E224" s="7">
        <v>7100</v>
      </c>
      <c r="F224" s="7">
        <v>5404</v>
      </c>
      <c r="G224" s="7">
        <v>4258</v>
      </c>
      <c r="H224" s="7">
        <v>4865</v>
      </c>
      <c r="I224" s="7">
        <v>4499</v>
      </c>
      <c r="J224" s="7">
        <v>4219</v>
      </c>
      <c r="K224" s="4">
        <v>4223</v>
      </c>
      <c r="L224" s="7">
        <v>4467</v>
      </c>
      <c r="M224" s="7">
        <v>5487</v>
      </c>
      <c r="N224" s="7">
        <v>5990</v>
      </c>
      <c r="O224" s="18">
        <v>6019</v>
      </c>
      <c r="P224" s="27">
        <v>6029</v>
      </c>
      <c r="Q224" s="27">
        <v>6324</v>
      </c>
      <c r="R224" s="27">
        <v>6295</v>
      </c>
      <c r="S224" s="27">
        <v>3278</v>
      </c>
      <c r="T224" s="27">
        <v>6294</v>
      </c>
      <c r="U224" s="27">
        <v>6697</v>
      </c>
      <c r="V224" s="38">
        <v>6964</v>
      </c>
      <c r="W224" s="38">
        <v>6277</v>
      </c>
      <c r="X224" s="38">
        <v>6354</v>
      </c>
      <c r="Y224" s="38">
        <v>6575</v>
      </c>
      <c r="Z224" s="38">
        <v>6691</v>
      </c>
      <c r="AA224" s="38">
        <v>6682</v>
      </c>
      <c r="AB224" s="38">
        <v>6423</v>
      </c>
      <c r="AC224" s="38">
        <v>5572</v>
      </c>
    </row>
    <row r="225" spans="2:64" x14ac:dyDescent="0.25">
      <c r="B225" s="2" t="s">
        <v>74</v>
      </c>
      <c r="C225" s="3" t="s">
        <v>75</v>
      </c>
      <c r="D225" s="3" t="s">
        <v>71</v>
      </c>
      <c r="E225" s="4">
        <v>10000</v>
      </c>
      <c r="F225" s="4">
        <v>6317</v>
      </c>
      <c r="G225" s="4">
        <v>6754</v>
      </c>
      <c r="H225" s="4">
        <v>7036</v>
      </c>
      <c r="I225" s="4">
        <v>5939</v>
      </c>
      <c r="J225" s="4">
        <v>5703</v>
      </c>
      <c r="K225" s="4">
        <v>5151</v>
      </c>
      <c r="L225" s="4">
        <v>5596</v>
      </c>
      <c r="M225" s="4">
        <v>5273</v>
      </c>
      <c r="N225" s="4">
        <v>6526</v>
      </c>
      <c r="O225" s="18">
        <v>6854</v>
      </c>
      <c r="P225" s="27">
        <v>8042</v>
      </c>
      <c r="Q225" s="27">
        <v>8155</v>
      </c>
      <c r="R225" s="27">
        <v>7521</v>
      </c>
      <c r="S225" s="27">
        <v>7085</v>
      </c>
      <c r="T225" s="27">
        <v>6713</v>
      </c>
      <c r="U225" s="27">
        <v>7613</v>
      </c>
      <c r="V225" s="38">
        <v>8161</v>
      </c>
      <c r="W225" s="38">
        <v>9770</v>
      </c>
      <c r="X225" s="38">
        <v>10119</v>
      </c>
      <c r="Y225" s="38">
        <v>10656</v>
      </c>
      <c r="Z225" s="38">
        <v>10753</v>
      </c>
      <c r="AA225" s="38">
        <v>9584</v>
      </c>
      <c r="AB225" s="38">
        <v>8932</v>
      </c>
      <c r="AC225" s="38">
        <v>7042</v>
      </c>
    </row>
    <row r="226" spans="2:64" x14ac:dyDescent="0.25">
      <c r="B226" s="2" t="s">
        <v>82</v>
      </c>
      <c r="C226" s="3" t="s">
        <v>83</v>
      </c>
      <c r="D226" s="3" t="s">
        <v>84</v>
      </c>
      <c r="E226" s="4">
        <v>8299</v>
      </c>
      <c r="F226" s="4">
        <v>3884</v>
      </c>
      <c r="G226" s="4">
        <v>4203</v>
      </c>
      <c r="H226" s="4">
        <v>4001</v>
      </c>
      <c r="I226" s="4">
        <v>4163</v>
      </c>
      <c r="J226" s="4">
        <v>2887</v>
      </c>
      <c r="K226" s="4">
        <v>2818</v>
      </c>
      <c r="L226" s="4">
        <v>2196</v>
      </c>
      <c r="M226" s="4">
        <v>2199</v>
      </c>
      <c r="N226" s="4">
        <v>2882</v>
      </c>
      <c r="O226" s="18">
        <v>2445</v>
      </c>
      <c r="P226" s="27">
        <v>3067</v>
      </c>
      <c r="Q226" s="27">
        <v>2342</v>
      </c>
      <c r="R226" s="27">
        <v>2821</v>
      </c>
      <c r="S226" s="27">
        <v>2857</v>
      </c>
      <c r="T226" s="27">
        <v>3418</v>
      </c>
      <c r="U226" s="27">
        <v>3480</v>
      </c>
      <c r="V226" s="38">
        <v>3801</v>
      </c>
      <c r="W226" s="38">
        <v>4245</v>
      </c>
      <c r="X226" s="38">
        <v>3854</v>
      </c>
      <c r="Y226" s="38">
        <v>4631</v>
      </c>
      <c r="Z226" s="38">
        <v>5564</v>
      </c>
      <c r="AA226" s="38">
        <v>5434</v>
      </c>
      <c r="AB226" s="38">
        <v>3901</v>
      </c>
      <c r="AC226" s="38">
        <v>3952</v>
      </c>
    </row>
    <row r="227" spans="2:64" x14ac:dyDescent="0.25">
      <c r="B227" s="2" t="s">
        <v>79</v>
      </c>
      <c r="C227" s="3" t="s">
        <v>80</v>
      </c>
      <c r="D227" s="3" t="s">
        <v>62</v>
      </c>
      <c r="E227" s="4">
        <v>1800</v>
      </c>
      <c r="F227" s="4">
        <v>1588</v>
      </c>
      <c r="G227" s="4">
        <v>1356</v>
      </c>
      <c r="H227" s="4">
        <v>1258</v>
      </c>
      <c r="I227" s="4">
        <v>1189</v>
      </c>
      <c r="J227" s="4">
        <v>1213</v>
      </c>
      <c r="K227" s="4">
        <v>1005</v>
      </c>
      <c r="L227" s="4">
        <v>1128</v>
      </c>
      <c r="M227" s="4">
        <v>1405</v>
      </c>
      <c r="N227" s="4">
        <v>1630</v>
      </c>
      <c r="O227" s="18">
        <v>1822</v>
      </c>
      <c r="P227" s="27">
        <v>1792</v>
      </c>
      <c r="Q227" s="27">
        <v>1786</v>
      </c>
      <c r="R227" s="27">
        <v>1906</v>
      </c>
      <c r="S227" s="27">
        <v>1962</v>
      </c>
      <c r="T227" s="27">
        <v>1962</v>
      </c>
      <c r="U227" s="27">
        <v>2010</v>
      </c>
      <c r="V227" s="38">
        <v>2008</v>
      </c>
      <c r="W227" s="38">
        <v>1968</v>
      </c>
      <c r="X227" s="38">
        <v>1986</v>
      </c>
      <c r="Y227" s="38">
        <v>2049</v>
      </c>
      <c r="Z227" s="38">
        <v>1861</v>
      </c>
      <c r="AA227" s="38">
        <v>1856</v>
      </c>
      <c r="AB227" s="38">
        <v>1568</v>
      </c>
      <c r="AC227" s="38">
        <v>1299</v>
      </c>
    </row>
    <row r="228" spans="2:64" x14ac:dyDescent="0.25">
      <c r="B228" s="2" t="s">
        <v>68</v>
      </c>
      <c r="C228" s="3" t="s">
        <v>64</v>
      </c>
      <c r="D228" s="3" t="s">
        <v>65</v>
      </c>
      <c r="E228" s="4">
        <v>8500</v>
      </c>
      <c r="F228" s="4">
        <v>6791</v>
      </c>
      <c r="G228" s="4">
        <v>6722</v>
      </c>
      <c r="H228" s="4">
        <v>6786</v>
      </c>
      <c r="I228" s="4">
        <v>6983</v>
      </c>
      <c r="J228" s="4">
        <v>6611</v>
      </c>
      <c r="K228" s="4">
        <v>6852</v>
      </c>
      <c r="L228" s="4">
        <v>6819</v>
      </c>
      <c r="M228" s="4">
        <v>6599</v>
      </c>
      <c r="N228" s="4">
        <v>6621</v>
      </c>
      <c r="O228" s="18">
        <v>6923</v>
      </c>
      <c r="P228" s="27">
        <v>6862</v>
      </c>
      <c r="Q228" s="27">
        <v>6862</v>
      </c>
      <c r="R228" s="27">
        <v>6806</v>
      </c>
      <c r="S228" s="27">
        <v>6555</v>
      </c>
      <c r="T228" s="27">
        <v>6870</v>
      </c>
      <c r="U228" s="27">
        <v>6818</v>
      </c>
      <c r="V228" s="38">
        <v>6818</v>
      </c>
      <c r="W228" s="38">
        <v>6873</v>
      </c>
      <c r="X228" s="38">
        <v>7037</v>
      </c>
      <c r="Y228" s="38">
        <v>6940</v>
      </c>
      <c r="Z228" s="38">
        <v>6875</v>
      </c>
      <c r="AA228" s="38">
        <v>6850</v>
      </c>
      <c r="AB228" s="38">
        <v>6843</v>
      </c>
      <c r="AC228" s="38">
        <v>6725</v>
      </c>
    </row>
    <row r="229" spans="2:64" x14ac:dyDescent="0.25">
      <c r="B229" s="2" t="s">
        <v>61</v>
      </c>
      <c r="C229" s="3" t="s">
        <v>94</v>
      </c>
      <c r="D229" s="3" t="s">
        <v>62</v>
      </c>
      <c r="E229" s="4">
        <v>1700</v>
      </c>
      <c r="F229" s="4">
        <v>986</v>
      </c>
      <c r="G229" s="4">
        <v>1227</v>
      </c>
      <c r="H229" s="4">
        <v>4048</v>
      </c>
      <c r="I229" s="4">
        <v>1304</v>
      </c>
      <c r="J229" s="4">
        <v>1211</v>
      </c>
      <c r="K229" s="4">
        <v>1047</v>
      </c>
      <c r="L229" s="4">
        <v>955</v>
      </c>
      <c r="M229" s="4">
        <v>1157</v>
      </c>
      <c r="N229" s="4">
        <v>1399</v>
      </c>
      <c r="O229" s="18">
        <v>1410</v>
      </c>
      <c r="P229" s="27">
        <v>1256</v>
      </c>
      <c r="Q229" s="27">
        <v>1596</v>
      </c>
      <c r="R229" s="27">
        <v>1561</v>
      </c>
      <c r="S229" s="27">
        <v>1425</v>
      </c>
      <c r="T229" s="27">
        <v>1367</v>
      </c>
      <c r="U229" s="27">
        <v>1312</v>
      </c>
      <c r="V229" s="38">
        <v>1442</v>
      </c>
      <c r="W229" s="38">
        <v>1316</v>
      </c>
      <c r="X229" s="38">
        <v>1315</v>
      </c>
      <c r="Y229" s="38">
        <v>1372</v>
      </c>
      <c r="Z229" s="38">
        <v>1417</v>
      </c>
      <c r="AA229" s="38">
        <v>1316</v>
      </c>
      <c r="AB229" s="38">
        <v>1228</v>
      </c>
      <c r="AC229" s="38">
        <v>1246</v>
      </c>
    </row>
    <row r="230" spans="2:64" x14ac:dyDescent="0.25">
      <c r="B230" s="2" t="s">
        <v>76</v>
      </c>
      <c r="C230" s="3" t="s">
        <v>77</v>
      </c>
      <c r="D230" s="3" t="s">
        <v>78</v>
      </c>
      <c r="E230" s="4">
        <v>6000</v>
      </c>
      <c r="F230" s="4">
        <v>866</v>
      </c>
      <c r="G230" s="4">
        <v>1670</v>
      </c>
      <c r="H230" s="4">
        <v>1517</v>
      </c>
      <c r="I230" s="4">
        <v>1465</v>
      </c>
      <c r="J230" s="4">
        <v>1085</v>
      </c>
      <c r="K230" s="4">
        <v>1866</v>
      </c>
      <c r="L230" s="4">
        <v>2265</v>
      </c>
      <c r="M230" s="4">
        <v>1852</v>
      </c>
      <c r="N230" s="4">
        <v>2469</v>
      </c>
      <c r="O230" s="18">
        <v>3258</v>
      </c>
      <c r="P230" s="27">
        <v>3803</v>
      </c>
      <c r="Q230" s="27">
        <v>3503</v>
      </c>
      <c r="R230" s="27">
        <v>3633</v>
      </c>
      <c r="S230" s="27">
        <v>3490</v>
      </c>
      <c r="T230" s="27">
        <v>2776</v>
      </c>
      <c r="U230" s="27">
        <v>2617</v>
      </c>
      <c r="V230" s="38">
        <v>3568</v>
      </c>
      <c r="W230" s="38">
        <v>4326</v>
      </c>
      <c r="X230" s="38">
        <v>4096</v>
      </c>
      <c r="Y230" s="38">
        <v>4128</v>
      </c>
      <c r="Z230" s="38">
        <v>4462</v>
      </c>
      <c r="AA230" s="38">
        <v>4332</v>
      </c>
      <c r="AB230" s="38">
        <v>3210</v>
      </c>
      <c r="AC230" s="38">
        <v>3326</v>
      </c>
    </row>
    <row r="231" spans="2:64" x14ac:dyDescent="0.25">
      <c r="B231" s="2" t="s">
        <v>52</v>
      </c>
      <c r="C231" s="3" t="s">
        <v>81</v>
      </c>
      <c r="D231" s="3" t="s">
        <v>73</v>
      </c>
      <c r="E231" s="4">
        <v>8810</v>
      </c>
      <c r="F231" s="4">
        <v>6307</v>
      </c>
      <c r="G231" s="4">
        <v>6470</v>
      </c>
      <c r="H231" s="4">
        <v>6124</v>
      </c>
      <c r="I231" s="4">
        <v>5573</v>
      </c>
      <c r="J231" s="4">
        <v>5310</v>
      </c>
      <c r="K231" s="4">
        <v>5552</v>
      </c>
      <c r="L231" s="4">
        <v>5699</v>
      </c>
      <c r="M231" s="4">
        <v>6335</v>
      </c>
      <c r="N231" s="4">
        <v>7023</v>
      </c>
      <c r="O231" s="18">
        <v>8295</v>
      </c>
      <c r="P231" s="27">
        <v>7725</v>
      </c>
      <c r="Q231" s="27">
        <v>8521</v>
      </c>
      <c r="R231" s="27">
        <v>8430</v>
      </c>
      <c r="S231" s="27">
        <v>7077</v>
      </c>
      <c r="T231" s="27">
        <v>6860</v>
      </c>
      <c r="U231" s="27">
        <v>7127</v>
      </c>
      <c r="V231" s="38">
        <v>6920</v>
      </c>
      <c r="W231" s="38">
        <v>7065</v>
      </c>
      <c r="X231" s="38">
        <v>7529</v>
      </c>
      <c r="Y231" s="38">
        <v>9002</v>
      </c>
      <c r="Z231" s="38">
        <v>9449</v>
      </c>
      <c r="AA231" s="38">
        <v>9549</v>
      </c>
      <c r="AB231" s="38">
        <v>9267</v>
      </c>
      <c r="AC231" s="38">
        <v>7746</v>
      </c>
    </row>
    <row r="232" spans="2:64" ht="13.8" thickBot="1" x14ac:dyDescent="0.3">
      <c r="B232" s="2" t="s">
        <v>85</v>
      </c>
      <c r="C232" s="3"/>
      <c r="D232" s="3"/>
      <c r="E232" s="5">
        <f t="shared" ref="E232:N232" si="14">SUM(E220:E231)</f>
        <v>66648</v>
      </c>
      <c r="F232" s="5">
        <f t="shared" si="14"/>
        <v>43284</v>
      </c>
      <c r="G232" s="5">
        <f t="shared" si="14"/>
        <v>43779</v>
      </c>
      <c r="H232" s="5">
        <f t="shared" si="14"/>
        <v>45856</v>
      </c>
      <c r="I232" s="5">
        <f t="shared" si="14"/>
        <v>40909</v>
      </c>
      <c r="J232" s="5">
        <f t="shared" si="14"/>
        <v>35755</v>
      </c>
      <c r="K232" s="5">
        <f t="shared" si="14"/>
        <v>37271</v>
      </c>
      <c r="L232" s="5">
        <f t="shared" si="14"/>
        <v>37978</v>
      </c>
      <c r="M232" s="5">
        <f t="shared" si="14"/>
        <v>40495</v>
      </c>
      <c r="N232" s="5">
        <f t="shared" si="14"/>
        <v>47165</v>
      </c>
      <c r="O232" s="5">
        <f t="shared" ref="O232:AC232" si="15">SUM(O220:O231)</f>
        <v>50973</v>
      </c>
      <c r="P232" s="5">
        <f t="shared" si="15"/>
        <v>53590</v>
      </c>
      <c r="Q232" s="5">
        <f t="shared" si="15"/>
        <v>53909</v>
      </c>
      <c r="R232" s="5">
        <f t="shared" si="15"/>
        <v>54367</v>
      </c>
      <c r="S232" s="5">
        <f t="shared" si="15"/>
        <v>46698</v>
      </c>
      <c r="T232" s="5">
        <f t="shared" si="15"/>
        <v>48971</v>
      </c>
      <c r="U232" s="5">
        <f t="shared" si="15"/>
        <v>51200</v>
      </c>
      <c r="V232" s="5">
        <f t="shared" si="15"/>
        <v>54898</v>
      </c>
      <c r="W232" s="5">
        <f t="shared" si="15"/>
        <v>59389</v>
      </c>
      <c r="X232" s="5">
        <f t="shared" si="15"/>
        <v>59651</v>
      </c>
      <c r="Y232" s="5">
        <f t="shared" si="15"/>
        <v>63384</v>
      </c>
      <c r="Z232" s="5">
        <f t="shared" si="15"/>
        <v>66084</v>
      </c>
      <c r="AA232" s="5">
        <f t="shared" si="15"/>
        <v>63904</v>
      </c>
      <c r="AB232" s="5">
        <f t="shared" si="15"/>
        <v>57667</v>
      </c>
      <c r="AC232" s="5">
        <f t="shared" si="15"/>
        <v>51742</v>
      </c>
    </row>
    <row r="233" spans="2:64" ht="14.4" thickTop="1" thickBot="1" x14ac:dyDescent="0.3"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spans="2:64" ht="21.6" thickBot="1" x14ac:dyDescent="0.3">
      <c r="B234" s="14" t="s">
        <v>1</v>
      </c>
      <c r="C234" s="14" t="s">
        <v>2</v>
      </c>
      <c r="D234" s="14" t="s">
        <v>3</v>
      </c>
      <c r="E234" s="14" t="s">
        <v>4</v>
      </c>
      <c r="F234" s="14" t="s">
        <v>187</v>
      </c>
      <c r="G234" s="14" t="s">
        <v>188</v>
      </c>
      <c r="H234" s="14" t="s">
        <v>189</v>
      </c>
      <c r="I234" s="14" t="s">
        <v>190</v>
      </c>
      <c r="J234" s="14" t="s">
        <v>191</v>
      </c>
      <c r="K234" s="14" t="s">
        <v>192</v>
      </c>
      <c r="L234" s="14" t="s">
        <v>193</v>
      </c>
      <c r="M234" s="14" t="s">
        <v>194</v>
      </c>
      <c r="N234" s="14" t="s">
        <v>195</v>
      </c>
      <c r="O234" s="14" t="s">
        <v>196</v>
      </c>
      <c r="P234" s="14" t="s">
        <v>197</v>
      </c>
      <c r="Q234" s="14" t="s">
        <v>198</v>
      </c>
      <c r="R234" s="14" t="s">
        <v>199</v>
      </c>
      <c r="S234" s="14" t="s">
        <v>200</v>
      </c>
      <c r="T234" s="14" t="s">
        <v>201</v>
      </c>
      <c r="U234" s="14" t="s">
        <v>202</v>
      </c>
      <c r="V234" s="14" t="s">
        <v>203</v>
      </c>
      <c r="W234" s="14" t="s">
        <v>204</v>
      </c>
      <c r="X234" s="14" t="s">
        <v>205</v>
      </c>
      <c r="Y234" s="14" t="s">
        <v>206</v>
      </c>
      <c r="Z234" s="19" t="s">
        <v>207</v>
      </c>
      <c r="AA234" s="19" t="s">
        <v>208</v>
      </c>
      <c r="AB234" s="14" t="s">
        <v>209</v>
      </c>
      <c r="AC234" s="14" t="s">
        <v>210</v>
      </c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</row>
    <row r="235" spans="2:64" x14ac:dyDescent="0.25">
      <c r="B235" s="2" t="s">
        <v>16</v>
      </c>
      <c r="C235" s="3" t="s">
        <v>60</v>
      </c>
      <c r="D235" s="3" t="s">
        <v>18</v>
      </c>
      <c r="E235" s="4">
        <v>3000</v>
      </c>
      <c r="F235" s="4">
        <v>1582</v>
      </c>
      <c r="G235" s="4">
        <v>1520</v>
      </c>
      <c r="H235" s="4">
        <v>1349</v>
      </c>
      <c r="I235" s="4">
        <v>629</v>
      </c>
      <c r="J235" s="4">
        <v>1050</v>
      </c>
      <c r="K235" s="4">
        <v>521</v>
      </c>
      <c r="L235" s="4">
        <v>1055</v>
      </c>
      <c r="M235" s="4">
        <v>1755</v>
      </c>
      <c r="N235" s="4">
        <v>1358</v>
      </c>
      <c r="O235" s="18">
        <v>1755</v>
      </c>
      <c r="P235" s="27">
        <v>1358</v>
      </c>
      <c r="Q235" s="27">
        <v>1550</v>
      </c>
      <c r="R235" s="27">
        <v>2050</v>
      </c>
      <c r="S235" s="27">
        <v>1502</v>
      </c>
      <c r="T235" s="27">
        <v>522</v>
      </c>
      <c r="U235" s="27">
        <v>788</v>
      </c>
      <c r="V235" s="38">
        <v>883</v>
      </c>
      <c r="W235" s="38">
        <v>1875</v>
      </c>
      <c r="X235" s="38">
        <v>1501</v>
      </c>
      <c r="Y235" s="38">
        <v>1875</v>
      </c>
      <c r="Z235" s="38">
        <v>1501</v>
      </c>
      <c r="AA235" s="38">
        <v>2462</v>
      </c>
      <c r="AB235" s="38">
        <v>1098</v>
      </c>
      <c r="AC235" s="38">
        <v>64</v>
      </c>
      <c r="AE235" s="7">
        <f t="shared" ref="AE235:AE246" si="16">Y235-I235</f>
        <v>1246</v>
      </c>
    </row>
    <row r="236" spans="2:64" x14ac:dyDescent="0.25">
      <c r="B236" s="2" t="s">
        <v>63</v>
      </c>
      <c r="C236" s="3" t="s">
        <v>64</v>
      </c>
      <c r="D236" s="3" t="s">
        <v>65</v>
      </c>
      <c r="E236" s="4">
        <v>5200</v>
      </c>
      <c r="F236" s="4">
        <v>7121</v>
      </c>
      <c r="G236" s="4">
        <v>4073</v>
      </c>
      <c r="H236" s="4">
        <v>3433</v>
      </c>
      <c r="I236" s="4">
        <v>2606</v>
      </c>
      <c r="J236" s="4">
        <v>3175</v>
      </c>
      <c r="K236" s="4">
        <v>2262</v>
      </c>
      <c r="L236" s="4">
        <v>2543</v>
      </c>
      <c r="M236" s="4">
        <v>1814</v>
      </c>
      <c r="N236" s="4">
        <v>2740</v>
      </c>
      <c r="O236" s="18">
        <v>3294</v>
      </c>
      <c r="P236" s="27">
        <v>3297</v>
      </c>
      <c r="Q236" s="27">
        <v>3099</v>
      </c>
      <c r="R236" s="27">
        <v>3333</v>
      </c>
      <c r="S236" s="27">
        <v>3450</v>
      </c>
      <c r="T236" s="27">
        <v>4011</v>
      </c>
      <c r="U236" s="27">
        <v>4379</v>
      </c>
      <c r="V236" s="38">
        <v>5184</v>
      </c>
      <c r="W236" s="38">
        <v>5437</v>
      </c>
      <c r="X236" s="38">
        <v>6121</v>
      </c>
      <c r="Y236" s="38">
        <v>6048</v>
      </c>
      <c r="Z236" s="38">
        <v>6121</v>
      </c>
      <c r="AA236" s="38">
        <v>5510</v>
      </c>
      <c r="AB236" s="38">
        <v>4767</v>
      </c>
      <c r="AC236" s="38">
        <v>2975</v>
      </c>
      <c r="AE236" s="7">
        <f t="shared" si="16"/>
        <v>3442</v>
      </c>
    </row>
    <row r="237" spans="2:64" x14ac:dyDescent="0.25">
      <c r="B237" s="2" t="s">
        <v>66</v>
      </c>
      <c r="C237" s="3" t="s">
        <v>67</v>
      </c>
      <c r="D237" s="3" t="s">
        <v>62</v>
      </c>
      <c r="E237" s="4">
        <v>2580</v>
      </c>
      <c r="F237" s="4">
        <f>1976+598</f>
        <v>2574</v>
      </c>
      <c r="G237" s="4">
        <f>1751+800</f>
        <v>2551</v>
      </c>
      <c r="H237" s="4">
        <f>1400+800</f>
        <v>2200</v>
      </c>
      <c r="I237" s="4">
        <f>1921+967</f>
        <v>2888</v>
      </c>
      <c r="J237" s="4">
        <f>1426+967</f>
        <v>2393</v>
      </c>
      <c r="K237" s="4">
        <f>1989+1001</f>
        <v>2990</v>
      </c>
      <c r="L237" s="4">
        <f>2336+1000</f>
        <v>3336</v>
      </c>
      <c r="M237" s="4">
        <v>3726</v>
      </c>
      <c r="N237" s="4">
        <f>2765+1027</f>
        <v>3792</v>
      </c>
      <c r="O237" s="18">
        <f>2730+727</f>
        <v>3457</v>
      </c>
      <c r="P237" s="27">
        <f>2779+727</f>
        <v>3506</v>
      </c>
      <c r="Q237" s="27">
        <f>2970+987</f>
        <v>3957</v>
      </c>
      <c r="R237" s="27">
        <f>2970+987</f>
        <v>3957</v>
      </c>
      <c r="S237" s="27">
        <f>2980+842</f>
        <v>3822</v>
      </c>
      <c r="T237" s="27">
        <f>3374+843</f>
        <v>4217</v>
      </c>
      <c r="U237" s="27">
        <f>3213+709</f>
        <v>3922</v>
      </c>
      <c r="V237" s="38">
        <f>3214+709</f>
        <v>3923</v>
      </c>
      <c r="W237" s="38">
        <f>3213+728</f>
        <v>3941</v>
      </c>
      <c r="X237" s="38">
        <f>3213+728</f>
        <v>3941</v>
      </c>
      <c r="Y237" s="38">
        <f>3213+728</f>
        <v>3941</v>
      </c>
      <c r="Z237" s="38">
        <f>3213+728</f>
        <v>3941</v>
      </c>
      <c r="AA237" s="38">
        <f>3111+599</f>
        <v>3710</v>
      </c>
      <c r="AB237" s="38">
        <f>2794+599</f>
        <v>3393</v>
      </c>
      <c r="AC237" s="38">
        <f>2718+825</f>
        <v>3543</v>
      </c>
      <c r="AE237" s="7">
        <f t="shared" si="16"/>
        <v>1053</v>
      </c>
    </row>
    <row r="238" spans="2:64" x14ac:dyDescent="0.25">
      <c r="B238" s="2" t="s">
        <v>69</v>
      </c>
      <c r="C238" s="3" t="s">
        <v>70</v>
      </c>
      <c r="D238" s="3" t="s">
        <v>71</v>
      </c>
      <c r="E238" s="4">
        <v>3659</v>
      </c>
      <c r="F238" s="4">
        <v>3114</v>
      </c>
      <c r="G238" s="4">
        <v>848</v>
      </c>
      <c r="H238" s="4">
        <v>1023</v>
      </c>
      <c r="I238" s="4">
        <v>1646</v>
      </c>
      <c r="J238" s="4">
        <v>1217</v>
      </c>
      <c r="K238" s="4">
        <v>1945</v>
      </c>
      <c r="L238" s="4">
        <v>3183</v>
      </c>
      <c r="M238" s="4">
        <v>1241</v>
      </c>
      <c r="N238" s="4">
        <v>865</v>
      </c>
      <c r="O238" s="18">
        <v>1125</v>
      </c>
      <c r="P238" s="27">
        <v>3338</v>
      </c>
      <c r="Q238" s="27">
        <v>1168</v>
      </c>
      <c r="R238" s="27">
        <v>1938</v>
      </c>
      <c r="S238" s="27">
        <v>3498</v>
      </c>
      <c r="T238" s="27">
        <v>2306</v>
      </c>
      <c r="U238" s="27">
        <v>1441</v>
      </c>
      <c r="V238" s="38">
        <v>1137</v>
      </c>
      <c r="W238" s="38">
        <v>2656</v>
      </c>
      <c r="X238" s="38">
        <v>3451</v>
      </c>
      <c r="Y238" s="38">
        <v>2656</v>
      </c>
      <c r="Z238" s="38">
        <v>3451</v>
      </c>
      <c r="AA238" s="38">
        <v>2739</v>
      </c>
      <c r="AB238" s="38">
        <v>2605</v>
      </c>
      <c r="AC238" s="38">
        <v>824</v>
      </c>
      <c r="AE238" s="7">
        <f t="shared" si="16"/>
        <v>1010</v>
      </c>
    </row>
    <row r="239" spans="2:64" x14ac:dyDescent="0.25">
      <c r="B239" s="2" t="s">
        <v>31</v>
      </c>
      <c r="C239" s="3" t="s">
        <v>72</v>
      </c>
      <c r="D239" s="3" t="s">
        <v>73</v>
      </c>
      <c r="E239" s="7">
        <v>7100</v>
      </c>
      <c r="F239" s="7">
        <v>4850</v>
      </c>
      <c r="G239" s="7">
        <v>3548</v>
      </c>
      <c r="H239" s="7">
        <v>3657</v>
      </c>
      <c r="I239" s="7">
        <v>3326</v>
      </c>
      <c r="J239" s="7">
        <v>3253</v>
      </c>
      <c r="K239" s="4">
        <v>4161</v>
      </c>
      <c r="L239" s="7">
        <v>4631</v>
      </c>
      <c r="M239" s="7">
        <v>5849</v>
      </c>
      <c r="N239" s="7">
        <v>5935</v>
      </c>
      <c r="O239" s="18">
        <v>5034</v>
      </c>
      <c r="P239" s="27">
        <v>5266</v>
      </c>
      <c r="Q239" s="27">
        <v>4933</v>
      </c>
      <c r="R239" s="27">
        <v>5405</v>
      </c>
      <c r="S239" s="27">
        <v>5818</v>
      </c>
      <c r="T239" s="27">
        <v>6290</v>
      </c>
      <c r="U239" s="27">
        <v>5977</v>
      </c>
      <c r="V239" s="38">
        <v>6193</v>
      </c>
      <c r="W239" s="38">
        <v>6258</v>
      </c>
      <c r="X239" s="38">
        <v>6258</v>
      </c>
      <c r="Y239" s="38">
        <v>6191</v>
      </c>
      <c r="Z239" s="38">
        <v>6102</v>
      </c>
      <c r="AA239" s="38">
        <v>6462</v>
      </c>
      <c r="AB239" s="38">
        <v>5622</v>
      </c>
      <c r="AC239" s="38">
        <v>4622</v>
      </c>
      <c r="AE239" s="7">
        <f t="shared" si="16"/>
        <v>2865</v>
      </c>
    </row>
    <row r="240" spans="2:64" x14ac:dyDescent="0.25">
      <c r="B240" s="2" t="s">
        <v>74</v>
      </c>
      <c r="C240" s="3" t="s">
        <v>75</v>
      </c>
      <c r="D240" s="3" t="s">
        <v>71</v>
      </c>
      <c r="E240" s="4">
        <v>10000</v>
      </c>
      <c r="F240" s="4">
        <v>6900</v>
      </c>
      <c r="G240" s="4">
        <v>3882</v>
      </c>
      <c r="H240" s="4">
        <v>3288</v>
      </c>
      <c r="I240" s="4">
        <v>3887</v>
      </c>
      <c r="J240" s="4">
        <v>4690</v>
      </c>
      <c r="K240" s="4">
        <v>4802</v>
      </c>
      <c r="L240" s="4">
        <v>4421</v>
      </c>
      <c r="M240" s="4">
        <v>4318</v>
      </c>
      <c r="N240" s="4">
        <v>4101</v>
      </c>
      <c r="O240" s="18">
        <v>4319</v>
      </c>
      <c r="P240" s="27">
        <v>4102</v>
      </c>
      <c r="Q240" s="27">
        <v>6479</v>
      </c>
      <c r="R240" s="27">
        <v>6985</v>
      </c>
      <c r="S240" s="27">
        <v>7763</v>
      </c>
      <c r="T240" s="27">
        <v>7083</v>
      </c>
      <c r="U240" s="27">
        <v>6627</v>
      </c>
      <c r="V240" s="38">
        <v>6824</v>
      </c>
      <c r="W240" s="38">
        <v>8448</v>
      </c>
      <c r="X240" s="38">
        <v>9800</v>
      </c>
      <c r="Y240" s="38">
        <v>8448</v>
      </c>
      <c r="Z240" s="38">
        <v>9800</v>
      </c>
      <c r="AA240" s="38">
        <v>8673</v>
      </c>
      <c r="AB240" s="38">
        <v>6704</v>
      </c>
      <c r="AC240" s="38">
        <v>3508</v>
      </c>
      <c r="AE240" s="7">
        <f t="shared" si="16"/>
        <v>4561</v>
      </c>
    </row>
    <row r="241" spans="2:31" x14ac:dyDescent="0.25">
      <c r="B241" s="2" t="s">
        <v>82</v>
      </c>
      <c r="C241" s="3" t="s">
        <v>83</v>
      </c>
      <c r="D241" s="3" t="s">
        <v>84</v>
      </c>
      <c r="E241" s="4">
        <v>8299</v>
      </c>
      <c r="F241" s="4">
        <v>3561</v>
      </c>
      <c r="G241" s="4">
        <v>2902</v>
      </c>
      <c r="H241" s="4">
        <v>3392</v>
      </c>
      <c r="I241" s="4">
        <v>1830</v>
      </c>
      <c r="J241" s="4">
        <v>1469</v>
      </c>
      <c r="K241" s="4">
        <v>1204</v>
      </c>
      <c r="L241" s="4">
        <v>1498</v>
      </c>
      <c r="M241" s="4">
        <v>2250</v>
      </c>
      <c r="N241" s="4">
        <v>1115</v>
      </c>
      <c r="O241" s="18">
        <v>2250</v>
      </c>
      <c r="P241" s="27">
        <v>1115</v>
      </c>
      <c r="Q241" s="27">
        <v>3693</v>
      </c>
      <c r="R241" s="27">
        <v>2808</v>
      </c>
      <c r="S241" s="27">
        <v>3625</v>
      </c>
      <c r="T241" s="27">
        <v>2267</v>
      </c>
      <c r="U241" s="27">
        <v>1396</v>
      </c>
      <c r="V241" s="38">
        <v>2462</v>
      </c>
      <c r="W241" s="38">
        <v>2980</v>
      </c>
      <c r="X241" s="38">
        <v>2556</v>
      </c>
      <c r="Y241" s="38">
        <v>3559</v>
      </c>
      <c r="Z241" s="38">
        <v>3576</v>
      </c>
      <c r="AA241" s="38">
        <v>5278</v>
      </c>
      <c r="AB241" s="38">
        <v>4104</v>
      </c>
      <c r="AC241" s="38">
        <v>4152</v>
      </c>
      <c r="AE241" s="7">
        <f t="shared" si="16"/>
        <v>1729</v>
      </c>
    </row>
    <row r="242" spans="2:31" x14ac:dyDescent="0.25">
      <c r="B242" s="2" t="s">
        <v>79</v>
      </c>
      <c r="C242" s="3" t="s">
        <v>80</v>
      </c>
      <c r="D242" s="3" t="s">
        <v>62</v>
      </c>
      <c r="E242" s="4">
        <v>1800</v>
      </c>
      <c r="F242" s="4">
        <v>942</v>
      </c>
      <c r="G242" s="4">
        <v>753</v>
      </c>
      <c r="H242" s="4">
        <v>749</v>
      </c>
      <c r="I242" s="4">
        <v>828</v>
      </c>
      <c r="J242" s="4">
        <v>873</v>
      </c>
      <c r="K242" s="4">
        <v>668</v>
      </c>
      <c r="L242" s="4">
        <v>694</v>
      </c>
      <c r="M242" s="4">
        <v>643</v>
      </c>
      <c r="N242" s="4">
        <v>771</v>
      </c>
      <c r="O242" s="18">
        <v>693</v>
      </c>
      <c r="P242" s="27">
        <v>692</v>
      </c>
      <c r="Q242" s="27">
        <v>697</v>
      </c>
      <c r="R242" s="27">
        <v>690</v>
      </c>
      <c r="S242" s="27">
        <v>498</v>
      </c>
      <c r="T242" s="27">
        <v>409</v>
      </c>
      <c r="U242" s="27">
        <v>395</v>
      </c>
      <c r="V242" s="38">
        <v>495</v>
      </c>
      <c r="W242" s="38">
        <v>461</v>
      </c>
      <c r="X242" s="38">
        <v>488</v>
      </c>
      <c r="Y242" s="38">
        <v>460</v>
      </c>
      <c r="Z242" s="38">
        <v>488</v>
      </c>
      <c r="AA242" s="38">
        <v>558</v>
      </c>
      <c r="AB242" s="38">
        <v>542</v>
      </c>
      <c r="AC242" s="38">
        <v>676</v>
      </c>
      <c r="AE242" s="7">
        <f t="shared" si="16"/>
        <v>-368</v>
      </c>
    </row>
    <row r="243" spans="2:31" x14ac:dyDescent="0.25">
      <c r="B243" s="2" t="s">
        <v>68</v>
      </c>
      <c r="C243" s="3" t="s">
        <v>64</v>
      </c>
      <c r="D243" s="3" t="s">
        <v>65</v>
      </c>
      <c r="E243" s="4">
        <v>8500</v>
      </c>
      <c r="F243" s="4">
        <v>6710</v>
      </c>
      <c r="G243" s="4">
        <v>6556</v>
      </c>
      <c r="H243" s="4">
        <v>6872</v>
      </c>
      <c r="I243" s="4">
        <v>6989</v>
      </c>
      <c r="J243" s="4">
        <v>6872</v>
      </c>
      <c r="K243" s="4">
        <v>6859</v>
      </c>
      <c r="L243" s="4">
        <v>6742</v>
      </c>
      <c r="M243" s="4">
        <v>6547</v>
      </c>
      <c r="N243" s="4">
        <v>6681</v>
      </c>
      <c r="O243" s="18">
        <v>6528</v>
      </c>
      <c r="P243" s="27">
        <v>6613</v>
      </c>
      <c r="Q243" s="27">
        <v>6971</v>
      </c>
      <c r="R243" s="27">
        <v>6797</v>
      </c>
      <c r="S243" s="27">
        <v>6891</v>
      </c>
      <c r="T243" s="27">
        <v>6801</v>
      </c>
      <c r="U243" s="27">
        <v>6832</v>
      </c>
      <c r="V243" s="38">
        <v>6715</v>
      </c>
      <c r="W243" s="38">
        <v>6759</v>
      </c>
      <c r="X243" s="38">
        <v>6852</v>
      </c>
      <c r="Y243" s="38">
        <v>6825</v>
      </c>
      <c r="Z243" s="38">
        <v>6852</v>
      </c>
      <c r="AA243" s="38">
        <v>6601</v>
      </c>
      <c r="AB243" s="38">
        <v>6767</v>
      </c>
      <c r="AC243" s="38">
        <v>6575</v>
      </c>
      <c r="AE243" s="7">
        <f t="shared" si="16"/>
        <v>-164</v>
      </c>
    </row>
    <row r="244" spans="2:31" x14ac:dyDescent="0.25">
      <c r="B244" s="2" t="s">
        <v>61</v>
      </c>
      <c r="C244" s="3" t="s">
        <v>94</v>
      </c>
      <c r="D244" s="3" t="s">
        <v>62</v>
      </c>
      <c r="E244" s="4">
        <v>1700</v>
      </c>
      <c r="F244" s="4">
        <v>1152</v>
      </c>
      <c r="G244" s="4">
        <v>1149</v>
      </c>
      <c r="H244" s="4">
        <v>1101</v>
      </c>
      <c r="I244" s="4">
        <v>1080</v>
      </c>
      <c r="J244" s="4">
        <v>1044</v>
      </c>
      <c r="K244" s="4">
        <v>1208</v>
      </c>
      <c r="L244" s="4">
        <v>1164</v>
      </c>
      <c r="M244" s="4">
        <v>1438</v>
      </c>
      <c r="N244" s="4">
        <v>1164</v>
      </c>
      <c r="O244" s="18">
        <v>1438</v>
      </c>
      <c r="P244" s="27">
        <v>1578</v>
      </c>
      <c r="Q244" s="27">
        <v>1481</v>
      </c>
      <c r="R244" s="27">
        <v>1564</v>
      </c>
      <c r="S244" s="27">
        <v>1497</v>
      </c>
      <c r="T244" s="27">
        <v>1494</v>
      </c>
      <c r="U244" s="27">
        <v>1433</v>
      </c>
      <c r="V244" s="38">
        <v>1628</v>
      </c>
      <c r="W244" s="38">
        <v>1734</v>
      </c>
      <c r="X244" s="38">
        <v>1721</v>
      </c>
      <c r="Y244" s="38">
        <v>1718</v>
      </c>
      <c r="Z244" s="38">
        <v>1721</v>
      </c>
      <c r="AA244" s="38">
        <v>1662</v>
      </c>
      <c r="AB244" s="38">
        <v>1623</v>
      </c>
      <c r="AC244" s="38">
        <v>1411</v>
      </c>
      <c r="AE244" s="7">
        <f t="shared" si="16"/>
        <v>638</v>
      </c>
    </row>
    <row r="245" spans="2:31" x14ac:dyDescent="0.25">
      <c r="B245" s="2" t="s">
        <v>76</v>
      </c>
      <c r="C245" s="3" t="s">
        <v>77</v>
      </c>
      <c r="D245" s="3" t="s">
        <v>78</v>
      </c>
      <c r="E245" s="4">
        <v>6000</v>
      </c>
      <c r="F245" s="4">
        <v>3472</v>
      </c>
      <c r="G245" s="4">
        <v>1188</v>
      </c>
      <c r="H245" s="4">
        <v>878</v>
      </c>
      <c r="I245" s="4">
        <v>974</v>
      </c>
      <c r="J245" s="4">
        <v>1429</v>
      </c>
      <c r="K245" s="4">
        <v>1146</v>
      </c>
      <c r="L245" s="4">
        <v>1655</v>
      </c>
      <c r="M245" s="4">
        <v>2046</v>
      </c>
      <c r="N245" s="4">
        <v>1826</v>
      </c>
      <c r="O245" s="18">
        <v>1254</v>
      </c>
      <c r="P245" s="27">
        <v>2077</v>
      </c>
      <c r="Q245" s="27">
        <v>1769</v>
      </c>
      <c r="R245" s="27">
        <v>1781</v>
      </c>
      <c r="S245" s="27">
        <v>2589</v>
      </c>
      <c r="T245" s="27">
        <v>1815</v>
      </c>
      <c r="U245" s="27">
        <v>1248</v>
      </c>
      <c r="V245" s="38">
        <v>790</v>
      </c>
      <c r="W245" s="38">
        <v>1499</v>
      </c>
      <c r="X245" s="38">
        <v>2960</v>
      </c>
      <c r="Y245" s="38">
        <v>1556</v>
      </c>
      <c r="Z245" s="38">
        <v>2960</v>
      </c>
      <c r="AA245" s="38">
        <v>3040</v>
      </c>
      <c r="AB245" s="38">
        <v>2628</v>
      </c>
      <c r="AC245" s="38">
        <v>1777</v>
      </c>
      <c r="AE245" s="7">
        <f t="shared" si="16"/>
        <v>582</v>
      </c>
    </row>
    <row r="246" spans="2:31" x14ac:dyDescent="0.25">
      <c r="B246" s="2" t="s">
        <v>52</v>
      </c>
      <c r="C246" s="3" t="s">
        <v>81</v>
      </c>
      <c r="D246" s="3" t="s">
        <v>73</v>
      </c>
      <c r="E246" s="4">
        <v>8810</v>
      </c>
      <c r="F246" s="4">
        <v>7227</v>
      </c>
      <c r="G246" s="4">
        <v>5706</v>
      </c>
      <c r="H246" s="4">
        <v>5572</v>
      </c>
      <c r="I246" s="4">
        <v>5270</v>
      </c>
      <c r="J246" s="4">
        <v>5482</v>
      </c>
      <c r="K246" s="4">
        <v>5332</v>
      </c>
      <c r="L246" s="4">
        <v>5559</v>
      </c>
      <c r="M246" s="4">
        <v>6203</v>
      </c>
      <c r="N246" s="4">
        <v>6465</v>
      </c>
      <c r="O246" s="18">
        <v>6486</v>
      </c>
      <c r="P246" s="27">
        <v>7227</v>
      </c>
      <c r="Q246" s="27">
        <v>6960</v>
      </c>
      <c r="R246" s="27">
        <v>6376</v>
      </c>
      <c r="S246" s="27">
        <v>6767</v>
      </c>
      <c r="T246" s="27">
        <v>6415</v>
      </c>
      <c r="U246" s="27">
        <v>5509</v>
      </c>
      <c r="V246" s="38">
        <v>5021</v>
      </c>
      <c r="W246" s="38">
        <v>4913</v>
      </c>
      <c r="X246" s="38">
        <v>5086</v>
      </c>
      <c r="Y246" s="38">
        <v>6415</v>
      </c>
      <c r="Z246" s="38">
        <v>6453</v>
      </c>
      <c r="AA246" s="38">
        <v>7571</v>
      </c>
      <c r="AB246" s="38">
        <v>6750</v>
      </c>
      <c r="AC246" s="38">
        <v>6214</v>
      </c>
      <c r="AE246" s="7">
        <f t="shared" si="16"/>
        <v>1145</v>
      </c>
    </row>
    <row r="247" spans="2:31" ht="13.8" thickBot="1" x14ac:dyDescent="0.3">
      <c r="B247" s="2" t="s">
        <v>85</v>
      </c>
      <c r="C247" s="3"/>
      <c r="D247" s="3"/>
      <c r="E247" s="5">
        <f t="shared" ref="E247:AE247" si="17">SUM(E235:E246)</f>
        <v>66648</v>
      </c>
      <c r="F247" s="5">
        <f t="shared" si="17"/>
        <v>49205</v>
      </c>
      <c r="G247" s="5">
        <f t="shared" si="17"/>
        <v>34676</v>
      </c>
      <c r="H247" s="5">
        <f t="shared" si="17"/>
        <v>33514</v>
      </c>
      <c r="I247" s="5">
        <f t="shared" si="17"/>
        <v>31953</v>
      </c>
      <c r="J247" s="5">
        <f t="shared" si="17"/>
        <v>32947</v>
      </c>
      <c r="K247" s="5">
        <f t="shared" si="17"/>
        <v>33098</v>
      </c>
      <c r="L247" s="5">
        <f t="shared" si="17"/>
        <v>36481</v>
      </c>
      <c r="M247" s="5">
        <f t="shared" si="17"/>
        <v>37830</v>
      </c>
      <c r="N247" s="5">
        <f t="shared" si="17"/>
        <v>36813</v>
      </c>
      <c r="O247" s="5">
        <f t="shared" si="17"/>
        <v>37633</v>
      </c>
      <c r="P247" s="5">
        <f t="shared" si="17"/>
        <v>40169</v>
      </c>
      <c r="Q247" s="5">
        <f t="shared" si="17"/>
        <v>42757</v>
      </c>
      <c r="R247" s="5">
        <f t="shared" si="17"/>
        <v>43684</v>
      </c>
      <c r="S247" s="5">
        <f t="shared" si="17"/>
        <v>47720</v>
      </c>
      <c r="T247" s="5">
        <f t="shared" si="17"/>
        <v>43630</v>
      </c>
      <c r="U247" s="5">
        <f t="shared" si="17"/>
        <v>39947</v>
      </c>
      <c r="V247" s="5">
        <f t="shared" si="17"/>
        <v>41255</v>
      </c>
      <c r="W247" s="5">
        <f t="shared" si="17"/>
        <v>46961</v>
      </c>
      <c r="X247" s="5">
        <f t="shared" si="17"/>
        <v>50735</v>
      </c>
      <c r="Y247" s="5">
        <f t="shared" si="17"/>
        <v>49692</v>
      </c>
      <c r="Z247" s="5">
        <f t="shared" si="17"/>
        <v>52966</v>
      </c>
      <c r="AA247" s="5">
        <f t="shared" si="17"/>
        <v>54266</v>
      </c>
      <c r="AB247" s="5">
        <f t="shared" si="17"/>
        <v>46603</v>
      </c>
      <c r="AC247" s="5">
        <f t="shared" si="17"/>
        <v>36341</v>
      </c>
      <c r="AE247" s="5">
        <f t="shared" si="17"/>
        <v>17739</v>
      </c>
    </row>
    <row r="248" spans="2:31" ht="14.4" thickTop="1" thickBot="1" x14ac:dyDescent="0.3">
      <c r="C248" s="3"/>
      <c r="D248" s="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2:31" ht="21.6" thickBot="1" x14ac:dyDescent="0.3">
      <c r="B249" s="14" t="s">
        <v>1</v>
      </c>
      <c r="C249" s="14" t="s">
        <v>2</v>
      </c>
      <c r="D249" s="14" t="s">
        <v>3</v>
      </c>
      <c r="E249" s="14" t="s">
        <v>4</v>
      </c>
      <c r="F249" s="14" t="s">
        <v>237</v>
      </c>
      <c r="G249" s="14" t="s">
        <v>214</v>
      </c>
      <c r="H249" s="14" t="s">
        <v>215</v>
      </c>
      <c r="I249" s="14" t="s">
        <v>216</v>
      </c>
      <c r="J249" s="14" t="s">
        <v>217</v>
      </c>
      <c r="K249" s="14" t="s">
        <v>218</v>
      </c>
      <c r="L249" s="14" t="s">
        <v>219</v>
      </c>
      <c r="M249" s="14" t="s">
        <v>220</v>
      </c>
      <c r="N249" s="14" t="s">
        <v>221</v>
      </c>
      <c r="O249" s="14" t="s">
        <v>222</v>
      </c>
      <c r="P249" s="14" t="s">
        <v>223</v>
      </c>
      <c r="Q249" s="14" t="s">
        <v>224</v>
      </c>
      <c r="R249" s="14" t="s">
        <v>225</v>
      </c>
      <c r="S249" s="14" t="s">
        <v>226</v>
      </c>
      <c r="T249" s="14" t="s">
        <v>227</v>
      </c>
      <c r="U249" s="14" t="s">
        <v>228</v>
      </c>
      <c r="V249" s="14" t="s">
        <v>229</v>
      </c>
      <c r="W249" s="14" t="s">
        <v>230</v>
      </c>
      <c r="X249" s="14" t="s">
        <v>231</v>
      </c>
      <c r="Y249" s="14" t="s">
        <v>232</v>
      </c>
      <c r="Z249" s="19" t="s">
        <v>233</v>
      </c>
      <c r="AA249" s="19" t="s">
        <v>234</v>
      </c>
      <c r="AB249" s="14" t="s">
        <v>235</v>
      </c>
      <c r="AC249" s="14" t="s">
        <v>236</v>
      </c>
    </row>
    <row r="250" spans="2:31" x14ac:dyDescent="0.25">
      <c r="B250" s="2" t="s">
        <v>274</v>
      </c>
      <c r="C250" s="3" t="s">
        <v>60</v>
      </c>
      <c r="D250" s="3" t="s">
        <v>18</v>
      </c>
      <c r="E250" s="4">
        <v>3000</v>
      </c>
      <c r="F250" s="4">
        <v>164</v>
      </c>
      <c r="G250" s="4">
        <v>214</v>
      </c>
      <c r="H250" s="4">
        <v>1581</v>
      </c>
      <c r="I250" s="4">
        <v>1567</v>
      </c>
      <c r="J250" s="4">
        <v>1879</v>
      </c>
      <c r="K250" s="4">
        <v>855</v>
      </c>
      <c r="L250" s="4">
        <v>1281</v>
      </c>
      <c r="M250" s="4">
        <v>1891</v>
      </c>
      <c r="N250" s="4">
        <v>2171</v>
      </c>
      <c r="O250" s="18">
        <v>1964</v>
      </c>
      <c r="P250" s="27">
        <v>1443</v>
      </c>
      <c r="Q250" s="27">
        <v>197</v>
      </c>
      <c r="R250" s="27">
        <v>166</v>
      </c>
      <c r="S250" s="27">
        <v>561</v>
      </c>
      <c r="T250" s="27">
        <v>501</v>
      </c>
      <c r="U250" s="27">
        <v>1139</v>
      </c>
      <c r="V250" s="38">
        <v>1326</v>
      </c>
      <c r="W250" s="38">
        <v>1062</v>
      </c>
      <c r="X250" s="38">
        <v>937</v>
      </c>
      <c r="Y250" s="38"/>
      <c r="Z250" s="38"/>
      <c r="AA250" s="38"/>
      <c r="AB250" s="38"/>
      <c r="AC250" s="38"/>
    </row>
    <row r="251" spans="2:31" x14ac:dyDescent="0.25">
      <c r="B251" s="2" t="s">
        <v>63</v>
      </c>
      <c r="C251" s="3" t="s">
        <v>64</v>
      </c>
      <c r="D251" s="3" t="s">
        <v>65</v>
      </c>
      <c r="E251" s="4">
        <v>5200</v>
      </c>
      <c r="F251" s="4">
        <v>2627</v>
      </c>
      <c r="G251" s="4">
        <v>2472</v>
      </c>
      <c r="H251" s="4">
        <v>2341</v>
      </c>
      <c r="I251" s="4">
        <v>1878</v>
      </c>
      <c r="J251" s="4">
        <v>2141</v>
      </c>
      <c r="K251" s="4">
        <v>2331</v>
      </c>
      <c r="L251" s="4">
        <v>2563</v>
      </c>
      <c r="M251" s="4">
        <v>3233</v>
      </c>
      <c r="N251" s="4">
        <v>4101</v>
      </c>
      <c r="O251" s="18">
        <v>4799</v>
      </c>
      <c r="P251" s="27">
        <v>5268</v>
      </c>
      <c r="Q251" s="27">
        <v>5984</v>
      </c>
      <c r="R251" s="27">
        <v>6460</v>
      </c>
      <c r="S251" s="27">
        <v>5914</v>
      </c>
      <c r="T251" s="27">
        <v>5953</v>
      </c>
      <c r="U251" s="27">
        <v>6309</v>
      </c>
      <c r="V251" s="38">
        <v>7359</v>
      </c>
      <c r="W251" s="38">
        <v>8355</v>
      </c>
      <c r="X251" s="38">
        <v>9052</v>
      </c>
      <c r="Y251" s="38"/>
      <c r="Z251" s="38"/>
      <c r="AA251" s="38"/>
      <c r="AB251" s="38"/>
      <c r="AC251" s="38"/>
    </row>
    <row r="252" spans="2:31" x14ac:dyDescent="0.25">
      <c r="B252" s="2" t="s">
        <v>66</v>
      </c>
      <c r="C252" s="3" t="s">
        <v>67</v>
      </c>
      <c r="D252" s="3" t="s">
        <v>62</v>
      </c>
      <c r="E252" s="4">
        <v>2580</v>
      </c>
      <c r="F252" s="4">
        <f>2470+825</f>
        <v>3295</v>
      </c>
      <c r="G252" s="4">
        <f>1278+816</f>
        <v>2094</v>
      </c>
      <c r="H252" s="4">
        <f>419+816</f>
        <v>1235</v>
      </c>
      <c r="I252" s="4">
        <f>29+791</f>
        <v>820</v>
      </c>
      <c r="J252" s="4">
        <f>180+791</f>
        <v>971</v>
      </c>
      <c r="K252" s="4">
        <f>0+289</f>
        <v>289</v>
      </c>
      <c r="L252" s="4">
        <f>320+289</f>
        <v>609</v>
      </c>
      <c r="M252" s="4">
        <v>1301</v>
      </c>
      <c r="N252" s="4">
        <v>1610</v>
      </c>
      <c r="O252" s="18">
        <f>1162+719</f>
        <v>1881</v>
      </c>
      <c r="P252" s="27">
        <f>1331+719</f>
        <v>2050</v>
      </c>
      <c r="Q252" s="27">
        <f>1513+846</f>
        <v>2359</v>
      </c>
      <c r="R252" s="27">
        <f>1506+846</f>
        <v>2352</v>
      </c>
      <c r="S252" s="27">
        <f>2515+593</f>
        <v>3108</v>
      </c>
      <c r="T252" s="27">
        <f>2984+593</f>
        <v>3577</v>
      </c>
      <c r="U252" s="27">
        <f>2515+593</f>
        <v>3108</v>
      </c>
      <c r="V252" s="38">
        <f>2984+593</f>
        <v>3577</v>
      </c>
      <c r="W252" s="38">
        <f>3094+697</f>
        <v>3791</v>
      </c>
      <c r="X252" s="38">
        <f>3257+697</f>
        <v>3954</v>
      </c>
      <c r="Y252" s="38"/>
      <c r="Z252" s="38"/>
      <c r="AA252" s="38"/>
      <c r="AB252" s="38"/>
      <c r="AC252" s="38"/>
    </row>
    <row r="253" spans="2:31" x14ac:dyDescent="0.25">
      <c r="B253" s="2" t="s">
        <v>69</v>
      </c>
      <c r="C253" s="3" t="s">
        <v>70</v>
      </c>
      <c r="D253" s="3" t="s">
        <v>71</v>
      </c>
      <c r="E253" s="4">
        <v>3659</v>
      </c>
      <c r="F253" s="4">
        <v>1958</v>
      </c>
      <c r="G253" s="4">
        <v>3544</v>
      </c>
      <c r="H253" s="4">
        <v>2635</v>
      </c>
      <c r="I253" s="4">
        <v>3439</v>
      </c>
      <c r="J253" s="4">
        <v>1947</v>
      </c>
      <c r="K253" s="4">
        <v>1568</v>
      </c>
      <c r="L253" s="4">
        <v>1715</v>
      </c>
      <c r="M253" s="4">
        <v>1257</v>
      </c>
      <c r="N253" s="4">
        <v>2327</v>
      </c>
      <c r="O253" s="18">
        <v>2744</v>
      </c>
      <c r="P253" s="27">
        <v>2380</v>
      </c>
      <c r="Q253" s="27">
        <v>2088</v>
      </c>
      <c r="R253" s="27">
        <v>1957</v>
      </c>
      <c r="S253" s="27">
        <v>2152</v>
      </c>
      <c r="T253" s="27">
        <v>2215</v>
      </c>
      <c r="U253" s="38">
        <v>3091</v>
      </c>
      <c r="V253" s="38">
        <v>1372</v>
      </c>
      <c r="W253" s="38">
        <v>2361</v>
      </c>
      <c r="X253" s="38">
        <v>1786</v>
      </c>
      <c r="Y253" s="38"/>
      <c r="Z253" s="38"/>
      <c r="AA253" s="38"/>
      <c r="AB253" s="38"/>
      <c r="AC253" s="38"/>
    </row>
    <row r="254" spans="2:31" x14ac:dyDescent="0.25">
      <c r="B254" s="2" t="s">
        <v>31</v>
      </c>
      <c r="C254" s="3" t="s">
        <v>72</v>
      </c>
      <c r="D254" s="3" t="s">
        <v>73</v>
      </c>
      <c r="E254" s="7">
        <v>7100</v>
      </c>
      <c r="F254" s="7">
        <v>4107</v>
      </c>
      <c r="G254" s="7">
        <v>3715</v>
      </c>
      <c r="H254" s="7">
        <v>3199</v>
      </c>
      <c r="I254" s="7">
        <v>3461</v>
      </c>
      <c r="J254" s="7">
        <v>3151</v>
      </c>
      <c r="K254" s="4">
        <v>2368</v>
      </c>
      <c r="L254" s="7">
        <v>3414</v>
      </c>
      <c r="M254" s="7">
        <v>4203</v>
      </c>
      <c r="N254" s="7">
        <v>4896</v>
      </c>
      <c r="O254" s="18">
        <v>5852</v>
      </c>
      <c r="P254" s="27">
        <v>6546</v>
      </c>
      <c r="Q254" s="27">
        <v>5034</v>
      </c>
      <c r="R254" s="27">
        <v>5086</v>
      </c>
      <c r="S254" s="27">
        <v>5070</v>
      </c>
      <c r="T254" s="27">
        <v>5249</v>
      </c>
      <c r="U254" s="38">
        <v>5246</v>
      </c>
      <c r="V254" s="38">
        <v>5281</v>
      </c>
      <c r="W254" s="38">
        <v>5427</v>
      </c>
      <c r="X254" s="38">
        <v>5837</v>
      </c>
      <c r="Y254" s="38"/>
      <c r="Z254" s="38"/>
      <c r="AA254" s="38"/>
      <c r="AB254" s="38"/>
      <c r="AC254" s="38"/>
    </row>
    <row r="255" spans="2:31" x14ac:dyDescent="0.25">
      <c r="B255" s="2" t="s">
        <v>74</v>
      </c>
      <c r="C255" s="3" t="s">
        <v>75</v>
      </c>
      <c r="D255" s="3" t="s">
        <v>71</v>
      </c>
      <c r="E255" s="4">
        <v>10000</v>
      </c>
      <c r="F255" s="4">
        <v>3430</v>
      </c>
      <c r="G255" s="4">
        <v>6833</v>
      </c>
      <c r="H255" s="4">
        <v>5686</v>
      </c>
      <c r="I255" s="4">
        <v>4368</v>
      </c>
      <c r="J255" s="4">
        <v>5616</v>
      </c>
      <c r="K255" s="4">
        <v>3998</v>
      </c>
      <c r="L255" s="4">
        <v>5293</v>
      </c>
      <c r="M255" s="4">
        <v>7611</v>
      </c>
      <c r="N255" s="4">
        <v>7692</v>
      </c>
      <c r="O255" s="18">
        <v>8591</v>
      </c>
      <c r="P255" s="27">
        <v>7541</v>
      </c>
      <c r="Q255" s="27">
        <v>6469</v>
      </c>
      <c r="R255" s="27">
        <v>7041</v>
      </c>
      <c r="S255" s="27">
        <v>5195</v>
      </c>
      <c r="T255" s="27">
        <v>4869</v>
      </c>
      <c r="U255" s="27">
        <v>6070</v>
      </c>
      <c r="V255" s="38">
        <v>7822</v>
      </c>
      <c r="W255" s="38">
        <v>10055</v>
      </c>
      <c r="X255" s="38">
        <v>11711</v>
      </c>
      <c r="Y255" s="38"/>
      <c r="Z255" s="38"/>
      <c r="AA255" s="38"/>
      <c r="AB255" s="38"/>
      <c r="AC255" s="38"/>
    </row>
    <row r="256" spans="2:31" x14ac:dyDescent="0.25">
      <c r="B256" s="2" t="s">
        <v>82</v>
      </c>
      <c r="C256" s="3" t="s">
        <v>83</v>
      </c>
      <c r="D256" s="3" t="s">
        <v>84</v>
      </c>
      <c r="E256" s="4">
        <v>8299</v>
      </c>
      <c r="F256" s="4">
        <v>4155</v>
      </c>
      <c r="G256" s="4">
        <v>4404</v>
      </c>
      <c r="H256" s="4">
        <v>5398</v>
      </c>
      <c r="I256" s="4">
        <v>4824</v>
      </c>
      <c r="J256" s="4">
        <v>1924</v>
      </c>
      <c r="K256" s="4">
        <v>1266</v>
      </c>
      <c r="L256" s="4">
        <v>1639</v>
      </c>
      <c r="M256" s="4">
        <v>1266</v>
      </c>
      <c r="N256" s="4">
        <v>1639</v>
      </c>
      <c r="O256" s="18">
        <v>2595</v>
      </c>
      <c r="P256" s="27">
        <v>2235</v>
      </c>
      <c r="Q256" s="27">
        <v>3358</v>
      </c>
      <c r="R256" s="27">
        <v>4437</v>
      </c>
      <c r="S256" s="27">
        <v>4523</v>
      </c>
      <c r="T256" s="27">
        <v>3831</v>
      </c>
      <c r="U256" s="27">
        <v>4523</v>
      </c>
      <c r="V256" s="38">
        <v>3831</v>
      </c>
      <c r="W256" s="38">
        <v>4945</v>
      </c>
      <c r="X256" s="38">
        <v>5515</v>
      </c>
      <c r="Y256" s="38"/>
      <c r="Z256" s="38"/>
      <c r="AA256" s="38"/>
      <c r="AB256" s="38"/>
      <c r="AC256" s="38"/>
    </row>
    <row r="257" spans="2:29" x14ac:dyDescent="0.25">
      <c r="B257" s="2" t="s">
        <v>79</v>
      </c>
      <c r="C257" s="3" t="s">
        <v>80</v>
      </c>
      <c r="D257" s="3" t="s">
        <v>62</v>
      </c>
      <c r="E257" s="4">
        <v>1800</v>
      </c>
      <c r="F257" s="4">
        <v>978</v>
      </c>
      <c r="G257" s="4">
        <v>1295</v>
      </c>
      <c r="H257" s="4">
        <v>880</v>
      </c>
      <c r="I257" s="4">
        <v>1186</v>
      </c>
      <c r="J257" s="4">
        <v>715</v>
      </c>
      <c r="K257" s="4">
        <v>203</v>
      </c>
      <c r="L257" s="4">
        <v>172</v>
      </c>
      <c r="M257" s="4">
        <v>217</v>
      </c>
      <c r="N257" s="4">
        <v>254</v>
      </c>
      <c r="O257" s="27">
        <v>254</v>
      </c>
      <c r="P257" s="27">
        <v>238</v>
      </c>
      <c r="Q257" s="27">
        <v>249</v>
      </c>
      <c r="R257" s="27">
        <v>397</v>
      </c>
      <c r="S257" s="27">
        <v>375</v>
      </c>
      <c r="T257" s="27">
        <v>390</v>
      </c>
      <c r="U257" s="27">
        <v>375</v>
      </c>
      <c r="V257" s="38">
        <v>390</v>
      </c>
      <c r="W257" s="38">
        <v>371</v>
      </c>
      <c r="X257" s="38">
        <v>395</v>
      </c>
      <c r="Y257" s="38"/>
      <c r="Z257" s="38"/>
      <c r="AA257" s="38"/>
      <c r="AB257" s="38"/>
      <c r="AC257" s="38"/>
    </row>
    <row r="258" spans="2:29" x14ac:dyDescent="0.25">
      <c r="B258" s="2" t="s">
        <v>68</v>
      </c>
      <c r="C258" s="3" t="s">
        <v>64</v>
      </c>
      <c r="D258" s="3" t="s">
        <v>65</v>
      </c>
      <c r="E258" s="4">
        <v>8500</v>
      </c>
      <c r="F258" s="4">
        <v>6808</v>
      </c>
      <c r="G258" s="4">
        <v>6565</v>
      </c>
      <c r="H258" s="4">
        <v>6689</v>
      </c>
      <c r="I258" s="4">
        <v>6733</v>
      </c>
      <c r="J258" s="4">
        <v>6546</v>
      </c>
      <c r="K258" s="4">
        <v>6634</v>
      </c>
      <c r="L258" s="4">
        <v>6470</v>
      </c>
      <c r="M258" s="4">
        <v>6979</v>
      </c>
      <c r="N258" s="4">
        <v>6970</v>
      </c>
      <c r="O258" s="27">
        <v>6887</v>
      </c>
      <c r="P258" s="27">
        <v>6869</v>
      </c>
      <c r="Q258" s="27">
        <v>7021</v>
      </c>
      <c r="R258" s="27">
        <v>7030</v>
      </c>
      <c r="S258" s="27">
        <v>6844</v>
      </c>
      <c r="T258" s="27">
        <v>6848</v>
      </c>
      <c r="U258" s="27">
        <v>6988</v>
      </c>
      <c r="V258" s="38">
        <v>6930</v>
      </c>
      <c r="W258" s="38">
        <v>6921</v>
      </c>
      <c r="X258" s="38">
        <v>6934</v>
      </c>
      <c r="Y258" s="38"/>
      <c r="Z258" s="38"/>
      <c r="AA258" s="38"/>
      <c r="AB258" s="38"/>
      <c r="AC258" s="38"/>
    </row>
    <row r="259" spans="2:29" x14ac:dyDescent="0.25">
      <c r="B259" s="2" t="s">
        <v>61</v>
      </c>
      <c r="C259" s="3" t="s">
        <v>94</v>
      </c>
      <c r="D259" s="3" t="s">
        <v>62</v>
      </c>
      <c r="E259" s="4">
        <v>1700</v>
      </c>
      <c r="F259" s="4">
        <v>1103</v>
      </c>
      <c r="G259" s="4">
        <v>974</v>
      </c>
      <c r="H259" s="4">
        <v>914</v>
      </c>
      <c r="I259" s="4">
        <v>1168</v>
      </c>
      <c r="J259" s="4">
        <v>1244</v>
      </c>
      <c r="K259" s="4">
        <v>1304</v>
      </c>
      <c r="L259" s="4">
        <v>1490</v>
      </c>
      <c r="M259" s="4">
        <v>1734</v>
      </c>
      <c r="N259" s="4">
        <v>1765</v>
      </c>
      <c r="O259" s="18">
        <v>1727</v>
      </c>
      <c r="P259" s="27">
        <v>1755</v>
      </c>
      <c r="Q259" s="27">
        <v>1761</v>
      </c>
      <c r="R259" s="27">
        <v>1779</v>
      </c>
      <c r="S259" s="27">
        <v>1615</v>
      </c>
      <c r="T259" s="27">
        <v>1506</v>
      </c>
      <c r="U259" s="27">
        <v>1612</v>
      </c>
      <c r="V259" s="38">
        <v>1777</v>
      </c>
      <c r="W259" s="38">
        <v>1770</v>
      </c>
      <c r="X259" s="38">
        <v>1726</v>
      </c>
      <c r="Y259" s="38"/>
      <c r="Z259" s="38"/>
      <c r="AA259" s="38"/>
      <c r="AB259" s="38"/>
      <c r="AC259" s="38"/>
    </row>
    <row r="260" spans="2:29" x14ac:dyDescent="0.25">
      <c r="B260" s="2" t="s">
        <v>76</v>
      </c>
      <c r="C260" s="3" t="s">
        <v>77</v>
      </c>
      <c r="D260" s="3" t="s">
        <v>78</v>
      </c>
      <c r="E260" s="4">
        <v>6000</v>
      </c>
      <c r="F260" s="4">
        <v>2478</v>
      </c>
      <c r="G260" s="4">
        <v>3861</v>
      </c>
      <c r="H260" s="4">
        <v>4165</v>
      </c>
      <c r="I260" s="4">
        <v>4224</v>
      </c>
      <c r="J260" s="4">
        <v>3733</v>
      </c>
      <c r="K260" s="4">
        <v>3542</v>
      </c>
      <c r="L260" s="4">
        <v>3843</v>
      </c>
      <c r="M260" s="4">
        <v>3542</v>
      </c>
      <c r="N260" s="4">
        <v>3844</v>
      </c>
      <c r="O260" s="18">
        <v>3660</v>
      </c>
      <c r="P260" s="27">
        <v>3625</v>
      </c>
      <c r="Q260" s="27">
        <v>3768</v>
      </c>
      <c r="R260" s="27">
        <v>3281</v>
      </c>
      <c r="S260" s="27">
        <v>2838</v>
      </c>
      <c r="T260" s="27">
        <v>2215</v>
      </c>
      <c r="U260" s="27">
        <v>2561</v>
      </c>
      <c r="V260" s="38">
        <v>2524</v>
      </c>
      <c r="W260" s="38">
        <v>2843</v>
      </c>
      <c r="X260" s="38">
        <v>2771</v>
      </c>
      <c r="Y260" s="38"/>
      <c r="Z260" s="38"/>
      <c r="AA260" s="38"/>
      <c r="AB260" s="38"/>
      <c r="AC260" s="38"/>
    </row>
    <row r="261" spans="2:29" x14ac:dyDescent="0.25">
      <c r="B261" s="2" t="s">
        <v>52</v>
      </c>
      <c r="C261" s="3" t="s">
        <v>81</v>
      </c>
      <c r="D261" s="3" t="s">
        <v>73</v>
      </c>
      <c r="E261" s="4">
        <v>8810</v>
      </c>
      <c r="F261" s="4">
        <v>6049</v>
      </c>
      <c r="G261" s="4">
        <v>4814</v>
      </c>
      <c r="H261" s="4">
        <v>4073</v>
      </c>
      <c r="I261" s="4">
        <v>3326</v>
      </c>
      <c r="J261" s="4">
        <v>3830</v>
      </c>
      <c r="K261" s="4">
        <v>3713</v>
      </c>
      <c r="L261" s="4">
        <v>4472</v>
      </c>
      <c r="M261" s="4">
        <v>5527</v>
      </c>
      <c r="N261" s="4">
        <v>6410</v>
      </c>
      <c r="O261" s="18">
        <v>6240</v>
      </c>
      <c r="P261" s="27">
        <v>5651</v>
      </c>
      <c r="Q261" s="27">
        <v>5471</v>
      </c>
      <c r="R261" s="27">
        <v>4875</v>
      </c>
      <c r="S261" s="27">
        <v>4142</v>
      </c>
      <c r="T261" s="27">
        <v>3025</v>
      </c>
      <c r="U261" s="27">
        <v>3718</v>
      </c>
      <c r="V261" s="38">
        <v>3427</v>
      </c>
      <c r="W261" s="38">
        <v>3998</v>
      </c>
      <c r="X261" s="38">
        <v>4196</v>
      </c>
      <c r="Y261" s="38"/>
      <c r="Z261" s="38"/>
      <c r="AA261" s="38"/>
      <c r="AB261" s="38"/>
      <c r="AC261" s="38"/>
    </row>
    <row r="262" spans="2:29" ht="13.8" thickBot="1" x14ac:dyDescent="0.3">
      <c r="B262" s="2" t="s">
        <v>85</v>
      </c>
      <c r="C262" s="3"/>
      <c r="D262" s="3"/>
      <c r="E262" s="5">
        <f t="shared" ref="E262:AC262" si="18">SUM(E250:E261)</f>
        <v>66648</v>
      </c>
      <c r="F262" s="5">
        <f t="shared" si="18"/>
        <v>37152</v>
      </c>
      <c r="G262" s="5">
        <f t="shared" si="18"/>
        <v>40785</v>
      </c>
      <c r="H262" s="5">
        <f t="shared" si="18"/>
        <v>38796</v>
      </c>
      <c r="I262" s="5">
        <f t="shared" si="18"/>
        <v>36994</v>
      </c>
      <c r="J262" s="5">
        <f t="shared" si="18"/>
        <v>33697</v>
      </c>
      <c r="K262" s="5">
        <f t="shared" si="18"/>
        <v>28071</v>
      </c>
      <c r="L262" s="5">
        <f t="shared" si="18"/>
        <v>32961</v>
      </c>
      <c r="M262" s="5">
        <f t="shared" si="18"/>
        <v>38761</v>
      </c>
      <c r="N262" s="5">
        <f t="shared" si="18"/>
        <v>43679</v>
      </c>
      <c r="O262" s="5">
        <f t="shared" si="18"/>
        <v>47194</v>
      </c>
      <c r="P262" s="5">
        <f t="shared" si="18"/>
        <v>45601</v>
      </c>
      <c r="Q262" s="5">
        <f t="shared" si="18"/>
        <v>43759</v>
      </c>
      <c r="R262" s="5">
        <f t="shared" si="18"/>
        <v>44861</v>
      </c>
      <c r="S262" s="5">
        <f t="shared" si="18"/>
        <v>42337</v>
      </c>
      <c r="T262" s="5">
        <f t="shared" si="18"/>
        <v>40179</v>
      </c>
      <c r="U262" s="5">
        <f t="shared" si="18"/>
        <v>44740</v>
      </c>
      <c r="V262" s="5">
        <f t="shared" si="18"/>
        <v>45616</v>
      </c>
      <c r="W262" s="5">
        <f t="shared" si="18"/>
        <v>51899</v>
      </c>
      <c r="X262" s="5">
        <f t="shared" si="18"/>
        <v>54814</v>
      </c>
      <c r="Y262" s="5">
        <f t="shared" si="18"/>
        <v>0</v>
      </c>
      <c r="Z262" s="5">
        <f t="shared" si="18"/>
        <v>0</v>
      </c>
      <c r="AA262" s="5">
        <f t="shared" si="18"/>
        <v>0</v>
      </c>
      <c r="AB262" s="5">
        <f t="shared" si="18"/>
        <v>0</v>
      </c>
      <c r="AC262" s="5">
        <f t="shared" si="18"/>
        <v>0</v>
      </c>
    </row>
    <row r="263" spans="2:29" ht="13.8" thickTop="1" x14ac:dyDescent="0.25"/>
    <row r="264" spans="2:29" x14ac:dyDescent="0.25">
      <c r="S264" s="38">
        <f>S220-R220</f>
        <v>-1227</v>
      </c>
      <c r="T264" s="38">
        <f>T220-S220</f>
        <v>532</v>
      </c>
      <c r="U264" s="38">
        <f>SUM(S264:T264)</f>
        <v>-695</v>
      </c>
    </row>
    <row r="265" spans="2:29" x14ac:dyDescent="0.25">
      <c r="S265" s="38">
        <f t="shared" ref="S265:T275" si="19">S221-R221</f>
        <v>-236</v>
      </c>
      <c r="T265" s="38">
        <f t="shared" si="19"/>
        <v>137</v>
      </c>
      <c r="U265" s="38">
        <f t="shared" ref="U265:U275" si="20">SUM(S265:T265)</f>
        <v>-99</v>
      </c>
    </row>
    <row r="266" spans="2:29" x14ac:dyDescent="0.25">
      <c r="S266" s="38">
        <f t="shared" si="19"/>
        <v>-63</v>
      </c>
      <c r="T266" s="38">
        <f t="shared" si="19"/>
        <v>0</v>
      </c>
      <c r="U266" s="38">
        <f t="shared" si="20"/>
        <v>-63</v>
      </c>
    </row>
    <row r="267" spans="2:29" x14ac:dyDescent="0.25">
      <c r="S267" s="38">
        <f t="shared" si="19"/>
        <v>-899</v>
      </c>
      <c r="T267" s="38">
        <f t="shared" si="19"/>
        <v>-927</v>
      </c>
      <c r="U267" s="38">
        <f t="shared" si="20"/>
        <v>-1826</v>
      </c>
    </row>
    <row r="268" spans="2:29" x14ac:dyDescent="0.25">
      <c r="S268" s="38">
        <f t="shared" si="19"/>
        <v>-3017</v>
      </c>
      <c r="T268" s="38">
        <f t="shared" si="19"/>
        <v>3016</v>
      </c>
      <c r="U268" s="38">
        <f t="shared" si="20"/>
        <v>-1</v>
      </c>
    </row>
    <row r="269" spans="2:29" x14ac:dyDescent="0.25">
      <c r="S269" s="38">
        <f t="shared" si="19"/>
        <v>-436</v>
      </c>
      <c r="T269" s="38">
        <f t="shared" si="19"/>
        <v>-372</v>
      </c>
      <c r="U269" s="38">
        <f t="shared" si="20"/>
        <v>-808</v>
      </c>
    </row>
    <row r="270" spans="2:29" x14ac:dyDescent="0.25">
      <c r="S270" s="38">
        <f t="shared" si="19"/>
        <v>36</v>
      </c>
      <c r="T270" s="38">
        <f t="shared" si="19"/>
        <v>561</v>
      </c>
      <c r="U270" s="38">
        <f t="shared" si="20"/>
        <v>597</v>
      </c>
    </row>
    <row r="271" spans="2:29" x14ac:dyDescent="0.25">
      <c r="S271" s="38">
        <f t="shared" si="19"/>
        <v>56</v>
      </c>
      <c r="T271" s="38">
        <f t="shared" si="19"/>
        <v>0</v>
      </c>
      <c r="U271" s="38">
        <f t="shared" si="20"/>
        <v>56</v>
      </c>
    </row>
    <row r="272" spans="2:29" x14ac:dyDescent="0.25">
      <c r="S272" s="38">
        <f t="shared" si="19"/>
        <v>-251</v>
      </c>
      <c r="T272" s="38">
        <f t="shared" si="19"/>
        <v>315</v>
      </c>
      <c r="U272" s="38">
        <f t="shared" si="20"/>
        <v>64</v>
      </c>
    </row>
    <row r="273" spans="19:21" x14ac:dyDescent="0.25">
      <c r="S273" s="38">
        <f t="shared" si="19"/>
        <v>-136</v>
      </c>
      <c r="T273" s="38">
        <f t="shared" si="19"/>
        <v>-58</v>
      </c>
      <c r="U273" s="38">
        <f t="shared" si="20"/>
        <v>-194</v>
      </c>
    </row>
    <row r="274" spans="19:21" x14ac:dyDescent="0.25">
      <c r="S274" s="38">
        <f t="shared" si="19"/>
        <v>-143</v>
      </c>
      <c r="T274" s="38">
        <f t="shared" si="19"/>
        <v>-714</v>
      </c>
      <c r="U274" s="38">
        <f t="shared" si="20"/>
        <v>-857</v>
      </c>
    </row>
    <row r="275" spans="19:21" x14ac:dyDescent="0.25">
      <c r="S275" s="38">
        <f t="shared" si="19"/>
        <v>-1353</v>
      </c>
      <c r="T275" s="38">
        <f t="shared" si="19"/>
        <v>-217</v>
      </c>
      <c r="U275" s="38">
        <f t="shared" si="20"/>
        <v>-1570</v>
      </c>
    </row>
    <row r="276" spans="19:21" x14ac:dyDescent="0.25">
      <c r="S276" s="38"/>
    </row>
    <row r="277" spans="19:21" x14ac:dyDescent="0.25">
      <c r="S277" s="38"/>
    </row>
  </sheetData>
  <phoneticPr fontId="0" type="noConversion"/>
  <pageMargins left="0.25" right="0.25" top="0.17" bottom="0.17" header="0.17" footer="0.17"/>
  <pageSetup paperSize="5" scale="60" orientation="landscape" r:id="rId1"/>
  <headerFooter alignWithMargins="0"/>
  <rowBreaks count="5" manualBreakCount="5">
    <brk id="57" max="16383" man="1"/>
    <brk id="112" max="16383" man="1"/>
    <brk id="117" max="16383" man="1"/>
    <brk id="171" max="16383" man="1"/>
    <brk id="23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>
      <selection activeCell="A28" sqref="A28"/>
    </sheetView>
  </sheetViews>
  <sheetFormatPr defaultRowHeight="13.2" x14ac:dyDescent="0.25"/>
  <cols>
    <col min="1" max="1" width="25.6640625" customWidth="1"/>
    <col min="2" max="2" width="17" customWidth="1"/>
    <col min="3" max="3" width="9.6640625" customWidth="1"/>
    <col min="4" max="4" width="11.6640625" customWidth="1"/>
    <col min="5" max="5" width="7.6640625" customWidth="1"/>
    <col min="6" max="6" width="11.6640625" customWidth="1"/>
    <col min="7" max="7" width="7.6640625" customWidth="1"/>
    <col min="8" max="8" width="11.6640625" customWidth="1"/>
    <col min="9" max="9" width="9.6640625" style="35" customWidth="1"/>
    <col min="10" max="10" width="9.6640625" customWidth="1"/>
    <col min="11" max="11" width="12.33203125" customWidth="1"/>
    <col min="12" max="12" width="10.109375" bestFit="1" customWidth="1"/>
    <col min="13" max="14" width="12.33203125" customWidth="1"/>
    <col min="15" max="15" width="9.109375" style="35" customWidth="1"/>
    <col min="16" max="16" width="14.33203125" customWidth="1"/>
    <col min="17" max="17" width="14.6640625" customWidth="1"/>
  </cols>
  <sheetData>
    <row r="1" spans="1:17" ht="13.8" thickBot="1" x14ac:dyDescent="0.3">
      <c r="P1" s="55" t="s">
        <v>256</v>
      </c>
      <c r="Q1" s="55" t="s">
        <v>256</v>
      </c>
    </row>
    <row r="2" spans="1:17" x14ac:dyDescent="0.25">
      <c r="D2" s="55" t="s">
        <v>271</v>
      </c>
      <c r="E2" s="73" t="s">
        <v>242</v>
      </c>
      <c r="F2" s="74"/>
      <c r="G2" s="75" t="s">
        <v>243</v>
      </c>
      <c r="H2" s="74"/>
      <c r="K2" s="55" t="s">
        <v>252</v>
      </c>
      <c r="M2" s="55" t="s">
        <v>252</v>
      </c>
      <c r="N2" s="55" t="s">
        <v>252</v>
      </c>
      <c r="P2" s="56" t="s">
        <v>257</v>
      </c>
      <c r="Q2" s="56" t="s">
        <v>257</v>
      </c>
    </row>
    <row r="3" spans="1:17" ht="13.8" thickBot="1" x14ac:dyDescent="0.3">
      <c r="D3" s="56" t="s">
        <v>269</v>
      </c>
      <c r="E3" s="76" t="s">
        <v>246</v>
      </c>
      <c r="F3" s="77"/>
      <c r="G3" s="78" t="s">
        <v>246</v>
      </c>
      <c r="H3" s="77"/>
      <c r="K3" s="56" t="s">
        <v>253</v>
      </c>
      <c r="M3" s="56" t="s">
        <v>255</v>
      </c>
      <c r="N3" s="56" t="s">
        <v>272</v>
      </c>
      <c r="P3" s="56" t="s">
        <v>258</v>
      </c>
      <c r="Q3" s="56" t="s">
        <v>258</v>
      </c>
    </row>
    <row r="4" spans="1:17" ht="13.8" thickBot="1" x14ac:dyDescent="0.3">
      <c r="A4" s="43" t="str">
        <f>'History By Facility'!B118</f>
        <v>OPERATING COMPANY</v>
      </c>
      <c r="B4" s="43" t="str">
        <f>'History By Facility'!C118</f>
        <v>FIELD</v>
      </c>
      <c r="C4" s="48" t="str">
        <f>'History By Facility'!D118</f>
        <v>COUNTY</v>
      </c>
      <c r="D4" s="60" t="s">
        <v>270</v>
      </c>
      <c r="E4" s="49" t="s">
        <v>244</v>
      </c>
      <c r="F4" s="43" t="s">
        <v>245</v>
      </c>
      <c r="G4" s="43" t="s">
        <v>244</v>
      </c>
      <c r="H4" s="43" t="s">
        <v>245</v>
      </c>
      <c r="I4" s="47">
        <v>36584</v>
      </c>
      <c r="J4" s="53">
        <v>36692</v>
      </c>
      <c r="K4" s="57" t="s">
        <v>254</v>
      </c>
      <c r="L4" s="54">
        <v>36830</v>
      </c>
      <c r="M4" s="64" t="s">
        <v>273</v>
      </c>
      <c r="N4" s="64" t="s">
        <v>273</v>
      </c>
      <c r="O4" s="53">
        <v>36937</v>
      </c>
      <c r="P4" s="58" t="s">
        <v>259</v>
      </c>
      <c r="Q4" s="60" t="s">
        <v>241</v>
      </c>
    </row>
    <row r="5" spans="1:17" x14ac:dyDescent="0.25">
      <c r="A5" t="str">
        <f>'History By Facility'!B119</f>
        <v>American Gas Storage, L. P.</v>
      </c>
      <c r="B5" t="str">
        <f>'History By Facility'!C119</f>
        <v>Felmac</v>
      </c>
      <c r="C5" t="str">
        <f>'History By Facility'!D119</f>
        <v>Gaines</v>
      </c>
      <c r="D5" s="44">
        <f>'History By Facility'!E119</f>
        <v>5500</v>
      </c>
      <c r="E5" s="51" t="s">
        <v>248</v>
      </c>
      <c r="F5" s="44">
        <v>2999</v>
      </c>
      <c r="G5" s="50" t="s">
        <v>247</v>
      </c>
      <c r="H5" s="44">
        <v>1563</v>
      </c>
      <c r="I5" s="44">
        <f>'History By Facility'!I119</f>
        <v>1854</v>
      </c>
      <c r="J5" s="44">
        <f>'History By Facility'!P119</f>
        <v>1880</v>
      </c>
      <c r="K5" s="44">
        <f>J5-I5</f>
        <v>26</v>
      </c>
      <c r="L5" s="44">
        <f>'History By Facility'!Y119</f>
        <v>1563.489</v>
      </c>
      <c r="M5" s="62">
        <f>L5-J5</f>
        <v>-316.51099999999997</v>
      </c>
      <c r="N5" s="44">
        <f>M5+K5</f>
        <v>-290.51099999999997</v>
      </c>
      <c r="O5" s="44">
        <f>'History By Facility'!H145</f>
        <v>920</v>
      </c>
      <c r="P5" s="44">
        <f>L5-O5</f>
        <v>643.48900000000003</v>
      </c>
      <c r="Q5" s="44">
        <f>H5-O5</f>
        <v>643</v>
      </c>
    </row>
    <row r="6" spans="1:17" x14ac:dyDescent="0.25">
      <c r="A6" t="str">
        <f>'History By Facility'!B120</f>
        <v>American Gas Storage, L. P.</v>
      </c>
      <c r="B6" t="str">
        <f>'History By Facility'!C120</f>
        <v>Loop Field</v>
      </c>
      <c r="C6" t="str">
        <f>'History By Facility'!D120</f>
        <v>Gaines</v>
      </c>
      <c r="D6" s="44">
        <f>'History By Facility'!E120</f>
        <v>8000</v>
      </c>
      <c r="E6" s="51" t="s">
        <v>248</v>
      </c>
      <c r="F6" s="44">
        <v>6538</v>
      </c>
      <c r="G6" s="50" t="s">
        <v>247</v>
      </c>
      <c r="H6" s="44">
        <v>3403</v>
      </c>
      <c r="I6" s="44">
        <f>'History By Facility'!I120</f>
        <v>4085</v>
      </c>
      <c r="J6" s="44">
        <f>'History By Facility'!P120</f>
        <v>4108</v>
      </c>
      <c r="K6" s="44">
        <f t="shared" ref="K6:K27" si="0">J6-I6</f>
        <v>23</v>
      </c>
      <c r="L6" s="44">
        <f>'History By Facility'!Y120</f>
        <v>3402.645</v>
      </c>
      <c r="M6" s="62">
        <f t="shared" ref="M6:M27" si="1">L6-J6</f>
        <v>-705.35500000000002</v>
      </c>
      <c r="N6" s="44">
        <f t="shared" ref="N6:N27" si="2">M6+K6</f>
        <v>-682.35500000000002</v>
      </c>
      <c r="O6" s="44">
        <f>'History By Facility'!H146</f>
        <v>2585</v>
      </c>
      <c r="P6" s="44">
        <f t="shared" ref="P6:P27" si="3">L6-O6</f>
        <v>817.64499999999998</v>
      </c>
      <c r="Q6" s="44">
        <f t="shared" ref="Q6:Q27" si="4">H6-O6</f>
        <v>818</v>
      </c>
    </row>
    <row r="7" spans="1:17" x14ac:dyDescent="0.25">
      <c r="A7" t="str">
        <f>'History By Facility'!B121</f>
        <v>City of Brady</v>
      </c>
      <c r="B7" t="str">
        <f>'History By Facility'!C121</f>
        <v>Janellen</v>
      </c>
      <c r="C7" t="str">
        <f>'History By Facility'!D121</f>
        <v>Brown</v>
      </c>
      <c r="D7" s="44">
        <f>'History By Facility'!E121</f>
        <v>100</v>
      </c>
      <c r="E7" s="61" t="s">
        <v>247</v>
      </c>
      <c r="F7" s="62">
        <v>29</v>
      </c>
      <c r="G7" s="50" t="s">
        <v>247</v>
      </c>
      <c r="H7" s="44">
        <v>29</v>
      </c>
      <c r="I7" s="44">
        <f>'History By Facility'!I121</f>
        <v>29</v>
      </c>
      <c r="J7" s="44">
        <f>'History By Facility'!P121</f>
        <v>29</v>
      </c>
      <c r="K7" s="44">
        <f t="shared" si="0"/>
        <v>0</v>
      </c>
      <c r="L7" s="44">
        <f>'History By Facility'!Y121</f>
        <v>29</v>
      </c>
      <c r="M7" s="44">
        <f t="shared" si="1"/>
        <v>0</v>
      </c>
      <c r="N7" s="44">
        <f t="shared" si="2"/>
        <v>0</v>
      </c>
      <c r="O7" s="44">
        <f>'History By Facility'!H147</f>
        <v>29</v>
      </c>
      <c r="P7" s="44">
        <f t="shared" si="3"/>
        <v>0</v>
      </c>
      <c r="Q7" s="44">
        <f t="shared" si="4"/>
        <v>0</v>
      </c>
    </row>
    <row r="8" spans="1:17" x14ac:dyDescent="0.25">
      <c r="A8" t="str">
        <f>'History By Facility'!B122</f>
        <v>El Paso Field Services</v>
      </c>
      <c r="B8" t="str">
        <f>'History By Facility'!C122</f>
        <v>Rotherwood</v>
      </c>
      <c r="C8" t="str">
        <f>'History By Facility'!D122</f>
        <v>Harris</v>
      </c>
      <c r="D8" s="44">
        <f>'History By Facility'!E122</f>
        <v>1000</v>
      </c>
      <c r="E8" s="51" t="s">
        <v>250</v>
      </c>
      <c r="F8" s="44">
        <v>1378</v>
      </c>
      <c r="G8" s="50" t="s">
        <v>247</v>
      </c>
      <c r="H8" s="44">
        <v>0</v>
      </c>
      <c r="I8" s="44">
        <f>'History By Facility'!I122</f>
        <v>592</v>
      </c>
      <c r="J8" s="44">
        <f>'History By Facility'!P122</f>
        <v>0</v>
      </c>
      <c r="K8" s="44">
        <f t="shared" si="0"/>
        <v>-592</v>
      </c>
      <c r="L8" s="44">
        <f>'History By Facility'!Y122</f>
        <v>0</v>
      </c>
      <c r="M8" s="44">
        <f t="shared" si="1"/>
        <v>0</v>
      </c>
      <c r="N8" s="44">
        <f t="shared" si="2"/>
        <v>-592</v>
      </c>
      <c r="O8" s="44">
        <f>'History By Facility'!H148</f>
        <v>0</v>
      </c>
      <c r="P8" s="44">
        <f t="shared" si="3"/>
        <v>0</v>
      </c>
      <c r="Q8" s="44">
        <f t="shared" si="4"/>
        <v>0</v>
      </c>
    </row>
    <row r="9" spans="1:17" x14ac:dyDescent="0.25">
      <c r="A9" t="str">
        <f>'History By Facility'!B123</f>
        <v>Houston Pipe Line Co.</v>
      </c>
      <c r="B9" t="str">
        <f>'History By Facility'!C123</f>
        <v>Bammel</v>
      </c>
      <c r="C9" t="str">
        <f>'History By Facility'!D123</f>
        <v>Harris</v>
      </c>
      <c r="D9" s="44">
        <f>'History By Facility'!E123</f>
        <v>45000</v>
      </c>
      <c r="E9" s="51" t="s">
        <v>249</v>
      </c>
      <c r="F9" s="44">
        <v>51902</v>
      </c>
      <c r="G9" s="61" t="s">
        <v>248</v>
      </c>
      <c r="H9" s="62">
        <v>35025</v>
      </c>
      <c r="I9" s="44">
        <f>'History By Facility'!I123</f>
        <v>30000</v>
      </c>
      <c r="J9" s="44">
        <f>'History By Facility'!P123</f>
        <v>46582</v>
      </c>
      <c r="K9" s="44">
        <f t="shared" si="0"/>
        <v>16582</v>
      </c>
      <c r="L9" s="44">
        <f>'History By Facility'!Y123</f>
        <v>43778.908000000003</v>
      </c>
      <c r="M9" s="62">
        <f t="shared" si="1"/>
        <v>-2803.0919999999969</v>
      </c>
      <c r="N9" s="44">
        <f t="shared" si="2"/>
        <v>13778.908000000003</v>
      </c>
      <c r="O9" s="44">
        <f>'History By Facility'!H149</f>
        <v>6311</v>
      </c>
      <c r="P9" s="44">
        <f t="shared" si="3"/>
        <v>37467.908000000003</v>
      </c>
      <c r="Q9" s="44">
        <f t="shared" si="4"/>
        <v>28714</v>
      </c>
    </row>
    <row r="10" spans="1:17" x14ac:dyDescent="0.25">
      <c r="A10" t="str">
        <f>'History By Facility'!B124</f>
        <v>Delhi Gas Pipeline Corp.</v>
      </c>
      <c r="B10" t="str">
        <f>'History By Facility'!C124</f>
        <v>Pickton</v>
      </c>
      <c r="C10" t="str">
        <f>'History By Facility'!D124</f>
        <v>Hopkins</v>
      </c>
      <c r="D10" s="44">
        <f>'History By Facility'!E124</f>
        <v>766</v>
      </c>
      <c r="E10" s="51" t="s">
        <v>248</v>
      </c>
      <c r="F10" s="44">
        <v>3040</v>
      </c>
      <c r="G10" s="50" t="s">
        <v>247</v>
      </c>
      <c r="H10" s="44">
        <v>0</v>
      </c>
      <c r="I10" s="44">
        <f>'History By Facility'!I124</f>
        <v>0</v>
      </c>
      <c r="J10" s="44">
        <f>'History By Facility'!P124</f>
        <v>0</v>
      </c>
      <c r="K10" s="44">
        <f t="shared" si="0"/>
        <v>0</v>
      </c>
      <c r="L10" s="44">
        <f>'History By Facility'!Y124</f>
        <v>0</v>
      </c>
      <c r="M10" s="44">
        <f t="shared" si="1"/>
        <v>0</v>
      </c>
      <c r="N10" s="44">
        <f t="shared" si="2"/>
        <v>0</v>
      </c>
      <c r="O10" s="44">
        <f>'History By Facility'!H150</f>
        <v>0</v>
      </c>
      <c r="P10" s="44">
        <f t="shared" si="3"/>
        <v>0</v>
      </c>
      <c r="Q10" s="44">
        <f t="shared" si="4"/>
        <v>0</v>
      </c>
    </row>
    <row r="11" spans="1:17" x14ac:dyDescent="0.25">
      <c r="A11" t="str">
        <f>'History By Facility'!B125</f>
        <v>Lone Star Pipeline Co.</v>
      </c>
      <c r="B11" t="str">
        <f>'History By Facility'!C125</f>
        <v>Ambassador</v>
      </c>
      <c r="C11" t="str">
        <f>'History By Facility'!D125</f>
        <v>Clay</v>
      </c>
      <c r="D11" s="44">
        <f>'History By Facility'!E125</f>
        <v>80</v>
      </c>
      <c r="E11" s="61" t="s">
        <v>247</v>
      </c>
      <c r="F11" s="62">
        <v>80</v>
      </c>
      <c r="G11" s="50" t="s">
        <v>247</v>
      </c>
      <c r="H11" s="44">
        <v>80</v>
      </c>
      <c r="I11" s="44">
        <f>'History By Facility'!I125</f>
        <v>80</v>
      </c>
      <c r="J11" s="44">
        <f>'History By Facility'!P125</f>
        <v>80</v>
      </c>
      <c r="K11" s="44">
        <f t="shared" si="0"/>
        <v>0</v>
      </c>
      <c r="L11" s="44">
        <f>'History By Facility'!Y125</f>
        <v>80</v>
      </c>
      <c r="M11" s="44">
        <f t="shared" si="1"/>
        <v>0</v>
      </c>
      <c r="N11" s="44">
        <f t="shared" si="2"/>
        <v>0</v>
      </c>
      <c r="O11" s="44">
        <f>'History By Facility'!H151</f>
        <v>80</v>
      </c>
      <c r="P11" s="44">
        <f t="shared" si="3"/>
        <v>0</v>
      </c>
      <c r="Q11" s="44">
        <f t="shared" si="4"/>
        <v>0</v>
      </c>
    </row>
    <row r="12" spans="1:17" x14ac:dyDescent="0.25">
      <c r="A12" t="str">
        <f>'History By Facility'!B126</f>
        <v>Lone Star Pipeline Co.</v>
      </c>
      <c r="B12" t="str">
        <f>'History By Facility'!C126</f>
        <v>Hill</v>
      </c>
      <c r="C12" t="str">
        <f>'History By Facility'!D126</f>
        <v>Eastland</v>
      </c>
      <c r="D12" s="44">
        <f>'History By Facility'!E126</f>
        <v>8615</v>
      </c>
      <c r="E12" s="51" t="s">
        <v>249</v>
      </c>
      <c r="F12" s="44">
        <v>7076</v>
      </c>
      <c r="G12" s="50" t="s">
        <v>247</v>
      </c>
      <c r="H12" s="44">
        <v>5698</v>
      </c>
      <c r="I12" s="44">
        <f>'History By Facility'!I126</f>
        <v>5503</v>
      </c>
      <c r="J12" s="44">
        <f>'History By Facility'!P126</f>
        <v>5928</v>
      </c>
      <c r="K12" s="44">
        <f t="shared" si="0"/>
        <v>425</v>
      </c>
      <c r="L12" s="44">
        <f>'History By Facility'!Y126</f>
        <v>5698</v>
      </c>
      <c r="M12" s="62">
        <f t="shared" si="1"/>
        <v>-230</v>
      </c>
      <c r="N12" s="44">
        <f t="shared" si="2"/>
        <v>195</v>
      </c>
      <c r="O12" s="44">
        <f>'History By Facility'!H152</f>
        <v>4794</v>
      </c>
      <c r="P12" s="44">
        <f t="shared" si="3"/>
        <v>904</v>
      </c>
      <c r="Q12" s="44">
        <f t="shared" si="4"/>
        <v>904</v>
      </c>
    </row>
    <row r="13" spans="1:17" x14ac:dyDescent="0.25">
      <c r="A13" t="str">
        <f>'History By Facility'!B127</f>
        <v>Lone Star Pipeline Co.</v>
      </c>
      <c r="B13" t="str">
        <f>'History By Facility'!C127</f>
        <v>La Pan</v>
      </c>
      <c r="C13" t="str">
        <f>'History By Facility'!D127</f>
        <v>Clay</v>
      </c>
      <c r="D13" s="44">
        <f>'History By Facility'!E127</f>
        <v>3425</v>
      </c>
      <c r="E13" s="51" t="s">
        <v>251</v>
      </c>
      <c r="F13" s="44">
        <v>3650</v>
      </c>
      <c r="G13" s="50" t="s">
        <v>247</v>
      </c>
      <c r="H13" s="44">
        <v>3255</v>
      </c>
      <c r="I13" s="44">
        <f>'History By Facility'!I127</f>
        <v>2568</v>
      </c>
      <c r="J13" s="44">
        <f>'History By Facility'!P127</f>
        <v>3146</v>
      </c>
      <c r="K13" s="44">
        <f t="shared" si="0"/>
        <v>578</v>
      </c>
      <c r="L13" s="44">
        <f>'History By Facility'!Y127</f>
        <v>3255</v>
      </c>
      <c r="M13" s="44">
        <f t="shared" si="1"/>
        <v>109</v>
      </c>
      <c r="N13" s="44">
        <f t="shared" si="2"/>
        <v>687</v>
      </c>
      <c r="O13" s="44">
        <f>'History By Facility'!H153</f>
        <v>685</v>
      </c>
      <c r="P13" s="44">
        <f t="shared" si="3"/>
        <v>2570</v>
      </c>
      <c r="Q13" s="44">
        <f t="shared" si="4"/>
        <v>2570</v>
      </c>
    </row>
    <row r="14" spans="1:17" x14ac:dyDescent="0.25">
      <c r="A14" t="str">
        <f>'History By Facility'!B128</f>
        <v>Lone Star Pipeline Co.</v>
      </c>
      <c r="B14" t="str">
        <f>'History By Facility'!C128</f>
        <v>Lake Dallas</v>
      </c>
      <c r="C14" t="str">
        <f>'History By Facility'!D128</f>
        <v>Denton</v>
      </c>
      <c r="D14" s="44">
        <f>'History By Facility'!E128</f>
        <v>2825</v>
      </c>
      <c r="E14" s="51" t="s">
        <v>250</v>
      </c>
      <c r="F14" s="44">
        <v>4244</v>
      </c>
      <c r="G14" s="61" t="s">
        <v>249</v>
      </c>
      <c r="H14" s="62">
        <v>3996</v>
      </c>
      <c r="I14" s="44">
        <f>'History By Facility'!I128</f>
        <v>3815</v>
      </c>
      <c r="J14" s="44">
        <f>'History By Facility'!P128</f>
        <v>3966</v>
      </c>
      <c r="K14" s="44">
        <f t="shared" si="0"/>
        <v>151</v>
      </c>
      <c r="L14" s="44">
        <f>'History By Facility'!Y128</f>
        <v>4209</v>
      </c>
      <c r="M14" s="44">
        <f t="shared" si="1"/>
        <v>243</v>
      </c>
      <c r="N14" s="44">
        <f t="shared" si="2"/>
        <v>394</v>
      </c>
      <c r="O14" s="44">
        <f>'History By Facility'!H154</f>
        <v>3066</v>
      </c>
      <c r="P14" s="44">
        <f t="shared" si="3"/>
        <v>1143</v>
      </c>
      <c r="Q14" s="44">
        <f t="shared" si="4"/>
        <v>930</v>
      </c>
    </row>
    <row r="15" spans="1:17" x14ac:dyDescent="0.25">
      <c r="A15" t="str">
        <f>'History By Facility'!B129</f>
        <v>Lone Star Pipeline Co.</v>
      </c>
      <c r="B15" t="str">
        <f>'History By Facility'!C129</f>
        <v>New York City</v>
      </c>
      <c r="C15" t="str">
        <f>'History By Facility'!D129</f>
        <v>Clay</v>
      </c>
      <c r="D15" s="44">
        <f>'History By Facility'!E129</f>
        <v>5290</v>
      </c>
      <c r="E15" s="51" t="s">
        <v>250</v>
      </c>
      <c r="F15" s="44">
        <v>6491</v>
      </c>
      <c r="G15" s="63" t="s">
        <v>248</v>
      </c>
      <c r="H15" s="62">
        <v>4949</v>
      </c>
      <c r="I15" s="44">
        <f>'History By Facility'!I129</f>
        <v>2365</v>
      </c>
      <c r="J15" s="44">
        <f>'History By Facility'!P129</f>
        <v>3166</v>
      </c>
      <c r="K15" s="44">
        <f t="shared" si="0"/>
        <v>801</v>
      </c>
      <c r="L15" s="44">
        <f>'History By Facility'!Y129</f>
        <v>5055</v>
      </c>
      <c r="M15" s="44">
        <f t="shared" si="1"/>
        <v>1889</v>
      </c>
      <c r="N15" s="44">
        <f t="shared" si="2"/>
        <v>2690</v>
      </c>
      <c r="O15" s="44">
        <f>'History By Facility'!H155</f>
        <v>2225</v>
      </c>
      <c r="P15" s="44">
        <f t="shared" si="3"/>
        <v>2830</v>
      </c>
      <c r="Q15" s="44">
        <f t="shared" si="4"/>
        <v>2724</v>
      </c>
    </row>
    <row r="16" spans="1:17" x14ac:dyDescent="0.25">
      <c r="A16" t="str">
        <f>'History By Facility'!B130</f>
        <v>Lone Star Pipeline Co.</v>
      </c>
      <c r="B16" t="str">
        <f>'History By Facility'!C130</f>
        <v>Pecan Station</v>
      </c>
      <c r="C16" t="str">
        <f>'History By Facility'!D130</f>
        <v>Tom Green</v>
      </c>
      <c r="D16" s="44">
        <f>'History By Facility'!E130</f>
        <v>1310</v>
      </c>
      <c r="E16" s="51" t="s">
        <v>248</v>
      </c>
      <c r="F16" s="44">
        <v>686</v>
      </c>
      <c r="G16" s="50" t="s">
        <v>247</v>
      </c>
      <c r="H16" s="44">
        <v>506</v>
      </c>
      <c r="I16" s="44">
        <f>'History By Facility'!I130</f>
        <v>513</v>
      </c>
      <c r="J16" s="44">
        <f>'History By Facility'!P130</f>
        <v>510</v>
      </c>
      <c r="K16" s="44">
        <f t="shared" si="0"/>
        <v>-3</v>
      </c>
      <c r="L16" s="44">
        <f>'History By Facility'!Y130</f>
        <v>506</v>
      </c>
      <c r="M16" s="62">
        <f t="shared" si="1"/>
        <v>-4</v>
      </c>
      <c r="N16" s="44">
        <f t="shared" si="2"/>
        <v>-7</v>
      </c>
      <c r="O16" s="44">
        <f>'History By Facility'!H156</f>
        <v>474</v>
      </c>
      <c r="P16" s="44">
        <f t="shared" si="3"/>
        <v>32</v>
      </c>
      <c r="Q16" s="44">
        <f t="shared" si="4"/>
        <v>32</v>
      </c>
    </row>
    <row r="17" spans="1:25" x14ac:dyDescent="0.25">
      <c r="A17" t="str">
        <f>'History By Facility'!B131</f>
        <v>Lone Star Pipeline Co.</v>
      </c>
      <c r="B17" t="str">
        <f>'History By Facility'!C131</f>
        <v>Tri-Cities (Bacon)</v>
      </c>
      <c r="C17" t="str">
        <f>'History By Facility'!D131</f>
        <v>Henderson</v>
      </c>
      <c r="D17" s="44">
        <f>'History By Facility'!E131</f>
        <v>18453</v>
      </c>
      <c r="E17" s="51" t="s">
        <v>251</v>
      </c>
      <c r="F17" s="44">
        <v>17936</v>
      </c>
      <c r="G17" s="50" t="s">
        <v>247</v>
      </c>
      <c r="H17" s="44">
        <v>15391</v>
      </c>
      <c r="I17" s="44">
        <f>'History By Facility'!I131</f>
        <v>9007</v>
      </c>
      <c r="J17" s="44">
        <f>'History By Facility'!P131</f>
        <v>11951</v>
      </c>
      <c r="K17" s="44">
        <f t="shared" si="0"/>
        <v>2944</v>
      </c>
      <c r="L17" s="44">
        <f>'History By Facility'!Y131</f>
        <v>15391</v>
      </c>
      <c r="M17" s="44">
        <f t="shared" si="1"/>
        <v>3440</v>
      </c>
      <c r="N17" s="44">
        <f t="shared" si="2"/>
        <v>6384</v>
      </c>
      <c r="O17" s="44">
        <f>'History By Facility'!H157</f>
        <v>9868</v>
      </c>
      <c r="P17" s="44">
        <f t="shared" si="3"/>
        <v>5523</v>
      </c>
      <c r="Q17" s="44">
        <f t="shared" si="4"/>
        <v>5523</v>
      </c>
    </row>
    <row r="18" spans="1:25" x14ac:dyDescent="0.25">
      <c r="A18" t="str">
        <f>'History By Facility'!B132</f>
        <v>Lone Star Pipeline Co.</v>
      </c>
      <c r="B18" t="str">
        <f>'History By Facility'!C132</f>
        <v>Tri-Cities (Rodessa)</v>
      </c>
      <c r="C18" t="str">
        <f>'History By Facility'!D132</f>
        <v>Henderson</v>
      </c>
      <c r="D18" s="44">
        <f>'History By Facility'!E132</f>
        <v>6900</v>
      </c>
      <c r="E18" s="51" t="s">
        <v>248</v>
      </c>
      <c r="F18" s="44">
        <v>2539</v>
      </c>
      <c r="G18" s="50" t="s">
        <v>247</v>
      </c>
      <c r="H18" s="44">
        <v>1846</v>
      </c>
      <c r="I18" s="44">
        <f>'History By Facility'!I132</f>
        <v>2100</v>
      </c>
      <c r="J18" s="44">
        <f>'History By Facility'!P132</f>
        <v>2003</v>
      </c>
      <c r="K18" s="44">
        <f t="shared" si="0"/>
        <v>-97</v>
      </c>
      <c r="L18" s="44">
        <f>'History By Facility'!Y132</f>
        <v>1846</v>
      </c>
      <c r="M18" s="62">
        <f t="shared" si="1"/>
        <v>-157</v>
      </c>
      <c r="N18" s="44">
        <f t="shared" si="2"/>
        <v>-254</v>
      </c>
      <c r="O18" s="44">
        <f>'History By Facility'!H158</f>
        <v>1794</v>
      </c>
      <c r="P18" s="44">
        <f t="shared" si="3"/>
        <v>52</v>
      </c>
      <c r="Q18" s="44">
        <f t="shared" si="4"/>
        <v>52</v>
      </c>
    </row>
    <row r="19" spans="1:25" x14ac:dyDescent="0.25">
      <c r="A19" t="s">
        <v>262</v>
      </c>
      <c r="B19" t="str">
        <f>'History By Facility'!C133</f>
        <v>Hillbig</v>
      </c>
      <c r="C19" t="str">
        <f>'History By Facility'!D133</f>
        <v>Bastrop</v>
      </c>
      <c r="D19" s="44">
        <f>'History By Facility'!E133</f>
        <v>3000</v>
      </c>
      <c r="E19" s="51" t="s">
        <v>249</v>
      </c>
      <c r="F19" s="44">
        <v>4265</v>
      </c>
      <c r="G19" s="61" t="s">
        <v>250</v>
      </c>
      <c r="H19" s="62">
        <v>1314</v>
      </c>
      <c r="I19" s="44">
        <f>'History By Facility'!I133</f>
        <v>2965</v>
      </c>
      <c r="J19" s="44">
        <f>'History By Facility'!P133</f>
        <v>1687</v>
      </c>
      <c r="K19" s="44">
        <f t="shared" si="0"/>
        <v>-1278</v>
      </c>
      <c r="L19" s="44">
        <f>'History By Facility'!Y133</f>
        <v>3476</v>
      </c>
      <c r="M19" s="44">
        <f t="shared" si="1"/>
        <v>1789</v>
      </c>
      <c r="N19" s="44">
        <f t="shared" si="2"/>
        <v>511</v>
      </c>
      <c r="O19" s="44">
        <f>'History By Facility'!H159</f>
        <v>1922</v>
      </c>
      <c r="P19" s="44">
        <f t="shared" si="3"/>
        <v>1554</v>
      </c>
      <c r="Q19" s="44">
        <f t="shared" si="4"/>
        <v>-608</v>
      </c>
    </row>
    <row r="20" spans="1:25" x14ac:dyDescent="0.25">
      <c r="A20" t="str">
        <f>'History By Facility'!B134</f>
        <v>Natural Gas Pipeline</v>
      </c>
      <c r="B20" t="str">
        <f>'History By Facility'!C134</f>
        <v>North Lansing</v>
      </c>
      <c r="C20" t="str">
        <f>'History By Facility'!D134</f>
        <v>Harrison</v>
      </c>
      <c r="D20" s="44">
        <f>'History By Facility'!E134</f>
        <v>69000</v>
      </c>
      <c r="E20" s="51" t="s">
        <v>251</v>
      </c>
      <c r="F20" s="44">
        <v>76491</v>
      </c>
      <c r="G20" s="63" t="s">
        <v>248</v>
      </c>
      <c r="H20" s="62">
        <v>40034</v>
      </c>
      <c r="I20" s="44">
        <f>'History By Facility'!I134</f>
        <v>16209</v>
      </c>
      <c r="J20" s="44">
        <f>'History By Facility'!P134</f>
        <v>18818</v>
      </c>
      <c r="K20" s="44">
        <f t="shared" si="0"/>
        <v>2609</v>
      </c>
      <c r="L20" s="44">
        <f>'History By Facility'!Y134</f>
        <v>42274</v>
      </c>
      <c r="M20" s="44">
        <f t="shared" si="1"/>
        <v>23456</v>
      </c>
      <c r="N20" s="44">
        <f t="shared" si="2"/>
        <v>26065</v>
      </c>
      <c r="O20" s="44">
        <f>'History By Facility'!H160</f>
        <v>10981</v>
      </c>
      <c r="P20" s="44">
        <f t="shared" si="3"/>
        <v>31293</v>
      </c>
      <c r="Q20" s="44">
        <f t="shared" si="4"/>
        <v>29053</v>
      </c>
    </row>
    <row r="21" spans="1:25" x14ac:dyDescent="0.25">
      <c r="A21" t="s">
        <v>263</v>
      </c>
      <c r="B21" t="str">
        <f>'History By Facility'!C135</f>
        <v>Lone Camp</v>
      </c>
      <c r="C21" t="str">
        <f>'History By Facility'!D135</f>
        <v>Palo Pinto</v>
      </c>
      <c r="D21" s="44">
        <f>'History By Facility'!E135</f>
        <v>500</v>
      </c>
      <c r="E21" s="51" t="s">
        <v>251</v>
      </c>
      <c r="F21" s="44">
        <v>489</v>
      </c>
      <c r="G21" s="50" t="s">
        <v>247</v>
      </c>
      <c r="H21" s="44">
        <v>242</v>
      </c>
      <c r="I21" s="44">
        <f>'History By Facility'!I135</f>
        <v>271</v>
      </c>
      <c r="J21" s="44">
        <f>'History By Facility'!P135</f>
        <v>522</v>
      </c>
      <c r="K21" s="44">
        <f t="shared" si="0"/>
        <v>251</v>
      </c>
      <c r="L21" s="44">
        <f>'History By Facility'!Y135</f>
        <v>242</v>
      </c>
      <c r="M21" s="62">
        <f t="shared" si="1"/>
        <v>-280</v>
      </c>
      <c r="N21" s="44">
        <f t="shared" si="2"/>
        <v>-29</v>
      </c>
      <c r="O21" s="44">
        <f>'History By Facility'!H161</f>
        <v>407</v>
      </c>
      <c r="P21" s="44">
        <f t="shared" si="3"/>
        <v>-165</v>
      </c>
      <c r="Q21" s="44">
        <f t="shared" si="4"/>
        <v>-165</v>
      </c>
    </row>
    <row r="22" spans="1:25" x14ac:dyDescent="0.25">
      <c r="A22" t="str">
        <f>'History By Facility'!B136</f>
        <v>Tejas Gas Pipeline Co.</v>
      </c>
      <c r="B22" t="str">
        <f>'History By Facility'!C136</f>
        <v>West Clear Lake</v>
      </c>
      <c r="C22" t="str">
        <f>'History By Facility'!D136</f>
        <v>Harris</v>
      </c>
      <c r="D22" s="44">
        <f>'History By Facility'!E136</f>
        <v>48000</v>
      </c>
      <c r="E22" s="51" t="s">
        <v>249</v>
      </c>
      <c r="F22" s="44">
        <v>63532</v>
      </c>
      <c r="G22" s="50" t="s">
        <v>247</v>
      </c>
      <c r="H22" s="44">
        <v>17137</v>
      </c>
      <c r="I22" s="44">
        <f>'History By Facility'!I136</f>
        <v>48742</v>
      </c>
      <c r="J22" s="44">
        <f>'History By Facility'!P136</f>
        <v>53586</v>
      </c>
      <c r="K22" s="44">
        <f t="shared" si="0"/>
        <v>4844</v>
      </c>
      <c r="L22" s="44">
        <f>'History By Facility'!Y136</f>
        <v>17136.544000000002</v>
      </c>
      <c r="M22" s="62">
        <f t="shared" si="1"/>
        <v>-36449.455999999998</v>
      </c>
      <c r="N22" s="44">
        <f t="shared" si="2"/>
        <v>-31605.455999999998</v>
      </c>
      <c r="O22" s="44">
        <f>'History By Facility'!H162</f>
        <v>6269</v>
      </c>
      <c r="P22" s="44">
        <f t="shared" si="3"/>
        <v>10867.544000000002</v>
      </c>
      <c r="Q22" s="44">
        <f t="shared" si="4"/>
        <v>10868</v>
      </c>
    </row>
    <row r="23" spans="1:25" x14ac:dyDescent="0.25">
      <c r="A23" t="str">
        <f>'History By Facility'!B137</f>
        <v>Texas Utilities Fuel Co.</v>
      </c>
      <c r="B23" t="str">
        <f>'History By Facility'!C137</f>
        <v>South Bryson</v>
      </c>
      <c r="C23" t="str">
        <f>'History By Facility'!D137</f>
        <v>Jack</v>
      </c>
      <c r="D23" s="44">
        <f>'History By Facility'!E137</f>
        <v>5500</v>
      </c>
      <c r="E23" s="61" t="s">
        <v>247</v>
      </c>
      <c r="F23" s="62">
        <v>6000</v>
      </c>
      <c r="G23" s="61" t="s">
        <v>250</v>
      </c>
      <c r="H23" s="62">
        <v>5034</v>
      </c>
      <c r="I23" s="44">
        <f>'History By Facility'!I137</f>
        <v>5618</v>
      </c>
      <c r="J23" s="44">
        <f>'History By Facility'!P137</f>
        <v>5931</v>
      </c>
      <c r="K23" s="44">
        <f t="shared" si="0"/>
        <v>313</v>
      </c>
      <c r="L23" s="44">
        <f>'History By Facility'!Y137</f>
        <v>6000</v>
      </c>
      <c r="M23" s="44">
        <f t="shared" si="1"/>
        <v>69</v>
      </c>
      <c r="N23" s="44">
        <f t="shared" si="2"/>
        <v>382</v>
      </c>
      <c r="O23" s="44">
        <f>'History By Facility'!H163</f>
        <v>5174</v>
      </c>
      <c r="P23" s="44">
        <f t="shared" si="3"/>
        <v>826</v>
      </c>
      <c r="Q23" s="44">
        <f t="shared" si="4"/>
        <v>-140</v>
      </c>
    </row>
    <row r="24" spans="1:25" x14ac:dyDescent="0.25">
      <c r="A24" t="str">
        <f>'History By Facility'!B138</f>
        <v>Texas Utilities Fuel Co.</v>
      </c>
      <c r="B24" t="str">
        <f>'History By Facility'!C138</f>
        <v>Worsham-Steed</v>
      </c>
      <c r="C24" t="str">
        <f>'History By Facility'!D138</f>
        <v>Jack</v>
      </c>
      <c r="D24" s="44">
        <f>'History By Facility'!E138</f>
        <v>46</v>
      </c>
      <c r="E24" s="51" t="s">
        <v>248</v>
      </c>
      <c r="F24" s="44">
        <v>2987</v>
      </c>
      <c r="G24" s="50" t="s">
        <v>247</v>
      </c>
      <c r="H24" s="44">
        <v>0</v>
      </c>
      <c r="I24" s="44">
        <f>'History By Facility'!I138</f>
        <v>0</v>
      </c>
      <c r="J24" s="44">
        <f>'History By Facility'!P138</f>
        <v>0</v>
      </c>
      <c r="K24" s="44">
        <f t="shared" si="0"/>
        <v>0</v>
      </c>
      <c r="L24" s="44">
        <f>'History By Facility'!Y138</f>
        <v>0</v>
      </c>
      <c r="M24" s="44">
        <f t="shared" si="1"/>
        <v>0</v>
      </c>
      <c r="N24" s="44">
        <f t="shared" si="2"/>
        <v>0</v>
      </c>
      <c r="O24" s="44">
        <f>'History By Facility'!H164</f>
        <v>0</v>
      </c>
      <c r="P24" s="44">
        <f t="shared" si="3"/>
        <v>0</v>
      </c>
      <c r="Q24" s="44">
        <f t="shared" si="4"/>
        <v>0</v>
      </c>
    </row>
    <row r="25" spans="1:25" x14ac:dyDescent="0.25">
      <c r="A25" t="str">
        <f>'History By Facility'!B139</f>
        <v>Lone Star Gas Company</v>
      </c>
      <c r="B25" t="str">
        <f>'History By Facility'!C139</f>
        <v>Leeray</v>
      </c>
      <c r="C25" t="str">
        <f>'History By Facility'!D139</f>
        <v>Stephens</v>
      </c>
      <c r="D25" s="44">
        <f>'History By Facility'!E139</f>
        <v>4775</v>
      </c>
      <c r="E25" s="51" t="s">
        <v>248</v>
      </c>
      <c r="F25" s="44">
        <v>1510</v>
      </c>
      <c r="G25" s="50" t="s">
        <v>247</v>
      </c>
      <c r="H25" s="44">
        <v>1008</v>
      </c>
      <c r="I25" s="44">
        <f>'History By Facility'!I139</f>
        <v>1087</v>
      </c>
      <c r="J25" s="44">
        <f>'History By Facility'!P139</f>
        <v>1062</v>
      </c>
      <c r="K25" s="44">
        <f t="shared" si="0"/>
        <v>-25</v>
      </c>
      <c r="L25" s="44">
        <f>'History By Facility'!Y139</f>
        <v>1008</v>
      </c>
      <c r="M25" s="62">
        <f t="shared" si="1"/>
        <v>-54</v>
      </c>
      <c r="N25" s="44">
        <f t="shared" si="2"/>
        <v>-79</v>
      </c>
      <c r="O25" s="44">
        <f>'History By Facility'!H165</f>
        <v>981</v>
      </c>
      <c r="P25" s="44">
        <f t="shared" si="3"/>
        <v>27</v>
      </c>
      <c r="Q25" s="44">
        <f t="shared" si="4"/>
        <v>27</v>
      </c>
    </row>
    <row r="26" spans="1:25" x14ac:dyDescent="0.25">
      <c r="A26" t="str">
        <f>'History By Facility'!B140</f>
        <v>Tristar Gas Co.</v>
      </c>
      <c r="B26" t="str">
        <f>'History By Facility'!C140</f>
        <v>Pottsville</v>
      </c>
      <c r="C26" t="str">
        <f>'History By Facility'!D140</f>
        <v>Hamilton</v>
      </c>
      <c r="D26" s="44">
        <f>'History By Facility'!E140</f>
        <v>513</v>
      </c>
      <c r="E26" s="51" t="s">
        <v>248</v>
      </c>
      <c r="F26" s="44">
        <v>2941</v>
      </c>
      <c r="G26" s="50" t="s">
        <v>247</v>
      </c>
      <c r="H26" s="44">
        <v>31</v>
      </c>
      <c r="I26" s="44">
        <f>'History By Facility'!I140</f>
        <v>152</v>
      </c>
      <c r="J26" s="44">
        <f>'History By Facility'!P140</f>
        <v>91</v>
      </c>
      <c r="K26" s="44">
        <f t="shared" si="0"/>
        <v>-61</v>
      </c>
      <c r="L26" s="44">
        <f>'History By Facility'!Y140</f>
        <v>31</v>
      </c>
      <c r="M26" s="62">
        <f t="shared" si="1"/>
        <v>-60</v>
      </c>
      <c r="N26" s="44">
        <f t="shared" si="2"/>
        <v>-121</v>
      </c>
      <c r="O26" s="44">
        <f>'History By Facility'!H166</f>
        <v>162</v>
      </c>
      <c r="P26" s="44">
        <f t="shared" si="3"/>
        <v>-131</v>
      </c>
      <c r="Q26" s="44">
        <f t="shared" si="4"/>
        <v>-131</v>
      </c>
    </row>
    <row r="27" spans="1:25" x14ac:dyDescent="0.25">
      <c r="A27" t="s">
        <v>261</v>
      </c>
      <c r="B27" t="str">
        <f>'History By Facility'!C141</f>
        <v>Katy Hub</v>
      </c>
      <c r="C27" t="str">
        <f>'History By Facility'!D141</f>
        <v>Ft. Bend</v>
      </c>
      <c r="D27" s="44">
        <f>'History By Facility'!E141</f>
        <v>18500</v>
      </c>
      <c r="E27" s="51" t="s">
        <v>251</v>
      </c>
      <c r="F27" s="44">
        <v>20577</v>
      </c>
      <c r="G27" s="61" t="s">
        <v>250</v>
      </c>
      <c r="H27" s="62">
        <v>12363</v>
      </c>
      <c r="I27" s="44">
        <f>'History By Facility'!I141</f>
        <v>4259</v>
      </c>
      <c r="J27" s="44">
        <f>'History By Facility'!P141</f>
        <v>10311</v>
      </c>
      <c r="K27" s="44">
        <f t="shared" si="0"/>
        <v>6052</v>
      </c>
      <c r="L27" s="44">
        <f>'History By Facility'!Y141</f>
        <v>17746</v>
      </c>
      <c r="M27" s="44">
        <f t="shared" si="1"/>
        <v>7435</v>
      </c>
      <c r="N27" s="44">
        <f t="shared" si="2"/>
        <v>13487</v>
      </c>
      <c r="O27" s="44">
        <f>'History By Facility'!H167</f>
        <v>5478</v>
      </c>
      <c r="P27" s="44">
        <f t="shared" si="3"/>
        <v>12268</v>
      </c>
      <c r="Q27" s="44">
        <f t="shared" si="4"/>
        <v>6885</v>
      </c>
    </row>
    <row r="28" spans="1:25" ht="13.8" thickBot="1" x14ac:dyDescent="0.3">
      <c r="D28" s="46">
        <f>SUM(D5:D27)</f>
        <v>257098</v>
      </c>
      <c r="E28" s="52"/>
      <c r="F28" s="46">
        <f>SUM(F5:F27)</f>
        <v>287380</v>
      </c>
      <c r="G28" s="52"/>
      <c r="H28" s="46">
        <f t="shared" ref="H28:Q28" si="5">SUM(H5:H27)</f>
        <v>152904</v>
      </c>
      <c r="I28" s="46">
        <f t="shared" si="5"/>
        <v>141814</v>
      </c>
      <c r="J28" s="46">
        <f t="shared" si="5"/>
        <v>175357</v>
      </c>
      <c r="K28" s="46">
        <f t="shared" si="5"/>
        <v>33543</v>
      </c>
      <c r="L28" s="46">
        <f t="shared" si="5"/>
        <v>172727.58600000001</v>
      </c>
      <c r="M28" s="46">
        <f t="shared" si="5"/>
        <v>-2629.413999999997</v>
      </c>
      <c r="N28" s="46">
        <f t="shared" si="5"/>
        <v>30913.586000000003</v>
      </c>
      <c r="O28" s="46">
        <f t="shared" si="5"/>
        <v>64205</v>
      </c>
      <c r="P28" s="46">
        <f t="shared" si="5"/>
        <v>108522.58600000001</v>
      </c>
      <c r="Q28" s="46">
        <f t="shared" si="5"/>
        <v>88699</v>
      </c>
    </row>
    <row r="29" spans="1:25" ht="13.8" thickTop="1" x14ac:dyDescent="0.25">
      <c r="D29" s="45"/>
      <c r="E29" s="45"/>
      <c r="F29" s="45"/>
      <c r="G29" s="45"/>
      <c r="H29" s="45"/>
      <c r="I29" s="44"/>
      <c r="J29" s="44"/>
      <c r="K29" s="44"/>
      <c r="L29" s="44"/>
      <c r="M29" s="44"/>
      <c r="N29" s="44"/>
    </row>
    <row r="30" spans="1:25" ht="13.8" thickBot="1" x14ac:dyDescent="0.3">
      <c r="M30" s="59" t="s">
        <v>260</v>
      </c>
      <c r="P30" s="46">
        <f>P28-P20</f>
        <v>77229.58600000001</v>
      </c>
      <c r="Q30" s="46">
        <f>Q28-Q20</f>
        <v>59646</v>
      </c>
    </row>
    <row r="31" spans="1:25" ht="13.8" thickTop="1" x14ac:dyDescent="0.25"/>
    <row r="32" spans="1:25" x14ac:dyDescent="0.25">
      <c r="A32" t="s">
        <v>266</v>
      </c>
      <c r="B32" t="str">
        <f>'History By Facility'!C250</f>
        <v>Salado I, II, and III</v>
      </c>
      <c r="C32" t="str">
        <f>'History By Facility'!D250</f>
        <v>Gaines</v>
      </c>
      <c r="D32" s="44">
        <f>'History By Facility'!E235</f>
        <v>3000</v>
      </c>
      <c r="E32" s="51" t="s">
        <v>249</v>
      </c>
      <c r="F32" s="44">
        <v>2050</v>
      </c>
      <c r="G32" s="61" t="s">
        <v>248</v>
      </c>
      <c r="H32" s="62">
        <v>1552</v>
      </c>
      <c r="I32" s="44">
        <f>'History By Facility'!H235</f>
        <v>1349</v>
      </c>
      <c r="J32" s="44">
        <f>'History By Facility'!P235</f>
        <v>1358</v>
      </c>
      <c r="K32" s="44">
        <f t="shared" ref="K32:K43" si="6">J32-I32</f>
        <v>9</v>
      </c>
      <c r="L32" s="44">
        <f>'History By Facility'!Y235</f>
        <v>1875</v>
      </c>
      <c r="M32" s="44">
        <f t="shared" ref="M32:M43" si="7">L32-J32</f>
        <v>517</v>
      </c>
      <c r="N32" s="44">
        <f t="shared" ref="N32:N43" si="8">M32+K32</f>
        <v>526</v>
      </c>
      <c r="O32" s="34">
        <f>'History By Facility'!H250</f>
        <v>1581</v>
      </c>
      <c r="P32" s="44">
        <f t="shared" ref="P32:P43" si="9">L32-O32</f>
        <v>294</v>
      </c>
      <c r="Q32" s="44">
        <f t="shared" ref="Q32:Q43" si="10">H32-O32</f>
        <v>-29</v>
      </c>
      <c r="R32" s="44"/>
      <c r="S32" s="44"/>
      <c r="T32" s="44"/>
      <c r="U32" s="44"/>
      <c r="V32" s="44"/>
      <c r="W32" s="44"/>
      <c r="X32" s="45"/>
      <c r="Y32" s="45"/>
    </row>
    <row r="33" spans="1:25" x14ac:dyDescent="0.25">
      <c r="A33" t="s">
        <v>265</v>
      </c>
      <c r="B33" t="str">
        <f>'History By Facility'!C251</f>
        <v>Spindletop</v>
      </c>
      <c r="C33" t="str">
        <f>'History By Facility'!D251</f>
        <v>Jefferson</v>
      </c>
      <c r="D33" s="44">
        <f>'History By Facility'!E236</f>
        <v>5200</v>
      </c>
      <c r="E33" s="51" t="s">
        <v>251</v>
      </c>
      <c r="F33" s="44">
        <v>7948</v>
      </c>
      <c r="G33" s="61" t="s">
        <v>248</v>
      </c>
      <c r="H33" s="62">
        <v>4211</v>
      </c>
      <c r="I33" s="44">
        <f>'History By Facility'!H236</f>
        <v>3433</v>
      </c>
      <c r="J33" s="44">
        <f>'History By Facility'!P236</f>
        <v>3297</v>
      </c>
      <c r="K33" s="44">
        <f t="shared" si="6"/>
        <v>-136</v>
      </c>
      <c r="L33" s="44">
        <f>'History By Facility'!Y236</f>
        <v>6048</v>
      </c>
      <c r="M33" s="44">
        <f t="shared" si="7"/>
        <v>2751</v>
      </c>
      <c r="N33" s="44">
        <f t="shared" si="8"/>
        <v>2615</v>
      </c>
      <c r="O33" s="34">
        <f>'History By Facility'!H251</f>
        <v>2341</v>
      </c>
      <c r="P33" s="44">
        <f t="shared" si="9"/>
        <v>3707</v>
      </c>
      <c r="Q33" s="44">
        <f t="shared" si="10"/>
        <v>1870</v>
      </c>
      <c r="R33" s="44"/>
      <c r="S33" s="44"/>
      <c r="T33" s="44"/>
      <c r="U33" s="44"/>
      <c r="V33" s="44"/>
      <c r="W33" s="44"/>
      <c r="X33" s="45"/>
      <c r="Y33" s="45"/>
    </row>
    <row r="34" spans="1:25" x14ac:dyDescent="0.25">
      <c r="A34" t="str">
        <f>'History By Facility'!B252</f>
        <v>Dow Salt Dome Operations</v>
      </c>
      <c r="B34" t="s">
        <v>267</v>
      </c>
      <c r="C34" t="str">
        <f>'History By Facility'!D252</f>
        <v>Brazoria</v>
      </c>
      <c r="D34" s="44">
        <f>'History By Facility'!E237</f>
        <v>2580</v>
      </c>
      <c r="E34" s="51" t="s">
        <v>248</v>
      </c>
      <c r="F34" s="44">
        <v>5049</v>
      </c>
      <c r="G34" s="51" t="s">
        <v>247</v>
      </c>
      <c r="H34" s="44">
        <v>3941</v>
      </c>
      <c r="I34" s="44">
        <f>'History By Facility'!H237</f>
        <v>2200</v>
      </c>
      <c r="J34" s="44">
        <f>'History By Facility'!P237</f>
        <v>3506</v>
      </c>
      <c r="K34" s="44">
        <f t="shared" si="6"/>
        <v>1306</v>
      </c>
      <c r="L34" s="44">
        <f>'History By Facility'!Y237</f>
        <v>3941</v>
      </c>
      <c r="M34" s="44">
        <f t="shared" si="7"/>
        <v>435</v>
      </c>
      <c r="N34" s="44">
        <f t="shared" si="8"/>
        <v>1741</v>
      </c>
      <c r="O34" s="34">
        <f>'History By Facility'!H252</f>
        <v>1235</v>
      </c>
      <c r="P34" s="44">
        <f t="shared" si="9"/>
        <v>2706</v>
      </c>
      <c r="Q34" s="44">
        <f t="shared" si="10"/>
        <v>2706</v>
      </c>
      <c r="R34" s="44"/>
      <c r="S34" s="44"/>
      <c r="T34" s="44"/>
      <c r="U34" s="44"/>
      <c r="V34" s="44"/>
      <c r="W34" s="44"/>
      <c r="X34" s="45"/>
      <c r="Y34" s="45"/>
    </row>
    <row r="35" spans="1:25" x14ac:dyDescent="0.25">
      <c r="A35" t="str">
        <f>'History By Facility'!B253</f>
        <v>HNG Storage Company</v>
      </c>
      <c r="B35" t="str">
        <f>'History By Facility'!C253</f>
        <v>North Dayton</v>
      </c>
      <c r="C35" t="str">
        <f>'History By Facility'!D253</f>
        <v>Liberty</v>
      </c>
      <c r="D35" s="44">
        <f>'History By Facility'!E238</f>
        <v>3659</v>
      </c>
      <c r="E35" s="51" t="s">
        <v>251</v>
      </c>
      <c r="F35" s="44">
        <v>3979</v>
      </c>
      <c r="G35" s="61" t="s">
        <v>250</v>
      </c>
      <c r="H35" s="62">
        <v>737</v>
      </c>
      <c r="I35" s="44">
        <f>'History By Facility'!H238</f>
        <v>1023</v>
      </c>
      <c r="J35" s="44">
        <f>'History By Facility'!P238</f>
        <v>3338</v>
      </c>
      <c r="K35" s="44">
        <f t="shared" si="6"/>
        <v>2315</v>
      </c>
      <c r="L35" s="44">
        <f>'History By Facility'!Y238</f>
        <v>2656</v>
      </c>
      <c r="M35" s="62">
        <f t="shared" si="7"/>
        <v>-682</v>
      </c>
      <c r="N35" s="44">
        <f t="shared" si="8"/>
        <v>1633</v>
      </c>
      <c r="O35" s="34">
        <f>'History By Facility'!H253</f>
        <v>2635</v>
      </c>
      <c r="P35" s="44">
        <f t="shared" si="9"/>
        <v>21</v>
      </c>
      <c r="Q35" s="44">
        <f t="shared" si="10"/>
        <v>-1898</v>
      </c>
      <c r="R35" s="44"/>
      <c r="S35" s="44"/>
      <c r="T35" s="44"/>
      <c r="U35" s="44"/>
      <c r="V35" s="44"/>
      <c r="W35" s="44"/>
      <c r="X35" s="45"/>
      <c r="Y35" s="45"/>
    </row>
    <row r="36" spans="1:25" x14ac:dyDescent="0.25">
      <c r="A36" t="str">
        <f>'History By Facility'!B254</f>
        <v>Lone Star Pipeline Co.</v>
      </c>
      <c r="B36" t="str">
        <f>'History By Facility'!C254</f>
        <v>Bethel</v>
      </c>
      <c r="C36" t="str">
        <f>'History By Facility'!D254</f>
        <v>Anderson</v>
      </c>
      <c r="D36" s="44">
        <f>'History By Facility'!E239</f>
        <v>7100</v>
      </c>
      <c r="E36" s="51" t="s">
        <v>251</v>
      </c>
      <c r="F36" s="44">
        <v>6710</v>
      </c>
      <c r="G36" s="51" t="s">
        <v>247</v>
      </c>
      <c r="H36" s="44">
        <v>6191</v>
      </c>
      <c r="I36" s="44">
        <f>'History By Facility'!H239</f>
        <v>3657</v>
      </c>
      <c r="J36" s="44">
        <f>'History By Facility'!P239</f>
        <v>5266</v>
      </c>
      <c r="K36" s="44">
        <f t="shared" si="6"/>
        <v>1609</v>
      </c>
      <c r="L36" s="44">
        <f>'History By Facility'!Y239</f>
        <v>6191</v>
      </c>
      <c r="M36" s="44">
        <f t="shared" si="7"/>
        <v>925</v>
      </c>
      <c r="N36" s="44">
        <f t="shared" si="8"/>
        <v>2534</v>
      </c>
      <c r="O36" s="34">
        <f>'History By Facility'!H254</f>
        <v>3199</v>
      </c>
      <c r="P36" s="44">
        <f t="shared" si="9"/>
        <v>2992</v>
      </c>
      <c r="Q36" s="44">
        <f t="shared" si="10"/>
        <v>2992</v>
      </c>
      <c r="R36" s="44"/>
      <c r="S36" s="44"/>
      <c r="T36" s="44"/>
      <c r="U36" s="44"/>
      <c r="V36" s="44"/>
      <c r="W36" s="44"/>
      <c r="X36" s="45"/>
      <c r="Y36" s="45"/>
    </row>
    <row r="37" spans="1:25" x14ac:dyDescent="0.25">
      <c r="A37" t="str">
        <f>'History By Facility'!B255</f>
        <v xml:space="preserve">Market Hub Partners, L. P. </v>
      </c>
      <c r="B37" t="str">
        <f>'History By Facility'!C255</f>
        <v>Moss Bluff</v>
      </c>
      <c r="C37" t="str">
        <f>'History By Facility'!D255</f>
        <v>Liberty</v>
      </c>
      <c r="D37" s="44">
        <f>'History By Facility'!E240</f>
        <v>10000</v>
      </c>
      <c r="E37" s="51" t="s">
        <v>249</v>
      </c>
      <c r="F37" s="44">
        <v>10656</v>
      </c>
      <c r="G37" s="61" t="s">
        <v>248</v>
      </c>
      <c r="H37" s="62">
        <v>6655</v>
      </c>
      <c r="I37" s="44">
        <f>'History By Facility'!H240</f>
        <v>3288</v>
      </c>
      <c r="J37" s="44">
        <f>'History By Facility'!P240</f>
        <v>4102</v>
      </c>
      <c r="K37" s="44">
        <f t="shared" si="6"/>
        <v>814</v>
      </c>
      <c r="L37" s="44">
        <f>'History By Facility'!Y240</f>
        <v>8448</v>
      </c>
      <c r="M37" s="44">
        <f t="shared" si="7"/>
        <v>4346</v>
      </c>
      <c r="N37" s="44">
        <f t="shared" si="8"/>
        <v>5160</v>
      </c>
      <c r="O37" s="34">
        <f>'History By Facility'!H255</f>
        <v>5686</v>
      </c>
      <c r="P37" s="44">
        <f t="shared" si="9"/>
        <v>2762</v>
      </c>
      <c r="Q37" s="44">
        <f t="shared" si="10"/>
        <v>969</v>
      </c>
      <c r="R37" s="44"/>
      <c r="S37" s="44"/>
      <c r="T37" s="44"/>
      <c r="U37" s="44"/>
      <c r="V37" s="44"/>
      <c r="W37" s="44"/>
      <c r="X37" s="45"/>
      <c r="Y37" s="45"/>
    </row>
    <row r="38" spans="1:25" x14ac:dyDescent="0.25">
      <c r="A38" t="str">
        <f>'History By Facility'!B256</f>
        <v>Valero Gas Storage</v>
      </c>
      <c r="B38" t="str">
        <f>'History By Facility'!C256</f>
        <v>Boling</v>
      </c>
      <c r="C38" t="str">
        <f>'History By Facility'!D256</f>
        <v>Wharton</v>
      </c>
      <c r="D38" s="44">
        <f>'History By Facility'!E241</f>
        <v>8299</v>
      </c>
      <c r="E38" s="51" t="s">
        <v>248</v>
      </c>
      <c r="F38" s="44">
        <v>5692</v>
      </c>
      <c r="G38" s="51" t="s">
        <v>247</v>
      </c>
      <c r="H38" s="44">
        <v>3559</v>
      </c>
      <c r="I38" s="44">
        <f>'History By Facility'!H241</f>
        <v>3392</v>
      </c>
      <c r="J38" s="44">
        <f>'History By Facility'!P241</f>
        <v>1115</v>
      </c>
      <c r="K38" s="44">
        <f t="shared" si="6"/>
        <v>-2277</v>
      </c>
      <c r="L38" s="44">
        <f>'History By Facility'!Y241</f>
        <v>3559</v>
      </c>
      <c r="M38" s="44">
        <f t="shared" si="7"/>
        <v>2444</v>
      </c>
      <c r="N38" s="44">
        <f t="shared" si="8"/>
        <v>167</v>
      </c>
      <c r="O38" s="34">
        <f>'History By Facility'!H256</f>
        <v>5398</v>
      </c>
      <c r="P38" s="44">
        <f t="shared" si="9"/>
        <v>-1839</v>
      </c>
      <c r="Q38" s="44">
        <f t="shared" si="10"/>
        <v>-1839</v>
      </c>
      <c r="R38" s="44"/>
      <c r="S38" s="44"/>
      <c r="T38" s="44"/>
      <c r="U38" s="44"/>
      <c r="V38" s="44"/>
      <c r="W38" s="44"/>
      <c r="X38" s="45"/>
      <c r="Y38" s="45"/>
    </row>
    <row r="39" spans="1:25" x14ac:dyDescent="0.25">
      <c r="A39" t="str">
        <f>'History By Facility'!B257</f>
        <v>Phillips Petroleum</v>
      </c>
      <c r="B39" t="str">
        <f>'History By Facility'!C257</f>
        <v>Clemens</v>
      </c>
      <c r="C39" t="str">
        <f>'History By Facility'!D257</f>
        <v>Brazoria</v>
      </c>
      <c r="D39" s="44">
        <f>'History By Facility'!E242</f>
        <v>1800</v>
      </c>
      <c r="E39" s="51" t="s">
        <v>249</v>
      </c>
      <c r="F39" s="44">
        <v>2049</v>
      </c>
      <c r="G39" s="51" t="s">
        <v>247</v>
      </c>
      <c r="H39" s="44">
        <v>460</v>
      </c>
      <c r="I39" s="44">
        <f>'History By Facility'!H242</f>
        <v>749</v>
      </c>
      <c r="J39" s="44">
        <f>'History By Facility'!P242</f>
        <v>692</v>
      </c>
      <c r="K39" s="44">
        <f t="shared" si="6"/>
        <v>-57</v>
      </c>
      <c r="L39" s="44">
        <f>'History By Facility'!Y242</f>
        <v>460</v>
      </c>
      <c r="M39" s="62">
        <f t="shared" si="7"/>
        <v>-232</v>
      </c>
      <c r="N39" s="44">
        <f t="shared" si="8"/>
        <v>-289</v>
      </c>
      <c r="O39" s="34">
        <f>'History By Facility'!H257</f>
        <v>880</v>
      </c>
      <c r="P39" s="44">
        <f t="shared" si="9"/>
        <v>-420</v>
      </c>
      <c r="Q39" s="44">
        <f t="shared" si="10"/>
        <v>-420</v>
      </c>
      <c r="R39" s="44"/>
      <c r="S39" s="44"/>
      <c r="T39" s="44"/>
      <c r="U39" s="44"/>
      <c r="V39" s="44"/>
      <c r="W39" s="44"/>
      <c r="X39" s="45"/>
      <c r="Y39" s="45"/>
    </row>
    <row r="40" spans="1:25" x14ac:dyDescent="0.25">
      <c r="A40" t="str">
        <f>'History By Facility'!B258</f>
        <v>Entergy Gulf States</v>
      </c>
      <c r="B40" t="str">
        <f>'History By Facility'!C258</f>
        <v>Spindletop</v>
      </c>
      <c r="C40" t="str">
        <f>'History By Facility'!D258</f>
        <v>Jefferson</v>
      </c>
      <c r="D40" s="44">
        <f>'History By Facility'!E243</f>
        <v>8500</v>
      </c>
      <c r="E40" s="51" t="s">
        <v>249</v>
      </c>
      <c r="F40" s="44">
        <v>6940</v>
      </c>
      <c r="G40" s="61" t="s">
        <v>248</v>
      </c>
      <c r="H40" s="62">
        <v>1685</v>
      </c>
      <c r="I40" s="44">
        <f>'History By Facility'!H243</f>
        <v>6872</v>
      </c>
      <c r="J40" s="44">
        <f>'History By Facility'!P243</f>
        <v>6613</v>
      </c>
      <c r="K40" s="44">
        <f t="shared" si="6"/>
        <v>-259</v>
      </c>
      <c r="L40" s="44">
        <f>'History By Facility'!Y243</f>
        <v>6825</v>
      </c>
      <c r="M40" s="44">
        <f t="shared" si="7"/>
        <v>212</v>
      </c>
      <c r="N40" s="44">
        <f t="shared" si="8"/>
        <v>-47</v>
      </c>
      <c r="O40" s="34">
        <f>'History By Facility'!H258</f>
        <v>6689</v>
      </c>
      <c r="P40" s="44">
        <f t="shared" si="9"/>
        <v>136</v>
      </c>
      <c r="Q40" s="44">
        <f t="shared" si="10"/>
        <v>-5004</v>
      </c>
      <c r="R40" s="44"/>
      <c r="S40" s="44"/>
      <c r="T40" s="44"/>
      <c r="U40" s="44"/>
      <c r="V40" s="44"/>
      <c r="W40" s="44"/>
      <c r="X40" s="45"/>
      <c r="Y40" s="45"/>
    </row>
    <row r="41" spans="1:25" x14ac:dyDescent="0.25">
      <c r="A41" t="str">
        <f>'History By Facility'!B259</f>
        <v>Tejas</v>
      </c>
      <c r="B41" t="str">
        <f>'History By Facility'!C259</f>
        <v>STratten Ridge</v>
      </c>
      <c r="C41" t="str">
        <f>'History By Facility'!D259</f>
        <v>Brazoria</v>
      </c>
      <c r="D41" s="44">
        <f>'History By Facility'!E244</f>
        <v>1700</v>
      </c>
      <c r="E41" s="61" t="s">
        <v>247</v>
      </c>
      <c r="F41" s="62">
        <v>1718</v>
      </c>
      <c r="G41" s="61" t="s">
        <v>250</v>
      </c>
      <c r="H41" s="62">
        <v>530</v>
      </c>
      <c r="I41" s="44">
        <f>'History By Facility'!H244</f>
        <v>1101</v>
      </c>
      <c r="J41" s="44">
        <f>'History By Facility'!P244</f>
        <v>1578</v>
      </c>
      <c r="K41" s="44">
        <f t="shared" si="6"/>
        <v>477</v>
      </c>
      <c r="L41" s="44">
        <f>'History By Facility'!Y244</f>
        <v>1718</v>
      </c>
      <c r="M41" s="44">
        <f t="shared" si="7"/>
        <v>140</v>
      </c>
      <c r="N41" s="44">
        <f t="shared" si="8"/>
        <v>617</v>
      </c>
      <c r="O41" s="34">
        <f>'History By Facility'!H259</f>
        <v>914</v>
      </c>
      <c r="P41" s="44">
        <f t="shared" si="9"/>
        <v>804</v>
      </c>
      <c r="Q41" s="44">
        <f t="shared" si="10"/>
        <v>-384</v>
      </c>
      <c r="R41" s="44"/>
      <c r="S41" s="44"/>
      <c r="T41" s="44"/>
      <c r="U41" s="44"/>
      <c r="V41" s="44"/>
      <c r="W41" s="44"/>
      <c r="X41" s="45"/>
      <c r="Y41" s="45"/>
    </row>
    <row r="42" spans="1:25" x14ac:dyDescent="0.25">
      <c r="A42" t="s">
        <v>264</v>
      </c>
      <c r="B42" t="s">
        <v>268</v>
      </c>
      <c r="C42" t="str">
        <f>'History By Facility'!D260</f>
        <v>Matagorda</v>
      </c>
      <c r="D42" s="44">
        <f>'History By Facility'!E245</f>
        <v>6000</v>
      </c>
      <c r="E42" s="51" t="s">
        <v>251</v>
      </c>
      <c r="F42" s="44">
        <v>4199</v>
      </c>
      <c r="G42" s="51" t="s">
        <v>247</v>
      </c>
      <c r="H42" s="51" t="s">
        <v>247</v>
      </c>
      <c r="I42" s="44">
        <f>'History By Facility'!H245</f>
        <v>878</v>
      </c>
      <c r="J42" s="44">
        <f>'History By Facility'!P245</f>
        <v>2077</v>
      </c>
      <c r="K42" s="44">
        <f t="shared" si="6"/>
        <v>1199</v>
      </c>
      <c r="L42" s="44">
        <f>'History By Facility'!Y245</f>
        <v>1556</v>
      </c>
      <c r="M42" s="62">
        <f t="shared" si="7"/>
        <v>-521</v>
      </c>
      <c r="N42" s="44">
        <f t="shared" si="8"/>
        <v>678</v>
      </c>
      <c r="O42" s="34">
        <f>'History By Facility'!H260</f>
        <v>4165</v>
      </c>
      <c r="P42" s="44">
        <f t="shared" si="9"/>
        <v>-2609</v>
      </c>
      <c r="Q42" s="44">
        <f t="shared" si="10"/>
        <v>-2165</v>
      </c>
      <c r="R42" s="44"/>
      <c r="S42" s="44"/>
      <c r="T42" s="44"/>
      <c r="U42" s="44"/>
      <c r="V42" s="44"/>
      <c r="W42" s="44"/>
      <c r="X42" s="45"/>
      <c r="Y42" s="45"/>
    </row>
    <row r="43" spans="1:25" x14ac:dyDescent="0.25">
      <c r="A43" t="str">
        <f>'History By Facility'!B261</f>
        <v>Texas Utilities Fuel Co.</v>
      </c>
      <c r="B43" t="str">
        <f>'History By Facility'!C261</f>
        <v>Bethel (3 caverns)</v>
      </c>
      <c r="C43" t="str">
        <f>'History By Facility'!D261</f>
        <v>Anderson</v>
      </c>
      <c r="D43" s="44">
        <f>'History By Facility'!E246</f>
        <v>8810</v>
      </c>
      <c r="E43" s="51" t="s">
        <v>249</v>
      </c>
      <c r="F43" s="44">
        <v>9002</v>
      </c>
      <c r="G43" s="51" t="s">
        <v>247</v>
      </c>
      <c r="H43" s="51" t="s">
        <v>247</v>
      </c>
      <c r="I43" s="44">
        <f>'History By Facility'!H246</f>
        <v>5572</v>
      </c>
      <c r="J43" s="44">
        <f>'History By Facility'!P246</f>
        <v>7227</v>
      </c>
      <c r="K43" s="44">
        <f t="shared" si="6"/>
        <v>1655</v>
      </c>
      <c r="L43" s="44">
        <f>'History By Facility'!Y246</f>
        <v>6415</v>
      </c>
      <c r="M43" s="62">
        <f t="shared" si="7"/>
        <v>-812</v>
      </c>
      <c r="N43" s="44">
        <f t="shared" si="8"/>
        <v>843</v>
      </c>
      <c r="O43" s="34">
        <f>'History By Facility'!H261</f>
        <v>4073</v>
      </c>
      <c r="P43" s="44">
        <f t="shared" si="9"/>
        <v>2342</v>
      </c>
      <c r="Q43" s="44">
        <f t="shared" si="10"/>
        <v>-2073</v>
      </c>
      <c r="R43" s="44"/>
      <c r="S43" s="44"/>
      <c r="T43" s="44"/>
      <c r="U43" s="44"/>
      <c r="V43" s="44"/>
      <c r="W43" s="44"/>
      <c r="X43" s="45"/>
      <c r="Y43" s="45"/>
    </row>
    <row r="44" spans="1:25" ht="13.8" thickBot="1" x14ac:dyDescent="0.3">
      <c r="A44" t="str">
        <f>'History By Facility'!B262</f>
        <v>Salt Domes</v>
      </c>
      <c r="B44">
        <f>'History By Facility'!C262</f>
        <v>0</v>
      </c>
      <c r="C44">
        <f>'History By Facility'!D262</f>
        <v>0</v>
      </c>
      <c r="D44" s="46">
        <f>SUM(D32:D43)</f>
        <v>66648</v>
      </c>
      <c r="E44" s="45"/>
      <c r="F44" s="46">
        <f>SUM(F32:F43)</f>
        <v>65992</v>
      </c>
      <c r="G44" s="45"/>
      <c r="H44" s="46">
        <f t="shared" ref="H44:Q44" si="11">SUM(H32:H43)</f>
        <v>29521</v>
      </c>
      <c r="I44" s="46">
        <f t="shared" si="11"/>
        <v>33514</v>
      </c>
      <c r="J44" s="46">
        <f t="shared" si="11"/>
        <v>40169</v>
      </c>
      <c r="K44" s="46">
        <f t="shared" si="11"/>
        <v>6655</v>
      </c>
      <c r="L44" s="46">
        <f t="shared" si="11"/>
        <v>49692</v>
      </c>
      <c r="M44" s="46">
        <f t="shared" si="11"/>
        <v>9523</v>
      </c>
      <c r="N44" s="46">
        <f t="shared" si="11"/>
        <v>16178</v>
      </c>
      <c r="O44" s="46">
        <f t="shared" si="11"/>
        <v>38796</v>
      </c>
      <c r="P44" s="46">
        <f t="shared" si="11"/>
        <v>10896</v>
      </c>
      <c r="Q44" s="46">
        <f t="shared" si="11"/>
        <v>-5275</v>
      </c>
      <c r="R44" s="45"/>
      <c r="S44" s="45"/>
      <c r="T44" s="45"/>
      <c r="U44" s="45"/>
      <c r="V44" s="45"/>
      <c r="W44" s="45"/>
      <c r="X44" s="45"/>
      <c r="Y44" s="45"/>
    </row>
    <row r="45" spans="1:25" ht="13.8" thickTop="1" x14ac:dyDescent="0.25">
      <c r="D45" s="44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4"/>
      <c r="P45" s="45"/>
      <c r="Q45" s="45"/>
      <c r="R45" s="45"/>
      <c r="S45" s="45"/>
      <c r="T45" s="45"/>
      <c r="U45" s="45"/>
      <c r="V45" s="45"/>
      <c r="W45" s="45"/>
      <c r="X45" s="45"/>
      <c r="Y45" s="45"/>
    </row>
    <row r="46" spans="1:25" ht="13.8" thickBot="1" x14ac:dyDescent="0.3">
      <c r="D46" s="46">
        <f>D44+D28</f>
        <v>323746</v>
      </c>
      <c r="E46" s="45"/>
      <c r="F46" s="46">
        <f>F44+F28</f>
        <v>353372</v>
      </c>
      <c r="G46" s="45"/>
      <c r="H46" s="46">
        <f t="shared" ref="H46:P46" si="12">H44+H28</f>
        <v>182425</v>
      </c>
      <c r="I46" s="46">
        <f t="shared" si="12"/>
        <v>175328</v>
      </c>
      <c r="J46" s="46">
        <f t="shared" si="12"/>
        <v>215526</v>
      </c>
      <c r="K46" s="46">
        <f t="shared" si="12"/>
        <v>40198</v>
      </c>
      <c r="L46" s="46">
        <f t="shared" si="12"/>
        <v>222419.58600000001</v>
      </c>
      <c r="M46" s="46">
        <f t="shared" si="12"/>
        <v>6893.586000000003</v>
      </c>
      <c r="N46" s="46">
        <f>N44+N28</f>
        <v>47091.586000000003</v>
      </c>
      <c r="O46" s="46">
        <f t="shared" si="12"/>
        <v>103001</v>
      </c>
      <c r="P46" s="46">
        <f t="shared" si="12"/>
        <v>119418.58600000001</v>
      </c>
      <c r="Q46" s="46">
        <f>Q44+Q28</f>
        <v>83424</v>
      </c>
      <c r="R46" s="45"/>
      <c r="S46" s="45"/>
      <c r="T46" s="45"/>
      <c r="U46" s="45"/>
      <c r="V46" s="45"/>
      <c r="W46" s="45"/>
      <c r="X46" s="45"/>
      <c r="Y46" s="45"/>
    </row>
    <row r="47" spans="1:25" ht="13.8" thickTop="1" x14ac:dyDescent="0.25">
      <c r="D47" s="35"/>
    </row>
    <row r="48" spans="1:25" ht="13.8" thickBot="1" x14ac:dyDescent="0.3">
      <c r="M48" s="59" t="s">
        <v>260</v>
      </c>
      <c r="P48" s="46">
        <f>P46-P20</f>
        <v>88125.58600000001</v>
      </c>
      <c r="Q48" s="46">
        <f>Q46-Q20</f>
        <v>54371</v>
      </c>
    </row>
    <row r="49" ht="13.8" thickTop="1" x14ac:dyDescent="0.25"/>
  </sheetData>
  <mergeCells count="4">
    <mergeCell ref="E2:F2"/>
    <mergeCell ref="G2:H2"/>
    <mergeCell ref="E3:F3"/>
    <mergeCell ref="G3:H3"/>
  </mergeCells>
  <phoneticPr fontId="0" type="noConversion"/>
  <pageMargins left="0.2" right="0.23" top="0.18" bottom="0.2" header="0.17" footer="0.2"/>
  <pageSetup paperSize="5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51"/>
  <sheetViews>
    <sheetView tabSelected="1" topLeftCell="H22" workbookViewId="0">
      <selection activeCell="W32" sqref="W32"/>
    </sheetView>
  </sheetViews>
  <sheetFormatPr defaultColWidth="9.109375" defaultRowHeight="13.2" x14ac:dyDescent="0.25"/>
  <cols>
    <col min="1" max="1" width="0" style="17" hidden="1" customWidth="1"/>
    <col min="2" max="2" width="28.6640625" style="17" customWidth="1"/>
    <col min="3" max="3" width="18.6640625" style="17" customWidth="1"/>
    <col min="4" max="4" width="10.109375" style="17" customWidth="1"/>
    <col min="5" max="5" width="9.109375" style="17"/>
    <col min="6" max="6" width="4.6640625" style="17" customWidth="1"/>
    <col min="7" max="9" width="8.88671875" customWidth="1"/>
    <col min="10" max="10" width="4.6640625" customWidth="1"/>
    <col min="11" max="13" width="9.109375" style="17"/>
    <col min="14" max="14" width="4.6640625" style="17" customWidth="1"/>
    <col min="15" max="18" width="9.109375" style="17"/>
    <col min="19" max="19" width="4.6640625" style="17" customWidth="1"/>
    <col min="20" max="36" width="9.109375" style="17"/>
    <col min="37" max="38" width="8.6640625" style="17" customWidth="1"/>
    <col min="39" max="40" width="9.109375" style="17"/>
    <col min="41" max="63" width="0" style="17" hidden="1" customWidth="1"/>
    <col min="64" max="16384" width="9.109375" style="17"/>
  </cols>
  <sheetData>
    <row r="1" spans="1:65" ht="16.2" thickBot="1" x14ac:dyDescent="0.35">
      <c r="B1" s="11" t="s">
        <v>144</v>
      </c>
      <c r="C1" s="12"/>
    </row>
    <row r="2" spans="1:65" ht="31.8" thickBot="1" x14ac:dyDescent="0.3">
      <c r="B2" s="14" t="s">
        <v>1</v>
      </c>
      <c r="C2" s="14" t="s">
        <v>2</v>
      </c>
      <c r="D2" s="14" t="s">
        <v>3</v>
      </c>
      <c r="E2" s="14" t="s">
        <v>4</v>
      </c>
      <c r="F2" s="28"/>
      <c r="G2" s="19" t="str">
        <f>'History By Facility'!W144</f>
        <v>RRC 9/30/01</v>
      </c>
      <c r="H2" s="19" t="str">
        <f>'History By Facility'!V144</f>
        <v>RRC 9/15/01</v>
      </c>
      <c r="I2" s="14" t="s">
        <v>184</v>
      </c>
      <c r="K2" s="19" t="str">
        <f>'History By Facility'!X144</f>
        <v>RRC 10/15/01</v>
      </c>
      <c r="L2" s="19" t="str">
        <f>G2</f>
        <v>RRC 9/30/01</v>
      </c>
      <c r="M2" s="14" t="s">
        <v>184</v>
      </c>
      <c r="O2" s="19" t="str">
        <f>'History By Facility'!W144</f>
        <v>RRC 9/30/01</v>
      </c>
      <c r="P2" s="19" t="str">
        <f>'History By Facility'!W118</f>
        <v>RRC 9/30/00</v>
      </c>
      <c r="Q2" s="14" t="s">
        <v>238</v>
      </c>
      <c r="R2" s="14" t="s">
        <v>186</v>
      </c>
      <c r="T2" s="14" t="s">
        <v>211</v>
      </c>
      <c r="U2" s="14" t="s">
        <v>212</v>
      </c>
      <c r="V2" s="14" t="s">
        <v>185</v>
      </c>
    </row>
    <row r="3" spans="1:65" x14ac:dyDescent="0.25">
      <c r="A3" s="15"/>
      <c r="B3" s="2" t="s">
        <v>16</v>
      </c>
      <c r="C3" s="3" t="s">
        <v>17</v>
      </c>
      <c r="D3" s="3" t="s">
        <v>18</v>
      </c>
      <c r="E3" s="4">
        <v>5500</v>
      </c>
      <c r="F3" s="7"/>
      <c r="G3" s="29">
        <f>'History By Facility'!W145</f>
        <v>962</v>
      </c>
      <c r="H3" s="29">
        <f>'History By Facility'!V145</f>
        <v>961</v>
      </c>
      <c r="I3" s="29">
        <f>G3-H3</f>
        <v>1</v>
      </c>
      <c r="K3" s="30">
        <f>'History By Facility'!X145</f>
        <v>1120</v>
      </c>
      <c r="L3" s="30">
        <f>G3</f>
        <v>962</v>
      </c>
      <c r="M3" s="30">
        <f>K3-L3</f>
        <v>158</v>
      </c>
      <c r="N3" s="15"/>
      <c r="O3" s="4">
        <f>L3</f>
        <v>962</v>
      </c>
      <c r="P3" s="4">
        <f>'History By Facility'!W119</f>
        <v>1515</v>
      </c>
      <c r="Q3" s="30">
        <f>O3-P3</f>
        <v>-553</v>
      </c>
      <c r="R3" s="30">
        <f>E3-O3</f>
        <v>4538</v>
      </c>
      <c r="S3" s="72"/>
      <c r="T3" s="4">
        <v>2270</v>
      </c>
      <c r="U3" s="22">
        <v>36175</v>
      </c>
      <c r="V3" s="25">
        <v>2999</v>
      </c>
      <c r="W3" s="15"/>
      <c r="X3" s="15"/>
      <c r="Y3" s="15"/>
      <c r="Z3" s="15"/>
      <c r="AA3" s="15"/>
      <c r="AB3" s="15"/>
      <c r="AC3" s="16"/>
      <c r="AD3" s="16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6"/>
      <c r="BA3" s="16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</row>
    <row r="4" spans="1:65" x14ac:dyDescent="0.25">
      <c r="B4" s="2" t="s">
        <v>16</v>
      </c>
      <c r="C4" s="3" t="s">
        <v>19</v>
      </c>
      <c r="D4" s="3" t="s">
        <v>18</v>
      </c>
      <c r="E4" s="4">
        <v>8000</v>
      </c>
      <c r="F4" s="7"/>
      <c r="G4" s="29">
        <f>'History By Facility'!W146</f>
        <v>2227</v>
      </c>
      <c r="H4" s="29">
        <f>'History By Facility'!V146</f>
        <v>2230</v>
      </c>
      <c r="I4" s="29">
        <f t="shared" ref="I4:I25" si="0">G4-H4</f>
        <v>-3</v>
      </c>
      <c r="K4" s="30">
        <f>'History By Facility'!X146</f>
        <v>2227</v>
      </c>
      <c r="L4" s="30">
        <f t="shared" ref="L4:L25" si="1">G4</f>
        <v>2227</v>
      </c>
      <c r="M4" s="30">
        <f t="shared" ref="M4:M25" si="2">K4-L4</f>
        <v>0</v>
      </c>
      <c r="N4" s="15"/>
      <c r="O4" s="4">
        <f t="shared" ref="O4:O24" si="3">L4</f>
        <v>2227</v>
      </c>
      <c r="P4" s="4">
        <f>'History By Facility'!W120</f>
        <v>3149</v>
      </c>
      <c r="Q4" s="30">
        <f t="shared" ref="Q4:Q25" si="4">O4-P4</f>
        <v>-922</v>
      </c>
      <c r="R4" s="30">
        <f t="shared" ref="R4:R25" si="5">E4-O4</f>
        <v>5773</v>
      </c>
      <c r="S4" s="72"/>
      <c r="T4" s="4">
        <v>5325</v>
      </c>
      <c r="U4" s="22">
        <v>36356</v>
      </c>
      <c r="V4" s="23">
        <v>6633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18"/>
    </row>
    <row r="5" spans="1:65" x14ac:dyDescent="0.25">
      <c r="B5" s="2" t="s">
        <v>20</v>
      </c>
      <c r="C5" s="3" t="s">
        <v>21</v>
      </c>
      <c r="D5" s="3" t="s">
        <v>22</v>
      </c>
      <c r="E5" s="4">
        <v>100</v>
      </c>
      <c r="F5" s="7"/>
      <c r="G5" s="29">
        <f>'History By Facility'!W147</f>
        <v>29</v>
      </c>
      <c r="H5" s="29">
        <f>'History By Facility'!V147</f>
        <v>29</v>
      </c>
      <c r="I5" s="29">
        <f t="shared" si="0"/>
        <v>0</v>
      </c>
      <c r="K5" s="30">
        <f>'History By Facility'!X147</f>
        <v>29</v>
      </c>
      <c r="L5" s="30">
        <f t="shared" si="1"/>
        <v>29</v>
      </c>
      <c r="M5" s="30">
        <f t="shared" si="2"/>
        <v>0</v>
      </c>
      <c r="N5" s="15"/>
      <c r="O5" s="4">
        <f t="shared" si="3"/>
        <v>29</v>
      </c>
      <c r="P5" s="4">
        <f>'History By Facility'!W121</f>
        <v>29</v>
      </c>
      <c r="Q5" s="30">
        <f t="shared" si="4"/>
        <v>0</v>
      </c>
      <c r="R5" s="30">
        <f t="shared" si="5"/>
        <v>71</v>
      </c>
      <c r="S5" s="72"/>
      <c r="T5" s="4">
        <v>29</v>
      </c>
      <c r="U5" s="39" t="s">
        <v>213</v>
      </c>
      <c r="V5" s="23">
        <v>29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18"/>
    </row>
    <row r="6" spans="1:65" x14ac:dyDescent="0.25">
      <c r="B6" s="2" t="s">
        <v>26</v>
      </c>
      <c r="C6" s="3" t="s">
        <v>27</v>
      </c>
      <c r="D6" s="3" t="s">
        <v>28</v>
      </c>
      <c r="E6" s="4">
        <v>1000</v>
      </c>
      <c r="F6" s="7"/>
      <c r="G6" s="29">
        <f>'History By Facility'!W148</f>
        <v>0</v>
      </c>
      <c r="H6" s="29">
        <f>'History By Facility'!V148</f>
        <v>0</v>
      </c>
      <c r="I6" s="29">
        <f t="shared" si="0"/>
        <v>0</v>
      </c>
      <c r="K6" s="30">
        <f>'History By Facility'!X148</f>
        <v>0</v>
      </c>
      <c r="L6" s="30">
        <f t="shared" si="1"/>
        <v>0</v>
      </c>
      <c r="M6" s="30">
        <f t="shared" si="2"/>
        <v>0</v>
      </c>
      <c r="N6" s="15"/>
      <c r="O6" s="4">
        <f t="shared" si="3"/>
        <v>0</v>
      </c>
      <c r="P6" s="4">
        <f>'History By Facility'!W122</f>
        <v>0</v>
      </c>
      <c r="Q6" s="30">
        <f t="shared" si="4"/>
        <v>0</v>
      </c>
      <c r="R6" s="30">
        <f t="shared" si="5"/>
        <v>1000</v>
      </c>
      <c r="S6" s="72"/>
      <c r="T6" s="4">
        <v>1358</v>
      </c>
      <c r="U6" s="22">
        <v>36206</v>
      </c>
      <c r="V6" s="23">
        <v>1398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18"/>
    </row>
    <row r="7" spans="1:65" x14ac:dyDescent="0.25">
      <c r="B7" s="2" t="s">
        <v>29</v>
      </c>
      <c r="C7" s="3" t="s">
        <v>30</v>
      </c>
      <c r="D7" s="3" t="s">
        <v>28</v>
      </c>
      <c r="E7" s="4">
        <v>45000</v>
      </c>
      <c r="F7" s="7"/>
      <c r="G7" s="29">
        <f>'History By Facility'!W149</f>
        <v>49766</v>
      </c>
      <c r="H7" s="29">
        <f>'History By Facility'!V149</f>
        <v>49517</v>
      </c>
      <c r="I7" s="29">
        <f t="shared" si="0"/>
        <v>249</v>
      </c>
      <c r="K7" s="30">
        <f>'History By Facility'!X149</f>
        <v>50515</v>
      </c>
      <c r="L7" s="30">
        <f t="shared" si="1"/>
        <v>49766</v>
      </c>
      <c r="M7" s="30">
        <f t="shared" si="2"/>
        <v>749</v>
      </c>
      <c r="N7" s="15"/>
      <c r="O7" s="4">
        <f t="shared" si="3"/>
        <v>49766</v>
      </c>
      <c r="P7" s="4">
        <f>'History By Facility'!W123</f>
        <v>44664</v>
      </c>
      <c r="Q7" s="30">
        <f t="shared" si="4"/>
        <v>5102</v>
      </c>
      <c r="R7" s="30">
        <f t="shared" si="5"/>
        <v>-4766</v>
      </c>
      <c r="S7" s="72"/>
      <c r="T7" s="4">
        <v>51902</v>
      </c>
      <c r="U7" s="22">
        <v>36464</v>
      </c>
      <c r="V7" s="23">
        <v>52214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18"/>
    </row>
    <row r="8" spans="1:65" x14ac:dyDescent="0.25">
      <c r="B8" s="2" t="s">
        <v>23</v>
      </c>
      <c r="C8" s="3" t="s">
        <v>24</v>
      </c>
      <c r="D8" s="3" t="s">
        <v>25</v>
      </c>
      <c r="E8" s="4">
        <v>766</v>
      </c>
      <c r="F8" s="7"/>
      <c r="G8" s="29">
        <f>'History By Facility'!W150</f>
        <v>0</v>
      </c>
      <c r="H8" s="29">
        <f>'History By Facility'!V150</f>
        <v>0</v>
      </c>
      <c r="I8" s="29">
        <f t="shared" si="0"/>
        <v>0</v>
      </c>
      <c r="K8" s="30">
        <f>'History By Facility'!X150</f>
        <v>0</v>
      </c>
      <c r="L8" s="30">
        <f t="shared" si="1"/>
        <v>0</v>
      </c>
      <c r="M8" s="30">
        <f t="shared" si="2"/>
        <v>0</v>
      </c>
      <c r="N8" s="15"/>
      <c r="O8" s="4">
        <f t="shared" si="3"/>
        <v>0</v>
      </c>
      <c r="P8" s="4">
        <f>'History By Facility'!W124</f>
        <v>0</v>
      </c>
      <c r="Q8" s="30">
        <f t="shared" si="4"/>
        <v>0</v>
      </c>
      <c r="R8" s="30">
        <f t="shared" si="5"/>
        <v>766</v>
      </c>
      <c r="S8" s="72"/>
      <c r="T8" s="4">
        <v>481</v>
      </c>
      <c r="U8" s="22">
        <v>36175</v>
      </c>
      <c r="V8" s="23">
        <v>3723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18"/>
    </row>
    <row r="9" spans="1:65" x14ac:dyDescent="0.25">
      <c r="B9" s="2" t="s">
        <v>31</v>
      </c>
      <c r="C9" s="3" t="s">
        <v>32</v>
      </c>
      <c r="D9" s="3" t="s">
        <v>33</v>
      </c>
      <c r="E9" s="4">
        <v>80</v>
      </c>
      <c r="F9" s="7"/>
      <c r="G9" s="29">
        <f>'History By Facility'!W151</f>
        <v>80</v>
      </c>
      <c r="H9" s="29">
        <f>'History By Facility'!V151</f>
        <v>80</v>
      </c>
      <c r="I9" s="29">
        <f t="shared" si="0"/>
        <v>0</v>
      </c>
      <c r="K9" s="30">
        <f>'History By Facility'!X151</f>
        <v>80</v>
      </c>
      <c r="L9" s="30">
        <f t="shared" si="1"/>
        <v>80</v>
      </c>
      <c r="M9" s="30">
        <f t="shared" si="2"/>
        <v>0</v>
      </c>
      <c r="N9" s="15"/>
      <c r="O9" s="4">
        <f t="shared" si="3"/>
        <v>80</v>
      </c>
      <c r="P9" s="4">
        <f>'History By Facility'!W125</f>
        <v>80</v>
      </c>
      <c r="Q9" s="30">
        <f t="shared" si="4"/>
        <v>0</v>
      </c>
      <c r="R9" s="30">
        <f t="shared" si="5"/>
        <v>0</v>
      </c>
      <c r="S9" s="72"/>
      <c r="T9" s="4">
        <v>80</v>
      </c>
      <c r="U9" s="39" t="s">
        <v>213</v>
      </c>
      <c r="V9" s="23">
        <v>80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18"/>
    </row>
    <row r="10" spans="1:65" x14ac:dyDescent="0.25">
      <c r="B10" s="2" t="s">
        <v>31</v>
      </c>
      <c r="C10" s="3" t="s">
        <v>34</v>
      </c>
      <c r="D10" s="3" t="s">
        <v>35</v>
      </c>
      <c r="E10" s="4">
        <v>8615</v>
      </c>
      <c r="F10" s="7"/>
      <c r="G10" s="29">
        <f>'History By Facility'!W152</f>
        <v>5507</v>
      </c>
      <c r="H10" s="29">
        <f>'History By Facility'!V152</f>
        <v>5085</v>
      </c>
      <c r="I10" s="29">
        <f t="shared" si="0"/>
        <v>422</v>
      </c>
      <c r="K10" s="30">
        <f>'History By Facility'!X152</f>
        <v>5807</v>
      </c>
      <c r="L10" s="30">
        <f t="shared" si="1"/>
        <v>5507</v>
      </c>
      <c r="M10" s="30">
        <f t="shared" si="2"/>
        <v>300</v>
      </c>
      <c r="N10" s="15"/>
      <c r="O10" s="4">
        <f t="shared" si="3"/>
        <v>5507</v>
      </c>
      <c r="P10" s="4">
        <f>'History By Facility'!W126</f>
        <v>5956</v>
      </c>
      <c r="Q10" s="30">
        <f t="shared" si="4"/>
        <v>-449</v>
      </c>
      <c r="R10" s="30">
        <f t="shared" si="5"/>
        <v>3108</v>
      </c>
      <c r="S10" s="72"/>
      <c r="T10" s="4">
        <v>7298</v>
      </c>
      <c r="U10" s="22">
        <v>36448</v>
      </c>
      <c r="V10" s="23">
        <v>7298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18"/>
    </row>
    <row r="11" spans="1:65" x14ac:dyDescent="0.25">
      <c r="B11" s="2" t="s">
        <v>31</v>
      </c>
      <c r="C11" s="3" t="s">
        <v>56</v>
      </c>
      <c r="D11" s="3" t="s">
        <v>33</v>
      </c>
      <c r="E11" s="4">
        <v>3425</v>
      </c>
      <c r="F11" s="7"/>
      <c r="G11" s="29">
        <f>'History By Facility'!W153</f>
        <v>3206</v>
      </c>
      <c r="H11" s="29">
        <f>'History By Facility'!V153</f>
        <v>3303</v>
      </c>
      <c r="I11" s="29">
        <f t="shared" si="0"/>
        <v>-97</v>
      </c>
      <c r="K11" s="30">
        <f>'History By Facility'!X153</f>
        <v>3209</v>
      </c>
      <c r="L11" s="30">
        <f t="shared" si="1"/>
        <v>3206</v>
      </c>
      <c r="M11" s="30">
        <f t="shared" si="2"/>
        <v>3</v>
      </c>
      <c r="N11" s="15"/>
      <c r="O11" s="4">
        <f t="shared" si="3"/>
        <v>3206</v>
      </c>
      <c r="P11" s="4">
        <f>'History By Facility'!W127</f>
        <v>3244</v>
      </c>
      <c r="Q11" s="30">
        <f t="shared" si="4"/>
        <v>-38</v>
      </c>
      <c r="R11" s="30">
        <f t="shared" si="5"/>
        <v>219</v>
      </c>
      <c r="S11" s="72"/>
      <c r="T11" s="4">
        <v>3560</v>
      </c>
      <c r="U11" s="22">
        <v>36494</v>
      </c>
      <c r="V11" s="23">
        <v>3897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18"/>
    </row>
    <row r="12" spans="1:65" x14ac:dyDescent="0.25">
      <c r="B12" s="2" t="s">
        <v>31</v>
      </c>
      <c r="C12" s="3" t="s">
        <v>36</v>
      </c>
      <c r="D12" s="3" t="s">
        <v>37</v>
      </c>
      <c r="E12" s="4">
        <v>2825</v>
      </c>
      <c r="F12" s="7"/>
      <c r="G12" s="29">
        <f>'History By Facility'!W154</f>
        <v>4186</v>
      </c>
      <c r="H12" s="29">
        <f>'History By Facility'!V154</f>
        <v>4224</v>
      </c>
      <c r="I12" s="29">
        <f t="shared" si="0"/>
        <v>-38</v>
      </c>
      <c r="K12" s="30">
        <f>'History By Facility'!X154</f>
        <v>4207</v>
      </c>
      <c r="L12" s="30">
        <f t="shared" si="1"/>
        <v>4186</v>
      </c>
      <c r="M12" s="30">
        <f t="shared" si="2"/>
        <v>21</v>
      </c>
      <c r="N12" s="15"/>
      <c r="O12" s="4">
        <f t="shared" si="3"/>
        <v>4186</v>
      </c>
      <c r="P12" s="4">
        <f>'History By Facility'!W128</f>
        <v>4024</v>
      </c>
      <c r="Q12" s="30">
        <f t="shared" si="4"/>
        <v>162</v>
      </c>
      <c r="R12" s="30">
        <f t="shared" si="5"/>
        <v>-1361</v>
      </c>
      <c r="S12" s="72"/>
      <c r="T12" s="4">
        <v>4204</v>
      </c>
      <c r="U12" s="22">
        <v>36494</v>
      </c>
      <c r="V12" s="23">
        <v>4280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18"/>
    </row>
    <row r="13" spans="1:65" x14ac:dyDescent="0.25">
      <c r="B13" s="2" t="s">
        <v>31</v>
      </c>
      <c r="C13" s="3" t="s">
        <v>57</v>
      </c>
      <c r="D13" s="3" t="s">
        <v>33</v>
      </c>
      <c r="E13" s="4">
        <v>5290</v>
      </c>
      <c r="F13" s="7"/>
      <c r="G13" s="29">
        <f>'History By Facility'!W155</f>
        <v>5281</v>
      </c>
      <c r="H13" s="29">
        <f>'History By Facility'!V155</f>
        <v>4879</v>
      </c>
      <c r="I13" s="29">
        <f t="shared" si="0"/>
        <v>402</v>
      </c>
      <c r="K13" s="30">
        <f>'History By Facility'!X155</f>
        <v>5483</v>
      </c>
      <c r="L13" s="30">
        <f t="shared" si="1"/>
        <v>5281</v>
      </c>
      <c r="M13" s="30">
        <f t="shared" si="2"/>
        <v>202</v>
      </c>
      <c r="N13" s="15"/>
      <c r="O13" s="4">
        <f t="shared" si="3"/>
        <v>5281</v>
      </c>
      <c r="P13" s="4">
        <f>'History By Facility'!W129</f>
        <v>4259</v>
      </c>
      <c r="Q13" s="30">
        <f t="shared" si="4"/>
        <v>1022</v>
      </c>
      <c r="R13" s="30">
        <f t="shared" si="5"/>
        <v>9</v>
      </c>
      <c r="S13" s="72"/>
      <c r="T13" s="4">
        <v>6137</v>
      </c>
      <c r="U13" s="22">
        <v>36494</v>
      </c>
      <c r="V13" s="23">
        <v>6799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18"/>
    </row>
    <row r="14" spans="1:65" x14ac:dyDescent="0.25">
      <c r="B14" s="2" t="s">
        <v>31</v>
      </c>
      <c r="C14" s="3" t="s">
        <v>38</v>
      </c>
      <c r="D14" s="3" t="s">
        <v>39</v>
      </c>
      <c r="E14" s="4">
        <v>1310</v>
      </c>
      <c r="F14" s="7"/>
      <c r="G14" s="29">
        <f>'History By Facility'!W156</f>
        <v>464</v>
      </c>
      <c r="H14" s="29">
        <f>'History By Facility'!V156</f>
        <v>464</v>
      </c>
      <c r="I14" s="29">
        <f t="shared" si="0"/>
        <v>0</v>
      </c>
      <c r="K14" s="30">
        <f>'History By Facility'!X156</f>
        <v>464</v>
      </c>
      <c r="L14" s="30">
        <f t="shared" si="1"/>
        <v>464</v>
      </c>
      <c r="M14" s="30">
        <f t="shared" si="2"/>
        <v>0</v>
      </c>
      <c r="N14" s="15"/>
      <c r="O14" s="4">
        <f t="shared" si="3"/>
        <v>464</v>
      </c>
      <c r="P14" s="4">
        <f>'History By Facility'!W130</f>
        <v>507</v>
      </c>
      <c r="Q14" s="30">
        <f t="shared" si="4"/>
        <v>-43</v>
      </c>
      <c r="R14" s="30">
        <f t="shared" si="5"/>
        <v>846</v>
      </c>
      <c r="S14" s="72"/>
      <c r="T14" s="4">
        <v>629</v>
      </c>
      <c r="U14" s="22">
        <v>36219</v>
      </c>
      <c r="V14" s="23">
        <v>628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18"/>
    </row>
    <row r="15" spans="1:65" x14ac:dyDescent="0.25">
      <c r="B15" s="2" t="s">
        <v>31</v>
      </c>
      <c r="C15" s="3" t="s">
        <v>40</v>
      </c>
      <c r="D15" s="3" t="s">
        <v>41</v>
      </c>
      <c r="E15" s="4">
        <v>18453</v>
      </c>
      <c r="F15" s="7"/>
      <c r="G15" s="29">
        <f>'History By Facility'!W157</f>
        <v>17309</v>
      </c>
      <c r="H15" s="29">
        <f>'History By Facility'!V157</f>
        <v>17213</v>
      </c>
      <c r="I15" s="29">
        <f t="shared" si="0"/>
        <v>96</v>
      </c>
      <c r="K15" s="30">
        <f>'History By Facility'!X157</f>
        <v>17309</v>
      </c>
      <c r="L15" s="30">
        <f t="shared" si="1"/>
        <v>17309</v>
      </c>
      <c r="M15" s="30">
        <f t="shared" si="2"/>
        <v>0</v>
      </c>
      <c r="N15" s="15"/>
      <c r="O15" s="4">
        <f t="shared" si="3"/>
        <v>17309</v>
      </c>
      <c r="P15" s="4">
        <f>'History By Facility'!W131</f>
        <v>14068</v>
      </c>
      <c r="Q15" s="30">
        <f t="shared" si="4"/>
        <v>3241</v>
      </c>
      <c r="R15" s="30">
        <f t="shared" si="5"/>
        <v>1144</v>
      </c>
      <c r="S15" s="72"/>
      <c r="T15" s="4">
        <v>16698</v>
      </c>
      <c r="U15" s="22">
        <v>36494</v>
      </c>
      <c r="V15" s="23">
        <v>17312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18"/>
    </row>
    <row r="16" spans="1:65" x14ac:dyDescent="0.25">
      <c r="B16" s="2" t="s">
        <v>31</v>
      </c>
      <c r="C16" s="3" t="s">
        <v>42</v>
      </c>
      <c r="D16" s="3" t="s">
        <v>41</v>
      </c>
      <c r="E16" s="4">
        <v>6900</v>
      </c>
      <c r="F16" s="7"/>
      <c r="G16" s="29">
        <f>'History By Facility'!W158</f>
        <v>1604</v>
      </c>
      <c r="H16" s="29">
        <f>'History By Facility'!V158</f>
        <v>1621</v>
      </c>
      <c r="I16" s="29">
        <f t="shared" si="0"/>
        <v>-17</v>
      </c>
      <c r="K16" s="30">
        <f>'History By Facility'!X158</f>
        <v>1597</v>
      </c>
      <c r="L16" s="30">
        <f t="shared" si="1"/>
        <v>1604</v>
      </c>
      <c r="M16" s="30">
        <f t="shared" si="2"/>
        <v>-7</v>
      </c>
      <c r="N16" s="15"/>
      <c r="O16" s="4">
        <f t="shared" si="3"/>
        <v>1604</v>
      </c>
      <c r="P16" s="4">
        <f>'History By Facility'!W132</f>
        <v>1861</v>
      </c>
      <c r="Q16" s="30">
        <f t="shared" si="4"/>
        <v>-257</v>
      </c>
      <c r="R16" s="30">
        <f t="shared" si="5"/>
        <v>5296</v>
      </c>
      <c r="S16" s="72"/>
      <c r="T16" s="4">
        <v>2100</v>
      </c>
      <c r="U16" s="22">
        <v>36525</v>
      </c>
      <c r="V16" s="23">
        <v>2539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18"/>
    </row>
    <row r="17" spans="2:65" x14ac:dyDescent="0.25">
      <c r="B17" s="2" t="s">
        <v>43</v>
      </c>
      <c r="C17" s="3" t="s">
        <v>44</v>
      </c>
      <c r="D17" s="3" t="s">
        <v>45</v>
      </c>
      <c r="E17" s="4">
        <v>3000</v>
      </c>
      <c r="F17" s="7"/>
      <c r="G17" s="29">
        <f>'History By Facility'!W159</f>
        <v>3283</v>
      </c>
      <c r="H17" s="29">
        <f>'History By Facility'!V159</f>
        <v>2919</v>
      </c>
      <c r="I17" s="29">
        <f t="shared" si="0"/>
        <v>364</v>
      </c>
      <c r="K17" s="30">
        <f>'History By Facility'!X159</f>
        <v>3479</v>
      </c>
      <c r="L17" s="30">
        <f t="shared" si="1"/>
        <v>3283</v>
      </c>
      <c r="M17" s="30">
        <f t="shared" si="2"/>
        <v>196</v>
      </c>
      <c r="N17" s="15"/>
      <c r="O17" s="4">
        <f t="shared" si="3"/>
        <v>3283</v>
      </c>
      <c r="P17" s="4">
        <f>'History By Facility'!W133</f>
        <v>2401</v>
      </c>
      <c r="Q17" s="30">
        <f t="shared" si="4"/>
        <v>882</v>
      </c>
      <c r="R17" s="30">
        <f t="shared" si="5"/>
        <v>-283</v>
      </c>
      <c r="S17" s="72"/>
      <c r="T17" s="4">
        <v>5093</v>
      </c>
      <c r="U17" s="22">
        <v>36494</v>
      </c>
      <c r="V17" s="23">
        <v>3995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18"/>
    </row>
    <row r="18" spans="2:65" x14ac:dyDescent="0.25">
      <c r="B18" s="2" t="s">
        <v>46</v>
      </c>
      <c r="C18" s="3" t="s">
        <v>47</v>
      </c>
      <c r="D18" s="3" t="s">
        <v>48</v>
      </c>
      <c r="E18" s="4">
        <v>69000</v>
      </c>
      <c r="F18" s="7"/>
      <c r="G18" s="29">
        <f>'History By Facility'!W160</f>
        <v>63733</v>
      </c>
      <c r="H18" s="29">
        <f>'History By Facility'!V160</f>
        <v>59263</v>
      </c>
      <c r="I18" s="29">
        <f t="shared" si="0"/>
        <v>4470</v>
      </c>
      <c r="J18" s="42"/>
      <c r="K18" s="30">
        <f>'History By Facility'!X160</f>
        <v>69061</v>
      </c>
      <c r="L18" s="30">
        <f t="shared" si="1"/>
        <v>63733</v>
      </c>
      <c r="M18" s="30">
        <f t="shared" si="2"/>
        <v>5328</v>
      </c>
      <c r="N18" s="15"/>
      <c r="O18" s="4">
        <f t="shared" si="3"/>
        <v>63733</v>
      </c>
      <c r="P18" s="4">
        <f>'History By Facility'!W134</f>
        <v>35590</v>
      </c>
      <c r="Q18" s="30">
        <f t="shared" si="4"/>
        <v>28143</v>
      </c>
      <c r="R18" s="30">
        <f t="shared" si="5"/>
        <v>5267</v>
      </c>
      <c r="S18" s="72"/>
      <c r="T18" s="4">
        <v>71851</v>
      </c>
      <c r="U18" s="22">
        <v>36464</v>
      </c>
      <c r="V18" s="23">
        <v>79186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18"/>
    </row>
    <row r="19" spans="2:65" x14ac:dyDescent="0.25">
      <c r="B19" s="2" t="s">
        <v>49</v>
      </c>
      <c r="C19" s="3" t="s">
        <v>50</v>
      </c>
      <c r="D19" s="3" t="s">
        <v>51</v>
      </c>
      <c r="E19" s="4">
        <v>500</v>
      </c>
      <c r="F19" s="7"/>
      <c r="G19" s="29">
        <f>'History By Facility'!W161</f>
        <v>468</v>
      </c>
      <c r="H19" s="29">
        <f>'History By Facility'!V161</f>
        <v>482</v>
      </c>
      <c r="I19" s="29">
        <f t="shared" si="0"/>
        <v>-14</v>
      </c>
      <c r="K19" s="30">
        <f>'History By Facility'!X161</f>
        <v>434</v>
      </c>
      <c r="L19" s="30">
        <f t="shared" si="1"/>
        <v>468</v>
      </c>
      <c r="M19" s="30">
        <f t="shared" si="2"/>
        <v>-34</v>
      </c>
      <c r="N19" s="15"/>
      <c r="O19" s="4">
        <f t="shared" si="3"/>
        <v>468</v>
      </c>
      <c r="P19" s="4">
        <f>'History By Facility'!W135</f>
        <v>242</v>
      </c>
      <c r="Q19" s="30">
        <f t="shared" si="4"/>
        <v>226</v>
      </c>
      <c r="R19" s="30">
        <f t="shared" si="5"/>
        <v>32</v>
      </c>
      <c r="S19" s="72"/>
      <c r="T19" s="4">
        <v>653</v>
      </c>
      <c r="U19" s="22">
        <v>36311</v>
      </c>
      <c r="V19" s="23">
        <v>573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18"/>
    </row>
    <row r="20" spans="2:65" x14ac:dyDescent="0.25">
      <c r="B20" s="2" t="s">
        <v>58</v>
      </c>
      <c r="C20" s="3" t="s">
        <v>59</v>
      </c>
      <c r="D20" s="3" t="s">
        <v>28</v>
      </c>
      <c r="E20" s="4">
        <v>87000</v>
      </c>
      <c r="F20" s="7"/>
      <c r="G20" s="29">
        <f>'History By Facility'!W162</f>
        <v>48202</v>
      </c>
      <c r="H20" s="29">
        <f>'History By Facility'!V162</f>
        <v>44704</v>
      </c>
      <c r="I20" s="29">
        <f t="shared" si="0"/>
        <v>3498</v>
      </c>
      <c r="K20" s="30">
        <f>'History By Facility'!X162</f>
        <v>51760</v>
      </c>
      <c r="L20" s="30">
        <f t="shared" si="1"/>
        <v>48202</v>
      </c>
      <c r="M20" s="30">
        <f t="shared" si="2"/>
        <v>3558</v>
      </c>
      <c r="N20" s="15"/>
      <c r="O20" s="4">
        <f t="shared" si="3"/>
        <v>48202</v>
      </c>
      <c r="P20" s="4">
        <f>'History By Facility'!W136</f>
        <v>20691</v>
      </c>
      <c r="Q20" s="30">
        <f t="shared" si="4"/>
        <v>27511</v>
      </c>
      <c r="R20" s="30">
        <f t="shared" si="5"/>
        <v>38798</v>
      </c>
      <c r="S20" s="72"/>
      <c r="T20" s="4">
        <v>78179</v>
      </c>
      <c r="U20" s="22">
        <v>36372</v>
      </c>
      <c r="V20" s="23">
        <v>78179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18"/>
    </row>
    <row r="21" spans="2:65" x14ac:dyDescent="0.25">
      <c r="B21" s="2" t="s">
        <v>52</v>
      </c>
      <c r="C21" s="3" t="s">
        <v>53</v>
      </c>
      <c r="D21" s="3" t="s">
        <v>54</v>
      </c>
      <c r="E21" s="4">
        <v>5500</v>
      </c>
      <c r="F21" s="7"/>
      <c r="G21" s="29">
        <f>'History By Facility'!W163</f>
        <v>5329</v>
      </c>
      <c r="H21" s="29">
        <f>'History By Facility'!V163</f>
        <v>5016</v>
      </c>
      <c r="I21" s="29">
        <f t="shared" si="0"/>
        <v>313</v>
      </c>
      <c r="K21" s="30">
        <f>'History By Facility'!X163</f>
        <v>5641</v>
      </c>
      <c r="L21" s="30">
        <f t="shared" si="1"/>
        <v>5329</v>
      </c>
      <c r="M21" s="30">
        <f t="shared" si="2"/>
        <v>312</v>
      </c>
      <c r="N21" s="15"/>
      <c r="O21" s="4">
        <f t="shared" si="3"/>
        <v>5329</v>
      </c>
      <c r="P21" s="4">
        <f>'History By Facility'!W137</f>
        <v>5183</v>
      </c>
      <c r="Q21" s="30">
        <f t="shared" si="4"/>
        <v>146</v>
      </c>
      <c r="R21" s="30">
        <f t="shared" si="5"/>
        <v>171</v>
      </c>
      <c r="S21" s="72"/>
      <c r="T21" s="4">
        <v>7033</v>
      </c>
      <c r="U21" s="22">
        <v>36525</v>
      </c>
      <c r="V21" s="23">
        <v>7033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18"/>
    </row>
    <row r="22" spans="2:65" x14ac:dyDescent="0.25">
      <c r="B22" s="2" t="s">
        <v>52</v>
      </c>
      <c r="C22" s="3" t="s">
        <v>55</v>
      </c>
      <c r="D22" s="3" t="s">
        <v>54</v>
      </c>
      <c r="E22" s="4">
        <v>46</v>
      </c>
      <c r="F22" s="7"/>
      <c r="G22" s="29">
        <f>'History By Facility'!W164</f>
        <v>0</v>
      </c>
      <c r="H22" s="29">
        <f>'History By Facility'!V164</f>
        <v>0</v>
      </c>
      <c r="I22" s="29">
        <f t="shared" si="0"/>
        <v>0</v>
      </c>
      <c r="K22" s="30">
        <f>'History By Facility'!X164</f>
        <v>0</v>
      </c>
      <c r="L22" s="30">
        <f t="shared" si="1"/>
        <v>0</v>
      </c>
      <c r="M22" s="30">
        <f t="shared" si="2"/>
        <v>0</v>
      </c>
      <c r="N22" s="15"/>
      <c r="O22" s="4">
        <f t="shared" si="3"/>
        <v>0</v>
      </c>
      <c r="P22" s="4">
        <f>'History By Facility'!W138</f>
        <v>0</v>
      </c>
      <c r="Q22" s="30">
        <f t="shared" si="4"/>
        <v>0</v>
      </c>
      <c r="R22" s="30">
        <f t="shared" si="5"/>
        <v>46</v>
      </c>
      <c r="S22" s="72"/>
      <c r="T22" s="4">
        <v>0</v>
      </c>
      <c r="U22" s="39" t="s">
        <v>213</v>
      </c>
      <c r="V22" s="23">
        <v>6915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18"/>
    </row>
    <row r="23" spans="2:65" x14ac:dyDescent="0.25">
      <c r="B23" s="2" t="s">
        <v>13</v>
      </c>
      <c r="C23" s="3" t="s">
        <v>14</v>
      </c>
      <c r="D23" s="3" t="s">
        <v>15</v>
      </c>
      <c r="E23" s="4">
        <v>4775</v>
      </c>
      <c r="F23" s="7"/>
      <c r="G23" s="29">
        <f>'History By Facility'!W165</f>
        <v>929</v>
      </c>
      <c r="H23" s="29">
        <f>'History By Facility'!V165</f>
        <v>934</v>
      </c>
      <c r="I23" s="29">
        <f t="shared" si="0"/>
        <v>-5</v>
      </c>
      <c r="K23" s="30">
        <f>'History By Facility'!X165</f>
        <v>929</v>
      </c>
      <c r="L23" s="30">
        <f t="shared" si="1"/>
        <v>929</v>
      </c>
      <c r="M23" s="30">
        <f t="shared" si="2"/>
        <v>0</v>
      </c>
      <c r="N23" s="15"/>
      <c r="O23" s="4">
        <f t="shared" si="3"/>
        <v>929</v>
      </c>
      <c r="P23" s="4">
        <f>'History By Facility'!W139</f>
        <v>1019</v>
      </c>
      <c r="Q23" s="30">
        <f t="shared" si="4"/>
        <v>-90</v>
      </c>
      <c r="R23" s="30">
        <f t="shared" si="5"/>
        <v>3846</v>
      </c>
      <c r="S23" s="72"/>
      <c r="T23" s="4">
        <v>1251</v>
      </c>
      <c r="U23" s="22">
        <v>36175</v>
      </c>
      <c r="V23" s="23">
        <v>1527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18"/>
    </row>
    <row r="24" spans="2:65" x14ac:dyDescent="0.25">
      <c r="B24" s="2" t="s">
        <v>10</v>
      </c>
      <c r="C24" s="3" t="s">
        <v>11</v>
      </c>
      <c r="D24" s="3" t="s">
        <v>12</v>
      </c>
      <c r="E24" s="4">
        <v>513</v>
      </c>
      <c r="F24" s="7"/>
      <c r="G24" s="29">
        <f>'History By Facility'!W166</f>
        <v>53</v>
      </c>
      <c r="H24" s="29">
        <f>'History By Facility'!V166</f>
        <v>60</v>
      </c>
      <c r="I24" s="29">
        <f t="shared" si="0"/>
        <v>-7</v>
      </c>
      <c r="K24" s="30">
        <f>'History By Facility'!X166</f>
        <v>46</v>
      </c>
      <c r="L24" s="30">
        <f t="shared" si="1"/>
        <v>53</v>
      </c>
      <c r="M24" s="30">
        <f t="shared" si="2"/>
        <v>-7</v>
      </c>
      <c r="N24" s="15"/>
      <c r="O24" s="4">
        <f t="shared" si="3"/>
        <v>53</v>
      </c>
      <c r="P24" s="4">
        <f>'History By Facility'!W140</f>
        <v>31</v>
      </c>
      <c r="Q24" s="30">
        <f t="shared" si="4"/>
        <v>22</v>
      </c>
      <c r="R24" s="30">
        <f t="shared" si="5"/>
        <v>460</v>
      </c>
      <c r="S24" s="72"/>
      <c r="T24" s="4">
        <v>400</v>
      </c>
      <c r="U24" s="22">
        <v>36175</v>
      </c>
      <c r="V24" s="23">
        <v>3075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18"/>
    </row>
    <row r="25" spans="2:65" x14ac:dyDescent="0.25">
      <c r="B25" s="2" t="s">
        <v>7</v>
      </c>
      <c r="C25" s="3" t="s">
        <v>8</v>
      </c>
      <c r="D25" s="3" t="s">
        <v>9</v>
      </c>
      <c r="E25" s="4">
        <v>18500</v>
      </c>
      <c r="F25" s="7"/>
      <c r="G25" s="29">
        <f>'History By Facility'!W167</f>
        <v>21057</v>
      </c>
      <c r="H25" s="29">
        <f>'History By Facility'!V167</f>
        <v>19262</v>
      </c>
      <c r="I25" s="29">
        <f t="shared" si="0"/>
        <v>1795</v>
      </c>
      <c r="K25" s="30">
        <f>'History By Facility'!X167</f>
        <v>21590</v>
      </c>
      <c r="L25" s="30">
        <f t="shared" si="1"/>
        <v>21057</v>
      </c>
      <c r="M25" s="30">
        <f t="shared" si="2"/>
        <v>533</v>
      </c>
      <c r="N25" s="15"/>
      <c r="O25" s="4">
        <f>L25</f>
        <v>21057</v>
      </c>
      <c r="P25" s="4">
        <f>'History By Facility'!W141</f>
        <v>13944</v>
      </c>
      <c r="Q25" s="30">
        <f t="shared" si="4"/>
        <v>7113</v>
      </c>
      <c r="R25" s="30">
        <f t="shared" si="5"/>
        <v>-2557</v>
      </c>
      <c r="S25" s="72"/>
      <c r="T25" s="4">
        <v>20613</v>
      </c>
      <c r="U25" s="22">
        <v>36494</v>
      </c>
      <c r="V25" s="23">
        <v>20960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18"/>
    </row>
    <row r="26" spans="2:65" ht="13.8" thickBot="1" x14ac:dyDescent="0.3">
      <c r="B26" s="2" t="s">
        <v>277</v>
      </c>
      <c r="C26" s="3"/>
      <c r="D26" s="3"/>
      <c r="E26" s="5">
        <f>SUM(E3:E25)</f>
        <v>296098</v>
      </c>
      <c r="F26" s="7"/>
      <c r="G26" s="5">
        <f>SUM(G3:G25)</f>
        <v>233675</v>
      </c>
      <c r="H26" s="5">
        <f>SUM(H3:H25)</f>
        <v>222246</v>
      </c>
      <c r="I26" s="5">
        <f>SUM(I3:I25)</f>
        <v>11429</v>
      </c>
      <c r="K26" s="5">
        <f>SUM(K3:K25)</f>
        <v>244987</v>
      </c>
      <c r="L26" s="5">
        <f>SUM(L3:L25)</f>
        <v>233675</v>
      </c>
      <c r="M26" s="5">
        <f>SUM(M3:M25)</f>
        <v>11312</v>
      </c>
      <c r="N26" s="7"/>
      <c r="O26" s="5">
        <f>SUM(O3:O25)</f>
        <v>233675</v>
      </c>
      <c r="P26" s="5">
        <f>SUM(P3:P25)</f>
        <v>162457</v>
      </c>
      <c r="Q26" s="31">
        <f>SUM(Q3:Q25)</f>
        <v>71218</v>
      </c>
      <c r="R26" s="31">
        <f>SUM(R3:R25)</f>
        <v>62423</v>
      </c>
      <c r="S26" s="31"/>
      <c r="T26" s="5">
        <f>SUM(T3:T25)</f>
        <v>287144</v>
      </c>
      <c r="U26" s="7"/>
      <c r="V26" s="5">
        <f>SUM(V3:V25)</f>
        <v>311272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18"/>
    </row>
    <row r="27" spans="2:65" ht="6" customHeight="1" thickTop="1" x14ac:dyDescent="0.25">
      <c r="B27" s="2"/>
      <c r="C27" s="3"/>
      <c r="D27" s="3"/>
      <c r="E27" s="7"/>
      <c r="F27" s="7"/>
      <c r="G27" s="7"/>
      <c r="H27" s="7"/>
      <c r="I27" s="7"/>
      <c r="K27" s="7"/>
      <c r="L27" s="7"/>
      <c r="M27" s="7"/>
      <c r="N27" s="7"/>
      <c r="O27" s="7"/>
      <c r="P27" s="7"/>
      <c r="Q27" s="40"/>
      <c r="R27" s="40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18"/>
    </row>
    <row r="28" spans="2:65" ht="13.8" thickBot="1" x14ac:dyDescent="0.3">
      <c r="B28" s="2" t="s">
        <v>239</v>
      </c>
      <c r="C28" s="3"/>
      <c r="D28" s="3"/>
      <c r="E28" s="7"/>
      <c r="F28" s="7"/>
      <c r="G28" s="41">
        <f>'History By Facility'!W142</f>
        <v>162457</v>
      </c>
      <c r="H28" s="41">
        <f>'History By Facility'!V142</f>
        <v>154376</v>
      </c>
      <c r="I28" s="41">
        <f>G28-H28</f>
        <v>8081</v>
      </c>
      <c r="K28" s="41">
        <f>'History By Facility'!X142</f>
        <v>159360</v>
      </c>
      <c r="L28" s="41">
        <f>G28</f>
        <v>162457</v>
      </c>
      <c r="M28" s="41">
        <f>K28-L28</f>
        <v>-3097</v>
      </c>
      <c r="N28" s="7"/>
      <c r="O28" s="7"/>
      <c r="P28" s="7"/>
      <c r="Q28" s="40"/>
      <c r="R28" s="40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18"/>
    </row>
    <row r="29" spans="2:65" ht="14.4" thickTop="1" thickBot="1" x14ac:dyDescent="0.3">
      <c r="C29" s="20"/>
      <c r="D29" s="20"/>
      <c r="E29" s="7"/>
      <c r="F29" s="7"/>
      <c r="I29" s="42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24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</row>
    <row r="30" spans="2:65" ht="16.2" thickBot="1" x14ac:dyDescent="0.35">
      <c r="B30" s="11" t="s">
        <v>145</v>
      </c>
      <c r="C30" s="13"/>
      <c r="D30" s="3"/>
      <c r="E30" s="4"/>
      <c r="F30" s="7"/>
      <c r="K30" s="8"/>
      <c r="L30" s="8"/>
      <c r="M30" s="8"/>
      <c r="N30" s="8"/>
      <c r="O30" s="7"/>
      <c r="P30" s="7"/>
      <c r="Q30" s="7"/>
      <c r="R30" s="7"/>
      <c r="S30" s="8"/>
      <c r="T30" s="8"/>
      <c r="U30" s="8"/>
      <c r="V30" s="7"/>
      <c r="W30" s="7"/>
      <c r="X30" s="7"/>
      <c r="Y30" s="7"/>
      <c r="Z30" s="7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7"/>
      <c r="BL30" s="8"/>
    </row>
    <row r="31" spans="2:65" ht="31.8" thickBot="1" x14ac:dyDescent="0.3">
      <c r="B31" s="14" t="s">
        <v>1</v>
      </c>
      <c r="C31" s="14" t="s">
        <v>2</v>
      </c>
      <c r="D31" s="14" t="s">
        <v>3</v>
      </c>
      <c r="E31" s="14" t="s">
        <v>4</v>
      </c>
      <c r="F31" s="28"/>
      <c r="G31" s="19" t="str">
        <f>G2</f>
        <v>RRC 9/30/01</v>
      </c>
      <c r="H31" s="14" t="str">
        <f>H2</f>
        <v>RRC 9/15/01</v>
      </c>
      <c r="I31" s="14" t="str">
        <f t="shared" ref="I31:V31" si="6">I2</f>
        <v>OVER (UNDER)</v>
      </c>
      <c r="J31" s="28"/>
      <c r="K31" s="19" t="str">
        <f>K2</f>
        <v>RRC 10/15/01</v>
      </c>
      <c r="L31" s="14" t="str">
        <f t="shared" si="6"/>
        <v>RRC 9/30/01</v>
      </c>
      <c r="M31" s="14" t="str">
        <f t="shared" si="6"/>
        <v>OVER (UNDER)</v>
      </c>
      <c r="N31" s="28"/>
      <c r="O31" s="14" t="str">
        <f t="shared" si="6"/>
        <v>RRC 9/30/01</v>
      </c>
      <c r="P31" s="19" t="str">
        <f>'History By Facility'!W234</f>
        <v>RRC 9/30/00</v>
      </c>
      <c r="Q31" s="14" t="str">
        <f t="shared" si="6"/>
        <v>OVER (UNDER) 2000</v>
      </c>
      <c r="R31" s="14" t="str">
        <f t="shared" si="6"/>
        <v>REMAINING CAPACITY</v>
      </c>
      <c r="S31" s="28"/>
      <c r="T31" s="14" t="str">
        <f t="shared" si="6"/>
        <v>MAX FILL IN 1999</v>
      </c>
      <c r="U31" s="14" t="str">
        <f t="shared" si="6"/>
        <v>DATE 1999 MAX FILL REACHED</v>
      </c>
      <c r="V31" s="14" t="str">
        <f t="shared" si="6"/>
        <v>HIGHEST FILL VOL EVER</v>
      </c>
      <c r="W31" s="7"/>
      <c r="X31" s="7"/>
      <c r="Y31" s="7"/>
      <c r="Z31" s="7"/>
      <c r="AA31" s="8"/>
      <c r="AB31" s="8"/>
      <c r="AC31" s="8"/>
      <c r="AD31" s="8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8"/>
      <c r="AY31" s="8"/>
      <c r="AZ31" s="8"/>
      <c r="BA31" s="8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2:65" x14ac:dyDescent="0.25">
      <c r="B32" s="2" t="s">
        <v>16</v>
      </c>
      <c r="C32" s="3" t="s">
        <v>60</v>
      </c>
      <c r="D32" s="3" t="s">
        <v>18</v>
      </c>
      <c r="E32" s="4">
        <v>3000</v>
      </c>
      <c r="F32" s="7"/>
      <c r="G32" s="29">
        <f>'History By Facility'!W250</f>
        <v>1062</v>
      </c>
      <c r="H32" s="29">
        <f>'History By Facility'!V250</f>
        <v>1326</v>
      </c>
      <c r="I32" s="34">
        <f>G32-H32</f>
        <v>-264</v>
      </c>
      <c r="K32" s="30">
        <f>'History By Facility'!X250</f>
        <v>937</v>
      </c>
      <c r="L32" s="32">
        <f>G32</f>
        <v>1062</v>
      </c>
      <c r="M32" s="30">
        <f>K32-L32</f>
        <v>-125</v>
      </c>
      <c r="N32" s="8"/>
      <c r="O32" s="4">
        <f t="shared" ref="O32:O43" si="7">L32</f>
        <v>1062</v>
      </c>
      <c r="P32" s="4">
        <f>'History By Facility'!W235</f>
        <v>1875</v>
      </c>
      <c r="Q32" s="7">
        <f>O32-P32</f>
        <v>-813</v>
      </c>
      <c r="R32" s="7">
        <f>E32-O32</f>
        <v>1938</v>
      </c>
      <c r="S32" s="8"/>
      <c r="T32" s="37">
        <v>2528</v>
      </c>
      <c r="U32" s="36">
        <v>36479</v>
      </c>
      <c r="V32" s="37">
        <v>2528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18"/>
    </row>
    <row r="33" spans="2:65" x14ac:dyDescent="0.25">
      <c r="B33" s="2" t="s">
        <v>63</v>
      </c>
      <c r="C33" s="3" t="s">
        <v>64</v>
      </c>
      <c r="D33" s="3" t="s">
        <v>65</v>
      </c>
      <c r="E33" s="4">
        <v>5200</v>
      </c>
      <c r="F33" s="7"/>
      <c r="G33" s="29">
        <f>'History By Facility'!W251</f>
        <v>8355</v>
      </c>
      <c r="H33" s="29">
        <f>'History By Facility'!V251</f>
        <v>7359</v>
      </c>
      <c r="I33" s="34">
        <f t="shared" ref="I33:I43" si="8">G33-H33</f>
        <v>996</v>
      </c>
      <c r="K33" s="30">
        <f>'History By Facility'!X251</f>
        <v>9052</v>
      </c>
      <c r="L33" s="32">
        <f t="shared" ref="L33:L43" si="9">G33</f>
        <v>8355</v>
      </c>
      <c r="M33" s="30">
        <f t="shared" ref="M33:M43" si="10">K33-L33</f>
        <v>697</v>
      </c>
      <c r="N33" s="8"/>
      <c r="O33" s="4">
        <f t="shared" si="7"/>
        <v>8355</v>
      </c>
      <c r="P33" s="4">
        <f>'History By Facility'!W236</f>
        <v>5437</v>
      </c>
      <c r="Q33" s="7">
        <f t="shared" ref="Q33:Q43" si="11">O33-P33</f>
        <v>2918</v>
      </c>
      <c r="R33" s="7">
        <f t="shared" ref="R33:R43" si="12">E33-O33</f>
        <v>-3155</v>
      </c>
      <c r="S33" s="8"/>
      <c r="T33" s="37">
        <v>8156</v>
      </c>
      <c r="U33" s="36">
        <v>36509</v>
      </c>
      <c r="V33" s="37">
        <v>8156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18"/>
    </row>
    <row r="34" spans="2:65" x14ac:dyDescent="0.25">
      <c r="B34" s="2" t="s">
        <v>66</v>
      </c>
      <c r="C34" s="3" t="s">
        <v>67</v>
      </c>
      <c r="D34" s="3" t="s">
        <v>62</v>
      </c>
      <c r="E34" s="4">
        <v>2580</v>
      </c>
      <c r="F34" s="7"/>
      <c r="G34" s="29">
        <f>'History By Facility'!W252</f>
        <v>3791</v>
      </c>
      <c r="H34" s="29">
        <f>'History By Facility'!V252</f>
        <v>3577</v>
      </c>
      <c r="I34" s="34">
        <f t="shared" si="8"/>
        <v>214</v>
      </c>
      <c r="K34" s="30">
        <f>'History By Facility'!X252</f>
        <v>3954</v>
      </c>
      <c r="L34" s="32">
        <f t="shared" si="9"/>
        <v>3791</v>
      </c>
      <c r="M34" s="30">
        <f t="shared" si="10"/>
        <v>163</v>
      </c>
      <c r="N34" s="8"/>
      <c r="O34" s="4">
        <f t="shared" si="7"/>
        <v>3791</v>
      </c>
      <c r="P34" s="4">
        <f>'History By Facility'!W237</f>
        <v>3941</v>
      </c>
      <c r="Q34" s="7">
        <f t="shared" si="11"/>
        <v>-150</v>
      </c>
      <c r="R34" s="7">
        <f t="shared" si="12"/>
        <v>-1211</v>
      </c>
      <c r="S34" s="8"/>
      <c r="T34" s="37">
        <v>4326</v>
      </c>
      <c r="U34" s="36">
        <v>36479</v>
      </c>
      <c r="V34" s="37">
        <v>5049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18"/>
    </row>
    <row r="35" spans="2:65" x14ac:dyDescent="0.25">
      <c r="B35" s="2" t="s">
        <v>69</v>
      </c>
      <c r="C35" s="3" t="s">
        <v>70</v>
      </c>
      <c r="D35" s="3" t="s">
        <v>71</v>
      </c>
      <c r="E35" s="4">
        <v>3659</v>
      </c>
      <c r="F35" s="7"/>
      <c r="G35" s="29">
        <f>'History By Facility'!W253</f>
        <v>2361</v>
      </c>
      <c r="H35" s="29">
        <f>'History By Facility'!V253</f>
        <v>1372</v>
      </c>
      <c r="I35" s="34">
        <f t="shared" si="8"/>
        <v>989</v>
      </c>
      <c r="K35" s="30">
        <f>'History By Facility'!X253</f>
        <v>1786</v>
      </c>
      <c r="L35" s="32">
        <f t="shared" si="9"/>
        <v>2361</v>
      </c>
      <c r="M35" s="30">
        <f t="shared" si="10"/>
        <v>-575</v>
      </c>
      <c r="N35" s="8"/>
      <c r="O35" s="4">
        <f t="shared" si="7"/>
        <v>2361</v>
      </c>
      <c r="P35" s="4">
        <f>'History By Facility'!W238</f>
        <v>2656</v>
      </c>
      <c r="Q35" s="7">
        <f t="shared" si="11"/>
        <v>-295</v>
      </c>
      <c r="R35" s="7">
        <f t="shared" si="12"/>
        <v>1298</v>
      </c>
      <c r="S35" s="8"/>
      <c r="T35" s="37">
        <v>4350</v>
      </c>
      <c r="U35" s="36">
        <v>36494</v>
      </c>
      <c r="V35" s="37">
        <v>4350</v>
      </c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18"/>
    </row>
    <row r="36" spans="2:65" x14ac:dyDescent="0.25">
      <c r="B36" s="2" t="s">
        <v>31</v>
      </c>
      <c r="C36" s="3" t="s">
        <v>72</v>
      </c>
      <c r="D36" s="3" t="s">
        <v>73</v>
      </c>
      <c r="E36" s="7">
        <v>7100</v>
      </c>
      <c r="F36" s="7"/>
      <c r="G36" s="29">
        <f>'History By Facility'!W254</f>
        <v>5427</v>
      </c>
      <c r="H36" s="29">
        <f>'History By Facility'!V254</f>
        <v>5281</v>
      </c>
      <c r="I36" s="34">
        <f t="shared" si="8"/>
        <v>146</v>
      </c>
      <c r="K36" s="30">
        <f>'History By Facility'!X254</f>
        <v>5837</v>
      </c>
      <c r="L36" s="32">
        <f t="shared" si="9"/>
        <v>5427</v>
      </c>
      <c r="M36" s="30">
        <f t="shared" si="10"/>
        <v>410</v>
      </c>
      <c r="N36" s="8"/>
      <c r="O36" s="4">
        <f t="shared" si="7"/>
        <v>5427</v>
      </c>
      <c r="P36" s="4">
        <f>'History By Facility'!W239</f>
        <v>6258</v>
      </c>
      <c r="Q36" s="7">
        <f t="shared" si="11"/>
        <v>-831</v>
      </c>
      <c r="R36" s="7">
        <f t="shared" si="12"/>
        <v>1673</v>
      </c>
      <c r="S36" s="8"/>
      <c r="T36" s="37">
        <v>6964</v>
      </c>
      <c r="U36" s="36">
        <v>36418</v>
      </c>
      <c r="V36" s="37">
        <v>6964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18"/>
    </row>
    <row r="37" spans="2:65" ht="12" customHeight="1" x14ac:dyDescent="0.25">
      <c r="B37" s="2" t="s">
        <v>74</v>
      </c>
      <c r="C37" s="3" t="s">
        <v>75</v>
      </c>
      <c r="D37" s="3" t="s">
        <v>71</v>
      </c>
      <c r="E37" s="4">
        <v>10000</v>
      </c>
      <c r="F37" s="7"/>
      <c r="G37" s="29">
        <f>'History By Facility'!W255</f>
        <v>10055</v>
      </c>
      <c r="H37" s="29">
        <f>'History By Facility'!V255</f>
        <v>7822</v>
      </c>
      <c r="I37" s="34">
        <f t="shared" si="8"/>
        <v>2233</v>
      </c>
      <c r="K37" s="30">
        <f>'History By Facility'!X255</f>
        <v>11711</v>
      </c>
      <c r="L37" s="32">
        <f t="shared" si="9"/>
        <v>10055</v>
      </c>
      <c r="M37" s="30">
        <f t="shared" si="10"/>
        <v>1656</v>
      </c>
      <c r="N37" s="8"/>
      <c r="O37" s="4">
        <f t="shared" si="7"/>
        <v>10055</v>
      </c>
      <c r="P37" s="4">
        <f>'History By Facility'!W240</f>
        <v>8448</v>
      </c>
      <c r="Q37" s="7">
        <f t="shared" si="11"/>
        <v>1607</v>
      </c>
      <c r="R37" s="7">
        <f t="shared" si="12"/>
        <v>-55</v>
      </c>
      <c r="S37" s="8"/>
      <c r="T37" s="37">
        <v>10753</v>
      </c>
      <c r="U37" s="36">
        <v>36479</v>
      </c>
      <c r="V37" s="37">
        <v>10753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18"/>
    </row>
    <row r="38" spans="2:65" x14ac:dyDescent="0.25">
      <c r="B38" s="2" t="s">
        <v>82</v>
      </c>
      <c r="C38" s="3" t="s">
        <v>83</v>
      </c>
      <c r="D38" s="3" t="s">
        <v>84</v>
      </c>
      <c r="E38" s="4">
        <v>8299</v>
      </c>
      <c r="F38" s="7"/>
      <c r="G38" s="29">
        <f>'History By Facility'!W256</f>
        <v>4945</v>
      </c>
      <c r="H38" s="29">
        <f>'History By Facility'!V256</f>
        <v>3831</v>
      </c>
      <c r="I38" s="34">
        <f t="shared" si="8"/>
        <v>1114</v>
      </c>
      <c r="K38" s="30">
        <f>'History By Facility'!X256</f>
        <v>5515</v>
      </c>
      <c r="L38" s="32">
        <f t="shared" si="9"/>
        <v>4945</v>
      </c>
      <c r="M38" s="30">
        <f t="shared" si="10"/>
        <v>570</v>
      </c>
      <c r="N38" s="8"/>
      <c r="O38" s="4">
        <f t="shared" si="7"/>
        <v>4945</v>
      </c>
      <c r="P38" s="4">
        <f>'History By Facility'!W241</f>
        <v>2980</v>
      </c>
      <c r="Q38" s="7">
        <f t="shared" si="11"/>
        <v>1965</v>
      </c>
      <c r="R38" s="7">
        <f t="shared" si="12"/>
        <v>3354</v>
      </c>
      <c r="S38" s="8"/>
      <c r="T38" s="37">
        <v>5564</v>
      </c>
      <c r="U38" s="36">
        <v>36479</v>
      </c>
      <c r="V38" s="37">
        <v>6313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18"/>
    </row>
    <row r="39" spans="2:65" x14ac:dyDescent="0.25">
      <c r="B39" s="2" t="s">
        <v>79</v>
      </c>
      <c r="C39" s="3" t="s">
        <v>80</v>
      </c>
      <c r="D39" s="3" t="s">
        <v>62</v>
      </c>
      <c r="E39" s="4">
        <v>1800</v>
      </c>
      <c r="F39" s="7"/>
      <c r="G39" s="29">
        <f>'History By Facility'!W257</f>
        <v>371</v>
      </c>
      <c r="H39" s="29">
        <f>'History By Facility'!V257</f>
        <v>390</v>
      </c>
      <c r="I39" s="34">
        <f t="shared" si="8"/>
        <v>-19</v>
      </c>
      <c r="K39" s="30">
        <f>'History By Facility'!X257</f>
        <v>395</v>
      </c>
      <c r="L39" s="32">
        <f t="shared" si="9"/>
        <v>371</v>
      </c>
      <c r="M39" s="30">
        <f t="shared" si="10"/>
        <v>24</v>
      </c>
      <c r="N39" s="8"/>
      <c r="O39" s="4">
        <f t="shared" si="7"/>
        <v>371</v>
      </c>
      <c r="P39" s="4">
        <f>'History By Facility'!W242</f>
        <v>461</v>
      </c>
      <c r="Q39" s="7">
        <f t="shared" si="11"/>
        <v>-90</v>
      </c>
      <c r="R39" s="7">
        <f t="shared" si="12"/>
        <v>1429</v>
      </c>
      <c r="S39" s="8"/>
      <c r="T39" s="37">
        <v>2049</v>
      </c>
      <c r="U39" s="36">
        <v>36464</v>
      </c>
      <c r="V39" s="37">
        <v>2049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18"/>
    </row>
    <row r="40" spans="2:65" x14ac:dyDescent="0.25">
      <c r="B40" s="2" t="s">
        <v>68</v>
      </c>
      <c r="C40" s="3" t="s">
        <v>64</v>
      </c>
      <c r="D40" s="3" t="s">
        <v>65</v>
      </c>
      <c r="E40" s="4">
        <v>8500</v>
      </c>
      <c r="F40" s="7"/>
      <c r="G40" s="29">
        <f>'History By Facility'!W258</f>
        <v>6921</v>
      </c>
      <c r="H40" s="29">
        <f>'History By Facility'!V258</f>
        <v>6930</v>
      </c>
      <c r="I40" s="34">
        <f t="shared" si="8"/>
        <v>-9</v>
      </c>
      <c r="K40" s="30">
        <f>'History By Facility'!X258</f>
        <v>6934</v>
      </c>
      <c r="L40" s="32">
        <f t="shared" si="9"/>
        <v>6921</v>
      </c>
      <c r="M40" s="30">
        <f t="shared" si="10"/>
        <v>13</v>
      </c>
      <c r="N40" s="8"/>
      <c r="O40" s="4">
        <f t="shared" si="7"/>
        <v>6921</v>
      </c>
      <c r="P40" s="4">
        <f>'History By Facility'!W243</f>
        <v>6759</v>
      </c>
      <c r="Q40" s="7">
        <f t="shared" si="11"/>
        <v>162</v>
      </c>
      <c r="R40" s="7">
        <f t="shared" si="12"/>
        <v>1579</v>
      </c>
      <c r="S40" s="8"/>
      <c r="T40" s="37">
        <v>7037</v>
      </c>
      <c r="U40" s="36">
        <v>36448</v>
      </c>
      <c r="V40" s="37">
        <v>7037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18"/>
    </row>
    <row r="41" spans="2:65" x14ac:dyDescent="0.25">
      <c r="B41" s="2" t="s">
        <v>61</v>
      </c>
      <c r="C41" s="3" t="s">
        <v>94</v>
      </c>
      <c r="D41" s="3" t="s">
        <v>62</v>
      </c>
      <c r="E41" s="4">
        <v>1700</v>
      </c>
      <c r="F41" s="7"/>
      <c r="G41" s="29">
        <f>'History By Facility'!W259</f>
        <v>1770</v>
      </c>
      <c r="H41" s="29">
        <f>'History By Facility'!V259</f>
        <v>1777</v>
      </c>
      <c r="I41" s="34">
        <f t="shared" si="8"/>
        <v>-7</v>
      </c>
      <c r="K41" s="30">
        <f>'History By Facility'!X259</f>
        <v>1726</v>
      </c>
      <c r="L41" s="32">
        <f t="shared" si="9"/>
        <v>1770</v>
      </c>
      <c r="M41" s="30">
        <f t="shared" si="10"/>
        <v>-44</v>
      </c>
      <c r="N41" s="8"/>
      <c r="O41" s="4">
        <f t="shared" si="7"/>
        <v>1770</v>
      </c>
      <c r="P41" s="4">
        <f>'History By Facility'!W244</f>
        <v>1734</v>
      </c>
      <c r="Q41" s="7">
        <f t="shared" si="11"/>
        <v>36</v>
      </c>
      <c r="R41" s="7">
        <f t="shared" si="12"/>
        <v>-70</v>
      </c>
      <c r="S41" s="8"/>
      <c r="T41" s="37">
        <v>1596</v>
      </c>
      <c r="U41" s="36">
        <v>36341</v>
      </c>
      <c r="V41" s="37">
        <v>1596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18"/>
    </row>
    <row r="42" spans="2:65" x14ac:dyDescent="0.25">
      <c r="B42" s="2" t="s">
        <v>76</v>
      </c>
      <c r="C42" s="3" t="s">
        <v>77</v>
      </c>
      <c r="D42" s="3" t="s">
        <v>78</v>
      </c>
      <c r="E42" s="4">
        <v>6000</v>
      </c>
      <c r="F42" s="7"/>
      <c r="G42" s="29">
        <f>'History By Facility'!W260</f>
        <v>2843</v>
      </c>
      <c r="H42" s="29">
        <f>'History By Facility'!V260</f>
        <v>2524</v>
      </c>
      <c r="I42" s="34">
        <f t="shared" si="8"/>
        <v>319</v>
      </c>
      <c r="K42" s="30">
        <f>'History By Facility'!X260</f>
        <v>2771</v>
      </c>
      <c r="L42" s="32">
        <f t="shared" si="9"/>
        <v>2843</v>
      </c>
      <c r="M42" s="30">
        <f t="shared" si="10"/>
        <v>-72</v>
      </c>
      <c r="N42" s="8"/>
      <c r="O42" s="4">
        <f t="shared" si="7"/>
        <v>2843</v>
      </c>
      <c r="P42" s="4">
        <f>'History By Facility'!W245</f>
        <v>1499</v>
      </c>
      <c r="Q42" s="7">
        <f t="shared" si="11"/>
        <v>1344</v>
      </c>
      <c r="R42" s="7">
        <f t="shared" si="12"/>
        <v>3157</v>
      </c>
      <c r="S42" s="8"/>
      <c r="T42" s="37">
        <v>4462</v>
      </c>
      <c r="U42" s="36">
        <v>36479</v>
      </c>
      <c r="V42" s="37">
        <v>4462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18"/>
    </row>
    <row r="43" spans="2:65" x14ac:dyDescent="0.25">
      <c r="B43" s="2" t="s">
        <v>52</v>
      </c>
      <c r="C43" s="3" t="s">
        <v>81</v>
      </c>
      <c r="D43" s="3" t="s">
        <v>73</v>
      </c>
      <c r="E43" s="4">
        <v>8810</v>
      </c>
      <c r="F43" s="7"/>
      <c r="G43" s="29">
        <f>'History By Facility'!W261</f>
        <v>3998</v>
      </c>
      <c r="H43" s="29">
        <f>'History By Facility'!V261</f>
        <v>3427</v>
      </c>
      <c r="I43" s="34">
        <f t="shared" si="8"/>
        <v>571</v>
      </c>
      <c r="K43" s="30">
        <f>'History By Facility'!X261</f>
        <v>4196</v>
      </c>
      <c r="L43" s="32">
        <f t="shared" si="9"/>
        <v>3998</v>
      </c>
      <c r="M43" s="30">
        <f t="shared" si="10"/>
        <v>198</v>
      </c>
      <c r="N43" s="8"/>
      <c r="O43" s="4">
        <f t="shared" si="7"/>
        <v>3998</v>
      </c>
      <c r="P43" s="4">
        <f>'History By Facility'!W246</f>
        <v>4913</v>
      </c>
      <c r="Q43" s="7">
        <f t="shared" si="11"/>
        <v>-915</v>
      </c>
      <c r="R43" s="7">
        <f t="shared" si="12"/>
        <v>4812</v>
      </c>
      <c r="S43" s="8"/>
      <c r="T43" s="37">
        <v>9549</v>
      </c>
      <c r="U43" s="36">
        <v>36494</v>
      </c>
      <c r="V43" s="37">
        <v>9549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18"/>
    </row>
    <row r="44" spans="2:65" ht="13.8" thickBot="1" x14ac:dyDescent="0.3">
      <c r="B44" s="2" t="s">
        <v>278</v>
      </c>
      <c r="C44" s="3"/>
      <c r="D44" s="3"/>
      <c r="E44" s="5">
        <f>SUM(E32:E43)</f>
        <v>66648</v>
      </c>
      <c r="F44" s="7"/>
      <c r="G44" s="5">
        <f>SUM(G32:G43)</f>
        <v>51899</v>
      </c>
      <c r="H44" s="5">
        <f>SUM(H32:H43)</f>
        <v>45616</v>
      </c>
      <c r="I44" s="33">
        <f>SUM(I32:I43)</f>
        <v>6283</v>
      </c>
      <c r="K44" s="5">
        <f>SUM(K32:K43)</f>
        <v>54814</v>
      </c>
      <c r="L44" s="5">
        <f>SUM(L32:L43)</f>
        <v>51899</v>
      </c>
      <c r="M44" s="33">
        <f>SUM(M32:M43)</f>
        <v>2915</v>
      </c>
      <c r="N44" s="7"/>
      <c r="O44" s="5">
        <f>SUM(O32:O43)</f>
        <v>51899</v>
      </c>
      <c r="P44" s="5">
        <f>SUM(P32:P43)</f>
        <v>46961</v>
      </c>
      <c r="Q44" s="5">
        <f>SUM(Q32:Q43)</f>
        <v>4938</v>
      </c>
      <c r="R44" s="5">
        <f>SUM(R32:R43)</f>
        <v>14749</v>
      </c>
      <c r="S44" s="7"/>
      <c r="T44" s="5">
        <f>SUM(T32:T43)</f>
        <v>67334</v>
      </c>
      <c r="U44" s="7"/>
      <c r="V44" s="5">
        <f>SUM(V32:V43)</f>
        <v>68806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</row>
    <row r="45" spans="2:65" ht="6" customHeight="1" thickTop="1" x14ac:dyDescent="0.25">
      <c r="B45" s="2"/>
      <c r="C45" s="2"/>
      <c r="D45" s="2"/>
      <c r="E45" s="26"/>
      <c r="F45" s="18"/>
      <c r="I45" s="35"/>
    </row>
    <row r="46" spans="2:65" ht="13.8" thickBot="1" x14ac:dyDescent="0.3">
      <c r="B46" s="2" t="s">
        <v>239</v>
      </c>
      <c r="E46" s="18"/>
      <c r="F46" s="18"/>
      <c r="G46" s="65">
        <f>'History By Facility'!W247</f>
        <v>46961</v>
      </c>
      <c r="H46" s="65">
        <f>'History By Facility'!V247</f>
        <v>41255</v>
      </c>
      <c r="I46" s="65">
        <f>G46-H46</f>
        <v>5706</v>
      </c>
      <c r="K46" s="66">
        <f>'History By Facility'!X247</f>
        <v>50735</v>
      </c>
      <c r="L46" s="66">
        <f>G46</f>
        <v>46961</v>
      </c>
      <c r="M46" s="67">
        <f>K46-L46</f>
        <v>3774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</row>
    <row r="47" spans="2:65" ht="13.8" thickTop="1" x14ac:dyDescent="0.25">
      <c r="B47" s="2"/>
      <c r="E47" s="18"/>
      <c r="F47" s="18"/>
      <c r="G47" s="68"/>
      <c r="H47" s="68"/>
      <c r="I47" s="68"/>
      <c r="K47" s="18"/>
      <c r="L47" s="18"/>
      <c r="M47" s="69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</row>
    <row r="48" spans="2:65" ht="13.8" thickBot="1" x14ac:dyDescent="0.3">
      <c r="B48" s="2" t="s">
        <v>279</v>
      </c>
      <c r="E48" s="18"/>
      <c r="F48" s="18"/>
      <c r="G48" s="65">
        <f>G44+G26</f>
        <v>285574</v>
      </c>
      <c r="H48" s="65">
        <f>H44+H26</f>
        <v>267862</v>
      </c>
      <c r="I48" s="65">
        <f>I44+I26</f>
        <v>17712</v>
      </c>
      <c r="K48" s="65">
        <f>K44+K26</f>
        <v>299801</v>
      </c>
      <c r="L48" s="65">
        <f>L44+L26</f>
        <v>285574</v>
      </c>
      <c r="M48" s="65">
        <f>M44+M26</f>
        <v>14227</v>
      </c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</row>
    <row r="49" spans="2:65" ht="6.9" customHeight="1" thickTop="1" x14ac:dyDescent="0.25">
      <c r="B49" s="2"/>
      <c r="E49" s="18"/>
      <c r="F49" s="18"/>
      <c r="G49" s="68"/>
      <c r="H49" s="68"/>
      <c r="I49" s="68"/>
      <c r="J49" s="71"/>
      <c r="K49" s="68"/>
      <c r="L49" s="68"/>
      <c r="M49" s="6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</row>
    <row r="50" spans="2:65" ht="13.8" thickBot="1" x14ac:dyDescent="0.3">
      <c r="B50" s="2" t="s">
        <v>239</v>
      </c>
      <c r="E50" s="18"/>
      <c r="F50" s="18"/>
      <c r="G50" s="70">
        <f>G46+G28</f>
        <v>209418</v>
      </c>
      <c r="H50" s="70">
        <f>H46+H28</f>
        <v>195631</v>
      </c>
      <c r="I50" s="70">
        <f>I46+I28</f>
        <v>13787</v>
      </c>
      <c r="K50" s="70">
        <f>K46+K28</f>
        <v>210095</v>
      </c>
      <c r="L50" s="70">
        <f>L46+L28</f>
        <v>209418</v>
      </c>
      <c r="M50" s="70">
        <f>M46+M28</f>
        <v>677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</row>
    <row r="51" spans="2:65" ht="13.8" thickTop="1" x14ac:dyDescent="0.25">
      <c r="K51" s="21"/>
      <c r="L51" s="21"/>
      <c r="M51" s="21"/>
      <c r="N51" s="21"/>
      <c r="S51" s="21"/>
      <c r="T51" s="21"/>
      <c r="U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L51" s="21"/>
    </row>
  </sheetData>
  <phoneticPr fontId="0" type="noConversion"/>
  <pageMargins left="0.25" right="0.24" top="0.25" bottom="0.17" header="0.25" footer="0.17"/>
  <pageSetup paperSize="5" scale="86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History By Facility</vt:lpstr>
      <vt:lpstr>Sheet1</vt:lpstr>
      <vt:lpstr>Comparison to Prior Periods</vt:lpstr>
      <vt:lpstr>'Comparison to Prior Periods'!Print_Area</vt:lpstr>
      <vt:lpstr>'History By Facility'!Print_Area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Havlíček Jan</cp:lastModifiedBy>
  <cp:lastPrinted>2001-10-29T15:29:13Z</cp:lastPrinted>
  <dcterms:created xsi:type="dcterms:W3CDTF">1999-05-28T12:23:17Z</dcterms:created>
  <dcterms:modified xsi:type="dcterms:W3CDTF">2023-09-10T15:27:49Z</dcterms:modified>
</cp:coreProperties>
</file>