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368" yWindow="20376" windowWidth="13260" windowHeight="8328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92512"/>
</workbook>
</file>

<file path=xl/calcChain.xml><?xml version="1.0" encoding="utf-8"?>
<calcChain xmlns="http://schemas.openxmlformats.org/spreadsheetml/2006/main">
  <c r="J2" i="8" l="1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L32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J33" i="2"/>
  <c r="E34" i="2"/>
  <c r="F34" i="2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G40" i="2"/>
  <c r="J40" i="2"/>
  <c r="J41" i="2"/>
  <c r="F42" i="2"/>
  <c r="G42" i="2"/>
  <c r="J42" i="2"/>
  <c r="J2" i="18"/>
  <c r="A3" i="18"/>
  <c r="D3" i="18"/>
  <c r="H3" i="18"/>
  <c r="D4" i="18"/>
  <c r="H4" i="18"/>
  <c r="J4" i="18"/>
  <c r="D5" i="18"/>
  <c r="H5" i="18"/>
  <c r="D6" i="18"/>
  <c r="H6" i="18"/>
  <c r="J6" i="18"/>
  <c r="D7" i="18"/>
  <c r="H7" i="18"/>
  <c r="D8" i="18"/>
  <c r="H8" i="18"/>
  <c r="D9" i="18"/>
  <c r="H9" i="18"/>
  <c r="J9" i="18"/>
  <c r="D10" i="18"/>
  <c r="H10" i="18"/>
  <c r="D11" i="18"/>
  <c r="H11" i="18"/>
  <c r="J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C27" i="18"/>
  <c r="D27" i="18"/>
  <c r="F27" i="18"/>
  <c r="G27" i="18"/>
  <c r="H27" i="18"/>
  <c r="F29" i="18"/>
  <c r="G29" i="18"/>
  <c r="H29" i="18"/>
  <c r="F30" i="18"/>
  <c r="G30" i="18"/>
  <c r="H30" i="18"/>
  <c r="F32" i="18"/>
  <c r="F34" i="18"/>
  <c r="F35" i="18"/>
  <c r="F37" i="18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<sst xmlns="http://schemas.openxmlformats.org/spreadsheetml/2006/main" count="318" uniqueCount="56">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</sst>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tabSelected="1" zoomScale="80" workbookViewId="0">
      <selection activeCell="B4" sqref="B4"/>
    </sheetView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8867187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5">
      <c r="B4" s="87">
        <v>2.9249999999999998</v>
      </c>
      <c r="C4" s="51" t="s">
        <v>46</v>
      </c>
      <c r="D4" s="57">
        <f>DEC_SWAP!J11</f>
        <v>-32.5</v>
      </c>
      <c r="F4" s="50">
        <f>DEC_SWAP!J4</f>
        <v>-36425.000000000116</v>
      </c>
      <c r="G4" s="50">
        <f>DEC_SWAP!J2</f>
        <v>16800.000000000069</v>
      </c>
      <c r="H4" s="50">
        <f>F4+G4</f>
        <v>-19625.000000000047</v>
      </c>
      <c r="K4">
        <v>2.97</v>
      </c>
      <c r="L4" s="62">
        <f t="shared" ref="L4:L16" si="0">B4-K4</f>
        <v>-4.5000000000000373E-2</v>
      </c>
      <c r="M4" s="57">
        <v>-46.5</v>
      </c>
      <c r="N4" s="43">
        <f t="shared" ref="N4:N19" si="1">D4-M4</f>
        <v>14</v>
      </c>
      <c r="O4" s="48">
        <v>37043</v>
      </c>
    </row>
    <row r="5" spans="1:15" x14ac:dyDescent="0.25">
      <c r="B5" s="80">
        <f>B4+0.18</f>
        <v>3.105</v>
      </c>
      <c r="C5" s="51" t="s">
        <v>48</v>
      </c>
      <c r="D5" s="57">
        <f>JAN_SWAP!J11</f>
        <v>7.75</v>
      </c>
      <c r="F5" s="50">
        <f>JAN_SWAP!J4</f>
        <v>-4843.7499999999309</v>
      </c>
      <c r="G5" s="50">
        <f>JAN_SWAP!J2</f>
        <v>0</v>
      </c>
      <c r="H5" s="50">
        <f t="shared" ref="H5:H16" si="2">F5+G5</f>
        <v>-4843.7499999999309</v>
      </c>
      <c r="K5">
        <v>3.1420000000000003</v>
      </c>
      <c r="L5" s="62">
        <f t="shared" si="0"/>
        <v>-3.7000000000000366E-2</v>
      </c>
      <c r="M5" s="57">
        <v>-9.3000000000000007</v>
      </c>
      <c r="N5" s="43">
        <f t="shared" si="1"/>
        <v>17.05</v>
      </c>
      <c r="O5" s="48">
        <v>37044</v>
      </c>
    </row>
    <row r="6" spans="1:15" x14ac:dyDescent="0.25">
      <c r="B6" s="80">
        <f>B5+0.025</f>
        <v>3.13</v>
      </c>
      <c r="C6" s="51" t="s">
        <v>53</v>
      </c>
      <c r="D6" s="57">
        <f>FEB_SWAP!J11</f>
        <v>0</v>
      </c>
      <c r="F6" s="50">
        <f>FEB_SWAP!J4</f>
        <v>0</v>
      </c>
      <c r="G6" s="50">
        <f>FEB_SWAP!J2</f>
        <v>0</v>
      </c>
      <c r="H6" s="50">
        <f t="shared" si="2"/>
        <v>0</v>
      </c>
      <c r="K6">
        <v>3.1570000000000005</v>
      </c>
      <c r="L6" s="62">
        <f t="shared" si="0"/>
        <v>-2.7000000000000579E-2</v>
      </c>
      <c r="M6" s="57">
        <v>-3.1</v>
      </c>
      <c r="N6" s="43">
        <f t="shared" si="1"/>
        <v>3.1</v>
      </c>
      <c r="O6" s="48">
        <v>37045</v>
      </c>
    </row>
    <row r="7" spans="1:15" x14ac:dyDescent="0.25">
      <c r="B7" s="80">
        <f>B6-0.028</f>
        <v>3.1019999999999999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3.1220000000000003</v>
      </c>
      <c r="L7" s="62">
        <f t="shared" si="0"/>
        <v>-2.0000000000000462E-2</v>
      </c>
      <c r="M7" s="57">
        <v>0</v>
      </c>
      <c r="N7" s="43">
        <f t="shared" si="1"/>
        <v>0</v>
      </c>
      <c r="O7" s="48">
        <v>37046</v>
      </c>
    </row>
    <row r="8" spans="1:15" x14ac:dyDescent="0.25">
      <c r="B8" s="80">
        <f>B4+0.1405</f>
        <v>3.0654999999999997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3.09775</v>
      </c>
      <c r="L8" s="62">
        <f t="shared" si="0"/>
        <v>-3.2250000000000334E-2</v>
      </c>
      <c r="M8" s="57">
        <v>0</v>
      </c>
      <c r="N8" s="43">
        <f t="shared" si="1"/>
        <v>0</v>
      </c>
      <c r="O8" s="48">
        <v>37047</v>
      </c>
    </row>
    <row r="9" spans="1:15" x14ac:dyDescent="0.25">
      <c r="B9" s="80">
        <f>B8+0.108</f>
        <v>3.1734999999999998</v>
      </c>
      <c r="C9" s="51" t="s">
        <v>50</v>
      </c>
      <c r="D9" s="57">
        <f>'J-V_SWAP'!J11</f>
        <v>0</v>
      </c>
      <c r="F9" s="50">
        <f>'Z-H_SWAP'!J5</f>
        <v>0</v>
      </c>
      <c r="G9" s="50">
        <f>'J-V_SWAP'!J6</f>
        <v>-16050.000000000133</v>
      </c>
      <c r="H9" s="50">
        <f>F9+G9</f>
        <v>-16050.000000000133</v>
      </c>
      <c r="K9">
        <v>3.1767500000000002</v>
      </c>
      <c r="L9" s="62">
        <f>B9-K9</f>
        <v>-3.2500000000004192E-3</v>
      </c>
      <c r="M9" s="57">
        <v>1</v>
      </c>
      <c r="N9" s="43">
        <f>D9-M9</f>
        <v>-1</v>
      </c>
      <c r="O9" s="48"/>
    </row>
    <row r="10" spans="1:15" x14ac:dyDescent="0.25">
      <c r="B10" s="80">
        <f>B8+0.16</f>
        <v>3.2254999999999998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3.2277499999999999</v>
      </c>
      <c r="L10" s="62">
        <f>B10-K10</f>
        <v>-2.2500000000000853E-3</v>
      </c>
      <c r="M10" s="57">
        <v>2</v>
      </c>
      <c r="N10" s="43">
        <f>D10-M10</f>
        <v>-2</v>
      </c>
      <c r="O10" s="48"/>
    </row>
    <row r="11" spans="1:15" x14ac:dyDescent="0.25">
      <c r="B11" s="84">
        <f>B4-0.225</f>
        <v>2.6999999999999997</v>
      </c>
      <c r="C11" s="85" t="s">
        <v>5</v>
      </c>
      <c r="D11" s="57">
        <f>HH_SWAP!J9</f>
        <v>45</v>
      </c>
      <c r="E11" s="44">
        <f>HH_SWAP!J10</f>
        <v>2.1428571428571428</v>
      </c>
      <c r="F11" s="50">
        <f>HH_SWAP!J4</f>
        <v>-7200.0000000000664</v>
      </c>
      <c r="G11" s="50">
        <f>HH_SWAP!J2</f>
        <v>-1.3988810110276972E-10</v>
      </c>
      <c r="H11" s="50">
        <f t="shared" si="2"/>
        <v>-7200.0000000002065</v>
      </c>
      <c r="I11">
        <f t="shared" ref="I11:I16" si="3">IF(J11&lt;1,B11,J11)</f>
        <v>2.54</v>
      </c>
      <c r="J11" s="52">
        <v>2.54</v>
      </c>
      <c r="K11">
        <v>2.7149999999999999</v>
      </c>
      <c r="L11" s="62">
        <f t="shared" si="0"/>
        <v>-1.5000000000000124E-2</v>
      </c>
      <c r="M11" s="57">
        <v>-69.7</v>
      </c>
      <c r="N11" s="43">
        <f t="shared" si="1"/>
        <v>114.7</v>
      </c>
      <c r="O11" s="48">
        <v>37048</v>
      </c>
    </row>
    <row r="12" spans="1:15" x14ac:dyDescent="0.25">
      <c r="B12" s="86">
        <f>B11-0.03</f>
        <v>2.67</v>
      </c>
      <c r="C12" s="85" t="s">
        <v>6</v>
      </c>
      <c r="D12" s="57">
        <f>HSC_SWAP!J9</f>
        <v>-63</v>
      </c>
      <c r="E12" s="44">
        <f>HSC_SWAP!J10</f>
        <v>-3</v>
      </c>
      <c r="F12" s="50">
        <f>HSC_SWAP!J4</f>
        <v>-3675.0000000002019</v>
      </c>
      <c r="G12" s="50">
        <f>HSC_SWAP!J2</f>
        <v>2100.0000000000487</v>
      </c>
      <c r="H12" s="50">
        <f t="shared" si="2"/>
        <v>-1575.0000000001532</v>
      </c>
      <c r="I12">
        <f t="shared" si="3"/>
        <v>2.5499999999999998</v>
      </c>
      <c r="J12" s="52">
        <v>2.5499999999999998</v>
      </c>
      <c r="K12">
        <v>2.6850000000000001</v>
      </c>
      <c r="L12" s="62">
        <f t="shared" si="0"/>
        <v>-1.5000000000000124E-2</v>
      </c>
      <c r="M12" s="57">
        <v>0</v>
      </c>
      <c r="N12" s="43">
        <f t="shared" si="1"/>
        <v>-63</v>
      </c>
      <c r="O12" s="48">
        <v>37049</v>
      </c>
    </row>
    <row r="13" spans="1:15" x14ac:dyDescent="0.25">
      <c r="B13" s="86">
        <f>B12-0.05</f>
        <v>2.62</v>
      </c>
      <c r="C13" s="85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2.62</v>
      </c>
      <c r="J13" s="52"/>
      <c r="K13">
        <v>2.6349999999999998</v>
      </c>
      <c r="L13" s="62">
        <f t="shared" si="0"/>
        <v>-1.499999999999968E-2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5">
      <c r="B14" s="86">
        <f>B12-0.22</f>
        <v>2.4499999999999997</v>
      </c>
      <c r="C14" s="85" t="s">
        <v>8</v>
      </c>
      <c r="D14" s="57">
        <f>WAHA_SWAP!J9</f>
        <v>18</v>
      </c>
      <c r="E14" s="44">
        <f>WAHA_SWAP!J10</f>
        <v>0.8571428571428571</v>
      </c>
      <c r="F14" s="50">
        <f>WAHA_SWAP!J4</f>
        <v>-2999.9999999999895</v>
      </c>
      <c r="G14" s="50">
        <f>WAHA_SWAP!J2</f>
        <v>9449.9999999999854</v>
      </c>
      <c r="H14" s="50">
        <f t="shared" si="2"/>
        <v>6449.9999999999964</v>
      </c>
      <c r="I14">
        <f t="shared" si="3"/>
        <v>2.35</v>
      </c>
      <c r="J14" s="52">
        <v>2.35</v>
      </c>
      <c r="K14">
        <v>2.4649999999999999</v>
      </c>
      <c r="L14" s="62">
        <f t="shared" si="0"/>
        <v>-1.5000000000000124E-2</v>
      </c>
      <c r="M14" s="57">
        <v>0</v>
      </c>
      <c r="N14" s="43">
        <f t="shared" si="1"/>
        <v>18</v>
      </c>
      <c r="O14" s="48">
        <v>37051</v>
      </c>
    </row>
    <row r="15" spans="1:15" x14ac:dyDescent="0.25">
      <c r="B15" s="84">
        <f>B11-0.215</f>
        <v>2.4849999999999999</v>
      </c>
      <c r="C15" s="85" t="s">
        <v>9</v>
      </c>
      <c r="D15" s="57">
        <f>PERM_SWAP!J9</f>
        <v>0</v>
      </c>
      <c r="E15" s="44">
        <f>PERM_SWAP!J10</f>
        <v>0</v>
      </c>
      <c r="F15" s="50">
        <f>PERM_SWAP!J4</f>
        <v>0</v>
      </c>
      <c r="G15" s="50">
        <f>PERM_SWAP!J2</f>
        <v>0</v>
      </c>
      <c r="H15" s="50">
        <f t="shared" si="2"/>
        <v>0</v>
      </c>
      <c r="I15">
        <f t="shared" si="3"/>
        <v>2.4849999999999999</v>
      </c>
      <c r="J15" s="52"/>
      <c r="K15">
        <v>2.5</v>
      </c>
      <c r="L15" s="62">
        <f t="shared" si="0"/>
        <v>-1.5000000000000124E-2</v>
      </c>
      <c r="M15" s="57">
        <v>0</v>
      </c>
      <c r="N15" s="43">
        <f t="shared" si="1"/>
        <v>0</v>
      </c>
      <c r="O15" s="48">
        <v>37052</v>
      </c>
    </row>
    <row r="16" spans="1:15" x14ac:dyDescent="0.25">
      <c r="A16" s="43">
        <f>SUM(D11:D16)</f>
        <v>0</v>
      </c>
      <c r="B16" s="86">
        <f>B12-0.05</f>
        <v>2.62</v>
      </c>
      <c r="C16" s="85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2.62</v>
      </c>
      <c r="J16" s="52"/>
      <c r="K16">
        <v>2.6349999999999998</v>
      </c>
      <c r="L16" s="62">
        <f t="shared" si="0"/>
        <v>-1.499999999999968E-2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5">
      <c r="C17" t="s">
        <v>31</v>
      </c>
      <c r="D17" s="77">
        <f>SUM(D4:D16)</f>
        <v>-24.75</v>
      </c>
      <c r="E17" s="44">
        <f>SUM(E11:E16)</f>
        <v>-1.1102230246251565E-16</v>
      </c>
      <c r="F17" s="70">
        <f>SUM(F4:F16)</f>
        <v>-55143.750000000306</v>
      </c>
      <c r="G17" s="70">
        <f>SUM(G4:G16)</f>
        <v>12299.999999999831</v>
      </c>
      <c r="H17" s="59">
        <f>SUM(H4:H16)</f>
        <v>-42843.750000000466</v>
      </c>
      <c r="M17" s="69">
        <v>-54.2</v>
      </c>
      <c r="N17" s="68">
        <f t="shared" si="1"/>
        <v>29.450000000000003</v>
      </c>
      <c r="O17" s="48">
        <v>37054</v>
      </c>
    </row>
    <row r="18" spans="1:16" x14ac:dyDescent="0.25">
      <c r="B18" s="78">
        <f>KATY_aug!C31</f>
        <v>2.9579999999999997</v>
      </c>
      <c r="C18" s="78" t="s">
        <v>43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5">
      <c r="B19" s="78">
        <f>B4-0.015</f>
        <v>2.9099999999999997</v>
      </c>
      <c r="C19" s="78" t="s">
        <v>44</v>
      </c>
      <c r="D19" s="79" t="s">
        <v>47</v>
      </c>
      <c r="F19" s="59"/>
      <c r="G19" s="94">
        <f>F17+G17</f>
        <v>-42843.750000000473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5">
      <c r="B20" s="78">
        <f>hsc_aug!C31</f>
        <v>2.9499999999999997</v>
      </c>
      <c r="C20" s="78" t="s">
        <v>45</v>
      </c>
      <c r="D20" s="79">
        <f>hsc_aug!J11</f>
        <v>0</v>
      </c>
      <c r="F20" t="s">
        <v>49</v>
      </c>
      <c r="G20" s="82">
        <v>1234</v>
      </c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31</v>
      </c>
      <c r="D22" s="72">
        <f>SUM(D17:D20)</f>
        <v>-24.75</v>
      </c>
      <c r="G22" s="82">
        <f>G21+G20+G19:G19</f>
        <v>-41609.750000000473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18</v>
      </c>
      <c r="E24">
        <v>21</v>
      </c>
      <c r="F24">
        <v>1</v>
      </c>
      <c r="G24" s="52">
        <f>F24*E24</f>
        <v>21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5">
      <c r="E25" s="43">
        <f>D11+D12+D14+D15</f>
        <v>0</v>
      </c>
      <c r="F25">
        <f>E25/E24</f>
        <v>0</v>
      </c>
      <c r="G25">
        <f>F25*3</f>
        <v>0</v>
      </c>
      <c r="O25" s="48">
        <v>37062</v>
      </c>
      <c r="P25">
        <v>25000</v>
      </c>
    </row>
    <row r="26" spans="1:16" x14ac:dyDescent="0.25">
      <c r="I26" t="s">
        <v>25</v>
      </c>
      <c r="O26" s="48">
        <v>37063</v>
      </c>
      <c r="P26">
        <v>25000</v>
      </c>
    </row>
    <row r="27" spans="1:16" x14ac:dyDescent="0.25">
      <c r="C27" s="76"/>
      <c r="D27" s="52"/>
      <c r="I27">
        <v>3.3969999999999998</v>
      </c>
      <c r="J27">
        <f>D27-I27</f>
        <v>-3.3969999999999998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37226</v>
      </c>
      <c r="D28">
        <v>2.9249999999999998</v>
      </c>
      <c r="E28" s="58"/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37257</v>
      </c>
      <c r="D29">
        <v>3.105</v>
      </c>
      <c r="E29" s="58">
        <f>D29-D28</f>
        <v>0.18000000000000016</v>
      </c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37288</v>
      </c>
      <c r="D30">
        <v>3.13</v>
      </c>
      <c r="E30" s="58">
        <f t="shared" ref="E30:E40" si="4">D30-D29</f>
        <v>2.4999999999999911E-2</v>
      </c>
      <c r="F30" s="93"/>
      <c r="G30" s="62"/>
      <c r="H30">
        <v>3.2519999999999998</v>
      </c>
      <c r="I30">
        <v>3.125</v>
      </c>
      <c r="J30">
        <f t="shared" ref="J30:J42" si="5">D28-I30</f>
        <v>-0.20000000000000018</v>
      </c>
      <c r="O30" s="48">
        <v>37067</v>
      </c>
      <c r="P30">
        <v>25000</v>
      </c>
    </row>
    <row r="31" spans="1:16" x14ac:dyDescent="0.25">
      <c r="B31">
        <f>AVERAGE(B28:B30)</f>
        <v>3.4216666666666669</v>
      </c>
      <c r="C31" s="49">
        <v>37316</v>
      </c>
      <c r="D31">
        <v>3.1019999999999999</v>
      </c>
      <c r="E31" s="58">
        <f t="shared" si="4"/>
        <v>-2.8000000000000025E-2</v>
      </c>
      <c r="H31">
        <v>3.4220000000000002</v>
      </c>
      <c r="I31">
        <v>3.3029999999999999</v>
      </c>
      <c r="J31">
        <f t="shared" si="5"/>
        <v>-0.19799999999999995</v>
      </c>
      <c r="M31">
        <f>3500*30</f>
        <v>105000</v>
      </c>
      <c r="O31" s="48">
        <v>37068</v>
      </c>
      <c r="P31">
        <v>25000</v>
      </c>
    </row>
    <row r="32" spans="1:16" x14ac:dyDescent="0.25">
      <c r="C32" s="49">
        <v>37347</v>
      </c>
      <c r="D32">
        <v>3.06</v>
      </c>
      <c r="E32" s="58">
        <f t="shared" si="4"/>
        <v>-4.1999999999999815E-2</v>
      </c>
      <c r="H32">
        <v>3.3940000000000001</v>
      </c>
      <c r="I32">
        <v>3.28</v>
      </c>
      <c r="J32">
        <f t="shared" si="5"/>
        <v>-0.14999999999999991</v>
      </c>
      <c r="O32" s="48">
        <v>37069</v>
      </c>
      <c r="P32">
        <v>25000</v>
      </c>
    </row>
    <row r="33" spans="3:16" x14ac:dyDescent="0.25">
      <c r="C33" s="49">
        <v>37377</v>
      </c>
      <c r="D33">
        <v>3.1</v>
      </c>
      <c r="E33" s="58">
        <f t="shared" si="4"/>
        <v>4.0000000000000036E-2</v>
      </c>
      <c r="H33">
        <v>3.3250000000000002</v>
      </c>
      <c r="I33">
        <v>3.2149999999999999</v>
      </c>
      <c r="J33">
        <f t="shared" si="5"/>
        <v>-0.11299999999999999</v>
      </c>
      <c r="O33" s="48">
        <v>37070</v>
      </c>
      <c r="P33">
        <v>25000</v>
      </c>
    </row>
    <row r="34" spans="3:16" x14ac:dyDescent="0.25">
      <c r="C34" s="49">
        <v>37408</v>
      </c>
      <c r="D34">
        <v>3.145</v>
      </c>
      <c r="E34" s="58">
        <f t="shared" si="4"/>
        <v>4.4999999999999929E-2</v>
      </c>
      <c r="F34" s="93">
        <f>AVERAGE(D28:D31)</f>
        <v>3.0655000000000001</v>
      </c>
      <c r="G34">
        <f>F34-D28</f>
        <v>0.14050000000000029</v>
      </c>
      <c r="H34">
        <v>3.2320000000000002</v>
      </c>
      <c r="I34">
        <v>3.125</v>
      </c>
      <c r="J34">
        <f t="shared" si="5"/>
        <v>-6.4999999999999947E-2</v>
      </c>
      <c r="L34">
        <f>2*61</f>
        <v>122</v>
      </c>
      <c r="O34" s="48">
        <v>37071</v>
      </c>
      <c r="P34">
        <v>25000</v>
      </c>
    </row>
    <row r="35" spans="3:16" x14ac:dyDescent="0.25">
      <c r="C35" s="49">
        <v>37438</v>
      </c>
      <c r="D35">
        <v>3.1850000000000001</v>
      </c>
      <c r="E35" s="58">
        <f t="shared" si="4"/>
        <v>4.0000000000000036E-2</v>
      </c>
      <c r="F35" s="62"/>
      <c r="H35">
        <v>3.2519999999999998</v>
      </c>
      <c r="I35">
        <v>3.15</v>
      </c>
      <c r="J35">
        <f t="shared" si="5"/>
        <v>-4.9999999999999822E-2</v>
      </c>
      <c r="O35" s="48">
        <v>37072</v>
      </c>
      <c r="P35">
        <v>25000</v>
      </c>
    </row>
    <row r="36" spans="3:16" x14ac:dyDescent="0.25">
      <c r="C36" s="49">
        <v>37469</v>
      </c>
      <c r="D36">
        <v>3.2250000000000001</v>
      </c>
      <c r="E36" s="58">
        <f t="shared" si="4"/>
        <v>4.0000000000000036E-2</v>
      </c>
      <c r="F36" s="62"/>
      <c r="H36">
        <v>3.2850000000000001</v>
      </c>
      <c r="I36">
        <v>3.1850000000000001</v>
      </c>
      <c r="J36">
        <f t="shared" si="5"/>
        <v>-4.0000000000000036E-2</v>
      </c>
      <c r="L36" t="s">
        <v>52</v>
      </c>
      <c r="P36">
        <v>25000</v>
      </c>
    </row>
    <row r="37" spans="3:16" x14ac:dyDescent="0.25">
      <c r="C37" s="49">
        <v>37500</v>
      </c>
      <c r="D37">
        <v>3.23</v>
      </c>
      <c r="E37" s="58">
        <f t="shared" si="4"/>
        <v>4.9999999999998934E-3</v>
      </c>
      <c r="F37" s="62"/>
      <c r="H37">
        <v>3.3250000000000002</v>
      </c>
      <c r="I37">
        <v>3.2250000000000001</v>
      </c>
      <c r="J37">
        <f t="shared" si="5"/>
        <v>-4.0000000000000036E-2</v>
      </c>
    </row>
    <row r="38" spans="3:16" x14ac:dyDescent="0.25">
      <c r="C38" s="49">
        <v>37530</v>
      </c>
      <c r="D38">
        <v>3.27</v>
      </c>
      <c r="E38" s="58">
        <f t="shared" si="4"/>
        <v>4.0000000000000036E-2</v>
      </c>
      <c r="F38" s="62"/>
      <c r="H38">
        <v>3.3620000000000001</v>
      </c>
      <c r="I38">
        <v>3.262</v>
      </c>
      <c r="J38">
        <f t="shared" si="5"/>
        <v>-3.6999999999999922E-2</v>
      </c>
    </row>
    <row r="39" spans="3:16" x14ac:dyDescent="0.25">
      <c r="C39" s="49">
        <v>37561</v>
      </c>
      <c r="D39">
        <v>3.4670000000000001</v>
      </c>
      <c r="E39" s="58">
        <f t="shared" si="4"/>
        <v>0.19700000000000006</v>
      </c>
      <c r="F39" s="62"/>
      <c r="H39">
        <v>3.36</v>
      </c>
      <c r="I39">
        <v>3.26</v>
      </c>
      <c r="J39">
        <f t="shared" si="5"/>
        <v>-2.9999999999999805E-2</v>
      </c>
    </row>
    <row r="40" spans="3:16" x14ac:dyDescent="0.25">
      <c r="C40" s="49">
        <v>37591</v>
      </c>
      <c r="D40">
        <v>3.6669999999999998</v>
      </c>
      <c r="E40" s="58">
        <f t="shared" si="4"/>
        <v>0.19999999999999973</v>
      </c>
      <c r="F40" s="93">
        <f>AVERAGE(D32:D38)</f>
        <v>3.1735714285714285</v>
      </c>
      <c r="G40" s="62">
        <f>F40-F34</f>
        <v>0.10807142857142837</v>
      </c>
      <c r="H40">
        <v>3.3719999999999999</v>
      </c>
      <c r="I40">
        <v>3.2719999999999998</v>
      </c>
      <c r="J40">
        <f t="shared" si="5"/>
        <v>-1.9999999999997797E-3</v>
      </c>
    </row>
    <row r="41" spans="3:16" x14ac:dyDescent="0.25">
      <c r="C41" s="49"/>
      <c r="E41" s="58"/>
      <c r="H41">
        <v>3.532</v>
      </c>
      <c r="I41">
        <v>3.4319999999999999</v>
      </c>
      <c r="J41">
        <f t="shared" si="5"/>
        <v>3.5000000000000142E-2</v>
      </c>
    </row>
    <row r="42" spans="3:16" x14ac:dyDescent="0.25">
      <c r="C42" s="49"/>
      <c r="E42" s="58"/>
      <c r="F42" s="83">
        <f>AVERAGE(D29:D40)</f>
        <v>3.2238333333333333</v>
      </c>
      <c r="G42" s="44">
        <f>F42-F34</f>
        <v>0.15833333333333321</v>
      </c>
      <c r="H42">
        <v>3.6949999999999998</v>
      </c>
      <c r="I42">
        <v>3.5950000000000002</v>
      </c>
      <c r="J42">
        <f t="shared" si="5"/>
        <v>7.199999999999962E-2</v>
      </c>
    </row>
    <row r="43" spans="3:16" x14ac:dyDescent="0.25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3.1019999999999999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3" sqref="B3:C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3.0654999999999997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>
        <v>107</v>
      </c>
      <c r="C3" s="3">
        <v>3.17</v>
      </c>
      <c r="D3" s="4">
        <f t="shared" ref="D3:D25" si="0">B3*C3*10000</f>
        <v>3391900</v>
      </c>
      <c r="E3" s="5"/>
      <c r="F3" s="9">
        <v>107</v>
      </c>
      <c r="G3" s="3">
        <v>3.1850000000000001</v>
      </c>
      <c r="H3" s="10">
        <f t="shared" ref="H3:H25" si="1">F3*G3*10000</f>
        <v>3407950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-16050.000000000133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-16050.000000000133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3.17</v>
      </c>
      <c r="D27" s="4">
        <f>SUM(D2:D26)</f>
        <v>3391900</v>
      </c>
      <c r="F27" s="9">
        <f>SUM(F3:F26)</f>
        <v>107</v>
      </c>
      <c r="G27" s="3">
        <f>IF(F27=0, 0, H27/F27/10000)</f>
        <v>3.1850000000000001</v>
      </c>
      <c r="H27" s="10">
        <f>SUM(H2:H26)</f>
        <v>3407950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3.1850000000000001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3.1734999999999998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-16050.000000000133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-16050.000000000133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2.9579999999999997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2.9499999999999997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3.2" x14ac:dyDescent="0.25"/>
  <cols>
    <col min="1" max="4" width="10.6640625" customWidth="1"/>
    <col min="5" max="5" width="8.88671875" customWidth="1"/>
    <col min="6" max="10" width="10.6640625" customWidth="1"/>
  </cols>
  <sheetData>
    <row r="1" spans="1:10" x14ac:dyDescent="0.25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5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-32.5</v>
      </c>
      <c r="G2" s="43">
        <f>POSTION!D5</f>
        <v>7.75</v>
      </c>
      <c r="H2" s="43">
        <f>POSTION!D6</f>
        <v>0</v>
      </c>
      <c r="I2" s="43">
        <f>POSTION!D7</f>
        <v>0</v>
      </c>
      <c r="J2" s="43">
        <f>POSTION!D8</f>
        <v>0</v>
      </c>
    </row>
    <row r="3" spans="1:10" x14ac:dyDescent="0.25">
      <c r="A3">
        <v>10000</v>
      </c>
      <c r="C3">
        <v>20000</v>
      </c>
      <c r="I3">
        <v>-7.75</v>
      </c>
    </row>
    <row r="4" spans="1:10" x14ac:dyDescent="0.25">
      <c r="I4">
        <v>-46</v>
      </c>
    </row>
    <row r="7" spans="1:10" x14ac:dyDescent="0.25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5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-32.5</v>
      </c>
      <c r="G8" s="43">
        <f>SUM(G2:G7)</f>
        <v>7.75</v>
      </c>
      <c r="H8" s="43">
        <f>SUM(H2:H7)</f>
        <v>0</v>
      </c>
      <c r="I8" s="43">
        <f>SUM(I2:I7)</f>
        <v>-53.75</v>
      </c>
      <c r="J8" s="43">
        <f>SUM(J2:J7)</f>
        <v>0</v>
      </c>
    </row>
    <row r="10" spans="1:10" x14ac:dyDescent="0.25">
      <c r="B10" s="75">
        <f>SUM(A8:E8)+SUM(G8:J8)</f>
        <v>183.4</v>
      </c>
    </row>
    <row r="12" spans="1:10" x14ac:dyDescent="0.25">
      <c r="A12">
        <v>75000</v>
      </c>
      <c r="B12" t="s">
        <v>42</v>
      </c>
    </row>
    <row r="15" spans="1:10" x14ac:dyDescent="0.25">
      <c r="C15">
        <f>6.4*31</f>
        <v>198.4</v>
      </c>
    </row>
    <row r="16" spans="1:10" x14ac:dyDescent="0.25">
      <c r="F16">
        <v>3.1819999999999999</v>
      </c>
      <c r="G16">
        <v>3.286</v>
      </c>
    </row>
    <row r="17" spans="6:7" x14ac:dyDescent="0.25">
      <c r="F17">
        <v>0.05</v>
      </c>
    </row>
    <row r="18" spans="6:7" x14ac:dyDescent="0.25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zoomScale="80" workbookViewId="0"/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8867187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5">
      <c r="B4" s="87">
        <v>2.96</v>
      </c>
      <c r="C4" s="51" t="s">
        <v>46</v>
      </c>
      <c r="D4" s="57">
        <v>-48</v>
      </c>
      <c r="F4" s="50">
        <v>58512.499999999891</v>
      </c>
      <c r="G4" s="50">
        <v>-15300</v>
      </c>
      <c r="H4" s="50">
        <v>43212.499999999913</v>
      </c>
      <c r="K4">
        <v>2.88</v>
      </c>
      <c r="L4" s="62">
        <v>8.0000000000000071E-2</v>
      </c>
      <c r="M4" s="57">
        <v>-46.5</v>
      </c>
      <c r="N4" s="43">
        <v>-1.5</v>
      </c>
      <c r="O4" s="48">
        <v>37043</v>
      </c>
    </row>
    <row r="5" spans="1:15" x14ac:dyDescent="0.25">
      <c r="B5" s="80">
        <v>3.1320000000000001</v>
      </c>
      <c r="C5" s="51" t="s">
        <v>48</v>
      </c>
      <c r="D5" s="57">
        <v>0</v>
      </c>
      <c r="F5" s="50">
        <v>0</v>
      </c>
      <c r="G5" s="50">
        <v>0</v>
      </c>
      <c r="H5" s="50">
        <v>0</v>
      </c>
      <c r="K5">
        <v>3.0539999999999998</v>
      </c>
      <c r="L5" s="62">
        <v>7.8000000000000291E-2</v>
      </c>
      <c r="M5" s="57">
        <v>-9.3000000000000007</v>
      </c>
      <c r="N5" s="43">
        <v>9.3000000000000007</v>
      </c>
      <c r="O5" s="48">
        <v>37044</v>
      </c>
    </row>
    <row r="6" spans="1:15" x14ac:dyDescent="0.25">
      <c r="B6" s="80">
        <v>3.1470000000000002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0.11100000000000021</v>
      </c>
      <c r="M6" s="57">
        <v>-3.1</v>
      </c>
      <c r="N6" s="43">
        <v>3.1</v>
      </c>
      <c r="O6" s="48">
        <v>37045</v>
      </c>
    </row>
    <row r="7" spans="1:15" x14ac:dyDescent="0.25">
      <c r="B7" s="80">
        <v>3.1120000000000001</v>
      </c>
      <c r="C7" s="51" t="s">
        <v>54</v>
      </c>
      <c r="D7" s="57">
        <v>0</v>
      </c>
      <c r="F7" s="50">
        <v>0</v>
      </c>
      <c r="G7" s="50">
        <v>0</v>
      </c>
      <c r="H7" s="50">
        <v>0</v>
      </c>
      <c r="K7">
        <v>2.996</v>
      </c>
      <c r="L7" s="62">
        <v>0.1160000000000001</v>
      </c>
      <c r="M7" s="57">
        <v>0</v>
      </c>
      <c r="N7" s="43">
        <v>0</v>
      </c>
      <c r="O7" s="48">
        <v>37046</v>
      </c>
    </row>
    <row r="8" spans="1:15" x14ac:dyDescent="0.25">
      <c r="B8" s="80">
        <v>3.0877499999999998</v>
      </c>
      <c r="C8" s="51" t="s">
        <v>55</v>
      </c>
      <c r="D8" s="57">
        <v>0</v>
      </c>
      <c r="F8" s="50">
        <v>-25712.500000000124</v>
      </c>
      <c r="G8" s="50">
        <v>0</v>
      </c>
      <c r="H8" s="50">
        <v>-25712.500000000124</v>
      </c>
      <c r="K8">
        <v>3.0095000000000001</v>
      </c>
      <c r="L8" s="62">
        <v>7.8249999999999709E-2</v>
      </c>
      <c r="M8" s="57">
        <v>0</v>
      </c>
      <c r="N8" s="43">
        <v>0</v>
      </c>
      <c r="O8" s="48">
        <v>37047</v>
      </c>
    </row>
    <row r="9" spans="1:15" x14ac:dyDescent="0.25">
      <c r="B9" s="80">
        <v>3.16675</v>
      </c>
      <c r="C9" s="51" t="s">
        <v>50</v>
      </c>
      <c r="D9" s="57">
        <v>0</v>
      </c>
      <c r="F9" s="50">
        <v>0</v>
      </c>
      <c r="G9" s="50">
        <v>0</v>
      </c>
      <c r="H9" s="50">
        <v>0</v>
      </c>
      <c r="K9">
        <v>3.0565000000000002</v>
      </c>
      <c r="L9" s="62">
        <v>0.11024999999999974</v>
      </c>
      <c r="M9" s="57">
        <v>1</v>
      </c>
      <c r="N9" s="43">
        <v>-1</v>
      </c>
      <c r="O9" s="48"/>
    </row>
    <row r="10" spans="1:15" x14ac:dyDescent="0.25">
      <c r="B10" s="80">
        <v>3.2177499999999997</v>
      </c>
      <c r="C10" s="51" t="s">
        <v>51</v>
      </c>
      <c r="D10" s="57">
        <v>0</v>
      </c>
      <c r="F10" s="50"/>
      <c r="G10" s="50"/>
      <c r="H10" s="50">
        <v>0</v>
      </c>
      <c r="K10">
        <v>3.1194999999999999</v>
      </c>
      <c r="L10" s="62">
        <v>9.8249999999999726E-2</v>
      </c>
      <c r="M10" s="57">
        <v>2</v>
      </c>
      <c r="N10" s="43">
        <v>-2</v>
      </c>
      <c r="O10" s="48"/>
    </row>
    <row r="11" spans="1:15" x14ac:dyDescent="0.25">
      <c r="B11" s="84">
        <v>2.71</v>
      </c>
      <c r="C11" s="85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2.71</v>
      </c>
      <c r="J11" s="52"/>
      <c r="K11">
        <v>2.7250000000000001</v>
      </c>
      <c r="L11" s="62">
        <v>-1.5000000000000124E-2</v>
      </c>
      <c r="M11" s="57">
        <v>-69.7</v>
      </c>
      <c r="N11" s="43">
        <v>69.7</v>
      </c>
      <c r="O11" s="48">
        <v>37048</v>
      </c>
    </row>
    <row r="12" spans="1:15" x14ac:dyDescent="0.25">
      <c r="B12" s="86">
        <v>2.68</v>
      </c>
      <c r="C12" s="85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3.1150000000000002</v>
      </c>
      <c r="J12" s="52">
        <v>3.1150000000000002</v>
      </c>
      <c r="K12">
        <v>2.6949999999999998</v>
      </c>
      <c r="L12" s="62">
        <v>-1.499999999999968E-2</v>
      </c>
      <c r="M12" s="57">
        <v>0</v>
      </c>
      <c r="N12" s="43">
        <v>0</v>
      </c>
      <c r="O12" s="48">
        <v>37049</v>
      </c>
    </row>
    <row r="13" spans="1:15" x14ac:dyDescent="0.25">
      <c r="B13" s="86">
        <v>2.63</v>
      </c>
      <c r="C13" s="85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2.63</v>
      </c>
      <c r="J13" s="52"/>
      <c r="K13">
        <v>2.645</v>
      </c>
      <c r="L13" s="62">
        <v>-1.499999999999968E-2</v>
      </c>
      <c r="M13" s="57">
        <v>15.5</v>
      </c>
      <c r="N13" s="43">
        <v>-15.5</v>
      </c>
      <c r="O13" s="48">
        <v>37050</v>
      </c>
    </row>
    <row r="14" spans="1:15" x14ac:dyDescent="0.25">
      <c r="B14" s="86">
        <v>2.46</v>
      </c>
      <c r="C14" s="85" t="s">
        <v>8</v>
      </c>
      <c r="D14" s="57">
        <v>0</v>
      </c>
      <c r="E14" s="44">
        <v>0</v>
      </c>
      <c r="F14" s="50">
        <v>0</v>
      </c>
      <c r="G14" s="50">
        <v>0</v>
      </c>
      <c r="H14" s="50">
        <v>0</v>
      </c>
      <c r="I14">
        <v>2.46</v>
      </c>
      <c r="J14" s="52"/>
      <c r="K14">
        <v>2.4750000000000001</v>
      </c>
      <c r="L14" s="62">
        <v>-1.5000000000000124E-2</v>
      </c>
      <c r="M14" s="57">
        <v>0</v>
      </c>
      <c r="N14" s="43">
        <v>0</v>
      </c>
      <c r="O14" s="48">
        <v>37051</v>
      </c>
    </row>
    <row r="15" spans="1:15" x14ac:dyDescent="0.25">
      <c r="B15" s="84">
        <v>2.4950000000000001</v>
      </c>
      <c r="C15" s="85" t="s">
        <v>9</v>
      </c>
      <c r="D15" s="57">
        <v>0</v>
      </c>
      <c r="E15" s="44">
        <v>0</v>
      </c>
      <c r="F15" s="50">
        <v>0</v>
      </c>
      <c r="G15" s="50">
        <v>0</v>
      </c>
      <c r="H15" s="50">
        <v>0</v>
      </c>
      <c r="I15">
        <v>2.4950000000000001</v>
      </c>
      <c r="J15" s="52"/>
      <c r="K15">
        <v>2.5099999999999998</v>
      </c>
      <c r="L15" s="62">
        <v>-1.499999999999968E-2</v>
      </c>
      <c r="M15" s="57">
        <v>0</v>
      </c>
      <c r="N15" s="43">
        <v>0</v>
      </c>
      <c r="O15" s="48">
        <v>37052</v>
      </c>
    </row>
    <row r="16" spans="1:15" x14ac:dyDescent="0.25">
      <c r="A16" s="43">
        <v>0</v>
      </c>
      <c r="B16" s="86">
        <v>2.63</v>
      </c>
      <c r="C16" s="85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2.63</v>
      </c>
      <c r="J16" s="52"/>
      <c r="K16">
        <v>2.645</v>
      </c>
      <c r="L16" s="62">
        <v>-1.499999999999968E-2</v>
      </c>
      <c r="M16" s="57">
        <v>58.9</v>
      </c>
      <c r="N16" s="43">
        <v>-58.9</v>
      </c>
      <c r="O16" s="48">
        <v>37053</v>
      </c>
    </row>
    <row r="17" spans="1:16" x14ac:dyDescent="0.25">
      <c r="C17" t="s">
        <v>31</v>
      </c>
      <c r="D17" s="77">
        <v>-48</v>
      </c>
      <c r="E17" s="44">
        <v>0</v>
      </c>
      <c r="F17" s="70">
        <v>32799.999999999767</v>
      </c>
      <c r="G17" s="70">
        <v>-15300</v>
      </c>
      <c r="H17" s="59">
        <v>17499.999999999789</v>
      </c>
      <c r="M17" s="69">
        <v>-54.2</v>
      </c>
      <c r="N17" s="68">
        <v>6.2</v>
      </c>
      <c r="O17" s="48">
        <v>37054</v>
      </c>
    </row>
    <row r="18" spans="1:16" x14ac:dyDescent="0.25">
      <c r="B18" s="78">
        <v>2.9929999999999999</v>
      </c>
      <c r="C18" s="78" t="s">
        <v>43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5">
      <c r="B19" s="78">
        <v>2.9449999999999998</v>
      </c>
      <c r="C19" s="78" t="s">
        <v>44</v>
      </c>
      <c r="D19" s="79" t="s">
        <v>47</v>
      </c>
      <c r="F19" s="59"/>
      <c r="G19" s="94">
        <v>17499.999999999789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5">
      <c r="B20" s="78">
        <v>2.9849999999999999</v>
      </c>
      <c r="C20" s="78" t="s">
        <v>45</v>
      </c>
      <c r="D20" s="79">
        <v>0</v>
      </c>
      <c r="F20" t="s">
        <v>49</v>
      </c>
      <c r="G20" s="82">
        <v>-4223</v>
      </c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31</v>
      </c>
      <c r="D22" s="72">
        <v>-48</v>
      </c>
      <c r="G22" s="82">
        <v>13276.999999999789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18</v>
      </c>
      <c r="E24">
        <v>29</v>
      </c>
      <c r="F24">
        <v>1</v>
      </c>
      <c r="G24" s="52">
        <v>29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5">
      <c r="E25" s="43">
        <v>0</v>
      </c>
      <c r="F25">
        <v>0</v>
      </c>
      <c r="G25">
        <v>0</v>
      </c>
      <c r="O25" s="48">
        <v>37062</v>
      </c>
      <c r="P25">
        <v>25000</v>
      </c>
    </row>
    <row r="26" spans="1:16" x14ac:dyDescent="0.25">
      <c r="I26" t="s">
        <v>25</v>
      </c>
      <c r="O26" s="48">
        <v>37063</v>
      </c>
      <c r="P26">
        <v>25000</v>
      </c>
    </row>
    <row r="27" spans="1:16" x14ac:dyDescent="0.25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37226</v>
      </c>
      <c r="D28">
        <v>2.96</v>
      </c>
      <c r="E28" s="58"/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37257</v>
      </c>
      <c r="D29">
        <v>3.1320000000000001</v>
      </c>
      <c r="E29" s="58">
        <v>0.17200000000000015</v>
      </c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37288</v>
      </c>
      <c r="D30">
        <v>3.1469999999999998</v>
      </c>
      <c r="E30" s="58">
        <v>1.499999999999968E-2</v>
      </c>
      <c r="F30" s="93"/>
      <c r="G30" s="62"/>
      <c r="H30">
        <v>3.2519999999999998</v>
      </c>
      <c r="I30">
        <v>3.125</v>
      </c>
      <c r="J30">
        <v>-0.16500000000000001</v>
      </c>
      <c r="O30" s="48">
        <v>37067</v>
      </c>
      <c r="P30">
        <v>25000</v>
      </c>
    </row>
    <row r="31" spans="1:16" x14ac:dyDescent="0.25">
      <c r="B31">
        <v>3.4216666666666669</v>
      </c>
      <c r="C31" s="49">
        <v>37316</v>
      </c>
      <c r="D31">
        <v>3.1120000000000001</v>
      </c>
      <c r="E31" s="58">
        <v>-3.4999999999999698E-2</v>
      </c>
      <c r="H31">
        <v>3.4220000000000002</v>
      </c>
      <c r="I31">
        <v>3.3029999999999999</v>
      </c>
      <c r="J31">
        <v>-0.17099999999999982</v>
      </c>
      <c r="M31">
        <v>105000</v>
      </c>
      <c r="O31" s="48">
        <v>37068</v>
      </c>
      <c r="P31">
        <v>25000</v>
      </c>
    </row>
    <row r="32" spans="1:16" x14ac:dyDescent="0.25">
      <c r="C32" s="49">
        <v>37347</v>
      </c>
      <c r="D32">
        <v>3.0569999999999999</v>
      </c>
      <c r="E32" s="58">
        <v>-5.500000000000016E-2</v>
      </c>
      <c r="H32">
        <v>3.3940000000000001</v>
      </c>
      <c r="I32">
        <v>3.28</v>
      </c>
      <c r="J32">
        <v>-0.13300000000000001</v>
      </c>
      <c r="O32" s="48">
        <v>37069</v>
      </c>
      <c r="P32">
        <v>25000</v>
      </c>
    </row>
    <row r="33" spans="3:16" x14ac:dyDescent="0.25">
      <c r="C33" s="49">
        <v>37377</v>
      </c>
      <c r="D33">
        <v>3.0920000000000001</v>
      </c>
      <c r="E33" s="58">
        <v>3.5000000000000142E-2</v>
      </c>
      <c r="H33">
        <v>3.3250000000000002</v>
      </c>
      <c r="I33">
        <v>3.2149999999999999</v>
      </c>
      <c r="J33">
        <v>-0.10299999999999976</v>
      </c>
      <c r="O33" s="48">
        <v>37070</v>
      </c>
      <c r="P33">
        <v>25000</v>
      </c>
    </row>
    <row r="34" spans="3:16" x14ac:dyDescent="0.25">
      <c r="C34" s="49">
        <v>37408</v>
      </c>
      <c r="D34">
        <v>3.137</v>
      </c>
      <c r="E34" s="58">
        <v>4.4999999999999929E-2</v>
      </c>
      <c r="F34" s="93">
        <v>3.0877500000000002</v>
      </c>
      <c r="G34">
        <v>0.12775000000000025</v>
      </c>
      <c r="H34">
        <v>3.2320000000000002</v>
      </c>
      <c r="I34">
        <v>3.125</v>
      </c>
      <c r="J34">
        <v>-6.800000000000006E-2</v>
      </c>
      <c r="L34">
        <v>122</v>
      </c>
      <c r="O34" s="48">
        <v>37071</v>
      </c>
      <c r="P34">
        <v>25000</v>
      </c>
    </row>
    <row r="35" spans="3:16" x14ac:dyDescent="0.25">
      <c r="C35" s="49">
        <v>37438</v>
      </c>
      <c r="D35">
        <v>3.177</v>
      </c>
      <c r="E35" s="58">
        <v>0.04</v>
      </c>
      <c r="F35" s="62"/>
      <c r="H35">
        <v>3.2519999999999998</v>
      </c>
      <c r="I35">
        <v>3.15</v>
      </c>
      <c r="J35">
        <v>-5.7999999999999829E-2</v>
      </c>
      <c r="O35" s="48">
        <v>37072</v>
      </c>
      <c r="P35">
        <v>25000</v>
      </c>
    </row>
    <row r="36" spans="3:16" x14ac:dyDescent="0.25">
      <c r="C36" s="49">
        <v>37469</v>
      </c>
      <c r="D36">
        <v>3.2170000000000001</v>
      </c>
      <c r="E36" s="58">
        <v>0.04</v>
      </c>
      <c r="F36" s="62"/>
      <c r="H36">
        <v>3.2850000000000001</v>
      </c>
      <c r="I36">
        <v>3.1850000000000001</v>
      </c>
      <c r="J36">
        <v>-4.8000000000000043E-2</v>
      </c>
      <c r="L36" t="s">
        <v>52</v>
      </c>
      <c r="P36">
        <v>25000</v>
      </c>
    </row>
    <row r="37" spans="3:16" x14ac:dyDescent="0.25">
      <c r="C37" s="49">
        <v>37500</v>
      </c>
      <c r="D37">
        <v>3.222</v>
      </c>
      <c r="E37" s="58">
        <v>4.9999999999998934E-3</v>
      </c>
      <c r="F37" s="62"/>
      <c r="H37">
        <v>3.3250000000000002</v>
      </c>
      <c r="I37">
        <v>3.2250000000000001</v>
      </c>
      <c r="J37">
        <v>-4.8000000000000043E-2</v>
      </c>
    </row>
    <row r="38" spans="3:16" x14ac:dyDescent="0.25">
      <c r="C38" s="49">
        <v>37530</v>
      </c>
      <c r="D38">
        <v>3.262</v>
      </c>
      <c r="E38" s="58">
        <v>0.04</v>
      </c>
      <c r="F38" s="62"/>
      <c r="H38">
        <v>3.3620000000000001</v>
      </c>
      <c r="I38">
        <v>3.262</v>
      </c>
      <c r="J38">
        <v>-4.4999999999999929E-2</v>
      </c>
    </row>
    <row r="39" spans="3:16" x14ac:dyDescent="0.25">
      <c r="C39" s="49">
        <v>37561</v>
      </c>
      <c r="D39">
        <v>3.4590000000000001</v>
      </c>
      <c r="E39" s="58">
        <v>0.19700000000000006</v>
      </c>
      <c r="F39" s="62"/>
      <c r="H39">
        <v>3.36</v>
      </c>
      <c r="I39">
        <v>3.26</v>
      </c>
      <c r="J39">
        <v>-3.7999999999999812E-2</v>
      </c>
    </row>
    <row r="40" spans="3:16" x14ac:dyDescent="0.25">
      <c r="C40" s="49">
        <v>37591</v>
      </c>
      <c r="D40">
        <v>3.6539999999999999</v>
      </c>
      <c r="E40" s="58">
        <v>0.19500000000000001</v>
      </c>
      <c r="F40" s="93">
        <v>3.1662857142857144</v>
      </c>
      <c r="G40" s="62">
        <v>7.8535714285714153E-2</v>
      </c>
      <c r="H40">
        <v>3.3719999999999999</v>
      </c>
      <c r="I40">
        <v>3.2719999999999998</v>
      </c>
      <c r="J40">
        <v>-9.9999999999997868E-3</v>
      </c>
    </row>
    <row r="41" spans="3:16" x14ac:dyDescent="0.25">
      <c r="C41" s="49"/>
      <c r="E41" s="58"/>
      <c r="H41">
        <v>3.532</v>
      </c>
      <c r="I41">
        <v>3.4319999999999999</v>
      </c>
      <c r="J41">
        <v>2.7000000000000135E-2</v>
      </c>
    </row>
    <row r="42" spans="3:16" x14ac:dyDescent="0.25">
      <c r="C42" s="49"/>
      <c r="E42" s="58"/>
      <c r="F42" s="83">
        <v>3.2223333333333337</v>
      </c>
      <c r="G42" s="44">
        <v>0.1345833333333335</v>
      </c>
      <c r="H42">
        <v>3.6949999999999998</v>
      </c>
      <c r="I42">
        <v>3.5950000000000002</v>
      </c>
      <c r="J42">
        <v>5.8999999999999719E-2</v>
      </c>
    </row>
    <row r="43" spans="3:16" x14ac:dyDescent="0.25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>
        <v>23.75</v>
      </c>
      <c r="C3" s="3">
        <v>3.29</v>
      </c>
      <c r="D3" s="4">
        <f t="shared" ref="D3:D25" si="0">B3*C3*10000</f>
        <v>781375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23.75</v>
      </c>
      <c r="C4" s="3">
        <v>3.3</v>
      </c>
      <c r="D4" s="4">
        <f t="shared" si="0"/>
        <v>783750</v>
      </c>
      <c r="E4" s="5"/>
      <c r="F4" s="9"/>
      <c r="G4" s="3"/>
      <c r="H4" s="10">
        <f t="shared" si="1"/>
        <v>0</v>
      </c>
      <c r="J4" s="23">
        <f>F37</f>
        <v>-19724.999999999847</v>
      </c>
      <c r="K4" s="11"/>
      <c r="L4" s="5" t="s">
        <v>20</v>
      </c>
    </row>
    <row r="5" spans="1:13" x14ac:dyDescent="0.2">
      <c r="B5" s="8">
        <v>15.5</v>
      </c>
      <c r="C5" s="3">
        <v>3.31</v>
      </c>
      <c r="D5" s="4">
        <f t="shared" si="0"/>
        <v>513050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-19724.999999999847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-63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63</v>
      </c>
      <c r="C27" s="18">
        <f>IF(B27=0, 0, D27/B27/10000)</f>
        <v>3.2986904761904765</v>
      </c>
      <c r="D27" s="4">
        <f>SUM(D2:D26)</f>
        <v>2078175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-63</v>
      </c>
      <c r="G29" s="6">
        <f>IF(F29&lt;0,C27,G27)</f>
        <v>3.2986904761904765</v>
      </c>
      <c r="H29" s="21">
        <f>IF(F29&lt;0, (G29-C31)*ABS(F29)*10000, -1*(G29-C31)*ABS(F29)*10000)</f>
        <v>-19724.999999999847</v>
      </c>
      <c r="J29" s="28"/>
      <c r="K29" s="29"/>
      <c r="L29" s="29"/>
      <c r="M29" s="5"/>
      <c r="N29" s="5"/>
    </row>
    <row r="30" spans="2:14" x14ac:dyDescent="0.2">
      <c r="F30" s="22">
        <f>-B27+F27</f>
        <v>-63</v>
      </c>
      <c r="G30" s="6">
        <f>IF(F30&lt;0, (C27+(J26/(ABS(F30)*10000))), IF(F30 = 0, 0, (G27-(J26/(ABS(F30)*10000)))))</f>
        <v>3.2986904761904765</v>
      </c>
      <c r="H30" s="21">
        <f>IF(F30&lt;0, (G30-C31)*ABS(F30)*10000, IF(F30 = 0, 0, -1*(G30-C31)*ABS(F30)*10000))</f>
        <v>-19724.999999999847</v>
      </c>
      <c r="J30" s="28"/>
      <c r="K30" s="29"/>
      <c r="L30" s="29"/>
      <c r="M30" s="5"/>
      <c r="N30" s="5"/>
    </row>
    <row r="31" spans="2:14" x14ac:dyDescent="0.2">
      <c r="C31" s="6">
        <v>3.33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-19724.999999999847</v>
      </c>
      <c r="G34" s="1"/>
      <c r="H34" s="1" t="s">
        <v>1</v>
      </c>
    </row>
    <row r="35" spans="1:8" x14ac:dyDescent="0.2">
      <c r="A35" s="7"/>
      <c r="B35" s="26"/>
      <c r="F35" s="23">
        <f>$H$30</f>
        <v>-19724.999999999847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-19724.999999999847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C5" sqref="C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6640625" style="6" bestFit="1" customWidth="1"/>
    <col min="14" max="16384" width="9.10937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31.5</v>
      </c>
      <c r="G2" s="27">
        <v>2.7</v>
      </c>
      <c r="H2" s="34"/>
      <c r="J2" s="35">
        <f>IF(F2&lt;1,(C2-C31)*(B2*10000),(C31-G2)*(F2*10000))</f>
        <v>-1.3988810110276972E-10</v>
      </c>
      <c r="L2" s="7" t="s">
        <v>15</v>
      </c>
    </row>
    <row r="3" spans="1:18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-3428.5714285714316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-7200.0000000000664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>
        <v>4.5</v>
      </c>
      <c r="C5" s="3">
        <v>2.54</v>
      </c>
      <c r="D5" s="4">
        <f t="shared" si="0"/>
        <v>114300</v>
      </c>
      <c r="E5" s="5"/>
      <c r="F5" s="9">
        <v>18</v>
      </c>
      <c r="G5" s="3">
        <v>2.7</v>
      </c>
      <c r="H5" s="10">
        <f t="shared" si="1"/>
        <v>486000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-7200.0000000002065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2.1428571428571428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6.4285714285714288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4.5</v>
      </c>
      <c r="C27" s="18">
        <f>IF(B27=0, 0, D27/B27/10000)</f>
        <v>2.54</v>
      </c>
      <c r="D27" s="4">
        <f>SUM(D2:D26)</f>
        <v>114300</v>
      </c>
      <c r="F27" s="9">
        <f>SUM(F3:F26)</f>
        <v>18</v>
      </c>
      <c r="G27" s="3">
        <f>IF(F27=0, 0, H27/F27/10000)</f>
        <v>2.7</v>
      </c>
      <c r="H27" s="10">
        <f>SUM(H2:H26)</f>
        <v>486000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13.5</v>
      </c>
      <c r="G29" s="6">
        <f>IF(F29&lt;0,C27,G27)</f>
        <v>2.7</v>
      </c>
      <c r="H29" s="21">
        <f>IF(F29&lt;0, (G29-C31)*ABS(F29)*10000, -1*(G29-C31)*ABS(F29)*10000)</f>
        <v>-5.9952043329758453E-11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3.2" x14ac:dyDescent="0.25">
      <c r="C30" s="6">
        <f>POSTION!I11</f>
        <v>2.54</v>
      </c>
      <c r="D30" s="16" t="s">
        <v>14</v>
      </c>
      <c r="F30" s="22">
        <f>-B27+F27</f>
        <v>13.5</v>
      </c>
      <c r="G30" s="6">
        <f>IF(F30&lt;0, (C27+(J26/(ABS(F30)*10000))), IF(F30 = 0, 0, (G27-(J26/(ABS(F30)*10000)))))</f>
        <v>2.7</v>
      </c>
      <c r="H30" s="21">
        <f>IF(F30&lt;0, (G30-C31)*ABS(F30)*10000, IF(F30 = 0, 0, -1*(G30-C31)*ABS(F30)*10000))</f>
        <v>-5.9952043329758453E-11</v>
      </c>
      <c r="J30" s="28"/>
      <c r="K30" s="29"/>
      <c r="L30" s="81">
        <f>POSTION!D22</f>
        <v>-24.75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2.6999999999999997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-7200.0000000000064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-5.9952043329758453E-11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-5.9952043329758453E-11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-7200.0000000000664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2" sqref="G1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>
        <v>21</v>
      </c>
      <c r="C2" s="27">
        <v>2.68</v>
      </c>
      <c r="D2" s="32"/>
      <c r="E2" s="5"/>
      <c r="F2" s="33"/>
      <c r="G2" s="27"/>
      <c r="H2" s="34"/>
      <c r="J2" s="35">
        <f>IF(F2&lt;1,(C2-C37)*(B2*10000),(C37-G2)*(F2*10000))</f>
        <v>2100.0000000000487</v>
      </c>
      <c r="L2" s="7" t="s">
        <v>15</v>
      </c>
    </row>
    <row r="3" spans="1:13" x14ac:dyDescent="0.2">
      <c r="A3" s="6">
        <f>POSTION!$E$24</f>
        <v>21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3900.00000000001</v>
      </c>
      <c r="L3" s="12" t="s">
        <v>17</v>
      </c>
    </row>
    <row r="4" spans="1:13" x14ac:dyDescent="0.2">
      <c r="B4" s="91"/>
      <c r="C4" s="3"/>
      <c r="D4" s="4">
        <f t="shared" si="0"/>
        <v>0</v>
      </c>
      <c r="E4" s="5"/>
      <c r="F4" s="9">
        <v>21</v>
      </c>
      <c r="G4" s="3">
        <v>2.63</v>
      </c>
      <c r="H4" s="10">
        <f t="shared" si="1"/>
        <v>552300</v>
      </c>
      <c r="J4" s="23">
        <f>F43</f>
        <v>-3675.0000000002019</v>
      </c>
      <c r="K4" s="11"/>
      <c r="L4" s="5" t="s">
        <v>20</v>
      </c>
    </row>
    <row r="5" spans="1:13" x14ac:dyDescent="0.2">
      <c r="B5" s="91">
        <v>21</v>
      </c>
      <c r="C5" s="3">
        <v>2.64</v>
      </c>
      <c r="D5" s="4">
        <f t="shared" si="0"/>
        <v>554400</v>
      </c>
      <c r="E5" s="5"/>
      <c r="F5" s="9">
        <v>10.5</v>
      </c>
      <c r="G5" s="3">
        <v>2.63</v>
      </c>
      <c r="H5" s="10">
        <f t="shared" si="1"/>
        <v>276150</v>
      </c>
      <c r="J5" s="11"/>
      <c r="K5" s="14"/>
      <c r="L5" s="5"/>
    </row>
    <row r="6" spans="1:13" ht="10.8" thickBot="1" x14ac:dyDescent="0.25">
      <c r="B6" s="8">
        <v>21</v>
      </c>
      <c r="C6" s="3">
        <v>2.65</v>
      </c>
      <c r="D6" s="4">
        <f t="shared" si="0"/>
        <v>556500</v>
      </c>
      <c r="E6" s="5"/>
      <c r="F6" s="9">
        <v>10.5</v>
      </c>
      <c r="G6" s="3">
        <v>2.6349999999999998</v>
      </c>
      <c r="H6" s="10">
        <f t="shared" si="1"/>
        <v>276674.99999999994</v>
      </c>
      <c r="J6" s="42">
        <f>J2+J4</f>
        <v>-1575.0000000001532</v>
      </c>
      <c r="K6" s="14"/>
      <c r="L6" s="5" t="s">
        <v>21</v>
      </c>
    </row>
    <row r="7" spans="1:13" ht="10.8" thickTop="1" x14ac:dyDescent="0.2">
      <c r="B7" s="8">
        <v>21</v>
      </c>
      <c r="C7" s="3">
        <v>2.65</v>
      </c>
      <c r="D7" s="4">
        <f t="shared" si="0"/>
        <v>556500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>
        <v>10.5</v>
      </c>
      <c r="C8" s="3">
        <v>2.59</v>
      </c>
      <c r="D8" s="4">
        <f t="shared" si="0"/>
        <v>271950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>
        <v>21</v>
      </c>
      <c r="C9" s="3">
        <v>2.625</v>
      </c>
      <c r="D9" s="4">
        <f t="shared" si="0"/>
        <v>551250</v>
      </c>
      <c r="E9" s="5"/>
      <c r="F9" s="9"/>
      <c r="G9" s="3"/>
      <c r="H9" s="10">
        <f t="shared" si="1"/>
        <v>0</v>
      </c>
      <c r="J9" s="39">
        <f>F36-B2+F2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-3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>
        <v>10.5</v>
      </c>
      <c r="G11" s="3">
        <v>2.5499999999999998</v>
      </c>
      <c r="H11" s="10">
        <f t="shared" si="1"/>
        <v>267750</v>
      </c>
      <c r="J11" s="41">
        <f>J9</f>
        <v>-63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-9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9"/>
      <c r="C21" s="90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3.2" x14ac:dyDescent="0.25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2">
        <f>POSTION!D22</f>
        <v>-24.75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-42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6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94.5</v>
      </c>
      <c r="C33" s="18">
        <f>IF(B33=0, 0, D33/B33/10000)</f>
        <v>2.6355555555555554</v>
      </c>
      <c r="D33" s="4">
        <f>SUM(D2:D32)</f>
        <v>2490600</v>
      </c>
      <c r="F33" s="9">
        <f>SUM(F3:F32)</f>
        <v>52.5</v>
      </c>
      <c r="G33" s="3">
        <f>IF(F33=0, 0, H33/F33/10000)</f>
        <v>2.6150000000000002</v>
      </c>
      <c r="H33" s="10">
        <f>SUM(H2:H32)</f>
        <v>1372875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-42</v>
      </c>
      <c r="G35" s="6">
        <f>IF(F35&lt;0,C33,G33)</f>
        <v>2.6355555555555554</v>
      </c>
      <c r="H35" s="21">
        <f>IF(F35&lt;0, (G35-C37)*ABS(F35)*10000, -1*(G35-C37)*ABS(F35)*10000)</f>
        <v>-14466.66666666669</v>
      </c>
      <c r="M35" s="5"/>
      <c r="N35" s="5"/>
    </row>
    <row r="36" spans="1:14" x14ac:dyDescent="0.2">
      <c r="C36" s="6">
        <f>POSTION!I12</f>
        <v>2.5499999999999998</v>
      </c>
      <c r="D36" s="16" t="s">
        <v>14</v>
      </c>
      <c r="F36" s="22">
        <f>-B33+F33</f>
        <v>-42</v>
      </c>
      <c r="G36" s="6">
        <f>IF(F36&lt;0, (C33+(J29/(ABS(F36)*10000))), IF(F36 = 0, 0, (G33-(J29/(ABS(F36)*10000)))))</f>
        <v>2.6355555555555554</v>
      </c>
      <c r="H36" s="21">
        <f>IF(F36&lt;0, (G36-C37)*ABS(F36)*10000, IF(F36 = 0, 0, -1*(G36-C37)*ABS(F36)*10000))</f>
        <v>-14466.66666666669</v>
      </c>
    </row>
    <row r="37" spans="1:14" x14ac:dyDescent="0.2">
      <c r="C37" s="6">
        <f>POSTION!B12</f>
        <v>2.67</v>
      </c>
      <c r="D37" s="16" t="s">
        <v>13</v>
      </c>
    </row>
    <row r="38" spans="1:14" x14ac:dyDescent="0.2">
      <c r="A38" s="7"/>
      <c r="F38" s="19">
        <f>MIN($B$33,$F$33)*($C$33-$G$33)*10000</f>
        <v>10791.666666666488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-14466.66666666669</v>
      </c>
      <c r="G40" s="1"/>
      <c r="H40" s="1" t="s">
        <v>1</v>
      </c>
    </row>
    <row r="41" spans="1:14" x14ac:dyDescent="0.2">
      <c r="B41" s="26"/>
      <c r="F41" s="23">
        <f>$H$36</f>
        <v>-14466.66666666669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-3675.0000000002019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21</v>
      </c>
      <c r="G2" s="27">
        <v>2.4049999999999998</v>
      </c>
      <c r="H2" s="34"/>
      <c r="J2" s="35">
        <f>IF(F2&lt;1,(C2-C31)*(B2*10000),(C31-G2)*(F2*10000))</f>
        <v>9449.9999999999854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-471.42857142856894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-2999.9999999999895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>
        <v>3</v>
      </c>
      <c r="C6" s="3">
        <v>2.35</v>
      </c>
      <c r="D6" s="4">
        <f t="shared" si="0"/>
        <v>70500</v>
      </c>
      <c r="E6" s="5"/>
      <c r="F6" s="9"/>
      <c r="G6" s="3"/>
      <c r="H6" s="10">
        <f t="shared" si="1"/>
        <v>0</v>
      </c>
      <c r="J6" s="42">
        <f>J2+J4</f>
        <v>6449.9999999999964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18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0.8571428571428571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18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2.5714285714285712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</v>
      </c>
      <c r="C27" s="18">
        <f>IF(B27=0, 0, D27/B27/10000)</f>
        <v>2.35</v>
      </c>
      <c r="D27" s="4">
        <f>SUM(D2:D26)</f>
        <v>70500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ht="13.2" x14ac:dyDescent="0.25">
      <c r="J28" s="28"/>
      <c r="K28" s="29"/>
      <c r="L28" s="81">
        <f>POSTION!D22</f>
        <v>-24.75</v>
      </c>
      <c r="M28" s="5"/>
      <c r="N28" s="5"/>
    </row>
    <row r="29" spans="2:14" x14ac:dyDescent="0.2">
      <c r="F29" s="20">
        <f>-B27+F27</f>
        <v>-3</v>
      </c>
      <c r="G29" s="6">
        <f>IF(F29&lt;0,C27,G27)</f>
        <v>2.35</v>
      </c>
      <c r="H29" s="21">
        <f>IF(F29&lt;0, (G29-C31)*ABS(F29)*10000, -1*(G29-C31)*ABS(F29)*10000)</f>
        <v>-2999.9999999999895</v>
      </c>
      <c r="J29" s="28"/>
      <c r="K29" s="29"/>
      <c r="L29" s="29"/>
      <c r="M29" s="5"/>
      <c r="N29" s="5"/>
    </row>
    <row r="30" spans="2:14" x14ac:dyDescent="0.2">
      <c r="C30" s="6">
        <f>POSTION!I14</f>
        <v>2.35</v>
      </c>
      <c r="D30" s="16" t="s">
        <v>14</v>
      </c>
      <c r="F30" s="22">
        <f>-B27+F27</f>
        <v>-3</v>
      </c>
      <c r="G30" s="6">
        <f>IF(F30&lt;0, (C27+(J26/(ABS(F30)*10000))), IF(F30 = 0, 0, (G27-(J26/(ABS(F30)*10000)))))</f>
        <v>2.35</v>
      </c>
      <c r="H30" s="21">
        <f>IF(F30&lt;0, (G30-C31)*ABS(F30)*10000, IF(F30 = 0, 0, -1*(G30-C31)*ABS(F30)*10000))</f>
        <v>-2999.9999999999895</v>
      </c>
      <c r="J30" s="28"/>
      <c r="K30" s="29"/>
      <c r="L30" s="29"/>
      <c r="M30" s="5"/>
      <c r="N30" s="5"/>
    </row>
    <row r="31" spans="2:14" x14ac:dyDescent="0.2">
      <c r="C31" s="6">
        <f>POSTION!B14</f>
        <v>2.4499999999999997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-2999.9999999999895</v>
      </c>
      <c r="G34" s="1"/>
      <c r="H34" s="1" t="s">
        <v>1</v>
      </c>
    </row>
    <row r="35" spans="1:8" x14ac:dyDescent="0.2">
      <c r="A35" s="7"/>
      <c r="B35" s="26"/>
      <c r="F35" s="23">
        <f>$H$30</f>
        <v>-2999.9999999999895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-2999.9999999999895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POSTION!I15</f>
        <v>2.4849999999999999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POSTION!B15</f>
        <v>2.4849999999999999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48</v>
      </c>
      <c r="C2" s="27">
        <v>2.96</v>
      </c>
      <c r="D2" s="32"/>
      <c r="E2" s="5"/>
      <c r="F2" s="33"/>
      <c r="G2" s="27"/>
      <c r="H2" s="34"/>
      <c r="J2" s="35">
        <f>IF(F2&lt;1,(C2-C31)*(B2*10000),(C31-G2)*(F2*10000))</f>
        <v>16800.000000000069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2.97</v>
      </c>
      <c r="H3" s="10">
        <f t="shared" ref="H3:H25" si="1">F3*G3*10000</f>
        <v>1381050.0000000002</v>
      </c>
      <c r="J3" s="36"/>
      <c r="L3" s="12" t="s">
        <v>17</v>
      </c>
    </row>
    <row r="4" spans="1:14" x14ac:dyDescent="0.2">
      <c r="B4" s="8">
        <v>31</v>
      </c>
      <c r="C4" s="3">
        <v>2.875</v>
      </c>
      <c r="D4" s="4">
        <f t="shared" si="0"/>
        <v>891250</v>
      </c>
      <c r="E4" s="5"/>
      <c r="F4" s="9"/>
      <c r="G4" s="3"/>
      <c r="H4" s="10">
        <f t="shared" si="1"/>
        <v>0</v>
      </c>
      <c r="J4" s="23">
        <f>F37</f>
        <v>-36425.000000000116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-19625.000000000047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-32.5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-32.5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31</v>
      </c>
      <c r="C27" s="18">
        <f>IF(B27=0, 0, D27/B27/10000)</f>
        <v>2.875</v>
      </c>
      <c r="D27" s="4">
        <f>SUM(D2:D26)</f>
        <v>891250</v>
      </c>
      <c r="F27" s="9">
        <f>SUM(F3:F26)</f>
        <v>46.5</v>
      </c>
      <c r="G27" s="3">
        <f>IF(F27=0, 0, H27/F27/10000)</f>
        <v>2.97</v>
      </c>
      <c r="H27" s="10">
        <f>SUM(H2:H26)</f>
        <v>1381050.0000000002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2.8574999999999999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15.5</v>
      </c>
      <c r="G29" s="6">
        <f>IF(F29&lt;0,C27,G27)</f>
        <v>2.97</v>
      </c>
      <c r="H29" s="21">
        <f>IF(F29&lt;0, (G29-C31)*ABS(F29)*10000, -1*(G29-C31)*ABS(F29)*10000)</f>
        <v>-6975.0000000000582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15.5</v>
      </c>
      <c r="G30" s="6">
        <f>IF(F30&lt;0, (C27+(J26/(ABS(F30)*10000))), IF(F30 = 0, 0, (G27-(J26/(ABS(F30)*10000)))))</f>
        <v>2.97</v>
      </c>
      <c r="H30" s="21">
        <f>IF(F30&lt;0, (G30-C31)*ABS(F30)*10000, IF(F30 = 0, 0, -1*(G30-C31)*ABS(F30)*10000))</f>
        <v>-6975.0000000000582</v>
      </c>
      <c r="J30" s="28"/>
      <c r="K30" s="29"/>
      <c r="L30" s="29"/>
      <c r="M30" s="5"/>
      <c r="N30" s="5"/>
    </row>
    <row r="31" spans="2:14" x14ac:dyDescent="0.2">
      <c r="C31" s="73">
        <f>POSTION!B4</f>
        <v>2.9249999999999998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-29450.000000000062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-6975.0000000000582</v>
      </c>
      <c r="G34" s="1"/>
      <c r="H34" s="1" t="s">
        <v>1</v>
      </c>
    </row>
    <row r="35" spans="1:13" x14ac:dyDescent="0.2">
      <c r="A35" s="7"/>
      <c r="B35" s="26"/>
      <c r="F35" s="23">
        <f>$H$30</f>
        <v>-6975.0000000000582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-36425.000000000116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38.75</v>
      </c>
      <c r="G3" s="3">
        <v>3.1274999999999999</v>
      </c>
      <c r="H3" s="10">
        <f t="shared" ref="H3:H25" si="1">F3*G3*10000</f>
        <v>1211906.25</v>
      </c>
      <c r="J3" s="36"/>
      <c r="L3" s="12" t="s">
        <v>17</v>
      </c>
    </row>
    <row r="4" spans="1:14" x14ac:dyDescent="0.2">
      <c r="B4" s="8">
        <v>31</v>
      </c>
      <c r="C4" s="3">
        <v>3.1175000000000002</v>
      </c>
      <c r="D4" s="4">
        <f t="shared" si="0"/>
        <v>966425</v>
      </c>
      <c r="E4" s="5"/>
      <c r="F4" s="9"/>
      <c r="G4" s="3"/>
      <c r="H4" s="10">
        <f t="shared" si="1"/>
        <v>0</v>
      </c>
      <c r="J4" s="23">
        <f>F37</f>
        <v>-4843.7499999999309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-4843.7499999999309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7.75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7.75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31</v>
      </c>
      <c r="C27" s="18">
        <f>IF(B27=0, 0, D27/B27/10000)</f>
        <v>3.1175000000000002</v>
      </c>
      <c r="D27" s="4">
        <f>SUM(D2:D26)</f>
        <v>966425</v>
      </c>
      <c r="F27" s="9">
        <f>SUM(F3:F26)</f>
        <v>38.75</v>
      </c>
      <c r="G27" s="3">
        <f>IF(F27=0, 0, H27/F27/10000)</f>
        <v>3.1274999999999999</v>
      </c>
      <c r="H27" s="10">
        <f>SUM(H2:H26)</f>
        <v>1211906.25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7.75</v>
      </c>
      <c r="G29" s="6">
        <f>IF(F29&lt;0,C27,G27)</f>
        <v>3.1274999999999999</v>
      </c>
      <c r="H29" s="21">
        <f>IF(F29&lt;0, (G29-C31)*ABS(F29)*10000, -1*(G29-C31)*ABS(F29)*10000)</f>
        <v>-1743.7499999999973</v>
      </c>
      <c r="J29" s="28"/>
      <c r="K29" s="29"/>
      <c r="L29" s="29"/>
      <c r="M29" s="5"/>
      <c r="N29" s="5"/>
    </row>
    <row r="30" spans="2:14" x14ac:dyDescent="0.2">
      <c r="F30" s="22">
        <f>-B27+F27</f>
        <v>7.75</v>
      </c>
      <c r="G30" s="6">
        <f>IF(F30&lt;0, (C27+(J26/(ABS(F30)*10000))), IF(F30 = 0, 0, (G27-(J26/(ABS(F30)*10000)))))</f>
        <v>3.1274999999999999</v>
      </c>
      <c r="H30" s="21">
        <f>IF(F30&lt;0, (G30-C31)*ABS(F30)*10000, IF(F30 = 0, 0, -1*(G30-C31)*ABS(F30)*10000))</f>
        <v>-1743.7499999999973</v>
      </c>
      <c r="J30" s="28"/>
      <c r="K30" s="29"/>
      <c r="L30" s="29"/>
      <c r="M30" s="5"/>
      <c r="N30" s="5"/>
    </row>
    <row r="31" spans="2:14" x14ac:dyDescent="0.2">
      <c r="C31" s="6">
        <f>POSTION!B5</f>
        <v>3.105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-3099.9999999999341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-1743.7499999999973</v>
      </c>
      <c r="G34" s="1"/>
      <c r="H34" s="1" t="s">
        <v>1</v>
      </c>
    </row>
    <row r="35" spans="1:8" x14ac:dyDescent="0.2">
      <c r="A35" s="7"/>
      <c r="B35" s="26"/>
      <c r="F35" s="23">
        <f>$H$30</f>
        <v>-1743.7499999999973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-4843.7499999999309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cp:lastPrinted>2001-07-24T16:55:32Z</cp:lastPrinted>
  <dcterms:created xsi:type="dcterms:W3CDTF">2001-06-05T02:27:59Z</dcterms:created>
  <dcterms:modified xsi:type="dcterms:W3CDTF">2023-09-10T15:28:06Z</dcterms:modified>
</cp:coreProperties>
</file>