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32" yWindow="60" windowWidth="14160" windowHeight="7176" tabRatio="804" firstSheet="2" activeTab="10"/>
  </bookViews>
  <sheets>
    <sheet name="Cert Nov-00" sheetId="11" r:id="rId1"/>
    <sheet name="Cert Dec-00" sheetId="13" r:id="rId2"/>
    <sheet name="Cert Jan-01" sheetId="17" r:id="rId3"/>
    <sheet name="Cert Feb-01" sheetId="22" r:id="rId4"/>
    <sheet name="Cert Mar-01" sheetId="25" r:id="rId5"/>
    <sheet name="Cert Apr-01" sheetId="26" r:id="rId6"/>
    <sheet name="Cert May-01" sheetId="28" r:id="rId7"/>
    <sheet name="Cert Jun-01" sheetId="31" r:id="rId8"/>
    <sheet name="Cert Jul-01 " sheetId="33" r:id="rId9"/>
    <sheet name="Cert Aug-01" sheetId="35" r:id="rId10"/>
    <sheet name="Certification" sheetId="15" r:id="rId11"/>
  </sheets>
  <externalReferences>
    <externalReference r:id="rId12"/>
  </externalReferences>
  <definedNames>
    <definedName name="_MARKET_AP">[1]Summary!$F$8</definedName>
    <definedName name="_MARKET_SHORTFALL">[1]Summary!$F$12</definedName>
    <definedName name="database_apr01">#REF!</definedName>
    <definedName name="database_dec">#REF!</definedName>
    <definedName name="database_feb01">#REF!</definedName>
    <definedName name="database_jan01">#REF!</definedName>
    <definedName name="database_jun01">#REF!</definedName>
    <definedName name="database_mar01">#REF!</definedName>
    <definedName name="database_may01">#REF!</definedName>
    <definedName name="database_nov">#REF!</definedName>
    <definedName name="_xlnm.Print_Area" localSheetId="5">'Cert Apr-01'!$A$1:$G$108</definedName>
    <definedName name="_xlnm.Print_Area" localSheetId="9">'Cert Aug-01'!$A$1:$G$95</definedName>
    <definedName name="_xlnm.Print_Area" localSheetId="1">'Cert Dec-00'!$A$1:$G$93</definedName>
    <definedName name="_xlnm.Print_Area" localSheetId="3">'Cert Feb-01'!$A$1:$G$119</definedName>
    <definedName name="_xlnm.Print_Area" localSheetId="2">'Cert Jan-01'!$A$1:$G$98</definedName>
    <definedName name="_xlnm.Print_Area" localSheetId="8">'Cert Jul-01 '!$A$1:$G$94</definedName>
    <definedName name="_xlnm.Print_Area" localSheetId="7">'Cert Jun-01'!$A$1:$G$115</definedName>
    <definedName name="_xlnm.Print_Area" localSheetId="4">'Cert Mar-01'!$A$1:$G$123</definedName>
    <definedName name="_xlnm.Print_Area" localSheetId="6">'Cert May-01'!$A$1:$G$113</definedName>
    <definedName name="_xlnm.Print_Area" localSheetId="0">'Cert Nov-00'!$A$1:$G$84</definedName>
  </definedNames>
  <calcPr calcId="92512"/>
</workbook>
</file>

<file path=xl/calcChain.xml><?xml version="1.0" encoding="utf-8"?>
<calcChain xmlns="http://schemas.openxmlformats.org/spreadsheetml/2006/main">
  <c r="G8" i="26" l="1"/>
  <c r="G15" i="26"/>
  <c r="G16" i="26"/>
  <c r="G17" i="26"/>
  <c r="G18" i="26"/>
  <c r="G19" i="26"/>
  <c r="G20" i="26"/>
  <c r="G21" i="26"/>
  <c r="G22" i="26"/>
  <c r="G23" i="26"/>
  <c r="I23" i="26"/>
  <c r="G24" i="26"/>
  <c r="G25" i="26"/>
  <c r="F26" i="26"/>
  <c r="G26" i="26"/>
  <c r="G27" i="26"/>
  <c r="G28" i="26"/>
  <c r="F29" i="26"/>
  <c r="G29" i="26"/>
  <c r="G30" i="26"/>
  <c r="G31" i="26"/>
  <c r="G32" i="26"/>
  <c r="G33" i="26"/>
  <c r="G34" i="26"/>
  <c r="G35" i="26"/>
  <c r="G36" i="26"/>
  <c r="G37" i="26"/>
  <c r="F38" i="26"/>
  <c r="G38" i="26"/>
  <c r="G39" i="26"/>
  <c r="G40" i="26"/>
  <c r="G41" i="26"/>
  <c r="G42" i="26"/>
  <c r="G43" i="26"/>
  <c r="G44" i="26"/>
  <c r="G45" i="26"/>
  <c r="I45" i="26"/>
  <c r="F47" i="26"/>
  <c r="G47" i="26"/>
  <c r="B52" i="26"/>
  <c r="B54" i="26"/>
  <c r="G59" i="26"/>
  <c r="G60" i="26"/>
  <c r="F61" i="26"/>
  <c r="G61" i="26"/>
  <c r="F64" i="26"/>
  <c r="F66" i="26"/>
  <c r="G66" i="26"/>
  <c r="F69" i="26"/>
  <c r="F70" i="26"/>
  <c r="F71" i="26"/>
  <c r="F73" i="26"/>
  <c r="F76" i="26"/>
  <c r="G76" i="26"/>
  <c r="F78" i="26"/>
  <c r="G78" i="26"/>
  <c r="I78" i="26"/>
  <c r="F80" i="26"/>
  <c r="G80" i="26"/>
  <c r="I80" i="26"/>
  <c r="G85" i="26"/>
  <c r="G86" i="26"/>
  <c r="F87" i="26"/>
  <c r="G87" i="26"/>
  <c r="F93" i="26"/>
  <c r="G93" i="26"/>
  <c r="F101" i="26"/>
  <c r="F106" i="26"/>
  <c r="G106" i="26"/>
  <c r="F108" i="26"/>
  <c r="G108" i="26"/>
  <c r="I108" i="26"/>
  <c r="G9" i="35"/>
  <c r="G16" i="35"/>
  <c r="G17" i="35"/>
  <c r="G18" i="35"/>
  <c r="G19" i="35"/>
  <c r="G20" i="35"/>
  <c r="G21" i="35"/>
  <c r="G22" i="35"/>
  <c r="G23" i="35"/>
  <c r="G24" i="35"/>
  <c r="G25" i="35"/>
  <c r="I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I51" i="35"/>
  <c r="F53" i="35"/>
  <c r="G53" i="35"/>
  <c r="B59" i="35"/>
  <c r="B61" i="35"/>
  <c r="G66" i="35"/>
  <c r="F69" i="35"/>
  <c r="G69" i="35"/>
  <c r="F72" i="35"/>
  <c r="G72" i="35"/>
  <c r="G74" i="35"/>
  <c r="I74" i="35"/>
  <c r="F76" i="35"/>
  <c r="G76" i="35"/>
  <c r="I76" i="35"/>
  <c r="G81" i="35"/>
  <c r="F84" i="35"/>
  <c r="G84" i="35"/>
  <c r="F92" i="35"/>
  <c r="G92" i="35"/>
  <c r="F94" i="35"/>
  <c r="G94" i="35"/>
  <c r="I94" i="35"/>
  <c r="G10" i="13"/>
  <c r="G20" i="13"/>
  <c r="G21" i="13"/>
  <c r="G22" i="13"/>
  <c r="G23" i="13"/>
  <c r="G24" i="13"/>
  <c r="G25" i="13"/>
  <c r="G26" i="13"/>
  <c r="F27" i="13"/>
  <c r="G27" i="13"/>
  <c r="F29" i="13"/>
  <c r="G29" i="13"/>
  <c r="I29" i="13"/>
  <c r="B38" i="13"/>
  <c r="G44" i="13"/>
  <c r="G45" i="13"/>
  <c r="F46" i="13"/>
  <c r="G46" i="13"/>
  <c r="F48" i="13"/>
  <c r="F51" i="13"/>
  <c r="F52" i="13"/>
  <c r="G52" i="13"/>
  <c r="F54" i="13"/>
  <c r="F56" i="13"/>
  <c r="F57" i="13"/>
  <c r="F58" i="13"/>
  <c r="F59" i="13"/>
  <c r="F60" i="13"/>
  <c r="F62" i="13"/>
  <c r="F66" i="13"/>
  <c r="G66" i="13"/>
  <c r="F68" i="13"/>
  <c r="G68" i="13"/>
  <c r="I68" i="13"/>
  <c r="F72" i="13"/>
  <c r="G72" i="13"/>
  <c r="G73" i="13"/>
  <c r="F74" i="13"/>
  <c r="G74" i="13"/>
  <c r="F81" i="13"/>
  <c r="G81" i="13"/>
  <c r="F83" i="13"/>
  <c r="H83" i="13"/>
  <c r="F84" i="13"/>
  <c r="F85" i="13"/>
  <c r="F87" i="13"/>
  <c r="F90" i="13"/>
  <c r="G90" i="13"/>
  <c r="F92" i="13"/>
  <c r="G92" i="13"/>
  <c r="I92" i="13"/>
  <c r="G8" i="22"/>
  <c r="G15" i="22"/>
  <c r="G16" i="22"/>
  <c r="G17" i="22"/>
  <c r="G18" i="22"/>
  <c r="G19" i="22"/>
  <c r="G20" i="22"/>
  <c r="F21" i="22"/>
  <c r="G21" i="22"/>
  <c r="F22" i="22"/>
  <c r="G22" i="22"/>
  <c r="G23" i="22"/>
  <c r="G24" i="22"/>
  <c r="I24" i="22"/>
  <c r="G25" i="22"/>
  <c r="G26" i="22"/>
  <c r="G27" i="22"/>
  <c r="G28" i="22"/>
  <c r="G29" i="22"/>
  <c r="G30" i="22"/>
  <c r="F31" i="22"/>
  <c r="G31" i="22"/>
  <c r="G32" i="22"/>
  <c r="G33" i="22"/>
  <c r="F34" i="22"/>
  <c r="G34" i="22"/>
  <c r="G35" i="22"/>
  <c r="G36" i="22"/>
  <c r="G37" i="22"/>
  <c r="F38" i="22"/>
  <c r="G38" i="22"/>
  <c r="G39" i="22"/>
  <c r="G40" i="22"/>
  <c r="G41" i="22"/>
  <c r="G42" i="22"/>
  <c r="G43" i="22"/>
  <c r="G44" i="22"/>
  <c r="F45" i="22"/>
  <c r="G45" i="22"/>
  <c r="G46" i="22"/>
  <c r="G47" i="22"/>
  <c r="G48" i="22"/>
  <c r="I48" i="22"/>
  <c r="F50" i="22"/>
  <c r="G50" i="22"/>
  <c r="B57" i="22"/>
  <c r="B59" i="22"/>
  <c r="G63" i="22"/>
  <c r="G64" i="22"/>
  <c r="F65" i="22"/>
  <c r="G65" i="22"/>
  <c r="F73" i="22"/>
  <c r="G73" i="22"/>
  <c r="F78" i="22"/>
  <c r="F79" i="22"/>
  <c r="F80" i="22"/>
  <c r="F84" i="22"/>
  <c r="G84" i="22"/>
  <c r="G86" i="22"/>
  <c r="I86" i="22"/>
  <c r="F88" i="22"/>
  <c r="G88" i="22"/>
  <c r="I88" i="22"/>
  <c r="G92" i="22"/>
  <c r="G93" i="22"/>
  <c r="F94" i="22"/>
  <c r="G94" i="22"/>
  <c r="F102" i="22"/>
  <c r="G102" i="22"/>
  <c r="F104" i="22"/>
  <c r="F105" i="22"/>
  <c r="F106" i="22"/>
  <c r="F107" i="22"/>
  <c r="F108" i="22"/>
  <c r="F109" i="22"/>
  <c r="F111" i="22"/>
  <c r="F113" i="22"/>
  <c r="F117" i="22"/>
  <c r="G117" i="22"/>
  <c r="F119" i="22"/>
  <c r="G119" i="22"/>
  <c r="I119" i="22"/>
  <c r="G10" i="17"/>
  <c r="G20" i="17"/>
  <c r="G21" i="17"/>
  <c r="G22" i="17"/>
  <c r="G23" i="17"/>
  <c r="G24" i="17"/>
  <c r="I24" i="17"/>
  <c r="F25" i="17"/>
  <c r="G25" i="17"/>
  <c r="G26" i="17"/>
  <c r="G27" i="17"/>
  <c r="G28" i="17"/>
  <c r="F29" i="17"/>
  <c r="G29" i="17"/>
  <c r="G30" i="17"/>
  <c r="G31" i="17"/>
  <c r="G32" i="17"/>
  <c r="G33" i="17"/>
  <c r="G34" i="17"/>
  <c r="I34" i="17"/>
  <c r="F36" i="17"/>
  <c r="G36" i="17"/>
  <c r="B47" i="17"/>
  <c r="G53" i="17"/>
  <c r="G54" i="17"/>
  <c r="F55" i="17"/>
  <c r="G55" i="17"/>
  <c r="F59" i="17"/>
  <c r="G59" i="17"/>
  <c r="F62" i="17"/>
  <c r="F64" i="17"/>
  <c r="F66" i="17"/>
  <c r="G66" i="17"/>
  <c r="F68" i="17"/>
  <c r="G68" i="17"/>
  <c r="I68" i="17"/>
  <c r="F70" i="17"/>
  <c r="G70" i="17"/>
  <c r="I70" i="17"/>
  <c r="G74" i="17"/>
  <c r="G75" i="17"/>
  <c r="F76" i="17"/>
  <c r="G76" i="17"/>
  <c r="F80" i="17"/>
  <c r="G80" i="17"/>
  <c r="F82" i="17"/>
  <c r="I82" i="17"/>
  <c r="F83" i="17"/>
  <c r="F84" i="17"/>
  <c r="I84" i="17"/>
  <c r="F85" i="17"/>
  <c r="F86" i="17"/>
  <c r="F88" i="17"/>
  <c r="F90" i="17"/>
  <c r="G90" i="17"/>
  <c r="F92" i="17"/>
  <c r="G92" i="17"/>
  <c r="I92" i="17"/>
  <c r="F96" i="17"/>
  <c r="F97" i="17"/>
  <c r="F98" i="17"/>
  <c r="G9" i="33"/>
  <c r="G16" i="33"/>
  <c r="G17" i="33"/>
  <c r="G18" i="33"/>
  <c r="G19" i="33"/>
  <c r="G20" i="33"/>
  <c r="G21" i="33"/>
  <c r="G22" i="33"/>
  <c r="G23" i="33"/>
  <c r="I23" i="33"/>
  <c r="G24" i="33"/>
  <c r="G25" i="33"/>
  <c r="G26" i="33"/>
  <c r="G27" i="33"/>
  <c r="G28" i="33"/>
  <c r="G29" i="33"/>
  <c r="G30" i="33"/>
  <c r="G31" i="33"/>
  <c r="G32" i="33"/>
  <c r="G33" i="33"/>
  <c r="G34" i="33"/>
  <c r="G35" i="33"/>
  <c r="G36" i="33"/>
  <c r="G37" i="33"/>
  <c r="G38" i="33"/>
  <c r="G39" i="33"/>
  <c r="G40" i="33"/>
  <c r="I40" i="33"/>
  <c r="F42" i="33"/>
  <c r="G42" i="33"/>
  <c r="B49" i="33"/>
  <c r="B51" i="33"/>
  <c r="G56" i="33"/>
  <c r="F59" i="33"/>
  <c r="G59" i="33"/>
  <c r="F63" i="33"/>
  <c r="G63" i="33"/>
  <c r="G65" i="33"/>
  <c r="I65" i="33"/>
  <c r="F67" i="33"/>
  <c r="G67" i="33"/>
  <c r="I67" i="33"/>
  <c r="G72" i="33"/>
  <c r="F75" i="33"/>
  <c r="G75" i="33"/>
  <c r="F91" i="33"/>
  <c r="G91" i="33"/>
  <c r="F93" i="33"/>
  <c r="G93" i="33"/>
  <c r="I93" i="33"/>
  <c r="F9" i="31"/>
  <c r="G9" i="31"/>
  <c r="G16" i="31"/>
  <c r="G17" i="31"/>
  <c r="G18" i="31"/>
  <c r="G19" i="31"/>
  <c r="G20" i="31"/>
  <c r="G21" i="31"/>
  <c r="G22" i="31"/>
  <c r="I22" i="31"/>
  <c r="G23" i="31"/>
  <c r="G24" i="31"/>
  <c r="G25" i="31"/>
  <c r="G26" i="31"/>
  <c r="G27" i="31"/>
  <c r="G28" i="31"/>
  <c r="G29" i="31"/>
  <c r="F30" i="31"/>
  <c r="G30" i="31"/>
  <c r="G31" i="31"/>
  <c r="G32" i="31"/>
  <c r="G33" i="31"/>
  <c r="G34" i="31"/>
  <c r="G35" i="31"/>
  <c r="G36" i="31"/>
  <c r="F37" i="31"/>
  <c r="G37" i="31"/>
  <c r="G38" i="31"/>
  <c r="G39" i="31"/>
  <c r="G40" i="31"/>
  <c r="G41" i="31"/>
  <c r="G42" i="31"/>
  <c r="G43" i="31"/>
  <c r="G44" i="31"/>
  <c r="G45" i="31"/>
  <c r="G46" i="31"/>
  <c r="G47" i="31"/>
  <c r="G48" i="31"/>
  <c r="G49" i="31"/>
  <c r="G50" i="31"/>
  <c r="G51" i="31"/>
  <c r="G52" i="31"/>
  <c r="G53" i="31"/>
  <c r="G54" i="31"/>
  <c r="G55" i="31"/>
  <c r="I55" i="31"/>
  <c r="F57" i="31"/>
  <c r="G57" i="31"/>
  <c r="B64" i="31"/>
  <c r="B66" i="31"/>
  <c r="G71" i="31"/>
  <c r="G72" i="31"/>
  <c r="F73" i="31"/>
  <c r="G73" i="31"/>
  <c r="F78" i="31"/>
  <c r="G78" i="31"/>
  <c r="F80" i="31"/>
  <c r="F86" i="31"/>
  <c r="G86" i="31"/>
  <c r="F88" i="31"/>
  <c r="G88" i="31"/>
  <c r="I88" i="31"/>
  <c r="F90" i="31"/>
  <c r="G90" i="31"/>
  <c r="I90" i="31"/>
  <c r="G95" i="31"/>
  <c r="G96" i="31"/>
  <c r="F97" i="31"/>
  <c r="G97" i="31"/>
  <c r="F100" i="31"/>
  <c r="G100" i="31"/>
  <c r="F110" i="31"/>
  <c r="F112" i="31"/>
  <c r="G112" i="31"/>
  <c r="F114" i="31"/>
  <c r="G114" i="31"/>
  <c r="I114" i="31"/>
  <c r="G8" i="25"/>
  <c r="G15" i="25"/>
  <c r="G16" i="25"/>
  <c r="G17" i="25"/>
  <c r="G18" i="25"/>
  <c r="G19" i="25"/>
  <c r="G20" i="25"/>
  <c r="G21" i="25"/>
  <c r="G22" i="25"/>
  <c r="G23" i="25"/>
  <c r="G24" i="25"/>
  <c r="G25" i="25"/>
  <c r="G26" i="25"/>
  <c r="G27" i="25"/>
  <c r="G28" i="25"/>
  <c r="I28" i="25"/>
  <c r="G29" i="25"/>
  <c r="G30" i="25"/>
  <c r="G31" i="25"/>
  <c r="G32" i="25"/>
  <c r="G33" i="25"/>
  <c r="G34" i="25"/>
  <c r="G35" i="25"/>
  <c r="G36" i="25"/>
  <c r="F37" i="25"/>
  <c r="G37" i="25"/>
  <c r="G38" i="25"/>
  <c r="F39" i="25"/>
  <c r="G39" i="25"/>
  <c r="F40" i="25"/>
  <c r="G40" i="25"/>
  <c r="G41" i="25"/>
  <c r="G42" i="25"/>
  <c r="G43" i="25"/>
  <c r="G44" i="25"/>
  <c r="G45" i="25"/>
  <c r="G46" i="25"/>
  <c r="G47" i="25"/>
  <c r="G48" i="25"/>
  <c r="G49" i="25"/>
  <c r="G50" i="25"/>
  <c r="G51" i="25"/>
  <c r="G52" i="25"/>
  <c r="I52" i="25"/>
  <c r="F54" i="25"/>
  <c r="G54" i="25"/>
  <c r="B59" i="25"/>
  <c r="B61" i="25"/>
  <c r="G65" i="25"/>
  <c r="G66" i="25"/>
  <c r="F67" i="25"/>
  <c r="G67" i="25"/>
  <c r="F71" i="25"/>
  <c r="F72" i="25"/>
  <c r="G72" i="25"/>
  <c r="F79" i="25"/>
  <c r="F85" i="25"/>
  <c r="G85" i="25"/>
  <c r="G87" i="25"/>
  <c r="I87" i="25"/>
  <c r="F89" i="25"/>
  <c r="G89" i="25"/>
  <c r="I89" i="25"/>
  <c r="G93" i="25"/>
  <c r="G94" i="25"/>
  <c r="F95" i="25"/>
  <c r="G95" i="25"/>
  <c r="F101" i="25"/>
  <c r="G101" i="25"/>
  <c r="F104" i="25"/>
  <c r="F106" i="25"/>
  <c r="F111" i="25"/>
  <c r="F116" i="25"/>
  <c r="G116" i="25"/>
  <c r="F118" i="25"/>
  <c r="G118" i="25"/>
  <c r="I118" i="25"/>
  <c r="F122" i="25"/>
  <c r="F123" i="25"/>
  <c r="G9" i="28"/>
  <c r="G17" i="28"/>
  <c r="G18" i="28"/>
  <c r="G19" i="28"/>
  <c r="G20" i="28"/>
  <c r="G21" i="28"/>
  <c r="G22" i="28"/>
  <c r="I22" i="28"/>
  <c r="G23" i="28"/>
  <c r="G24" i="28"/>
  <c r="G25" i="28"/>
  <c r="G26" i="28"/>
  <c r="G27" i="28"/>
  <c r="G28" i="28"/>
  <c r="F29" i="28"/>
  <c r="G29" i="28"/>
  <c r="G30" i="28"/>
  <c r="G31" i="28"/>
  <c r="G32" i="28"/>
  <c r="G33" i="28"/>
  <c r="F34" i="28"/>
  <c r="G34" i="28"/>
  <c r="G35" i="28"/>
  <c r="G36" i="28"/>
  <c r="G37" i="28"/>
  <c r="G38" i="28"/>
  <c r="G39" i="28"/>
  <c r="F40" i="28"/>
  <c r="G40" i="28"/>
  <c r="G41" i="28"/>
  <c r="F42" i="28"/>
  <c r="G42" i="28"/>
  <c r="G43" i="28"/>
  <c r="G44" i="28"/>
  <c r="G45" i="28"/>
  <c r="G46" i="28"/>
  <c r="G47" i="28"/>
  <c r="G48" i="28"/>
  <c r="F49" i="28"/>
  <c r="G49" i="28"/>
  <c r="I49" i="28"/>
  <c r="F51" i="28"/>
  <c r="G51" i="28"/>
  <c r="B56" i="28"/>
  <c r="B58" i="28"/>
  <c r="G63" i="28"/>
  <c r="G64" i="28"/>
  <c r="F65" i="28"/>
  <c r="G65" i="28"/>
  <c r="F71" i="28"/>
  <c r="G71" i="28"/>
  <c r="F73" i="28"/>
  <c r="F80" i="28"/>
  <c r="G80" i="28"/>
  <c r="G82" i="28"/>
  <c r="I82" i="28"/>
  <c r="F84" i="28"/>
  <c r="G84" i="28"/>
  <c r="I84" i="28"/>
  <c r="G89" i="28"/>
  <c r="G90" i="28"/>
  <c r="F91" i="28"/>
  <c r="G91" i="28"/>
  <c r="F95" i="28"/>
  <c r="G95" i="28"/>
  <c r="F98" i="28"/>
  <c r="F99" i="28"/>
  <c r="F100" i="28"/>
  <c r="F101" i="28"/>
  <c r="F105" i="28"/>
  <c r="G105" i="28"/>
  <c r="F107" i="28"/>
  <c r="G107" i="28"/>
  <c r="I107" i="28"/>
  <c r="F111" i="28"/>
  <c r="F112" i="28"/>
  <c r="G10" i="11"/>
  <c r="G20" i="11"/>
  <c r="G21" i="11"/>
  <c r="F23" i="11"/>
  <c r="G23" i="11"/>
  <c r="I23" i="11"/>
  <c r="B30" i="11"/>
  <c r="G36" i="11"/>
  <c r="F37" i="11"/>
  <c r="G37" i="11"/>
  <c r="F38" i="11"/>
  <c r="G38" i="11"/>
  <c r="F44" i="11"/>
  <c r="G44" i="11"/>
  <c r="F50" i="11"/>
  <c r="G50" i="11"/>
  <c r="F52" i="11"/>
  <c r="G52" i="11"/>
  <c r="I52" i="11"/>
  <c r="G57" i="11"/>
  <c r="G58" i="11"/>
  <c r="F59" i="11"/>
  <c r="G59" i="11"/>
  <c r="F66" i="11"/>
  <c r="G66" i="11"/>
  <c r="F72" i="11"/>
  <c r="F76" i="11"/>
  <c r="F81" i="11"/>
  <c r="G81" i="11"/>
  <c r="F83" i="11"/>
  <c r="G83" i="11"/>
  <c r="I83" i="11"/>
</calcChain>
</file>

<file path=xl/sharedStrings.xml><?xml version="1.0" encoding="utf-8"?>
<sst xmlns="http://schemas.openxmlformats.org/spreadsheetml/2006/main" count="1131" uniqueCount="257">
  <si>
    <t>British Columbia Power Exchange</t>
  </si>
  <si>
    <t>City of Anaheim</t>
  </si>
  <si>
    <t>City of Glendale</t>
  </si>
  <si>
    <t>Coral Power, LLC</t>
  </si>
  <si>
    <t>Idaho Power Company</t>
  </si>
  <si>
    <t>Koch Energy Trading</t>
  </si>
  <si>
    <t>NewEnergy Inc.</t>
  </si>
  <si>
    <t>Puget Sound Energy</t>
  </si>
  <si>
    <t>Salt River Project</t>
  </si>
  <si>
    <t>Seattle City Light</t>
  </si>
  <si>
    <t>Sierra Pacific Power Company</t>
  </si>
  <si>
    <t>Unpaid Balance</t>
  </si>
  <si>
    <t xml:space="preserve"> #</t>
  </si>
  <si>
    <t>Date</t>
  </si>
  <si>
    <t>Customer Name</t>
  </si>
  <si>
    <t>Type</t>
  </si>
  <si>
    <t>Mkt</t>
  </si>
  <si>
    <t>Inv #</t>
  </si>
  <si>
    <t>Total Due From SCs (Debtors)</t>
  </si>
  <si>
    <t>ISO Creditors to whom amounts are Owed</t>
  </si>
  <si>
    <t xml:space="preserve">Signature: </t>
  </si>
  <si>
    <t>Certification:</t>
  </si>
  <si>
    <t>Western Area Power Administration</t>
  </si>
  <si>
    <t>City of Banning</t>
  </si>
  <si>
    <t>City of Pasadena</t>
  </si>
  <si>
    <t>City of Riverside</t>
  </si>
  <si>
    <t>Strategic Energy</t>
  </si>
  <si>
    <t>Preliminary Invoices</t>
  </si>
  <si>
    <t>Due from SCs</t>
  </si>
  <si>
    <t>Final Invoices</t>
  </si>
  <si>
    <t>Total Invoiced</t>
  </si>
  <si>
    <t>Collected 2/1/01</t>
  </si>
  <si>
    <t>Collected 2/9/01</t>
  </si>
  <si>
    <t>Collected 3/5/01</t>
  </si>
  <si>
    <t>Total Collected</t>
  </si>
  <si>
    <t>Due to SCs</t>
  </si>
  <si>
    <t>Balance Due from SCs</t>
  </si>
  <si>
    <t>Balance Due to SCs</t>
  </si>
  <si>
    <t>Pacific Gas and Electric</t>
  </si>
  <si>
    <t>Paid 2/1/01</t>
  </si>
  <si>
    <t>Paid 2/9/01</t>
  </si>
  <si>
    <t>Paid 2/22/01</t>
  </si>
  <si>
    <t>Total Paid</t>
  </si>
  <si>
    <t>Paid 3/7/01</t>
  </si>
  <si>
    <t>For the Trade Months of:</t>
  </si>
  <si>
    <t>November 2000</t>
  </si>
  <si>
    <t>December 2000</t>
  </si>
  <si>
    <r>
      <t xml:space="preserve">by:  </t>
    </r>
    <r>
      <rPr>
        <b/>
        <i/>
        <sz val="12"/>
        <rFont val="Arial"/>
        <family val="2"/>
      </rPr>
      <t>William J. Regan, Jr.</t>
    </r>
    <r>
      <rPr>
        <b/>
        <sz val="12"/>
        <rFont val="Arial"/>
        <family val="2"/>
      </rPr>
      <t xml:space="preserve"> Chief Financial Officer</t>
    </r>
  </si>
  <si>
    <t>I, William J. Regan, Jr., hereby certify as Chief Financial Officer at the  California Independent System Operator Corporation ("ISO") that the following information and schedules and attached invoices of ISO Debtors is a true and accurate reflection of the current financial data set forth.</t>
  </si>
  <si>
    <t>Amounts owed by ISO Debtor that remain unpaid:</t>
  </si>
  <si>
    <t>For the Trade Month of November 2000</t>
  </si>
  <si>
    <t>Trade Month</t>
  </si>
  <si>
    <t>Amount Owed</t>
  </si>
  <si>
    <t>% of total owed to Creditors</t>
  </si>
  <si>
    <t>Total Adjustments</t>
  </si>
  <si>
    <t>For the Trade Month of December 2000</t>
  </si>
  <si>
    <t>% of total due from Debtors</t>
  </si>
  <si>
    <t>ISO Creditors to whom amounts are Owed:</t>
  </si>
  <si>
    <t>Aquila Power</t>
  </si>
  <si>
    <t>Arizona Public Service</t>
  </si>
  <si>
    <t>California Polar Power</t>
  </si>
  <si>
    <t>Constellation Power Source</t>
  </si>
  <si>
    <t>Dynegy Power Marketing</t>
  </si>
  <si>
    <t>Southern California Edison</t>
  </si>
  <si>
    <t>Turlock Irrigation District</t>
  </si>
  <si>
    <t>Summary of activity for Trade Month of November 2000:</t>
  </si>
  <si>
    <t>Collected 3/9/01</t>
  </si>
  <si>
    <t>Paid 3/97/01</t>
  </si>
  <si>
    <t>Collected 3/22/01</t>
  </si>
  <si>
    <t>Paid 3/23/01</t>
  </si>
  <si>
    <t>Paid 4/26/01</t>
  </si>
  <si>
    <t>For the Trade Month of January 2001</t>
  </si>
  <si>
    <t>Summary of activity for Trade Month of January 2001:</t>
  </si>
  <si>
    <t>Summary of activity for Trade Month of December 2000:</t>
  </si>
  <si>
    <t>Collected 4/20/01</t>
  </si>
  <si>
    <t>Collected 2/22/01</t>
  </si>
  <si>
    <t>Paid 3/27/01</t>
  </si>
  <si>
    <t>Paid 4/23/01</t>
  </si>
  <si>
    <t>Sacramento Municipal Utility District</t>
  </si>
  <si>
    <t>GMC</t>
  </si>
  <si>
    <t>British Columbia power Exchange</t>
  </si>
  <si>
    <t>Collected 4/2/01</t>
  </si>
  <si>
    <t>Paid 4/2/01</t>
  </si>
  <si>
    <t>Paid 4/27/01</t>
  </si>
  <si>
    <t>January 2001</t>
  </si>
  <si>
    <t>Aquila Power Corporation</t>
  </si>
  <si>
    <t>Preliminary and final invoices were provided in February's certification.</t>
  </si>
  <si>
    <t>Preliminary and final invoices were provided in March's certification.</t>
  </si>
  <si>
    <t>Preliminary and final invoices were provided in April's certification.</t>
  </si>
  <si>
    <t>February 2001</t>
  </si>
  <si>
    <t>Portland General Electric</t>
  </si>
  <si>
    <t>For the Trade Month of February 2001</t>
  </si>
  <si>
    <t>Los Angeles Department of Water and Power</t>
  </si>
  <si>
    <t>City of Azuza</t>
  </si>
  <si>
    <t>Collected 5/2/01</t>
  </si>
  <si>
    <t>Collected 5/1701</t>
  </si>
  <si>
    <t>Paid 5/3/01</t>
  </si>
  <si>
    <t>Paid 5/17/01</t>
  </si>
  <si>
    <t>Attributable to Trade Month of November 2000</t>
  </si>
  <si>
    <t>Total</t>
  </si>
  <si>
    <t>Excess of Balance Due to SCs over Due from SCs</t>
  </si>
  <si>
    <t>Attributable to Trade Month of December 2000</t>
  </si>
  <si>
    <t>Paid 6/19/01</t>
  </si>
  <si>
    <t>Collected 6/1901</t>
  </si>
  <si>
    <t>Collected 5/31/01</t>
  </si>
  <si>
    <t>Total Due to 26 SCs (Creditors)</t>
  </si>
  <si>
    <t>For the Trade Month of March 2001</t>
  </si>
  <si>
    <t>Paid 6/4/01</t>
  </si>
  <si>
    <t>Collected 6/19/01</t>
  </si>
  <si>
    <t>Duke Energy and Trading</t>
  </si>
  <si>
    <t>Edison Source</t>
  </si>
  <si>
    <t>Louisville Gas and Electric</t>
  </si>
  <si>
    <t>March 2001</t>
  </si>
  <si>
    <t>Preliminary and final invoices were provided in May's certification.</t>
  </si>
  <si>
    <t>Add Uncollected Feb-01 GMC 7/24/01</t>
  </si>
  <si>
    <t>Collected 7/19/01</t>
  </si>
  <si>
    <t>Preliminary and final invoices were provided in June's certification.</t>
  </si>
  <si>
    <t>April 2001</t>
  </si>
  <si>
    <t>For the Trade Month of April 2001</t>
  </si>
  <si>
    <t>Calpine Energy Services</t>
  </si>
  <si>
    <t>Louisville Gans and Electric</t>
  </si>
  <si>
    <t>Collected 6/29/01</t>
  </si>
  <si>
    <t>Paid 6/29/01</t>
  </si>
  <si>
    <t>Paid 7/24/01</t>
  </si>
  <si>
    <t>Total Due to 55 SCs (Creditors)</t>
  </si>
  <si>
    <t xml:space="preserve">Offsets against Nov-00 Market AP </t>
  </si>
  <si>
    <t xml:space="preserve">Offsets against Nov-00 Market AR </t>
  </si>
  <si>
    <t xml:space="preserve">Offsets against Nov-00 GMC </t>
  </si>
  <si>
    <t xml:space="preserve">Offsets against Oct-00 Market AR </t>
  </si>
  <si>
    <t xml:space="preserve">Offsets against Dec-00 Market AR </t>
  </si>
  <si>
    <t>Offsets against Dec-00 GMC</t>
  </si>
  <si>
    <t xml:space="preserve">Offsets against Jan-01 GMC </t>
  </si>
  <si>
    <t>Offsets against Jan-01 Market AP</t>
  </si>
  <si>
    <t>Offsets against Mar-01 GMC</t>
  </si>
  <si>
    <t xml:space="preserve">Offsets against Feb-01 Market AR </t>
  </si>
  <si>
    <t>Offsets against Mar-01 Market AR</t>
  </si>
  <si>
    <t xml:space="preserve">Offsets against Feb-01 GMC </t>
  </si>
  <si>
    <t>Total Due to 48 SCs (Creditors)</t>
  </si>
  <si>
    <t>FERC ordered reduction Nov-00 Market AP</t>
  </si>
  <si>
    <t xml:space="preserve">Cancelled Nov-00 Market AR invoice </t>
  </si>
  <si>
    <t>Offset against Nov-00 Market AP</t>
  </si>
  <si>
    <t xml:space="preserve">Cancelled Dec-00 Market AR invoice </t>
  </si>
  <si>
    <t xml:space="preserve">Offset against Jan-01 Market AP </t>
  </si>
  <si>
    <t xml:space="preserve">Offset against Dec-00 Market AP </t>
  </si>
  <si>
    <t>Offset against Jan-01 GMC</t>
  </si>
  <si>
    <t xml:space="preserve">Offset against Feb-01 Market AP </t>
  </si>
  <si>
    <t>Offset against Apr-01 Market AP</t>
  </si>
  <si>
    <t>Offset against May-01 Market AP</t>
  </si>
  <si>
    <t>Offset against Mar-01 Market AP</t>
  </si>
  <si>
    <t>Offset against Dec-00 GMC</t>
  </si>
  <si>
    <t xml:space="preserve">Offset against Dec-00 Market AR </t>
  </si>
  <si>
    <t>Cancelled Dec-00 Market AP invoices</t>
  </si>
  <si>
    <t xml:space="preserve">Offset against Jan-01 Market AR </t>
  </si>
  <si>
    <t>FERC ordered reduction Dec-00 Market AP</t>
  </si>
  <si>
    <t>Offset against Feb-01 Market AP</t>
  </si>
  <si>
    <t>Offset against Mar-01 Market AR</t>
  </si>
  <si>
    <t>Offset against Feb-01 Market AR</t>
  </si>
  <si>
    <t>Total Due to 51 SCs (Creditors)</t>
  </si>
  <si>
    <t>Add Uncollected Jan-01 GMC</t>
  </si>
  <si>
    <t>Cancelled Jan-01 Market AR invoices</t>
  </si>
  <si>
    <t>Offset against Dec-00 Market AP</t>
  </si>
  <si>
    <t>Offset against Dec-00 Market AR</t>
  </si>
  <si>
    <t>Offset against Jan-01 Market AR</t>
  </si>
  <si>
    <t>Cancelled Jan-01 Market AP invoices</t>
  </si>
  <si>
    <t xml:space="preserve">Issued Jan-01 Market AP invoice </t>
  </si>
  <si>
    <t>Offset against Apr-01 Market AR</t>
  </si>
  <si>
    <t>Collected 8/20/01</t>
  </si>
  <si>
    <t>Add Uncollected Feb-01 GMC</t>
  </si>
  <si>
    <t>Offset against Jan-01 Market AP</t>
  </si>
  <si>
    <t>Cancelled Feb-01 Market AR invoices</t>
  </si>
  <si>
    <t>Offset against Feb-01 GMC</t>
  </si>
  <si>
    <t>Cancelled Mar-01 Market AR invoices</t>
  </si>
  <si>
    <t>Offset against Mar-01 GMC</t>
  </si>
  <si>
    <t>Offset against Apr-01 GMC</t>
  </si>
  <si>
    <t>Preliminary and final invoices were provided in July's certification.</t>
  </si>
  <si>
    <t xml:space="preserve">Add Uncollected Apr-01 GMC </t>
  </si>
  <si>
    <t>Cancelled Apr-01 Market AR invoices</t>
  </si>
  <si>
    <t>Paid 8/23/01</t>
  </si>
  <si>
    <t>Cancelled Apr-01 Market AP invoices</t>
  </si>
  <si>
    <t>Offset against May-01 Market AR</t>
  </si>
  <si>
    <t>Offset against May-01 GMC</t>
  </si>
  <si>
    <t>For the Trade Month of May 2001</t>
  </si>
  <si>
    <t>Total Due to 28 SCs (Creditors)</t>
  </si>
  <si>
    <t>Citizens Power Sales</t>
  </si>
  <si>
    <t>PPL Montana</t>
  </si>
  <si>
    <t>Western Area Power Administration - Redding</t>
  </si>
  <si>
    <t>(a) - pre-bankruptcy activity</t>
  </si>
  <si>
    <t>Pacific Gas and Electric (a)</t>
  </si>
  <si>
    <t xml:space="preserve">Coral Power, LLC </t>
  </si>
  <si>
    <t>Pacific Gas and Electric (California PX) (a)</t>
  </si>
  <si>
    <t>Collected 8/1/01</t>
  </si>
  <si>
    <t>Collected 8/21/01</t>
  </si>
  <si>
    <t xml:space="preserve">Add Uncollected May-01 GMC </t>
  </si>
  <si>
    <t xml:space="preserve">Offset against Apr-01 Market AP </t>
  </si>
  <si>
    <t>May 2001</t>
  </si>
  <si>
    <t xml:space="preserve">Offsets against Mar-01 Market AP </t>
  </si>
  <si>
    <t xml:space="preserve">Offsets against May-01 Market AP </t>
  </si>
  <si>
    <t>Offsets against Apr-01 Market AR</t>
  </si>
  <si>
    <t>Offset against Jun-01 Market AP</t>
  </si>
  <si>
    <t>Total Due to 25 SCs (Creditors)</t>
  </si>
  <si>
    <t>Offset against Jun-00 Market AP</t>
  </si>
  <si>
    <t>Offset against Apr-00 Market AP</t>
  </si>
  <si>
    <t>Paid 9/26/01</t>
  </si>
  <si>
    <t>Offset against May GMC</t>
  </si>
  <si>
    <t>Offset against Jun-01 GMC</t>
  </si>
  <si>
    <t>Offset against Jun-01 Market AR</t>
  </si>
  <si>
    <t>Offset against Nov-00 Market AR</t>
  </si>
  <si>
    <t>Preliminary and final invoices were provided in August's certification.</t>
  </si>
  <si>
    <t>Collected 8/31/01</t>
  </si>
  <si>
    <t xml:space="preserve">Offset against Mar-01 Market AP </t>
  </si>
  <si>
    <t>For the Trade Month of June 2001</t>
  </si>
  <si>
    <t>Aquila Power Corpporation</t>
  </si>
  <si>
    <t>El Paso Power Services</t>
  </si>
  <si>
    <t>Collected 9/20/01</t>
  </si>
  <si>
    <t xml:space="preserve">Add Uncollected Jun-01 GMC </t>
  </si>
  <si>
    <t>Cancelled Jun-01 Market AR invoices</t>
  </si>
  <si>
    <t>June 2001</t>
  </si>
  <si>
    <t>Offset against Jul-01 Market AP</t>
  </si>
  <si>
    <t>California Power Exchange (a)</t>
  </si>
  <si>
    <t>Pacific Gas and Electric (b)</t>
  </si>
  <si>
    <t>(b) - pre-bankruptcy activity</t>
  </si>
  <si>
    <t>(a) - amounts attributable to PG&amp;E pre-bankruptcy activity not available.</t>
  </si>
  <si>
    <t>Pacific Gas and Electric (California Power Exchange) (b)</t>
  </si>
  <si>
    <t>Pacific Gas and Electric Company (b)</t>
  </si>
  <si>
    <t>Offset against Jul-00 Market AP</t>
  </si>
  <si>
    <t>Paid 10/23/01</t>
  </si>
  <si>
    <t>Offset against Jul-01 Market AR</t>
  </si>
  <si>
    <t>Offset against Jul-01 GMC</t>
  </si>
  <si>
    <t>Collected 10/22/01</t>
  </si>
  <si>
    <t>Total Due to 39 SCs (Creditors)</t>
  </si>
  <si>
    <t>Total Due to 45 SCs (Creditors)</t>
  </si>
  <si>
    <t>For the Trade Month of July 2001</t>
  </si>
  <si>
    <t>Preliminary and final invoices were provided in September's certification.</t>
  </si>
  <si>
    <t>City of Santa Clara</t>
  </si>
  <si>
    <t>Collected 10/18/01</t>
  </si>
  <si>
    <t>Adjustment to Jul-01 Market AP invoices</t>
  </si>
  <si>
    <t>Cancelled Jun-01 Market AP invoices</t>
  </si>
  <si>
    <t>July 2001</t>
  </si>
  <si>
    <t>Certification for Market Settlement November 29, 2001</t>
  </si>
  <si>
    <t>Offset against Aug-01 Market AP</t>
  </si>
  <si>
    <t xml:space="preserve">Offset against Aug-01 Market AP </t>
  </si>
  <si>
    <t>Collected 11/20/01</t>
  </si>
  <si>
    <t>Total Due to 33 SCs (Creditors)</t>
  </si>
  <si>
    <t>For the Trade Month of August 2001</t>
  </si>
  <si>
    <t>Constellation Power</t>
  </si>
  <si>
    <t>IdaCorp Energy, LP</t>
  </si>
  <si>
    <t>Final invoices were provided in October's certification.</t>
  </si>
  <si>
    <t>Final invoices are attached.</t>
  </si>
  <si>
    <t>Cancelled Aug-01 Market AR invoices</t>
  </si>
  <si>
    <t>Cancelled Jul-01 Market AR invoices</t>
  </si>
  <si>
    <t>Cancelled Aug-01 Market AP invoices</t>
  </si>
  <si>
    <t>Offset against Aug-01 GMC</t>
  </si>
  <si>
    <t>Paid 11/29/01</t>
  </si>
  <si>
    <t>Collected 11/22/01</t>
  </si>
  <si>
    <t>August 2001</t>
  </si>
  <si>
    <t>Dated:  November 29, 2001</t>
  </si>
  <si>
    <t>/s/  William J. Regan, Jr.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</si>
</sst>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81" formatCode="0.000%"/>
    <numFmt numFmtId="183" formatCode="dd\-mmm\-yy"/>
  </numFmts>
  <fonts count="12" x14ac:knownFonts="1">
    <font>
      <sz val="10"/>
      <name val="Arial"/>
    </font>
    <font>
      <sz val="10"/>
      <name val="Arial"/>
    </font>
    <font>
      <b/>
      <sz val="10"/>
      <name val="Arial"/>
      <family val="2"/>
    </font>
    <font>
      <sz val="10"/>
      <name val="Arial"/>
      <family val="2"/>
    </font>
    <font>
      <b/>
      <sz val="12"/>
      <name val="Arial"/>
      <family val="2"/>
    </font>
    <font>
      <sz val="10"/>
      <color indexed="8"/>
      <name val="Arial"/>
      <family val="2"/>
    </font>
    <font>
      <sz val="8"/>
      <name val="Arial"/>
      <family val="2"/>
    </font>
    <font>
      <b/>
      <sz val="8"/>
      <name val="Arial"/>
      <family val="2"/>
    </font>
    <font>
      <sz val="8"/>
      <color indexed="8"/>
      <name val="Arial"/>
      <family val="2"/>
    </font>
    <font>
      <b/>
      <i/>
      <sz val="12"/>
      <name val="Arial"/>
      <family val="2"/>
    </font>
    <font>
      <b/>
      <sz val="10"/>
      <color indexed="8"/>
      <name val="Arial"/>
      <family val="2"/>
    </font>
    <font>
      <b/>
      <u/>
      <sz val="12"/>
      <name val="Arial"/>
      <family val="2"/>
    </font>
  </fonts>
  <fills count="2">
    <fill>
      <patternFill patternType="none"/>
    </fill>
    <fill>
      <patternFill patternType="gray125"/>
    </fill>
  </fills>
  <borders count="11">
    <border>
      <left/>
      <right/>
      <top/>
      <bottom/>
      <diagonal/>
    </border>
    <border>
      <left style="thick">
        <color indexed="64"/>
      </left>
      <right style="thick">
        <color indexed="64"/>
      </right>
      <top style="thick">
        <color indexed="64"/>
      </top>
      <bottom style="thick">
        <color indexed="64"/>
      </bottom>
      <diagonal/>
    </border>
    <border>
      <left/>
      <right/>
      <top/>
      <bottom style="double">
        <color indexed="64"/>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1">
    <xf numFmtId="0" fontId="0" fillId="0" borderId="0" xfId="0"/>
    <xf numFmtId="0" fontId="2" fillId="0" borderId="0" xfId="0" applyFont="1"/>
    <xf numFmtId="0" fontId="5" fillId="0" borderId="0" xfId="0" applyFont="1"/>
    <xf numFmtId="0" fontId="6" fillId="0" borderId="0" xfId="0" applyFont="1" applyAlignment="1">
      <alignment horizontal="center" wrapText="1"/>
    </xf>
    <xf numFmtId="43" fontId="6" fillId="0" borderId="0" xfId="1" applyFont="1" applyAlignment="1">
      <alignment horizontal="center" wrapText="1"/>
    </xf>
    <xf numFmtId="0" fontId="6" fillId="0" borderId="0" xfId="0" applyFont="1" applyAlignment="1">
      <alignment horizontal="center" vertical="center" wrapText="1"/>
    </xf>
    <xf numFmtId="43" fontId="5" fillId="0" borderId="0" xfId="1" applyNumberFormat="1" applyFont="1" applyBorder="1"/>
    <xf numFmtId="0" fontId="8" fillId="0" borderId="0" xfId="0" applyFont="1"/>
    <xf numFmtId="0" fontId="6" fillId="0" borderId="0" xfId="0" applyFont="1"/>
    <xf numFmtId="14" fontId="8" fillId="0" borderId="0" xfId="0" applyNumberFormat="1" applyFont="1"/>
    <xf numFmtId="0" fontId="4" fillId="0" borderId="0" xfId="0" applyFont="1"/>
    <xf numFmtId="0" fontId="7" fillId="0" borderId="0" xfId="0" applyFont="1"/>
    <xf numFmtId="0" fontId="6" fillId="0" borderId="0" xfId="0" applyFont="1" applyAlignment="1">
      <alignment horizontal="center"/>
    </xf>
    <xf numFmtId="0" fontId="8" fillId="0" borderId="0" xfId="0" applyFont="1" applyAlignment="1">
      <alignment horizontal="center"/>
    </xf>
    <xf numFmtId="0" fontId="7" fillId="0" borderId="0" xfId="0" applyFont="1" applyAlignment="1">
      <alignment horizontal="center"/>
    </xf>
    <xf numFmtId="0" fontId="6" fillId="0" borderId="1" xfId="0" applyFont="1" applyBorder="1" applyAlignment="1">
      <alignment horizontal="center" vertical="center" wrapText="1"/>
    </xf>
    <xf numFmtId="43" fontId="6" fillId="0" borderId="1" xfId="1" applyFont="1" applyBorder="1" applyAlignment="1">
      <alignment horizontal="center" vertical="center" wrapText="1"/>
    </xf>
    <xf numFmtId="0" fontId="9" fillId="0" borderId="0" xfId="0" applyFont="1"/>
    <xf numFmtId="0" fontId="5" fillId="0" borderId="0" xfId="0" applyFont="1" applyBorder="1"/>
    <xf numFmtId="0" fontId="8" fillId="0" borderId="0" xfId="0" applyFont="1" applyBorder="1" applyAlignment="1">
      <alignment horizontal="center"/>
    </xf>
    <xf numFmtId="181" fontId="2" fillId="0" borderId="2" xfId="2" applyNumberFormat="1" applyFont="1" applyBorder="1"/>
    <xf numFmtId="0" fontId="0" fillId="0" borderId="0" xfId="0" applyBorder="1"/>
    <xf numFmtId="0" fontId="8" fillId="0" borderId="3" xfId="0" applyFont="1" applyBorder="1"/>
    <xf numFmtId="0" fontId="5" fillId="0" borderId="3" xfId="0" applyFont="1" applyBorder="1"/>
    <xf numFmtId="0" fontId="8" fillId="0" borderId="3" xfId="0" applyFont="1" applyBorder="1" applyAlignment="1">
      <alignment horizontal="center"/>
    </xf>
    <xf numFmtId="43" fontId="0" fillId="0" borderId="0" xfId="0" applyNumberFormat="1"/>
    <xf numFmtId="0" fontId="3" fillId="0" borderId="0" xfId="0" applyFont="1"/>
    <xf numFmtId="44" fontId="5" fillId="0" borderId="3" xfId="1" applyNumberFormat="1" applyFont="1" applyBorder="1"/>
    <xf numFmtId="181" fontId="3" fillId="0" borderId="3" xfId="2" applyNumberFormat="1" applyFont="1" applyBorder="1"/>
    <xf numFmtId="43" fontId="5" fillId="0" borderId="3" xfId="1" applyNumberFormat="1" applyFont="1" applyBorder="1"/>
    <xf numFmtId="44" fontId="2" fillId="0" borderId="2" xfId="1" applyNumberFormat="1" applyFont="1" applyBorder="1"/>
    <xf numFmtId="0" fontId="6" fillId="0" borderId="3" xfId="0" applyFont="1" applyBorder="1"/>
    <xf numFmtId="0" fontId="6" fillId="0" borderId="0" xfId="0" applyFont="1" applyBorder="1"/>
    <xf numFmtId="0" fontId="6" fillId="0" borderId="0" xfId="0" applyFont="1" applyBorder="1" applyAlignment="1">
      <alignment horizontal="center"/>
    </xf>
    <xf numFmtId="44" fontId="5" fillId="0" borderId="0" xfId="1" applyNumberFormat="1" applyFont="1" applyBorder="1"/>
    <xf numFmtId="0" fontId="2" fillId="0" borderId="0" xfId="0" applyFont="1" applyBorder="1"/>
    <xf numFmtId="43" fontId="0" fillId="0" borderId="0" xfId="0" applyNumberFormat="1" applyBorder="1"/>
    <xf numFmtId="0" fontId="4" fillId="0" borderId="0" xfId="0" applyFont="1" applyBorder="1"/>
    <xf numFmtId="44" fontId="10" fillId="0" borderId="0" xfId="1" applyNumberFormat="1" applyFont="1" applyBorder="1"/>
    <xf numFmtId="43" fontId="5" fillId="0" borderId="4" xfId="1" applyNumberFormat="1" applyFont="1" applyBorder="1"/>
    <xf numFmtId="43" fontId="0" fillId="0" borderId="4" xfId="0" applyNumberFormat="1" applyBorder="1"/>
    <xf numFmtId="0" fontId="4" fillId="0" borderId="0" xfId="0" applyFont="1" applyAlignment="1">
      <alignment horizontal="center"/>
    </xf>
    <xf numFmtId="49" fontId="4" fillId="0" borderId="0" xfId="0" applyNumberFormat="1" applyFont="1" applyAlignment="1">
      <alignment horizontal="left"/>
    </xf>
    <xf numFmtId="0" fontId="9" fillId="0" borderId="0" xfId="0" applyNumberFormat="1" applyFont="1" applyAlignment="1">
      <alignment vertical="center" wrapText="1"/>
    </xf>
    <xf numFmtId="0" fontId="4" fillId="0" borderId="5" xfId="0" applyFont="1" applyBorder="1"/>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43" fontId="6" fillId="0" borderId="8" xfId="1" applyFont="1" applyBorder="1" applyAlignment="1">
      <alignment horizontal="center" vertical="center" wrapText="1"/>
    </xf>
    <xf numFmtId="0" fontId="6" fillId="0" borderId="5" xfId="0" applyFont="1" applyBorder="1"/>
    <xf numFmtId="0" fontId="6" fillId="0" borderId="5" xfId="0" applyFont="1" applyBorder="1" applyAlignment="1">
      <alignment horizontal="center"/>
    </xf>
    <xf numFmtId="44" fontId="10" fillId="0" borderId="5" xfId="1" applyNumberFormat="1" applyFont="1" applyBorder="1"/>
    <xf numFmtId="43" fontId="10" fillId="0" borderId="4" xfId="1" applyNumberFormat="1" applyFont="1" applyBorder="1"/>
    <xf numFmtId="43" fontId="2" fillId="0" borderId="4" xfId="0" applyNumberFormat="1" applyFont="1" applyBorder="1"/>
    <xf numFmtId="0" fontId="4" fillId="0" borderId="0" xfId="0" applyFont="1" applyAlignment="1">
      <alignment horizontal="left"/>
    </xf>
    <xf numFmtId="0" fontId="0" fillId="0" borderId="3" xfId="0" applyBorder="1"/>
    <xf numFmtId="0" fontId="6" fillId="0" borderId="3" xfId="0" applyFont="1" applyBorder="1" applyAlignment="1">
      <alignment horizontal="center"/>
    </xf>
    <xf numFmtId="43" fontId="5" fillId="0" borderId="9" xfId="1" applyNumberFormat="1" applyFont="1" applyBorder="1"/>
    <xf numFmtId="181" fontId="3" fillId="0" borderId="9" xfId="2" applyNumberFormat="1" applyFont="1" applyBorder="1"/>
    <xf numFmtId="181" fontId="3" fillId="0" borderId="0" xfId="2" applyNumberFormat="1" applyFont="1" applyBorder="1"/>
    <xf numFmtId="181" fontId="2" fillId="0" borderId="0" xfId="2" applyNumberFormat="1" applyFont="1" applyBorder="1"/>
    <xf numFmtId="181" fontId="2" fillId="0" borderId="5" xfId="2" applyNumberFormat="1" applyFont="1" applyBorder="1"/>
    <xf numFmtId="181" fontId="0" fillId="0" borderId="0" xfId="0" applyNumberFormat="1"/>
    <xf numFmtId="181" fontId="2" fillId="0" borderId="0" xfId="0" applyNumberFormat="1" applyFont="1"/>
    <xf numFmtId="181" fontId="2" fillId="0" borderId="5" xfId="0" applyNumberFormat="1" applyFont="1" applyBorder="1"/>
    <xf numFmtId="181" fontId="3" fillId="0" borderId="0" xfId="0" applyNumberFormat="1" applyFont="1"/>
    <xf numFmtId="43" fontId="2" fillId="0" borderId="0" xfId="0" applyNumberFormat="1" applyFont="1"/>
    <xf numFmtId="44" fontId="2" fillId="0" borderId="0" xfId="1" applyNumberFormat="1" applyFont="1" applyBorder="1"/>
    <xf numFmtId="15" fontId="6" fillId="0" borderId="3" xfId="0" applyNumberFormat="1" applyFont="1" applyBorder="1" applyAlignment="1">
      <alignment wrapText="1"/>
    </xf>
    <xf numFmtId="15" fontId="6" fillId="0" borderId="3" xfId="0" applyNumberFormat="1" applyFont="1" applyBorder="1"/>
    <xf numFmtId="0" fontId="0" fillId="0" borderId="0" xfId="0" applyFill="1" applyBorder="1"/>
    <xf numFmtId="183" fontId="6" fillId="0" borderId="3" xfId="0" applyNumberFormat="1" applyFont="1" applyBorder="1" applyAlignment="1">
      <alignment wrapText="1"/>
    </xf>
    <xf numFmtId="181" fontId="2" fillId="0" borderId="0" xfId="0" applyNumberFormat="1" applyFont="1" applyBorder="1"/>
    <xf numFmtId="0" fontId="3" fillId="0" borderId="0" xfId="0" applyFont="1" applyBorder="1"/>
    <xf numFmtId="44" fontId="10" fillId="0" borderId="2" xfId="1" applyNumberFormat="1" applyFont="1" applyBorder="1"/>
    <xf numFmtId="183" fontId="6" fillId="0" borderId="0" xfId="0" applyNumberFormat="1" applyFont="1" applyBorder="1" applyAlignment="1">
      <alignment wrapText="1"/>
    </xf>
    <xf numFmtId="44" fontId="5" fillId="0" borderId="4" xfId="1" applyNumberFormat="1" applyFont="1" applyBorder="1"/>
    <xf numFmtId="183" fontId="7" fillId="0" borderId="0" xfId="0" applyNumberFormat="1" applyFont="1"/>
    <xf numFmtId="183" fontId="2" fillId="0" borderId="0" xfId="0" applyNumberFormat="1" applyFont="1"/>
    <xf numFmtId="183" fontId="6" fillId="0" borderId="0" xfId="0" applyNumberFormat="1" applyFont="1"/>
    <xf numFmtId="183" fontId="6" fillId="0" borderId="1" xfId="0" applyNumberFormat="1" applyFont="1" applyBorder="1" applyAlignment="1">
      <alignment horizontal="center" vertical="center" wrapText="1"/>
    </xf>
    <xf numFmtId="181" fontId="3" fillId="0" borderId="10" xfId="2" applyNumberFormat="1" applyFont="1" applyFill="1" applyBorder="1"/>
    <xf numFmtId="0" fontId="5" fillId="0" borderId="3" xfId="0" applyFont="1" applyFill="1" applyBorder="1"/>
    <xf numFmtId="43" fontId="5" fillId="0" borderId="3" xfId="1" applyNumberFormat="1" applyFont="1" applyFill="1" applyBorder="1"/>
    <xf numFmtId="0" fontId="5" fillId="0" borderId="0" xfId="0" applyFont="1" applyFill="1" applyBorder="1"/>
    <xf numFmtId="0" fontId="11" fillId="0" borderId="0" xfId="0" applyFont="1"/>
    <xf numFmtId="181" fontId="3" fillId="0" borderId="3" xfId="2" applyNumberFormat="1" applyFont="1" applyFill="1" applyBorder="1"/>
    <xf numFmtId="43" fontId="3" fillId="0" borderId="0" xfId="0" applyNumberFormat="1" applyFont="1"/>
    <xf numFmtId="43" fontId="6" fillId="0" borderId="0" xfId="0" applyNumberFormat="1" applyFont="1" applyAlignment="1">
      <alignment horizontal="center" vertical="center" wrapText="1"/>
    </xf>
    <xf numFmtId="43" fontId="6" fillId="0" borderId="0" xfId="0" applyNumberFormat="1" applyFont="1" applyAlignment="1">
      <alignment horizontal="center" wrapText="1"/>
    </xf>
    <xf numFmtId="43" fontId="3" fillId="0" borderId="0" xfId="0" applyNumberFormat="1" applyFont="1" applyBorder="1"/>
    <xf numFmtId="0" fontId="9" fillId="0" borderId="5" xfId="0" applyFont="1" applyBorder="1"/>
  </cellXfs>
  <cellStyles count="3">
    <cellStyle name="Comma" xfId="1" builtinId="3"/>
    <cellStyle name="Normal" xfId="0" builtinId="0"/>
    <cellStyle name="Percent"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MKIverson\Market\PRELIM%20MKT%202-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arket_AR"/>
      <sheetName val="GMC_AR"/>
      <sheetName val="Market_AP"/>
      <sheetName val="GMC_AP"/>
      <sheetName val="Accounts"/>
      <sheetName val="NameMap"/>
      <sheetName val="Invoices"/>
      <sheetName val="Wires"/>
    </sheetNames>
    <sheetDataSet>
      <sheetData sheetId="0" refreshError="1">
        <row r="8">
          <cell r="F8">
            <v>668198324.96999991</v>
          </cell>
        </row>
        <row r="12">
          <cell r="F12">
            <v>656090059.90999985</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84"/>
  <sheetViews>
    <sheetView zoomScaleNormal="100" zoomScaleSheetLayoutView="100" workbookViewId="0">
      <selection activeCell="I11" sqref="I11"/>
    </sheetView>
  </sheetViews>
  <sheetFormatPr defaultRowHeight="13.2" x14ac:dyDescent="0.25"/>
  <cols>
    <col min="1" max="1" width="5" style="8" bestFit="1" customWidth="1"/>
    <col min="2" max="2" width="47" customWidth="1"/>
    <col min="3" max="3" width="8.109375" style="8" bestFit="1" customWidth="1"/>
    <col min="4" max="4" width="6" style="12" bestFit="1" customWidth="1"/>
    <col min="5" max="5" width="5" style="12" customWidth="1"/>
    <col min="6" max="6" width="16.6640625" customWidth="1"/>
    <col min="7" max="7" width="9.33203125" customWidth="1"/>
    <col min="9" max="9" width="10.88671875" style="25" bestFit="1" customWidth="1"/>
  </cols>
  <sheetData>
    <row r="1" spans="1:9" ht="15.6" x14ac:dyDescent="0.3">
      <c r="B1" s="53" t="s">
        <v>238</v>
      </c>
    </row>
    <row r="2" spans="1:9" ht="15.6" x14ac:dyDescent="0.3">
      <c r="B2" s="41"/>
    </row>
    <row r="3" spans="1:9" ht="15.6" x14ac:dyDescent="0.3">
      <c r="B3" s="53" t="s">
        <v>50</v>
      </c>
    </row>
    <row r="4" spans="1:9" ht="15.6" x14ac:dyDescent="0.3">
      <c r="B4" s="41"/>
    </row>
    <row r="5" spans="1:9" ht="15.6" x14ac:dyDescent="0.3">
      <c r="B5" s="41"/>
    </row>
    <row r="6" spans="1:9" ht="15.6" x14ac:dyDescent="0.3">
      <c r="B6" s="41"/>
    </row>
    <row r="7" spans="1:9" ht="16.2" thickBot="1" x14ac:dyDescent="0.35">
      <c r="A7" s="10" t="s">
        <v>19</v>
      </c>
    </row>
    <row r="8" spans="1:9" s="5" customFormat="1" ht="31.8" thickTop="1" thickBot="1" x14ac:dyDescent="0.3">
      <c r="A8" s="15" t="s">
        <v>12</v>
      </c>
      <c r="B8" s="15" t="s">
        <v>14</v>
      </c>
      <c r="C8" s="15" t="s">
        <v>51</v>
      </c>
      <c r="D8" s="45"/>
      <c r="E8" s="46"/>
      <c r="F8" s="47" t="s">
        <v>52</v>
      </c>
      <c r="G8" s="16" t="s">
        <v>53</v>
      </c>
      <c r="I8" s="87"/>
    </row>
    <row r="9" spans="1:9" s="3" customFormat="1" ht="10.8" thickTop="1" x14ac:dyDescent="0.2">
      <c r="F9" s="4"/>
      <c r="I9" s="88"/>
    </row>
    <row r="10" spans="1:9" s="1" customFormat="1" ht="13.8" thickBot="1" x14ac:dyDescent="0.3">
      <c r="A10" s="11"/>
      <c r="B10" s="1" t="s">
        <v>124</v>
      </c>
      <c r="C10" s="11"/>
      <c r="D10" s="14"/>
      <c r="E10" s="14"/>
      <c r="F10" s="30">
        <v>498275053.57999998</v>
      </c>
      <c r="G10" s="20">
        <f>+F10/F$10</f>
        <v>1</v>
      </c>
      <c r="I10" s="65"/>
    </row>
    <row r="11" spans="1:9" ht="16.2" thickTop="1" x14ac:dyDescent="0.3">
      <c r="B11" s="41"/>
    </row>
    <row r="12" spans="1:9" ht="15.6" x14ac:dyDescent="0.3">
      <c r="B12" s="41"/>
    </row>
    <row r="13" spans="1:9" ht="15.6" x14ac:dyDescent="0.3">
      <c r="B13" s="41"/>
    </row>
    <row r="14" spans="1:9" ht="15.6" x14ac:dyDescent="0.3">
      <c r="B14" s="41"/>
    </row>
    <row r="15" spans="1:9" ht="15.6" x14ac:dyDescent="0.3">
      <c r="B15" s="41"/>
    </row>
    <row r="16" spans="1:9" ht="15.6" x14ac:dyDescent="0.3">
      <c r="A16" s="10" t="s">
        <v>49</v>
      </c>
    </row>
    <row r="17" spans="1:9" ht="16.2" thickBot="1" x14ac:dyDescent="0.35">
      <c r="A17" s="10" t="s">
        <v>86</v>
      </c>
    </row>
    <row r="18" spans="1:9" s="5" customFormat="1" ht="31.8" thickTop="1" thickBot="1" x14ac:dyDescent="0.3">
      <c r="A18" s="15" t="s">
        <v>12</v>
      </c>
      <c r="B18" s="15" t="s">
        <v>14</v>
      </c>
      <c r="C18" s="15" t="s">
        <v>13</v>
      </c>
      <c r="D18" s="15" t="s">
        <v>17</v>
      </c>
      <c r="E18" s="15" t="s">
        <v>15</v>
      </c>
      <c r="F18" s="16" t="s">
        <v>11</v>
      </c>
      <c r="G18" s="16" t="s">
        <v>56</v>
      </c>
      <c r="I18" s="87"/>
    </row>
    <row r="19" spans="1:9" ht="13.8" thickTop="1" x14ac:dyDescent="0.25"/>
    <row r="20" spans="1:9" s="26" customFormat="1" x14ac:dyDescent="0.25">
      <c r="A20" s="22">
        <v>2769</v>
      </c>
      <c r="B20" s="23" t="s">
        <v>218</v>
      </c>
      <c r="C20" s="67">
        <v>36936</v>
      </c>
      <c r="D20" s="22">
        <v>14006</v>
      </c>
      <c r="E20" s="24" t="s">
        <v>16</v>
      </c>
      <c r="F20" s="27">
        <v>93414.8</v>
      </c>
      <c r="G20" s="28">
        <f>+F20/F23</f>
        <v>1.8498717065292355E-4</v>
      </c>
      <c r="I20" s="86"/>
    </row>
    <row r="21" spans="1:9" x14ac:dyDescent="0.25">
      <c r="A21" s="22">
        <v>1243</v>
      </c>
      <c r="B21" s="23" t="s">
        <v>218</v>
      </c>
      <c r="C21" s="68">
        <v>36917</v>
      </c>
      <c r="D21" s="31">
        <v>13881</v>
      </c>
      <c r="E21" s="24" t="s">
        <v>16</v>
      </c>
      <c r="F21" s="56">
        <v>504886469.31999999</v>
      </c>
      <c r="G21" s="57">
        <f>+F21/F23</f>
        <v>0.99981501282934704</v>
      </c>
    </row>
    <row r="22" spans="1:9" x14ac:dyDescent="0.25">
      <c r="A22" s="7"/>
      <c r="B22" s="2"/>
      <c r="C22" s="9"/>
      <c r="D22" s="7"/>
      <c r="E22" s="13"/>
      <c r="F22" s="6"/>
      <c r="G22" s="21"/>
    </row>
    <row r="23" spans="1:9" ht="13.8" thickBot="1" x14ac:dyDescent="0.3">
      <c r="B23" s="1" t="s">
        <v>18</v>
      </c>
      <c r="F23" s="30">
        <f>SUM(F20:F22)</f>
        <v>504979884.12</v>
      </c>
      <c r="G23" s="20">
        <f>+F23/F23</f>
        <v>1</v>
      </c>
      <c r="I23" s="25">
        <f>+F23-504979884.12</f>
        <v>0</v>
      </c>
    </row>
    <row r="24" spans="1:9" ht="13.8" thickTop="1" x14ac:dyDescent="0.25">
      <c r="B24" s="1"/>
      <c r="F24" s="66"/>
      <c r="G24" s="59"/>
    </row>
    <row r="25" spans="1:9" x14ac:dyDescent="0.25">
      <c r="B25" s="1"/>
      <c r="F25" s="66"/>
      <c r="G25" s="59"/>
    </row>
    <row r="26" spans="1:9" x14ac:dyDescent="0.25">
      <c r="B26" s="1"/>
      <c r="F26" s="66"/>
      <c r="G26" s="59"/>
    </row>
    <row r="27" spans="1:9" x14ac:dyDescent="0.25">
      <c r="B27" s="26" t="s">
        <v>221</v>
      </c>
      <c r="F27" s="66"/>
      <c r="G27" s="59"/>
    </row>
    <row r="28" spans="1:9" x14ac:dyDescent="0.25">
      <c r="B28" s="1"/>
      <c r="F28" s="66"/>
      <c r="G28" s="59"/>
    </row>
    <row r="30" spans="1:9" ht="15.6" x14ac:dyDescent="0.3">
      <c r="B30" s="53" t="str">
        <f>+B1</f>
        <v>Certification for Market Settlement November 29, 2001</v>
      </c>
    </row>
    <row r="31" spans="1:9" ht="15.6" x14ac:dyDescent="0.3">
      <c r="B31" s="41"/>
    </row>
    <row r="32" spans="1:9" ht="15.6" x14ac:dyDescent="0.3">
      <c r="B32" s="10" t="s">
        <v>65</v>
      </c>
    </row>
    <row r="33" spans="2:7" ht="15.6" x14ac:dyDescent="0.3">
      <c r="B33" s="10"/>
    </row>
    <row r="34" spans="2:7" ht="15.6" x14ac:dyDescent="0.3">
      <c r="B34" s="10" t="s">
        <v>28</v>
      </c>
      <c r="G34" s="21"/>
    </row>
    <row r="35" spans="2:7" ht="15.6" x14ac:dyDescent="0.3">
      <c r="B35" s="10"/>
      <c r="G35" s="21"/>
    </row>
    <row r="36" spans="2:7" x14ac:dyDescent="0.25">
      <c r="B36" s="21" t="s">
        <v>27</v>
      </c>
      <c r="C36" s="32"/>
      <c r="D36" s="33"/>
      <c r="E36" s="33"/>
      <c r="F36" s="34">
        <v>669272884</v>
      </c>
      <c r="G36" s="58">
        <f>+F36/F38</f>
        <v>0.99531074726458513</v>
      </c>
    </row>
    <row r="37" spans="2:7" x14ac:dyDescent="0.25">
      <c r="B37" s="21" t="s">
        <v>29</v>
      </c>
      <c r="C37" s="32"/>
      <c r="D37" s="33"/>
      <c r="E37" s="33"/>
      <c r="F37" s="39">
        <f>3153175.74</f>
        <v>3153175.74</v>
      </c>
      <c r="G37" s="58">
        <f>+F37/F38</f>
        <v>4.6892527354148138E-3</v>
      </c>
    </row>
    <row r="38" spans="2:7" x14ac:dyDescent="0.25">
      <c r="B38" s="35" t="s">
        <v>30</v>
      </c>
      <c r="C38" s="32"/>
      <c r="D38" s="33"/>
      <c r="E38" s="33"/>
      <c r="F38" s="51">
        <f>+F37+F36</f>
        <v>672426059.74000001</v>
      </c>
      <c r="G38" s="59">
        <f>+F38/F38</f>
        <v>1</v>
      </c>
    </row>
    <row r="39" spans="2:7" ht="15.6" x14ac:dyDescent="0.3">
      <c r="B39" s="10"/>
      <c r="G39" s="21"/>
    </row>
    <row r="40" spans="2:7" x14ac:dyDescent="0.25">
      <c r="B40" s="21" t="s">
        <v>31</v>
      </c>
      <c r="C40" s="32"/>
      <c r="D40" s="33"/>
      <c r="E40" s="33"/>
      <c r="F40" s="6">
        <v>2983589.97</v>
      </c>
      <c r="G40" s="33"/>
    </row>
    <row r="41" spans="2:7" x14ac:dyDescent="0.25">
      <c r="B41" s="21" t="s">
        <v>32</v>
      </c>
      <c r="C41" s="32"/>
      <c r="D41" s="33"/>
      <c r="E41" s="33"/>
      <c r="F41" s="6">
        <v>144397659.30000001</v>
      </c>
      <c r="G41" s="33"/>
    </row>
    <row r="42" spans="2:7" x14ac:dyDescent="0.25">
      <c r="B42" s="21" t="s">
        <v>75</v>
      </c>
      <c r="C42" s="32"/>
      <c r="D42" s="33"/>
      <c r="E42" s="33"/>
      <c r="F42" s="6">
        <v>62787.65</v>
      </c>
      <c r="G42" s="33"/>
    </row>
    <row r="43" spans="2:7" x14ac:dyDescent="0.25">
      <c r="B43" s="21" t="s">
        <v>33</v>
      </c>
      <c r="C43" s="32"/>
      <c r="D43" s="33"/>
      <c r="E43" s="33"/>
      <c r="F43" s="39">
        <v>352934.19</v>
      </c>
      <c r="G43" s="33"/>
    </row>
    <row r="44" spans="2:7" x14ac:dyDescent="0.25">
      <c r="B44" s="35" t="s">
        <v>34</v>
      </c>
      <c r="C44" s="32"/>
      <c r="D44" s="33"/>
      <c r="E44" s="33"/>
      <c r="F44" s="51">
        <f>SUM(F40:F43)</f>
        <v>147796971.11000001</v>
      </c>
      <c r="G44" s="59">
        <f>+F44/F38</f>
        <v>0.21979661402050232</v>
      </c>
    </row>
    <row r="45" spans="2:7" ht="15.6" x14ac:dyDescent="0.3">
      <c r="B45" s="10"/>
      <c r="G45" s="21"/>
    </row>
    <row r="46" spans="2:7" x14ac:dyDescent="0.25">
      <c r="B46" s="21" t="s">
        <v>125</v>
      </c>
      <c r="C46" s="32"/>
      <c r="D46" s="33"/>
      <c r="E46" s="33"/>
      <c r="F46" s="6">
        <v>16925215.710000001</v>
      </c>
      <c r="G46" s="33"/>
    </row>
    <row r="47" spans="2:7" x14ac:dyDescent="0.25">
      <c r="B47" s="21" t="s">
        <v>139</v>
      </c>
      <c r="C47" s="32"/>
      <c r="D47" s="33"/>
      <c r="E47" s="33"/>
      <c r="F47" s="6">
        <v>80424.78</v>
      </c>
      <c r="G47" s="33"/>
    </row>
    <row r="48" spans="2:7" x14ac:dyDescent="0.25">
      <c r="B48" s="21" t="s">
        <v>195</v>
      </c>
      <c r="C48" s="32"/>
      <c r="D48" s="33"/>
      <c r="E48" s="33"/>
      <c r="F48" s="6">
        <v>1292641.3899999999</v>
      </c>
      <c r="G48" s="33"/>
    </row>
    <row r="49" spans="2:9" x14ac:dyDescent="0.25">
      <c r="B49" s="21" t="s">
        <v>196</v>
      </c>
      <c r="C49" s="32"/>
      <c r="D49" s="33"/>
      <c r="E49" s="33"/>
      <c r="F49" s="39">
        <v>1350922.63</v>
      </c>
      <c r="G49" s="33"/>
    </row>
    <row r="50" spans="2:9" x14ac:dyDescent="0.25">
      <c r="B50" s="35" t="s">
        <v>54</v>
      </c>
      <c r="C50" s="32"/>
      <c r="D50" s="33"/>
      <c r="E50" s="33"/>
      <c r="F50" s="52">
        <f>SUM(F46:F49)</f>
        <v>19649204.510000002</v>
      </c>
      <c r="G50" s="59">
        <f>+F50/F38</f>
        <v>2.9221360810432532E-2</v>
      </c>
    </row>
    <row r="51" spans="2:9" ht="15.6" x14ac:dyDescent="0.3">
      <c r="B51" s="10"/>
      <c r="G51" s="21"/>
    </row>
    <row r="52" spans="2:9" ht="16.2" thickBot="1" x14ac:dyDescent="0.35">
      <c r="B52" s="44" t="s">
        <v>36</v>
      </c>
      <c r="C52" s="48"/>
      <c r="D52" s="49"/>
      <c r="E52" s="49"/>
      <c r="F52" s="50">
        <f>+F38-F44-F50</f>
        <v>504979884.12</v>
      </c>
      <c r="G52" s="60">
        <f>+F52/F38</f>
        <v>0.7509820251690652</v>
      </c>
      <c r="I52" s="25">
        <f>+F52-F23</f>
        <v>0</v>
      </c>
    </row>
    <row r="53" spans="2:9" ht="15.6" x14ac:dyDescent="0.3">
      <c r="B53" s="37"/>
      <c r="C53" s="32"/>
      <c r="D53" s="33"/>
      <c r="E53" s="33"/>
      <c r="F53" s="38"/>
      <c r="G53" s="21"/>
    </row>
    <row r="54" spans="2:9" ht="15.6" x14ac:dyDescent="0.3">
      <c r="B54" s="37"/>
      <c r="C54" s="32"/>
      <c r="D54" s="33"/>
      <c r="E54" s="33"/>
      <c r="F54" s="38"/>
      <c r="G54" s="21"/>
    </row>
    <row r="55" spans="2:9" ht="15.6" x14ac:dyDescent="0.3">
      <c r="B55" s="37" t="s">
        <v>35</v>
      </c>
      <c r="C55" s="32"/>
      <c r="D55" s="33"/>
      <c r="E55" s="33"/>
      <c r="F55" s="21"/>
      <c r="G55" s="21"/>
    </row>
    <row r="56" spans="2:9" ht="15.6" x14ac:dyDescent="0.3">
      <c r="B56" s="37"/>
      <c r="C56" s="32"/>
      <c r="D56" s="33"/>
      <c r="E56" s="33"/>
      <c r="F56" s="21"/>
      <c r="G56" s="21"/>
    </row>
    <row r="57" spans="2:9" x14ac:dyDescent="0.25">
      <c r="B57" s="21" t="s">
        <v>27</v>
      </c>
      <c r="C57" s="32"/>
      <c r="D57" s="33"/>
      <c r="E57" s="33"/>
      <c r="F57" s="34">
        <v>669155560.77999997</v>
      </c>
      <c r="G57" s="58">
        <f>+F57/F59</f>
        <v>0.97444799717499142</v>
      </c>
    </row>
    <row r="58" spans="2:9" x14ac:dyDescent="0.25">
      <c r="B58" s="21" t="s">
        <v>29</v>
      </c>
      <c r="C58" s="32"/>
      <c r="D58" s="33"/>
      <c r="E58" s="33"/>
      <c r="F58" s="39">
        <v>17546615.960000001</v>
      </c>
      <c r="G58" s="58">
        <f>+F58/F59</f>
        <v>2.5552002825008552E-2</v>
      </c>
    </row>
    <row r="59" spans="2:9" x14ac:dyDescent="0.25">
      <c r="B59" s="35" t="s">
        <v>30</v>
      </c>
      <c r="C59" s="32"/>
      <c r="D59" s="33"/>
      <c r="E59" s="33"/>
      <c r="F59" s="51">
        <f>+F58+F57</f>
        <v>686702176.74000001</v>
      </c>
      <c r="G59" s="59">
        <f>+F59/F59</f>
        <v>1</v>
      </c>
    </row>
    <row r="60" spans="2:9" ht="15.6" x14ac:dyDescent="0.3">
      <c r="B60" s="10"/>
      <c r="G60" s="21"/>
    </row>
    <row r="61" spans="2:9" x14ac:dyDescent="0.25">
      <c r="B61" s="21" t="s">
        <v>39</v>
      </c>
      <c r="C61" s="32"/>
      <c r="D61" s="33"/>
      <c r="E61" s="33"/>
      <c r="F61" s="6">
        <v>12113244.289999999</v>
      </c>
      <c r="G61" s="33"/>
    </row>
    <row r="62" spans="2:9" x14ac:dyDescent="0.25">
      <c r="B62" s="21" t="s">
        <v>40</v>
      </c>
      <c r="C62" s="32"/>
      <c r="D62" s="33"/>
      <c r="E62" s="33"/>
      <c r="F62" s="6">
        <v>149333046.53999999</v>
      </c>
      <c r="G62" s="33"/>
    </row>
    <row r="63" spans="2:9" x14ac:dyDescent="0.25">
      <c r="B63" s="21" t="s">
        <v>41</v>
      </c>
      <c r="C63" s="32"/>
      <c r="D63" s="33"/>
      <c r="E63" s="33"/>
      <c r="F63" s="6">
        <v>62787.65</v>
      </c>
      <c r="G63" s="33"/>
    </row>
    <row r="64" spans="2:9" x14ac:dyDescent="0.25">
      <c r="B64" s="21" t="s">
        <v>43</v>
      </c>
      <c r="C64" s="32"/>
      <c r="D64" s="33"/>
      <c r="E64" s="33"/>
      <c r="F64" s="6">
        <v>352693.64</v>
      </c>
      <c r="G64" s="33"/>
    </row>
    <row r="65" spans="1:9" x14ac:dyDescent="0.25">
      <c r="B65" s="21" t="s">
        <v>70</v>
      </c>
      <c r="C65" s="32"/>
      <c r="D65" s="33"/>
      <c r="E65" s="33"/>
      <c r="F65" s="39">
        <v>5209.76</v>
      </c>
      <c r="G65" s="33"/>
    </row>
    <row r="66" spans="1:9" x14ac:dyDescent="0.25">
      <c r="B66" s="35" t="s">
        <v>42</v>
      </c>
      <c r="C66" s="32"/>
      <c r="D66" s="33"/>
      <c r="E66" s="33"/>
      <c r="F66" s="51">
        <f>SUM(F61:F65)</f>
        <v>161866981.87999997</v>
      </c>
      <c r="G66" s="59">
        <f>+F66/F59</f>
        <v>0.23571642462011044</v>
      </c>
    </row>
    <row r="67" spans="1:9" ht="15.6" x14ac:dyDescent="0.3">
      <c r="B67" s="10"/>
      <c r="G67" s="21"/>
    </row>
    <row r="68" spans="1:9" x14ac:dyDescent="0.25">
      <c r="B68" s="21" t="s">
        <v>128</v>
      </c>
      <c r="C68" s="32"/>
      <c r="D68" s="33"/>
      <c r="E68" s="33"/>
      <c r="F68" s="36">
        <v>957235.81</v>
      </c>
      <c r="G68" s="33"/>
    </row>
    <row r="69" spans="1:9" x14ac:dyDescent="0.25">
      <c r="B69" s="21" t="s">
        <v>127</v>
      </c>
      <c r="C69" s="32"/>
      <c r="D69" s="33"/>
      <c r="E69" s="33"/>
      <c r="F69" s="36">
        <v>443900.1</v>
      </c>
      <c r="G69" s="33"/>
    </row>
    <row r="70" spans="1:9" x14ac:dyDescent="0.25">
      <c r="B70" s="21" t="s">
        <v>126</v>
      </c>
      <c r="C70" s="32"/>
      <c r="D70" s="33"/>
      <c r="E70" s="33"/>
      <c r="F70" s="6">
        <v>16925215.710000001</v>
      </c>
      <c r="G70" s="33"/>
    </row>
    <row r="71" spans="1:9" x14ac:dyDescent="0.25">
      <c r="B71" s="21" t="s">
        <v>130</v>
      </c>
      <c r="C71" s="32"/>
      <c r="D71" s="33"/>
      <c r="E71" s="33"/>
      <c r="F71" s="6">
        <v>240.55</v>
      </c>
      <c r="G71" s="33"/>
    </row>
    <row r="72" spans="1:9" x14ac:dyDescent="0.25">
      <c r="B72" s="21" t="s">
        <v>129</v>
      </c>
      <c r="C72" s="32"/>
      <c r="D72" s="33"/>
      <c r="E72" s="33"/>
      <c r="F72" s="6">
        <f>2463.45+9045.05</f>
        <v>11508.5</v>
      </c>
      <c r="G72" s="33"/>
    </row>
    <row r="73" spans="1:9" s="21" customFormat="1" x14ac:dyDescent="0.25">
      <c r="A73" s="32"/>
      <c r="B73" s="21" t="s">
        <v>131</v>
      </c>
      <c r="C73" s="32"/>
      <c r="D73" s="33"/>
      <c r="E73" s="33"/>
      <c r="F73" s="6">
        <v>4918.46</v>
      </c>
      <c r="G73" s="33"/>
      <c r="I73" s="36"/>
    </row>
    <row r="74" spans="1:9" x14ac:dyDescent="0.25">
      <c r="B74" s="21" t="s">
        <v>132</v>
      </c>
      <c r="C74" s="32"/>
      <c r="D74" s="33"/>
      <c r="E74" s="33"/>
      <c r="F74" s="6">
        <v>7683.69</v>
      </c>
      <c r="G74" s="33"/>
    </row>
    <row r="75" spans="1:9" x14ac:dyDescent="0.25">
      <c r="B75" s="21" t="s">
        <v>136</v>
      </c>
      <c r="C75" s="32"/>
      <c r="D75" s="33"/>
      <c r="E75" s="33"/>
      <c r="F75" s="6">
        <v>252.41</v>
      </c>
      <c r="G75" s="33"/>
    </row>
    <row r="76" spans="1:9" x14ac:dyDescent="0.25">
      <c r="B76" s="69" t="s">
        <v>134</v>
      </c>
      <c r="C76" s="32"/>
      <c r="D76" s="33"/>
      <c r="E76" s="33"/>
      <c r="F76" s="6">
        <f>1321875.76+25515.38</f>
        <v>1347391.14</v>
      </c>
      <c r="G76" s="33"/>
    </row>
    <row r="77" spans="1:9" x14ac:dyDescent="0.25">
      <c r="B77" s="69" t="s">
        <v>133</v>
      </c>
      <c r="C77" s="32"/>
      <c r="D77" s="33"/>
      <c r="E77" s="33"/>
      <c r="F77" s="6">
        <v>89223.57</v>
      </c>
      <c r="G77" s="33"/>
    </row>
    <row r="78" spans="1:9" x14ac:dyDescent="0.25">
      <c r="B78" s="69" t="s">
        <v>135</v>
      </c>
      <c r="C78" s="32"/>
      <c r="D78" s="33"/>
      <c r="E78" s="33"/>
      <c r="F78" s="6">
        <v>7117.71</v>
      </c>
      <c r="G78" s="33"/>
    </row>
    <row r="79" spans="1:9" x14ac:dyDescent="0.25">
      <c r="B79" s="69" t="s">
        <v>197</v>
      </c>
      <c r="C79" s="32"/>
      <c r="D79" s="33"/>
      <c r="E79" s="33"/>
      <c r="F79" s="6">
        <v>56858.77</v>
      </c>
      <c r="G79" s="33"/>
    </row>
    <row r="80" spans="1:9" x14ac:dyDescent="0.25">
      <c r="B80" s="69" t="s">
        <v>138</v>
      </c>
      <c r="C80" s="32"/>
      <c r="D80" s="33"/>
      <c r="E80" s="33"/>
      <c r="F80" s="39">
        <v>6708594.8600000003</v>
      </c>
      <c r="G80" s="33"/>
    </row>
    <row r="81" spans="2:9" x14ac:dyDescent="0.25">
      <c r="B81" s="35" t="s">
        <v>54</v>
      </c>
      <c r="C81" s="32"/>
      <c r="D81" s="33"/>
      <c r="E81" s="33"/>
      <c r="F81" s="52">
        <f>SUM(F68:F80)</f>
        <v>26560141.280000005</v>
      </c>
      <c r="G81" s="59">
        <f>+F81/F59</f>
        <v>3.8677817225059176E-2</v>
      </c>
    </row>
    <row r="82" spans="2:9" ht="15.6" x14ac:dyDescent="0.3">
      <c r="B82" s="10"/>
      <c r="G82" s="21"/>
    </row>
    <row r="83" spans="2:9" ht="16.2" thickBot="1" x14ac:dyDescent="0.35">
      <c r="B83" s="44" t="s">
        <v>37</v>
      </c>
      <c r="C83" s="48"/>
      <c r="D83" s="49"/>
      <c r="E83" s="49"/>
      <c r="F83" s="50">
        <f>+F59-F66-F81</f>
        <v>498275053.57999998</v>
      </c>
      <c r="G83" s="60">
        <f>+F83/F59</f>
        <v>0.7256057581548303</v>
      </c>
      <c r="I83" s="25">
        <f>+F10-F83</f>
        <v>0</v>
      </c>
    </row>
    <row r="84" spans="2:9" ht="15.6" x14ac:dyDescent="0.3">
      <c r="B84" s="10"/>
    </row>
  </sheetData>
  <phoneticPr fontId="0" type="noConversion"/>
  <pageMargins left="0.5" right="0.25" top="1" bottom="0.5" header="0.5" footer="0"/>
  <pageSetup scale="87" orientation="portrait" r:id="rId1"/>
  <headerFooter alignWithMargins="0">
    <oddFooter>&amp;LCertification November 29, 2001&amp;CPage &amp;P of &amp;N&amp;RTrade Month November 2000</oddFooter>
  </headerFooter>
  <rowBreaks count="1" manualBreakCount="1">
    <brk id="29" max="6"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I95"/>
  <sheetViews>
    <sheetView zoomScaleNormal="100" workbookViewId="0">
      <selection activeCell="I9" sqref="I9"/>
    </sheetView>
  </sheetViews>
  <sheetFormatPr defaultRowHeight="13.2" x14ac:dyDescent="0.25"/>
  <cols>
    <col min="1" max="1" width="6.88671875" style="8" customWidth="1"/>
    <col min="2" max="2" width="50.5546875" customWidth="1"/>
    <col min="3" max="3" width="8.44140625" style="8" customWidth="1"/>
    <col min="4" max="4" width="5.5546875" style="12" bestFit="1" customWidth="1"/>
    <col min="5" max="5" width="4.44140625" style="12" bestFit="1" customWidth="1"/>
    <col min="6" max="6" width="17.5546875" customWidth="1"/>
    <col min="7" max="7" width="12.44140625" bestFit="1" customWidth="1"/>
    <col min="8" max="8" width="11.109375" customWidth="1"/>
    <col min="9" max="9" width="14.5546875" style="25" bestFit="1" customWidth="1"/>
  </cols>
  <sheetData>
    <row r="1" spans="1:9" ht="15.6" x14ac:dyDescent="0.3">
      <c r="B1" s="53" t="s">
        <v>238</v>
      </c>
    </row>
    <row r="2" spans="1:9" ht="15.6" x14ac:dyDescent="0.3">
      <c r="B2" s="10"/>
    </row>
    <row r="3" spans="1:9" ht="15.6" x14ac:dyDescent="0.3">
      <c r="B3" s="10" t="s">
        <v>243</v>
      </c>
    </row>
    <row r="4" spans="1:9" ht="15.6" x14ac:dyDescent="0.3">
      <c r="B4" s="10"/>
    </row>
    <row r="5" spans="1:9" ht="15.6" x14ac:dyDescent="0.3">
      <c r="B5" s="10"/>
    </row>
    <row r="6" spans="1:9" ht="16.2" thickBot="1" x14ac:dyDescent="0.35">
      <c r="A6" s="10" t="s">
        <v>57</v>
      </c>
    </row>
    <row r="7" spans="1:9" s="5" customFormat="1" ht="21.6" thickTop="1" thickBot="1" x14ac:dyDescent="0.3">
      <c r="A7" s="15" t="s">
        <v>12</v>
      </c>
      <c r="B7" s="15" t="s">
        <v>14</v>
      </c>
      <c r="C7" s="15" t="s">
        <v>51</v>
      </c>
      <c r="D7" s="45"/>
      <c r="E7" s="46"/>
      <c r="F7" s="47" t="s">
        <v>52</v>
      </c>
      <c r="G7" s="16" t="s">
        <v>53</v>
      </c>
      <c r="I7" s="87"/>
    </row>
    <row r="8" spans="1:9" s="3" customFormat="1" ht="10.8" thickTop="1" x14ac:dyDescent="0.2">
      <c r="F8" s="4"/>
      <c r="I8" s="88"/>
    </row>
    <row r="9" spans="1:9" s="1" customFormat="1" ht="13.8" thickBot="1" x14ac:dyDescent="0.3">
      <c r="A9" s="11"/>
      <c r="B9" s="1" t="s">
        <v>242</v>
      </c>
      <c r="C9" s="76"/>
      <c r="D9" s="14"/>
      <c r="E9" s="14"/>
      <c r="F9" s="30">
        <v>81372405.709999993</v>
      </c>
      <c r="G9" s="20">
        <f>+F9/F$9</f>
        <v>1</v>
      </c>
      <c r="I9" s="65"/>
    </row>
    <row r="10" spans="1:9" s="1" customFormat="1" ht="13.8" thickTop="1" x14ac:dyDescent="0.25">
      <c r="A10" s="11"/>
      <c r="C10" s="76"/>
      <c r="D10" s="14"/>
      <c r="E10" s="14"/>
      <c r="F10" s="66"/>
      <c r="G10" s="59"/>
      <c r="I10" s="65"/>
    </row>
    <row r="11" spans="1:9" s="1" customFormat="1" x14ac:dyDescent="0.25">
      <c r="A11" s="11"/>
      <c r="C11" s="76"/>
      <c r="D11" s="14"/>
      <c r="E11" s="14"/>
      <c r="F11" s="66"/>
      <c r="G11" s="59"/>
      <c r="I11" s="65"/>
    </row>
    <row r="12" spans="1:9" ht="15.6" x14ac:dyDescent="0.3">
      <c r="A12" s="10" t="s">
        <v>49</v>
      </c>
      <c r="C12" s="78"/>
    </row>
    <row r="13" spans="1:9" ht="16.2" thickBot="1" x14ac:dyDescent="0.35">
      <c r="A13" s="10" t="s">
        <v>247</v>
      </c>
      <c r="C13" s="78"/>
    </row>
    <row r="14" spans="1:9" s="5" customFormat="1" ht="21.6" thickTop="1" thickBot="1" x14ac:dyDescent="0.3">
      <c r="A14" s="15" t="s">
        <v>12</v>
      </c>
      <c r="B14" s="15" t="s">
        <v>14</v>
      </c>
      <c r="C14" s="79" t="s">
        <v>13</v>
      </c>
      <c r="D14" s="15" t="s">
        <v>17</v>
      </c>
      <c r="E14" s="15" t="s">
        <v>15</v>
      </c>
      <c r="F14" s="16" t="s">
        <v>11</v>
      </c>
      <c r="G14" s="16" t="s">
        <v>56</v>
      </c>
      <c r="I14" s="87"/>
    </row>
    <row r="15" spans="1:9" ht="13.8" thickTop="1" x14ac:dyDescent="0.25">
      <c r="C15" s="78"/>
    </row>
    <row r="16" spans="1:9" x14ac:dyDescent="0.25">
      <c r="A16" s="24">
        <v>1007</v>
      </c>
      <c r="B16" s="23" t="s">
        <v>59</v>
      </c>
      <c r="C16" s="70">
        <v>37208</v>
      </c>
      <c r="D16" s="55">
        <v>17027</v>
      </c>
      <c r="E16" s="24" t="s">
        <v>79</v>
      </c>
      <c r="F16" s="27">
        <v>44868.87</v>
      </c>
      <c r="G16" s="28">
        <f t="shared" ref="G16:G51" si="0">+F16/$F$53</f>
        <v>4.7453171664963307E-4</v>
      </c>
    </row>
    <row r="17" spans="1:9" x14ac:dyDescent="0.25">
      <c r="A17" s="24">
        <v>2606</v>
      </c>
      <c r="B17" s="23" t="s">
        <v>0</v>
      </c>
      <c r="C17" s="70">
        <v>37208</v>
      </c>
      <c r="D17" s="55">
        <v>16995</v>
      </c>
      <c r="E17" s="24" t="s">
        <v>79</v>
      </c>
      <c r="F17" s="29">
        <v>111510.03</v>
      </c>
      <c r="G17" s="28">
        <f t="shared" si="0"/>
        <v>1.1793264675386762E-3</v>
      </c>
    </row>
    <row r="18" spans="1:9" x14ac:dyDescent="0.25">
      <c r="A18" s="24">
        <v>1504</v>
      </c>
      <c r="B18" s="23" t="s">
        <v>2</v>
      </c>
      <c r="C18" s="70">
        <v>37208</v>
      </c>
      <c r="D18" s="55">
        <v>17013</v>
      </c>
      <c r="E18" s="24" t="s">
        <v>79</v>
      </c>
      <c r="F18" s="29">
        <v>6850.46</v>
      </c>
      <c r="G18" s="28">
        <f t="shared" si="0"/>
        <v>7.2450243200678901E-5</v>
      </c>
    </row>
    <row r="19" spans="1:9" x14ac:dyDescent="0.25">
      <c r="A19" s="24">
        <v>1564</v>
      </c>
      <c r="B19" s="23" t="s">
        <v>24</v>
      </c>
      <c r="C19" s="70">
        <v>37208</v>
      </c>
      <c r="D19" s="55">
        <v>17009</v>
      </c>
      <c r="E19" s="24" t="s">
        <v>79</v>
      </c>
      <c r="F19" s="29">
        <v>71611.7</v>
      </c>
      <c r="G19" s="28">
        <f t="shared" si="0"/>
        <v>7.5736302102545768E-4</v>
      </c>
    </row>
    <row r="20" spans="1:9" x14ac:dyDescent="0.25">
      <c r="A20" s="24">
        <v>2746</v>
      </c>
      <c r="B20" s="23" t="s">
        <v>244</v>
      </c>
      <c r="C20" s="70">
        <v>37208</v>
      </c>
      <c r="D20" s="55">
        <v>16993</v>
      </c>
      <c r="E20" s="24" t="s">
        <v>79</v>
      </c>
      <c r="F20" s="29">
        <v>63.42</v>
      </c>
      <c r="G20" s="28">
        <f t="shared" si="0"/>
        <v>6.7072786700266198E-7</v>
      </c>
    </row>
    <row r="21" spans="1:9" x14ac:dyDescent="0.25">
      <c r="A21" s="24">
        <v>1020</v>
      </c>
      <c r="B21" s="23" t="s">
        <v>62</v>
      </c>
      <c r="C21" s="70">
        <v>37208</v>
      </c>
      <c r="D21" s="55">
        <v>17021</v>
      </c>
      <c r="E21" s="24" t="s">
        <v>79</v>
      </c>
      <c r="F21" s="29">
        <v>80383.87</v>
      </c>
      <c r="G21" s="28">
        <f t="shared" si="0"/>
        <v>8.5013720697759798E-4</v>
      </c>
    </row>
    <row r="22" spans="1:9" x14ac:dyDescent="0.25">
      <c r="A22" s="24">
        <v>3288</v>
      </c>
      <c r="B22" s="23" t="s">
        <v>245</v>
      </c>
      <c r="C22" s="70">
        <v>37208</v>
      </c>
      <c r="D22" s="55">
        <v>16981</v>
      </c>
      <c r="E22" s="24" t="s">
        <v>79</v>
      </c>
      <c r="F22" s="29">
        <v>158899.09</v>
      </c>
      <c r="G22" s="28">
        <f t="shared" si="0"/>
        <v>1.6805116320461053E-3</v>
      </c>
    </row>
    <row r="23" spans="1:9" x14ac:dyDescent="0.25">
      <c r="A23" s="24">
        <v>1012</v>
      </c>
      <c r="B23" s="23" t="s">
        <v>90</v>
      </c>
      <c r="C23" s="70">
        <v>37208</v>
      </c>
      <c r="D23" s="55">
        <v>17025</v>
      </c>
      <c r="E23" s="24" t="s">
        <v>79</v>
      </c>
      <c r="F23" s="29">
        <v>750.5</v>
      </c>
      <c r="G23" s="28">
        <f t="shared" si="0"/>
        <v>7.9372637052270228E-6</v>
      </c>
    </row>
    <row r="24" spans="1:9" x14ac:dyDescent="0.25">
      <c r="A24" s="24">
        <v>2528</v>
      </c>
      <c r="B24" s="23" t="s">
        <v>78</v>
      </c>
      <c r="C24" s="70">
        <v>37208</v>
      </c>
      <c r="D24" s="55">
        <v>16998</v>
      </c>
      <c r="E24" s="24" t="s">
        <v>79</v>
      </c>
      <c r="F24" s="29">
        <v>122647.12</v>
      </c>
      <c r="G24" s="28">
        <f t="shared" si="0"/>
        <v>1.2971119708549278E-3</v>
      </c>
    </row>
    <row r="25" spans="1:9" x14ac:dyDescent="0.25">
      <c r="A25" s="24">
        <v>1010</v>
      </c>
      <c r="B25" s="23" t="s">
        <v>63</v>
      </c>
      <c r="C25" s="70">
        <v>37208</v>
      </c>
      <c r="D25" s="55">
        <v>17026</v>
      </c>
      <c r="E25" s="24" t="s">
        <v>79</v>
      </c>
      <c r="F25" s="29">
        <v>2473094.4900000002</v>
      </c>
      <c r="G25" s="28">
        <f t="shared" si="0"/>
        <v>2.615536726858619E-2</v>
      </c>
      <c r="I25" s="25">
        <f>+SUM(F16:F25)-3070679.55</f>
        <v>0</v>
      </c>
    </row>
    <row r="26" spans="1:9" x14ac:dyDescent="0.25">
      <c r="A26" s="24">
        <v>1007</v>
      </c>
      <c r="B26" s="23" t="s">
        <v>59</v>
      </c>
      <c r="C26" s="70">
        <v>37208</v>
      </c>
      <c r="D26" s="55">
        <v>17165</v>
      </c>
      <c r="E26" s="24" t="s">
        <v>16</v>
      </c>
      <c r="F26" s="29">
        <v>205766.93</v>
      </c>
      <c r="G26" s="28">
        <f t="shared" si="0"/>
        <v>2.1761843907061817E-3</v>
      </c>
    </row>
    <row r="27" spans="1:9" x14ac:dyDescent="0.25">
      <c r="A27" s="24">
        <v>2606</v>
      </c>
      <c r="B27" s="23" t="s">
        <v>0</v>
      </c>
      <c r="C27" s="70">
        <v>37208</v>
      </c>
      <c r="D27" s="55">
        <v>17083</v>
      </c>
      <c r="E27" s="24" t="s">
        <v>16</v>
      </c>
      <c r="F27" s="29">
        <v>120334.82</v>
      </c>
      <c r="G27" s="28">
        <f t="shared" si="0"/>
        <v>1.272657160907431E-3</v>
      </c>
    </row>
    <row r="28" spans="1:9" x14ac:dyDescent="0.25">
      <c r="A28" s="24">
        <v>1019</v>
      </c>
      <c r="B28" s="23" t="s">
        <v>60</v>
      </c>
      <c r="C28" s="70">
        <v>37208</v>
      </c>
      <c r="D28" s="55">
        <v>17155</v>
      </c>
      <c r="E28" s="24" t="s">
        <v>16</v>
      </c>
      <c r="F28" s="29">
        <v>73.760000000000005</v>
      </c>
      <c r="G28" s="28">
        <f t="shared" si="0"/>
        <v>7.8008337228187243E-7</v>
      </c>
    </row>
    <row r="29" spans="1:9" x14ac:dyDescent="0.25">
      <c r="A29" s="24">
        <v>1243</v>
      </c>
      <c r="B29" s="23" t="s">
        <v>218</v>
      </c>
      <c r="C29" s="70">
        <v>37208</v>
      </c>
      <c r="D29" s="55">
        <v>17138</v>
      </c>
      <c r="E29" s="24" t="s">
        <v>16</v>
      </c>
      <c r="F29" s="29">
        <v>435640.81</v>
      </c>
      <c r="G29" s="28">
        <f t="shared" si="0"/>
        <v>4.6073231042354449E-3</v>
      </c>
    </row>
    <row r="30" spans="1:9" x14ac:dyDescent="0.25">
      <c r="A30" s="24">
        <v>2947</v>
      </c>
      <c r="B30" s="23" t="s">
        <v>119</v>
      </c>
      <c r="C30" s="70">
        <v>37208</v>
      </c>
      <c r="D30" s="55">
        <v>17062</v>
      </c>
      <c r="E30" s="24" t="s">
        <v>16</v>
      </c>
      <c r="F30" s="29">
        <v>485639.67</v>
      </c>
      <c r="G30" s="28">
        <f t="shared" si="0"/>
        <v>5.1361094290598647E-3</v>
      </c>
    </row>
    <row r="31" spans="1:9" x14ac:dyDescent="0.25">
      <c r="A31" s="24">
        <v>1164</v>
      </c>
      <c r="B31" s="23" t="s">
        <v>183</v>
      </c>
      <c r="C31" s="70">
        <v>37208</v>
      </c>
      <c r="D31" s="55">
        <v>17144</v>
      </c>
      <c r="E31" s="24" t="s">
        <v>16</v>
      </c>
      <c r="F31" s="29">
        <v>39.49</v>
      </c>
      <c r="G31" s="28">
        <f t="shared" si="0"/>
        <v>4.1764496165145253E-7</v>
      </c>
    </row>
    <row r="32" spans="1:9" x14ac:dyDescent="0.25">
      <c r="A32" s="24">
        <v>1584</v>
      </c>
      <c r="B32" s="23" t="s">
        <v>1</v>
      </c>
      <c r="C32" s="70">
        <v>37208</v>
      </c>
      <c r="D32" s="55">
        <v>17118</v>
      </c>
      <c r="E32" s="24" t="s">
        <v>16</v>
      </c>
      <c r="F32" s="29">
        <v>3915.36</v>
      </c>
      <c r="G32" s="28">
        <f t="shared" si="0"/>
        <v>4.1408720614120818E-5</v>
      </c>
    </row>
    <row r="33" spans="1:9" x14ac:dyDescent="0.25">
      <c r="A33" s="24">
        <v>1504</v>
      </c>
      <c r="B33" s="23" t="s">
        <v>2</v>
      </c>
      <c r="C33" s="70">
        <v>37208</v>
      </c>
      <c r="D33" s="55">
        <v>17121</v>
      </c>
      <c r="E33" s="24" t="s">
        <v>16</v>
      </c>
      <c r="F33" s="29">
        <v>42051.24</v>
      </c>
      <c r="G33" s="28">
        <f t="shared" si="0"/>
        <v>4.4473255298040077E-4</v>
      </c>
    </row>
    <row r="34" spans="1:9" x14ac:dyDescent="0.25">
      <c r="A34" s="55">
        <v>2746</v>
      </c>
      <c r="B34" s="23" t="s">
        <v>244</v>
      </c>
      <c r="C34" s="70">
        <v>37208</v>
      </c>
      <c r="D34" s="55">
        <v>17076</v>
      </c>
      <c r="E34" s="24" t="s">
        <v>16</v>
      </c>
      <c r="F34" s="29">
        <v>924.08</v>
      </c>
      <c r="G34" s="80">
        <f t="shared" si="0"/>
        <v>9.7730401661907887E-6</v>
      </c>
    </row>
    <row r="35" spans="1:9" x14ac:dyDescent="0.25">
      <c r="A35" s="55">
        <v>2405</v>
      </c>
      <c r="B35" s="81" t="s">
        <v>3</v>
      </c>
      <c r="C35" s="70">
        <v>37208</v>
      </c>
      <c r="D35" s="55">
        <v>17096</v>
      </c>
      <c r="E35" s="24" t="s">
        <v>16</v>
      </c>
      <c r="F35" s="29">
        <v>918903.14</v>
      </c>
      <c r="G35" s="80">
        <f t="shared" si="0"/>
        <v>9.7182898624132517E-3</v>
      </c>
    </row>
    <row r="36" spans="1:9" x14ac:dyDescent="0.25">
      <c r="A36" s="24">
        <v>3288</v>
      </c>
      <c r="B36" s="23" t="s">
        <v>245</v>
      </c>
      <c r="C36" s="70">
        <v>37208</v>
      </c>
      <c r="D36" s="55">
        <v>17035</v>
      </c>
      <c r="E36" s="24" t="s">
        <v>16</v>
      </c>
      <c r="F36" s="29">
        <v>292991.84000000003</v>
      </c>
      <c r="G36" s="28">
        <f t="shared" si="0"/>
        <v>3.098672215269398E-3</v>
      </c>
    </row>
    <row r="37" spans="1:9" x14ac:dyDescent="0.25">
      <c r="A37" s="24">
        <v>1544</v>
      </c>
      <c r="B37" s="23" t="s">
        <v>4</v>
      </c>
      <c r="C37" s="70">
        <v>37208</v>
      </c>
      <c r="D37" s="55">
        <v>17117</v>
      </c>
      <c r="E37" s="24" t="s">
        <v>16</v>
      </c>
      <c r="F37" s="29">
        <v>52557.61</v>
      </c>
      <c r="G37" s="28">
        <f t="shared" si="0"/>
        <v>5.5584758199397314E-4</v>
      </c>
    </row>
    <row r="38" spans="1:9" x14ac:dyDescent="0.25">
      <c r="A38" s="24">
        <v>1544</v>
      </c>
      <c r="B38" s="23" t="s">
        <v>92</v>
      </c>
      <c r="C38" s="70">
        <v>37208</v>
      </c>
      <c r="D38" s="55">
        <v>17141</v>
      </c>
      <c r="E38" s="24" t="s">
        <v>16</v>
      </c>
      <c r="F38" s="29">
        <v>3075.26</v>
      </c>
      <c r="G38" s="28">
        <f t="shared" si="0"/>
        <v>3.2523850209375688E-5</v>
      </c>
    </row>
    <row r="39" spans="1:9" x14ac:dyDescent="0.25">
      <c r="A39" s="24">
        <v>1005</v>
      </c>
      <c r="B39" s="23" t="s">
        <v>120</v>
      </c>
      <c r="C39" s="70">
        <v>37208</v>
      </c>
      <c r="D39" s="55">
        <v>17167</v>
      </c>
      <c r="E39" s="24" t="s">
        <v>16</v>
      </c>
      <c r="F39" s="29">
        <v>148.07</v>
      </c>
      <c r="G39" s="28">
        <f t="shared" si="0"/>
        <v>1.5659835267594473E-6</v>
      </c>
    </row>
    <row r="40" spans="1:9" x14ac:dyDescent="0.25">
      <c r="A40" s="55">
        <v>2546</v>
      </c>
      <c r="B40" s="54" t="s">
        <v>6</v>
      </c>
      <c r="C40" s="70">
        <v>37208</v>
      </c>
      <c r="D40" s="55">
        <v>17084</v>
      </c>
      <c r="E40" s="24" t="s">
        <v>16</v>
      </c>
      <c r="F40" s="29">
        <v>1125.8699999999999</v>
      </c>
      <c r="G40" s="28">
        <f t="shared" si="0"/>
        <v>1.1907164673955959E-5</v>
      </c>
    </row>
    <row r="41" spans="1:9" x14ac:dyDescent="0.25">
      <c r="A41" s="12">
        <v>2769</v>
      </c>
      <c r="B41" s="23" t="s">
        <v>222</v>
      </c>
      <c r="C41" s="70">
        <v>37208</v>
      </c>
      <c r="D41" s="55">
        <v>17073</v>
      </c>
      <c r="E41" s="24" t="s">
        <v>16</v>
      </c>
      <c r="F41" s="29">
        <v>79752.92</v>
      </c>
      <c r="G41" s="28">
        <f t="shared" si="0"/>
        <v>8.434643002023642E-4</v>
      </c>
    </row>
    <row r="42" spans="1:9" x14ac:dyDescent="0.25">
      <c r="A42" s="24">
        <v>3186</v>
      </c>
      <c r="B42" s="23" t="s">
        <v>38</v>
      </c>
      <c r="C42" s="70">
        <v>37208</v>
      </c>
      <c r="D42" s="55">
        <v>17046</v>
      </c>
      <c r="E42" s="24" t="s">
        <v>16</v>
      </c>
      <c r="F42" s="29">
        <v>2501503.06</v>
      </c>
      <c r="G42" s="28">
        <f t="shared" si="0"/>
        <v>2.6455815385279594E-2</v>
      </c>
    </row>
    <row r="43" spans="1:9" x14ac:dyDescent="0.25">
      <c r="A43" s="24">
        <v>3187</v>
      </c>
      <c r="B43" s="23" t="s">
        <v>38</v>
      </c>
      <c r="C43" s="70">
        <v>37208</v>
      </c>
      <c r="D43" s="55">
        <v>14075</v>
      </c>
      <c r="E43" s="24" t="s">
        <v>16</v>
      </c>
      <c r="F43" s="29">
        <v>21446962.550000001</v>
      </c>
      <c r="G43" s="28">
        <f t="shared" si="0"/>
        <v>0.22682238165953125</v>
      </c>
    </row>
    <row r="44" spans="1:9" x14ac:dyDescent="0.25">
      <c r="A44" s="24">
        <v>2626</v>
      </c>
      <c r="B44" s="23" t="s">
        <v>7</v>
      </c>
      <c r="C44" s="70">
        <v>37208</v>
      </c>
      <c r="D44" s="55">
        <v>17082</v>
      </c>
      <c r="E44" s="24" t="s">
        <v>16</v>
      </c>
      <c r="F44" s="29">
        <v>962.32</v>
      </c>
      <c r="G44" s="28">
        <f t="shared" si="0"/>
        <v>1.0177465168306554E-5</v>
      </c>
    </row>
    <row r="45" spans="1:9" x14ac:dyDescent="0.25">
      <c r="A45" s="24">
        <v>2528</v>
      </c>
      <c r="B45" s="23" t="s">
        <v>78</v>
      </c>
      <c r="C45" s="70">
        <v>37208</v>
      </c>
      <c r="D45" s="55">
        <v>17090</v>
      </c>
      <c r="E45" s="24" t="s">
        <v>16</v>
      </c>
      <c r="F45" s="29">
        <v>7723</v>
      </c>
      <c r="G45" s="28">
        <f t="shared" si="0"/>
        <v>8.1678197995294205E-5</v>
      </c>
    </row>
    <row r="46" spans="1:9" s="21" customFormat="1" x14ac:dyDescent="0.25">
      <c r="A46" s="24">
        <v>1008</v>
      </c>
      <c r="B46" t="s">
        <v>8</v>
      </c>
      <c r="C46" s="70">
        <v>37208</v>
      </c>
      <c r="D46" s="55">
        <v>17164</v>
      </c>
      <c r="E46" s="24" t="s">
        <v>16</v>
      </c>
      <c r="F46" s="29">
        <v>10796.96</v>
      </c>
      <c r="G46" s="28">
        <f t="shared" si="0"/>
        <v>1.1418829944675277E-4</v>
      </c>
      <c r="I46" s="36"/>
    </row>
    <row r="47" spans="1:9" s="21" customFormat="1" x14ac:dyDescent="0.25">
      <c r="A47" s="24">
        <v>1024</v>
      </c>
      <c r="B47" t="s">
        <v>9</v>
      </c>
      <c r="C47" s="70">
        <v>37208</v>
      </c>
      <c r="D47" s="55">
        <v>17152</v>
      </c>
      <c r="E47" s="24" t="s">
        <v>16</v>
      </c>
      <c r="F47" s="29">
        <v>1722.46</v>
      </c>
      <c r="G47" s="28">
        <f t="shared" si="0"/>
        <v>1.8216681201472803E-5</v>
      </c>
      <c r="I47" s="36"/>
    </row>
    <row r="48" spans="1:9" s="21" customFormat="1" x14ac:dyDescent="0.25">
      <c r="A48" s="24">
        <v>2767</v>
      </c>
      <c r="B48" t="s">
        <v>10</v>
      </c>
      <c r="C48" s="70">
        <v>37208</v>
      </c>
      <c r="D48" s="55">
        <v>17075</v>
      </c>
      <c r="E48" s="24" t="s">
        <v>16</v>
      </c>
      <c r="F48" s="29">
        <v>1017.96</v>
      </c>
      <c r="G48" s="28">
        <f t="shared" si="0"/>
        <v>1.0765912007159095E-5</v>
      </c>
      <c r="I48" s="36"/>
    </row>
    <row r="49" spans="1:9" s="21" customFormat="1" x14ac:dyDescent="0.25">
      <c r="A49" s="24">
        <v>1010</v>
      </c>
      <c r="B49" s="23" t="s">
        <v>63</v>
      </c>
      <c r="C49" s="70">
        <v>37208</v>
      </c>
      <c r="D49" s="55">
        <v>17162</v>
      </c>
      <c r="E49" s="24" t="s">
        <v>16</v>
      </c>
      <c r="F49" s="29">
        <v>64868156.280000001</v>
      </c>
      <c r="G49" s="28">
        <f t="shared" si="0"/>
        <v>0.68604352094102383</v>
      </c>
      <c r="I49" s="36"/>
    </row>
    <row r="50" spans="1:9" s="21" customFormat="1" x14ac:dyDescent="0.25">
      <c r="A50" s="24">
        <v>2966</v>
      </c>
      <c r="B50" s="23" t="s">
        <v>64</v>
      </c>
      <c r="C50" s="70">
        <v>37208</v>
      </c>
      <c r="D50" s="55">
        <v>17060</v>
      </c>
      <c r="E50" s="24" t="s">
        <v>16</v>
      </c>
      <c r="F50" s="29">
        <v>4.1900000000000004</v>
      </c>
      <c r="G50" s="28">
        <f t="shared" si="0"/>
        <v>4.431330436362589E-8</v>
      </c>
      <c r="I50" s="36"/>
    </row>
    <row r="51" spans="1:9" x14ac:dyDescent="0.25">
      <c r="A51" s="24">
        <v>3207</v>
      </c>
      <c r="B51" s="23" t="s">
        <v>185</v>
      </c>
      <c r="C51" s="70">
        <v>37208</v>
      </c>
      <c r="D51" s="55">
        <v>17040</v>
      </c>
      <c r="E51" s="24" t="s">
        <v>16</v>
      </c>
      <c r="F51" s="56">
        <v>1526.72</v>
      </c>
      <c r="G51" s="57">
        <f t="shared" si="0"/>
        <v>1.614654129786036E-5</v>
      </c>
      <c r="I51" s="25">
        <f>SUM(F26:F51)-91483316.37</f>
        <v>0</v>
      </c>
    </row>
    <row r="52" spans="1:9" x14ac:dyDescent="0.25">
      <c r="A52" s="7"/>
      <c r="B52" s="2"/>
      <c r="C52" s="9"/>
      <c r="D52" s="13"/>
      <c r="E52" s="13"/>
      <c r="F52" s="6"/>
      <c r="G52" s="21"/>
    </row>
    <row r="53" spans="1:9" ht="13.8" thickBot="1" x14ac:dyDescent="0.3">
      <c r="B53" s="1" t="s">
        <v>18</v>
      </c>
      <c r="F53" s="30">
        <f>SUM(F16:F52)</f>
        <v>94553995.920000002</v>
      </c>
      <c r="G53" s="20">
        <f>+F53/F53</f>
        <v>1</v>
      </c>
    </row>
    <row r="54" spans="1:9" ht="13.8" thickTop="1" x14ac:dyDescent="0.25"/>
    <row r="56" spans="1:9" x14ac:dyDescent="0.25">
      <c r="B56" s="26" t="s">
        <v>221</v>
      </c>
    </row>
    <row r="57" spans="1:9" x14ac:dyDescent="0.25">
      <c r="B57" s="83" t="s">
        <v>220</v>
      </c>
    </row>
    <row r="59" spans="1:9" ht="15.6" x14ac:dyDescent="0.3">
      <c r="B59" s="10" t="str">
        <f>+B1</f>
        <v>Certification for Market Settlement November 29, 2001</v>
      </c>
    </row>
    <row r="60" spans="1:9" ht="15.6" x14ac:dyDescent="0.3">
      <c r="B60" s="10"/>
    </row>
    <row r="61" spans="1:9" ht="15.6" x14ac:dyDescent="0.3">
      <c r="B61" s="10" t="str">
        <f>+B3</f>
        <v>For the Trade Month of August 2001</v>
      </c>
    </row>
    <row r="62" spans="1:9" ht="15.6" x14ac:dyDescent="0.3">
      <c r="B62" s="10"/>
    </row>
    <row r="63" spans="1:9" ht="15.6" x14ac:dyDescent="0.3">
      <c r="B63" s="10"/>
    </row>
    <row r="64" spans="1:9" ht="15.6" x14ac:dyDescent="0.3">
      <c r="B64" s="10" t="s">
        <v>28</v>
      </c>
    </row>
    <row r="65" spans="1:9" ht="15.6" x14ac:dyDescent="0.3">
      <c r="B65" s="10"/>
    </row>
    <row r="66" spans="1:9" x14ac:dyDescent="0.25">
      <c r="B66" s="35" t="s">
        <v>30</v>
      </c>
      <c r="C66" s="32"/>
      <c r="D66" s="33"/>
      <c r="E66" s="33"/>
      <c r="F66" s="75">
        <v>99021266.640000001</v>
      </c>
      <c r="G66" s="62">
        <f>+F66/F66</f>
        <v>1</v>
      </c>
    </row>
    <row r="67" spans="1:9" ht="15.6" x14ac:dyDescent="0.3">
      <c r="B67" s="10"/>
    </row>
    <row r="68" spans="1:9" x14ac:dyDescent="0.25">
      <c r="B68" s="21" t="s">
        <v>253</v>
      </c>
      <c r="C68" s="32"/>
      <c r="D68" s="33"/>
      <c r="E68" s="33"/>
      <c r="F68" s="39">
        <v>7508092.3499999996</v>
      </c>
    </row>
    <row r="69" spans="1:9" x14ac:dyDescent="0.25">
      <c r="B69" s="35" t="s">
        <v>34</v>
      </c>
      <c r="C69" s="32"/>
      <c r="D69" s="33"/>
      <c r="E69" s="33"/>
      <c r="F69" s="39">
        <f>SUM(F68:F68)</f>
        <v>7508092.3499999996</v>
      </c>
      <c r="G69" s="62">
        <f>+F69/F66</f>
        <v>7.5823028777204898E-2</v>
      </c>
    </row>
    <row r="70" spans="1:9" ht="15.6" x14ac:dyDescent="0.3">
      <c r="B70" s="10"/>
    </row>
    <row r="71" spans="1:9" s="21" customFormat="1" x14ac:dyDescent="0.25">
      <c r="A71" s="32"/>
      <c r="B71" s="21" t="s">
        <v>248</v>
      </c>
      <c r="C71" s="32"/>
      <c r="D71" s="33"/>
      <c r="E71" s="33"/>
      <c r="F71" s="39">
        <v>29857.919999999998</v>
      </c>
      <c r="I71" s="36"/>
    </row>
    <row r="72" spans="1:9" x14ac:dyDescent="0.25">
      <c r="B72" s="1" t="s">
        <v>54</v>
      </c>
      <c r="F72" s="40">
        <f>SUM(F71:F71)</f>
        <v>29857.919999999998</v>
      </c>
      <c r="G72" s="62">
        <f>+F72/F66</f>
        <v>3.0153037840397389E-4</v>
      </c>
    </row>
    <row r="73" spans="1:9" x14ac:dyDescent="0.25">
      <c r="B73" s="1"/>
      <c r="F73" s="36"/>
      <c r="G73" s="62"/>
    </row>
    <row r="74" spans="1:9" s="21" customFormat="1" x14ac:dyDescent="0.25">
      <c r="A74" s="32"/>
      <c r="B74" s="21" t="s">
        <v>214</v>
      </c>
      <c r="C74" s="32"/>
      <c r="D74" s="33"/>
      <c r="E74" s="33"/>
      <c r="F74" s="39">
        <v>3070679.55</v>
      </c>
      <c r="G74" s="62">
        <f>+F74/F66</f>
        <v>3.1010303687224169E-2</v>
      </c>
      <c r="I74" s="36">
        <f>SUM(F16:F25)-F74</f>
        <v>0</v>
      </c>
    </row>
    <row r="75" spans="1:9" ht="15.6" x14ac:dyDescent="0.3">
      <c r="B75" s="10"/>
    </row>
    <row r="76" spans="1:9" ht="16.2" thickBot="1" x14ac:dyDescent="0.35">
      <c r="B76" s="44" t="s">
        <v>36</v>
      </c>
      <c r="C76" s="48"/>
      <c r="D76" s="49"/>
      <c r="E76" s="49"/>
      <c r="F76" s="50">
        <f>+F66-F69-F72+F74</f>
        <v>94553995.920000002</v>
      </c>
      <c r="G76" s="63">
        <f>+F76/F66</f>
        <v>0.95488574453161534</v>
      </c>
      <c r="I76" s="25">
        <f>+F53-F76</f>
        <v>0</v>
      </c>
    </row>
    <row r="77" spans="1:9" ht="15.6" x14ac:dyDescent="0.3">
      <c r="B77" s="37"/>
      <c r="C77" s="32"/>
      <c r="D77" s="33"/>
      <c r="E77" s="33"/>
      <c r="F77" s="38"/>
    </row>
    <row r="78" spans="1:9" ht="15.6" x14ac:dyDescent="0.3">
      <c r="B78" s="10"/>
    </row>
    <row r="79" spans="1:9" ht="15.6" x14ac:dyDescent="0.3">
      <c r="B79" s="37" t="s">
        <v>35</v>
      </c>
      <c r="C79" s="32"/>
      <c r="D79" s="33"/>
      <c r="E79" s="33"/>
      <c r="F79" s="21"/>
    </row>
    <row r="80" spans="1:9" ht="15.6" x14ac:dyDescent="0.3">
      <c r="B80" s="37"/>
      <c r="C80" s="32"/>
      <c r="D80" s="33"/>
      <c r="E80" s="33"/>
      <c r="F80" s="21"/>
    </row>
    <row r="81" spans="2:9" x14ac:dyDescent="0.25">
      <c r="B81" s="35" t="s">
        <v>30</v>
      </c>
      <c r="C81" s="32"/>
      <c r="D81" s="33"/>
      <c r="E81" s="33"/>
      <c r="F81" s="75">
        <v>85928223.670000002</v>
      </c>
      <c r="G81" s="62">
        <f>+F81/F81</f>
        <v>1</v>
      </c>
    </row>
    <row r="82" spans="2:9" ht="15.6" x14ac:dyDescent="0.3">
      <c r="B82" s="10"/>
    </row>
    <row r="83" spans="2:9" x14ac:dyDescent="0.25">
      <c r="B83" s="21" t="s">
        <v>252</v>
      </c>
      <c r="C83" s="32"/>
      <c r="D83" s="33"/>
      <c r="E83" s="33"/>
      <c r="F83" s="39">
        <v>4241737.12</v>
      </c>
    </row>
    <row r="84" spans="2:9" x14ac:dyDescent="0.25">
      <c r="B84" s="35" t="s">
        <v>42</v>
      </c>
      <c r="C84" s="32"/>
      <c r="D84" s="33"/>
      <c r="E84" s="33"/>
      <c r="F84" s="39">
        <f>SUM(F83:F83)</f>
        <v>4241737.12</v>
      </c>
      <c r="G84" s="62">
        <f>+F84/F81</f>
        <v>4.936372403425944E-2</v>
      </c>
    </row>
    <row r="85" spans="2:9" ht="15.6" x14ac:dyDescent="0.3">
      <c r="B85" s="10"/>
    </row>
    <row r="86" spans="2:9" x14ac:dyDescent="0.25">
      <c r="B86" s="21" t="s">
        <v>161</v>
      </c>
      <c r="C86" s="32"/>
      <c r="D86" s="33"/>
      <c r="E86" s="33"/>
      <c r="F86" s="36">
        <v>8877.58</v>
      </c>
    </row>
    <row r="87" spans="2:9" x14ac:dyDescent="0.25">
      <c r="B87" s="21" t="s">
        <v>144</v>
      </c>
      <c r="C87" s="32"/>
      <c r="D87" s="33"/>
      <c r="E87" s="33"/>
      <c r="F87" s="36">
        <v>2215.96</v>
      </c>
    </row>
    <row r="88" spans="2:9" x14ac:dyDescent="0.25">
      <c r="B88" s="21" t="s">
        <v>162</v>
      </c>
      <c r="C88" s="32"/>
      <c r="D88" s="33"/>
      <c r="E88" s="33"/>
      <c r="F88" s="36">
        <v>4898.46</v>
      </c>
    </row>
    <row r="89" spans="2:9" x14ac:dyDescent="0.25">
      <c r="B89" s="21" t="s">
        <v>155</v>
      </c>
      <c r="C89" s="32"/>
      <c r="D89" s="33"/>
      <c r="E89" s="33"/>
      <c r="F89" s="36">
        <v>100911.95</v>
      </c>
    </row>
    <row r="90" spans="2:9" x14ac:dyDescent="0.25">
      <c r="B90" s="21" t="s">
        <v>251</v>
      </c>
      <c r="C90" s="32"/>
      <c r="D90" s="33"/>
      <c r="E90" s="33"/>
      <c r="F90" s="36">
        <v>196332.7</v>
      </c>
    </row>
    <row r="91" spans="2:9" x14ac:dyDescent="0.25">
      <c r="B91" s="21" t="s">
        <v>250</v>
      </c>
      <c r="C91" s="32"/>
      <c r="D91" s="33"/>
      <c r="E91" s="33"/>
      <c r="F91" s="40">
        <v>844.19</v>
      </c>
    </row>
    <row r="92" spans="2:9" x14ac:dyDescent="0.25">
      <c r="B92" s="1" t="s">
        <v>54</v>
      </c>
      <c r="C92" s="32"/>
      <c r="D92" s="33"/>
      <c r="E92" s="33"/>
      <c r="F92" s="40">
        <f>SUM(F86:F91)</f>
        <v>314080.84000000003</v>
      </c>
      <c r="G92" s="62">
        <f>+F92/F81</f>
        <v>3.6551534127622683E-3</v>
      </c>
    </row>
    <row r="93" spans="2:9" ht="15.6" x14ac:dyDescent="0.3">
      <c r="B93" s="10"/>
    </row>
    <row r="94" spans="2:9" ht="16.2" thickBot="1" x14ac:dyDescent="0.35">
      <c r="B94" s="44" t="s">
        <v>37</v>
      </c>
      <c r="C94" s="48"/>
      <c r="D94" s="49"/>
      <c r="E94" s="49"/>
      <c r="F94" s="50">
        <f>+F81-F84-F92</f>
        <v>81372405.709999993</v>
      </c>
      <c r="G94" s="63">
        <f>+F94/F81</f>
        <v>0.94698112255297817</v>
      </c>
      <c r="I94" s="25">
        <f>+F9-F94</f>
        <v>0</v>
      </c>
    </row>
    <row r="95" spans="2:9" ht="15.6" x14ac:dyDescent="0.3">
      <c r="B95" s="10"/>
    </row>
  </sheetData>
  <phoneticPr fontId="0" type="noConversion"/>
  <pageMargins left="0.5" right="0.25" top="0.5" bottom="0.5" header="0.5" footer="0"/>
  <pageSetup scale="82" orientation="portrait" r:id="rId1"/>
  <headerFooter alignWithMargins="0">
    <oddFooter>&amp;LCertification November 29, 2001&amp;CPage &amp;P of &amp;N&amp;RTrade Month August 2001</oddFooter>
  </headerFooter>
  <rowBreaks count="1" manualBreakCount="1">
    <brk id="58" max="6"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25"/>
  <sheetViews>
    <sheetView tabSelected="1" zoomScaleNormal="100" workbookViewId="0">
      <selection activeCell="A6" sqref="A6"/>
    </sheetView>
  </sheetViews>
  <sheetFormatPr defaultRowHeight="13.2" x14ac:dyDescent="0.25"/>
  <cols>
    <col min="1" max="1" width="70.6640625" customWidth="1"/>
    <col min="2" max="2" width="16.6640625" customWidth="1"/>
  </cols>
  <sheetData>
    <row r="1" spans="1:1" ht="15.75" customHeight="1" x14ac:dyDescent="0.3">
      <c r="A1" s="53" t="s">
        <v>238</v>
      </c>
    </row>
    <row r="2" spans="1:1" ht="15.75" customHeight="1" x14ac:dyDescent="0.3">
      <c r="A2" s="10"/>
    </row>
    <row r="3" spans="1:1" ht="15.75" customHeight="1" x14ac:dyDescent="0.3">
      <c r="A3" s="84" t="s">
        <v>44</v>
      </c>
    </row>
    <row r="4" spans="1:1" ht="15.75" customHeight="1" x14ac:dyDescent="0.3">
      <c r="A4" s="84"/>
    </row>
    <row r="5" spans="1:1" ht="15.75" customHeight="1" x14ac:dyDescent="0.3">
      <c r="A5" s="42" t="s">
        <v>45</v>
      </c>
    </row>
    <row r="6" spans="1:1" ht="15.75" customHeight="1" x14ac:dyDescent="0.3">
      <c r="A6" s="42" t="s">
        <v>46</v>
      </c>
    </row>
    <row r="7" spans="1:1" ht="15.75" customHeight="1" x14ac:dyDescent="0.3">
      <c r="A7" s="42" t="s">
        <v>84</v>
      </c>
    </row>
    <row r="8" spans="1:1" ht="15.75" customHeight="1" x14ac:dyDescent="0.3">
      <c r="A8" s="42" t="s">
        <v>89</v>
      </c>
    </row>
    <row r="9" spans="1:1" ht="15.75" customHeight="1" x14ac:dyDescent="0.3">
      <c r="A9" s="42" t="s">
        <v>112</v>
      </c>
    </row>
    <row r="10" spans="1:1" ht="15.75" customHeight="1" x14ac:dyDescent="0.3">
      <c r="A10" s="42" t="s">
        <v>117</v>
      </c>
    </row>
    <row r="11" spans="1:1" ht="15.75" customHeight="1" x14ac:dyDescent="0.3">
      <c r="A11" s="42" t="s">
        <v>194</v>
      </c>
    </row>
    <row r="12" spans="1:1" ht="15.75" customHeight="1" x14ac:dyDescent="0.3">
      <c r="A12" s="42" t="s">
        <v>216</v>
      </c>
    </row>
    <row r="13" spans="1:1" ht="15.75" customHeight="1" x14ac:dyDescent="0.3">
      <c r="A13" s="42" t="s">
        <v>237</v>
      </c>
    </row>
    <row r="14" spans="1:1" ht="15.75" customHeight="1" x14ac:dyDescent="0.3">
      <c r="A14" s="42" t="s">
        <v>254</v>
      </c>
    </row>
    <row r="15" spans="1:1" ht="15.75" customHeight="1" x14ac:dyDescent="0.3">
      <c r="A15" s="42"/>
    </row>
    <row r="16" spans="1:1" ht="15.75" customHeight="1" x14ac:dyDescent="0.3">
      <c r="A16" s="42"/>
    </row>
    <row r="17" spans="1:1" ht="15.75" customHeight="1" x14ac:dyDescent="0.25"/>
    <row r="18" spans="1:1" ht="15.75" customHeight="1" x14ac:dyDescent="0.3">
      <c r="A18" s="10" t="s">
        <v>21</v>
      </c>
    </row>
    <row r="19" spans="1:1" ht="15.75" customHeight="1" x14ac:dyDescent="0.3">
      <c r="A19" s="17"/>
    </row>
    <row r="20" spans="1:1" ht="102.75" customHeight="1" x14ac:dyDescent="0.25">
      <c r="A20" s="43" t="s">
        <v>48</v>
      </c>
    </row>
    <row r="21" spans="1:1" ht="15.75" customHeight="1" x14ac:dyDescent="0.25"/>
    <row r="22" spans="1:1" ht="15.75" customHeight="1" x14ac:dyDescent="0.3">
      <c r="A22" s="10" t="s">
        <v>255</v>
      </c>
    </row>
    <row r="23" spans="1:1" ht="15.75" customHeight="1" x14ac:dyDescent="0.3">
      <c r="A23" s="10" t="s">
        <v>20</v>
      </c>
    </row>
    <row r="24" spans="1:1" ht="54.75" customHeight="1" thickBot="1" x14ac:dyDescent="0.35">
      <c r="A24" s="90" t="s">
        <v>256</v>
      </c>
    </row>
    <row r="25" spans="1:1" ht="15.75" customHeight="1" x14ac:dyDescent="0.3">
      <c r="A25" s="10" t="s">
        <v>47</v>
      </c>
    </row>
  </sheetData>
  <phoneticPr fontId="0" type="noConversion"/>
  <pageMargins left="1" right="0.75" top="1" bottom="1" header="0.5" footer="0.5"/>
  <pageSetup orientation="portrait" r:id="rId1"/>
  <headerFooter alignWithMargins="0">
    <oddFooter>&amp;LCertification November 29, 2001&amp;CPage 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93"/>
  <sheetViews>
    <sheetView zoomScaleNormal="100" workbookViewId="0">
      <selection activeCell="B12" sqref="B12"/>
    </sheetView>
  </sheetViews>
  <sheetFormatPr defaultRowHeight="13.2" x14ac:dyDescent="0.25"/>
  <cols>
    <col min="1" max="1" width="5" style="8" customWidth="1"/>
    <col min="2" max="2" width="50" customWidth="1"/>
    <col min="3" max="3" width="8.109375" style="8" customWidth="1"/>
    <col min="4" max="4" width="6" style="12" customWidth="1"/>
    <col min="5" max="5" width="5" style="12" customWidth="1"/>
    <col min="6" max="6" width="17.44140625" customWidth="1"/>
    <col min="7" max="7" width="9.33203125" customWidth="1"/>
    <col min="8" max="8" width="11.88671875" bestFit="1" customWidth="1"/>
    <col min="9" max="9" width="12.88671875" style="25" bestFit="1" customWidth="1"/>
  </cols>
  <sheetData>
    <row r="1" spans="1:9" ht="15.6" x14ac:dyDescent="0.3">
      <c r="B1" s="53" t="s">
        <v>238</v>
      </c>
    </row>
    <row r="2" spans="1:9" ht="15.6" x14ac:dyDescent="0.3">
      <c r="B2" s="10"/>
    </row>
    <row r="3" spans="1:9" ht="15.6" x14ac:dyDescent="0.3">
      <c r="B3" s="10" t="s">
        <v>55</v>
      </c>
    </row>
    <row r="4" spans="1:9" ht="15.6" x14ac:dyDescent="0.3">
      <c r="B4" s="10"/>
    </row>
    <row r="5" spans="1:9" ht="15.6" x14ac:dyDescent="0.3">
      <c r="B5" s="10"/>
    </row>
    <row r="6" spans="1:9" ht="15.6" x14ac:dyDescent="0.3">
      <c r="B6" s="10"/>
    </row>
    <row r="7" spans="1:9" ht="16.2" thickBot="1" x14ac:dyDescent="0.35">
      <c r="A7" s="10" t="s">
        <v>57</v>
      </c>
    </row>
    <row r="8" spans="1:9" s="5" customFormat="1" ht="31.8" thickTop="1" thickBot="1" x14ac:dyDescent="0.3">
      <c r="A8" s="15" t="s">
        <v>12</v>
      </c>
      <c r="B8" s="15" t="s">
        <v>14</v>
      </c>
      <c r="C8" s="15" t="s">
        <v>51</v>
      </c>
      <c r="D8" s="45"/>
      <c r="E8" s="46"/>
      <c r="F8" s="47" t="s">
        <v>52</v>
      </c>
      <c r="G8" s="16" t="s">
        <v>53</v>
      </c>
      <c r="I8" s="87"/>
    </row>
    <row r="9" spans="1:9" s="3" customFormat="1" ht="10.8" thickTop="1" x14ac:dyDescent="0.2">
      <c r="F9" s="4"/>
      <c r="I9" s="88"/>
    </row>
    <row r="10" spans="1:9" s="1" customFormat="1" ht="13.8" thickBot="1" x14ac:dyDescent="0.3">
      <c r="A10" s="11"/>
      <c r="B10" s="1" t="s">
        <v>137</v>
      </c>
      <c r="C10" s="11"/>
      <c r="D10" s="14"/>
      <c r="E10" s="14"/>
      <c r="F10" s="30">
        <v>1471079852.9000001</v>
      </c>
      <c r="G10" s="20">
        <f>+F10/F$10</f>
        <v>1</v>
      </c>
      <c r="I10" s="65"/>
    </row>
    <row r="11" spans="1:9" ht="16.2" thickTop="1" x14ac:dyDescent="0.3">
      <c r="B11" s="10"/>
    </row>
    <row r="12" spans="1:9" ht="15.6" x14ac:dyDescent="0.3">
      <c r="B12" s="10"/>
    </row>
    <row r="13" spans="1:9" ht="15.6" x14ac:dyDescent="0.3">
      <c r="B13" s="10"/>
    </row>
    <row r="14" spans="1:9" ht="15.6" x14ac:dyDescent="0.3">
      <c r="B14" s="10"/>
    </row>
    <row r="15" spans="1:9" ht="15.6" x14ac:dyDescent="0.3">
      <c r="B15" s="10"/>
    </row>
    <row r="16" spans="1:9" ht="15.6" x14ac:dyDescent="0.3">
      <c r="A16" s="10" t="s">
        <v>49</v>
      </c>
    </row>
    <row r="17" spans="1:9" ht="16.2" thickBot="1" x14ac:dyDescent="0.35">
      <c r="A17" s="10" t="s">
        <v>87</v>
      </c>
    </row>
    <row r="18" spans="1:9" s="5" customFormat="1" ht="31.8" thickTop="1" thickBot="1" x14ac:dyDescent="0.3">
      <c r="A18" s="15" t="s">
        <v>12</v>
      </c>
      <c r="B18" s="15" t="s">
        <v>14</v>
      </c>
      <c r="C18" s="15" t="s">
        <v>13</v>
      </c>
      <c r="D18" s="15" t="s">
        <v>17</v>
      </c>
      <c r="E18" s="15" t="s">
        <v>15</v>
      </c>
      <c r="F18" s="16" t="s">
        <v>11</v>
      </c>
      <c r="G18" s="16" t="s">
        <v>56</v>
      </c>
      <c r="I18" s="87"/>
    </row>
    <row r="19" spans="1:9" ht="13.8" thickTop="1" x14ac:dyDescent="0.25"/>
    <row r="20" spans="1:9" x14ac:dyDescent="0.25">
      <c r="A20" s="24">
        <v>1243</v>
      </c>
      <c r="B20" s="23" t="s">
        <v>218</v>
      </c>
      <c r="C20" s="70">
        <v>36949</v>
      </c>
      <c r="D20" s="31">
        <v>14163</v>
      </c>
      <c r="E20" s="24" t="s">
        <v>16</v>
      </c>
      <c r="F20" s="27">
        <v>1430114437.6500001</v>
      </c>
      <c r="G20" s="28">
        <f t="shared" ref="G20:G27" si="0">+F20/$F$29</f>
        <v>0.94477178153425312</v>
      </c>
    </row>
    <row r="21" spans="1:9" x14ac:dyDescent="0.25">
      <c r="A21" s="24">
        <v>1243</v>
      </c>
      <c r="B21" s="23" t="s">
        <v>218</v>
      </c>
      <c r="C21" s="70">
        <v>36965</v>
      </c>
      <c r="D21" s="31">
        <v>14323</v>
      </c>
      <c r="E21" s="24" t="s">
        <v>16</v>
      </c>
      <c r="F21" s="29">
        <v>54594957.950000003</v>
      </c>
      <c r="G21" s="28">
        <f t="shared" si="0"/>
        <v>3.6066886905894269E-2</v>
      </c>
    </row>
    <row r="22" spans="1:9" x14ac:dyDescent="0.25">
      <c r="A22" s="24">
        <v>2769</v>
      </c>
      <c r="B22" s="23" t="s">
        <v>218</v>
      </c>
      <c r="C22" s="70">
        <v>36949</v>
      </c>
      <c r="D22" s="31">
        <v>14126</v>
      </c>
      <c r="E22" s="24" t="s">
        <v>16</v>
      </c>
      <c r="F22" s="29">
        <v>12171363.359999999</v>
      </c>
      <c r="G22" s="28">
        <f t="shared" si="0"/>
        <v>8.0407276107383706E-3</v>
      </c>
    </row>
    <row r="23" spans="1:9" x14ac:dyDescent="0.25">
      <c r="A23" s="24">
        <v>2769</v>
      </c>
      <c r="B23" s="23" t="s">
        <v>218</v>
      </c>
      <c r="C23" s="70">
        <v>36965</v>
      </c>
      <c r="D23" s="31">
        <v>14286</v>
      </c>
      <c r="E23" s="24" t="s">
        <v>16</v>
      </c>
      <c r="F23" s="29">
        <v>235652.69</v>
      </c>
      <c r="G23" s="28">
        <f t="shared" si="0"/>
        <v>1.556784589354146E-4</v>
      </c>
    </row>
    <row r="24" spans="1:9" x14ac:dyDescent="0.25">
      <c r="A24" s="24">
        <v>1011</v>
      </c>
      <c r="B24" s="23" t="s">
        <v>219</v>
      </c>
      <c r="C24" s="70">
        <v>36949</v>
      </c>
      <c r="D24" s="31">
        <v>14183</v>
      </c>
      <c r="E24" s="24" t="s">
        <v>16</v>
      </c>
      <c r="F24" s="29">
        <v>11335555.359999999</v>
      </c>
      <c r="G24" s="28">
        <f t="shared" si="0"/>
        <v>7.4885705298839518E-3</v>
      </c>
    </row>
    <row r="25" spans="1:9" x14ac:dyDescent="0.25">
      <c r="A25" s="24">
        <v>1008</v>
      </c>
      <c r="B25" s="23" t="s">
        <v>8</v>
      </c>
      <c r="C25" s="70">
        <v>36965</v>
      </c>
      <c r="D25" s="31">
        <v>14345</v>
      </c>
      <c r="E25" s="24" t="s">
        <v>16</v>
      </c>
      <c r="F25" s="29">
        <v>1540434</v>
      </c>
      <c r="G25" s="28">
        <f t="shared" si="0"/>
        <v>1.0176518299524458E-3</v>
      </c>
    </row>
    <row r="26" spans="1:9" x14ac:dyDescent="0.25">
      <c r="A26" s="24">
        <v>1010</v>
      </c>
      <c r="B26" s="23" t="s">
        <v>63</v>
      </c>
      <c r="C26" s="70">
        <v>36965</v>
      </c>
      <c r="D26" s="31">
        <v>14344</v>
      </c>
      <c r="E26" s="24" t="s">
        <v>16</v>
      </c>
      <c r="F26" s="29">
        <v>3337442.11</v>
      </c>
      <c r="G26" s="28">
        <f t="shared" si="0"/>
        <v>2.2048033674937403E-3</v>
      </c>
    </row>
    <row r="27" spans="1:9" x14ac:dyDescent="0.25">
      <c r="A27" s="24">
        <v>2465</v>
      </c>
      <c r="B27" s="23" t="s">
        <v>26</v>
      </c>
      <c r="C27" s="70">
        <v>36965</v>
      </c>
      <c r="D27" s="31">
        <v>14298</v>
      </c>
      <c r="E27" s="24" t="s">
        <v>16</v>
      </c>
      <c r="F27" s="56">
        <f>393209.25-8877.58</f>
        <v>384331.67</v>
      </c>
      <c r="G27" s="57">
        <f t="shared" si="0"/>
        <v>2.5389976284876829E-4</v>
      </c>
    </row>
    <row r="28" spans="1:9" x14ac:dyDescent="0.25">
      <c r="A28" s="7"/>
      <c r="B28" s="2"/>
      <c r="C28" s="9"/>
      <c r="D28" s="7"/>
      <c r="E28" s="13"/>
      <c r="F28" s="6"/>
      <c r="G28" s="21"/>
    </row>
    <row r="29" spans="1:9" ht="13.8" thickBot="1" x14ac:dyDescent="0.3">
      <c r="B29" s="1" t="s">
        <v>18</v>
      </c>
      <c r="F29" s="30">
        <f>SUM(F20:F28)</f>
        <v>1513714174.79</v>
      </c>
      <c r="G29" s="20">
        <f>+F29/F29</f>
        <v>1</v>
      </c>
      <c r="I29" s="25">
        <f>1513714174.79-F29</f>
        <v>0</v>
      </c>
    </row>
    <row r="30" spans="1:9" ht="13.8" thickTop="1" x14ac:dyDescent="0.25">
      <c r="B30" s="1"/>
      <c r="F30" s="66"/>
      <c r="G30" s="59"/>
    </row>
    <row r="31" spans="1:9" x14ac:dyDescent="0.25">
      <c r="B31" s="1"/>
      <c r="F31" s="66"/>
      <c r="G31" s="59"/>
    </row>
    <row r="33" spans="2:7" x14ac:dyDescent="0.25">
      <c r="B33" s="26" t="s">
        <v>221</v>
      </c>
    </row>
    <row r="34" spans="2:7" x14ac:dyDescent="0.25">
      <c r="B34" s="83" t="s">
        <v>220</v>
      </c>
    </row>
    <row r="38" spans="2:7" ht="15.6" x14ac:dyDescent="0.3">
      <c r="B38" s="10" t="str">
        <f>+B1</f>
        <v>Certification for Market Settlement November 29, 2001</v>
      </c>
    </row>
    <row r="39" spans="2:7" ht="15.6" x14ac:dyDescent="0.3">
      <c r="B39" s="10"/>
    </row>
    <row r="40" spans="2:7" ht="15.6" x14ac:dyDescent="0.3">
      <c r="B40" s="10" t="s">
        <v>73</v>
      </c>
    </row>
    <row r="41" spans="2:7" ht="15.6" x14ac:dyDescent="0.3">
      <c r="B41" s="10"/>
    </row>
    <row r="42" spans="2:7" ht="15.6" x14ac:dyDescent="0.3">
      <c r="B42" s="10" t="s">
        <v>28</v>
      </c>
    </row>
    <row r="43" spans="2:7" ht="15.6" x14ac:dyDescent="0.3">
      <c r="B43" s="10"/>
    </row>
    <row r="44" spans="2:7" x14ac:dyDescent="0.25">
      <c r="B44" s="21" t="s">
        <v>27</v>
      </c>
      <c r="C44" s="32"/>
      <c r="D44" s="33"/>
      <c r="E44" s="33"/>
      <c r="F44" s="34">
        <v>1503186210.21</v>
      </c>
      <c r="G44" s="61">
        <f>+F44/$F$46</f>
        <v>0.95379607150099743</v>
      </c>
    </row>
    <row r="45" spans="2:7" x14ac:dyDescent="0.25">
      <c r="B45" s="21" t="s">
        <v>29</v>
      </c>
      <c r="C45" s="32"/>
      <c r="D45" s="33"/>
      <c r="E45" s="33"/>
      <c r="F45" s="39">
        <v>72817565.780000001</v>
      </c>
      <c r="G45" s="61">
        <f>+F45/$F$46</f>
        <v>4.6203928499002553E-2</v>
      </c>
    </row>
    <row r="46" spans="2:7" x14ac:dyDescent="0.25">
      <c r="B46" s="35" t="s">
        <v>30</v>
      </c>
      <c r="C46" s="32"/>
      <c r="D46" s="33"/>
      <c r="E46" s="33"/>
      <c r="F46" s="51">
        <f>SUM(F44:F45)</f>
        <v>1576003775.99</v>
      </c>
      <c r="G46" s="62">
        <f>+F46/$F$46</f>
        <v>1</v>
      </c>
    </row>
    <row r="47" spans="2:7" ht="15.6" x14ac:dyDescent="0.3">
      <c r="B47" s="10"/>
    </row>
    <row r="48" spans="2:7" x14ac:dyDescent="0.25">
      <c r="B48" s="21" t="s">
        <v>33</v>
      </c>
      <c r="C48" s="32"/>
      <c r="D48" s="33"/>
      <c r="E48" s="33"/>
      <c r="F48" s="6">
        <f>46371366.56-352934.19</f>
        <v>46018432.370000005</v>
      </c>
    </row>
    <row r="49" spans="1:9" x14ac:dyDescent="0.25">
      <c r="B49" s="21" t="s">
        <v>66</v>
      </c>
      <c r="C49" s="32"/>
      <c r="D49" s="33"/>
      <c r="E49" s="33"/>
      <c r="F49" s="6">
        <v>1095680.05</v>
      </c>
    </row>
    <row r="50" spans="1:9" s="21" customFormat="1" x14ac:dyDescent="0.25">
      <c r="A50" s="32"/>
      <c r="B50" s="21" t="s">
        <v>68</v>
      </c>
      <c r="C50" s="32"/>
      <c r="D50" s="33"/>
      <c r="E50" s="33"/>
      <c r="F50" s="6">
        <v>4668657.91</v>
      </c>
      <c r="I50" s="36"/>
    </row>
    <row r="51" spans="1:9" x14ac:dyDescent="0.25">
      <c r="B51" s="21" t="s">
        <v>74</v>
      </c>
      <c r="C51" s="32"/>
      <c r="D51" s="33"/>
      <c r="E51" s="33"/>
      <c r="F51" s="39">
        <f>31.56-0.54</f>
        <v>31.02</v>
      </c>
    </row>
    <row r="52" spans="1:9" x14ac:dyDescent="0.25">
      <c r="B52" s="35" t="s">
        <v>34</v>
      </c>
      <c r="C52" s="32"/>
      <c r="D52" s="33"/>
      <c r="E52" s="33"/>
      <c r="F52" s="51">
        <f>SUM(F48:F51)</f>
        <v>51782801.350000001</v>
      </c>
      <c r="G52" s="62">
        <f>+F52/$F$46</f>
        <v>3.2857028732352841E-2</v>
      </c>
    </row>
    <row r="53" spans="1:9" ht="15.6" x14ac:dyDescent="0.3">
      <c r="B53" s="10"/>
    </row>
    <row r="54" spans="1:9" s="21" customFormat="1" x14ac:dyDescent="0.25">
      <c r="A54" s="32"/>
      <c r="B54" s="21" t="s">
        <v>140</v>
      </c>
      <c r="C54" s="32"/>
      <c r="D54" s="33"/>
      <c r="E54" s="33"/>
      <c r="F54" s="6">
        <f>2463.45+9045.05</f>
        <v>11508.5</v>
      </c>
      <c r="I54" s="36"/>
    </row>
    <row r="55" spans="1:9" s="21" customFormat="1" x14ac:dyDescent="0.25">
      <c r="A55" s="32"/>
      <c r="B55" s="21" t="s">
        <v>141</v>
      </c>
      <c r="C55" s="32"/>
      <c r="D55" s="33"/>
      <c r="E55" s="33"/>
      <c r="F55" s="6">
        <v>147750</v>
      </c>
      <c r="I55" s="36"/>
    </row>
    <row r="56" spans="1:9" s="21" customFormat="1" x14ac:dyDescent="0.25">
      <c r="A56" s="32"/>
      <c r="B56" s="21" t="s">
        <v>143</v>
      </c>
      <c r="C56" s="32"/>
      <c r="D56" s="33"/>
      <c r="E56" s="33"/>
      <c r="F56" s="6">
        <f>6905278.69+1077709.33</f>
        <v>7982988.0200000005</v>
      </c>
      <c r="I56" s="36"/>
    </row>
    <row r="57" spans="1:9" s="21" customFormat="1" x14ac:dyDescent="0.25">
      <c r="A57" s="32"/>
      <c r="B57" s="21" t="s">
        <v>144</v>
      </c>
      <c r="C57" s="32"/>
      <c r="D57" s="33"/>
      <c r="E57" s="33"/>
      <c r="F57" s="6">
        <f>792.51+51555.14</f>
        <v>52347.65</v>
      </c>
      <c r="I57" s="36"/>
    </row>
    <row r="58" spans="1:9" s="21" customFormat="1" x14ac:dyDescent="0.25">
      <c r="A58" s="32"/>
      <c r="B58" s="21" t="s">
        <v>142</v>
      </c>
      <c r="C58" s="32"/>
      <c r="D58" s="33"/>
      <c r="E58" s="33"/>
      <c r="F58" s="6">
        <f>21483.12+118120.46+21.04</f>
        <v>139624.62000000002</v>
      </c>
      <c r="I58" s="36"/>
    </row>
    <row r="59" spans="1:9" s="21" customFormat="1" x14ac:dyDescent="0.25">
      <c r="A59" s="32"/>
      <c r="B59" s="21" t="s">
        <v>145</v>
      </c>
      <c r="C59" s="32"/>
      <c r="D59" s="33"/>
      <c r="E59" s="33"/>
      <c r="F59" s="6">
        <f>1476860.84+1284.97+6534.54-5100.63+1404.1+3239.56</f>
        <v>1484223.3800000004</v>
      </c>
      <c r="I59" s="36"/>
    </row>
    <row r="60" spans="1:9" s="21" customFormat="1" x14ac:dyDescent="0.25">
      <c r="A60" s="32"/>
      <c r="B60" s="21" t="s">
        <v>148</v>
      </c>
      <c r="C60" s="32"/>
      <c r="D60" s="33"/>
      <c r="E60" s="33"/>
      <c r="F60" s="6">
        <f>1202.39+5100.63+256.87</f>
        <v>6559.89</v>
      </c>
      <c r="I60" s="36"/>
    </row>
    <row r="61" spans="1:9" s="21" customFormat="1" x14ac:dyDescent="0.25">
      <c r="A61" s="32"/>
      <c r="B61" s="21" t="s">
        <v>146</v>
      </c>
      <c r="C61" s="32"/>
      <c r="D61" s="33"/>
      <c r="E61" s="33"/>
      <c r="F61" s="6">
        <v>24782.38</v>
      </c>
      <c r="I61" s="36"/>
    </row>
    <row r="62" spans="1:9" s="21" customFormat="1" x14ac:dyDescent="0.25">
      <c r="A62" s="32"/>
      <c r="B62" s="21" t="s">
        <v>147</v>
      </c>
      <c r="C62" s="32"/>
      <c r="D62" s="33"/>
      <c r="E62" s="33"/>
      <c r="F62" s="6">
        <f>13796.62+470.09</f>
        <v>14266.710000000001</v>
      </c>
      <c r="I62" s="36"/>
    </row>
    <row r="63" spans="1:9" s="21" customFormat="1" x14ac:dyDescent="0.25">
      <c r="A63" s="32"/>
      <c r="B63" s="21" t="s">
        <v>198</v>
      </c>
      <c r="C63" s="32"/>
      <c r="D63" s="33"/>
      <c r="E63" s="33"/>
      <c r="F63" s="6">
        <v>434861.71</v>
      </c>
      <c r="I63" s="36"/>
    </row>
    <row r="64" spans="1:9" s="21" customFormat="1" x14ac:dyDescent="0.25">
      <c r="A64" s="32"/>
      <c r="B64" s="21" t="s">
        <v>217</v>
      </c>
      <c r="C64" s="32"/>
      <c r="D64" s="33"/>
      <c r="E64" s="33"/>
      <c r="F64" s="6">
        <v>199009.41</v>
      </c>
      <c r="I64" s="36"/>
    </row>
    <row r="65" spans="1:9" s="21" customFormat="1" x14ac:dyDescent="0.25">
      <c r="A65" s="32"/>
      <c r="B65" s="21" t="s">
        <v>239</v>
      </c>
      <c r="C65" s="32"/>
      <c r="D65" s="33"/>
      <c r="E65" s="33"/>
      <c r="F65" s="39">
        <v>8877.58</v>
      </c>
      <c r="I65" s="36"/>
    </row>
    <row r="66" spans="1:9" x14ac:dyDescent="0.25">
      <c r="B66" s="1" t="s">
        <v>54</v>
      </c>
      <c r="F66" s="52">
        <f>SUM(F54:F65)</f>
        <v>10506799.850000005</v>
      </c>
      <c r="G66" s="62">
        <f>+F66/$F$46</f>
        <v>6.6667352008087273E-3</v>
      </c>
    </row>
    <row r="67" spans="1:9" ht="15.6" x14ac:dyDescent="0.3">
      <c r="B67" s="10"/>
    </row>
    <row r="68" spans="1:9" ht="16.2" thickBot="1" x14ac:dyDescent="0.35">
      <c r="B68" s="44" t="s">
        <v>36</v>
      </c>
      <c r="C68" s="48"/>
      <c r="D68" s="49"/>
      <c r="E68" s="49"/>
      <c r="F68" s="50">
        <f>+F46-F52-F66</f>
        <v>1513714174.7900002</v>
      </c>
      <c r="G68" s="63">
        <f>+F68/$F$46</f>
        <v>0.96047623606683852</v>
      </c>
      <c r="I68" s="25">
        <f>+F29-F68</f>
        <v>0</v>
      </c>
    </row>
    <row r="69" spans="1:9" ht="15.6" x14ac:dyDescent="0.3">
      <c r="B69" s="37"/>
      <c r="C69" s="32"/>
      <c r="D69" s="33"/>
      <c r="E69" s="33"/>
      <c r="F69" s="38"/>
    </row>
    <row r="70" spans="1:9" ht="15.6" x14ac:dyDescent="0.3">
      <c r="B70" s="37" t="s">
        <v>35</v>
      </c>
      <c r="C70" s="32"/>
      <c r="D70" s="33"/>
      <c r="E70" s="33"/>
      <c r="F70" s="21"/>
    </row>
    <row r="71" spans="1:9" ht="15.6" x14ac:dyDescent="0.3">
      <c r="B71" s="37"/>
      <c r="C71" s="32"/>
      <c r="D71" s="33"/>
      <c r="E71" s="33"/>
      <c r="F71" s="21"/>
    </row>
    <row r="72" spans="1:9" s="21" customFormat="1" x14ac:dyDescent="0.25">
      <c r="A72" s="32"/>
      <c r="B72" s="21" t="s">
        <v>27</v>
      </c>
      <c r="C72" s="32"/>
      <c r="D72" s="33"/>
      <c r="E72" s="33"/>
      <c r="F72" s="34">
        <f>1490781469.67</f>
        <v>1490781469.6700001</v>
      </c>
      <c r="G72" s="61">
        <f>+F72/$F$74</f>
        <v>0.94812611918699385</v>
      </c>
      <c r="I72" s="36"/>
    </row>
    <row r="73" spans="1:9" x14ac:dyDescent="0.25">
      <c r="B73" s="21" t="s">
        <v>29</v>
      </c>
      <c r="C73" s="32"/>
      <c r="D73" s="33"/>
      <c r="E73" s="33"/>
      <c r="F73" s="39">
        <v>81563642.969999999</v>
      </c>
      <c r="G73" s="61">
        <f>+F73/$F$74</f>
        <v>5.187388081300609E-2</v>
      </c>
    </row>
    <row r="74" spans="1:9" x14ac:dyDescent="0.25">
      <c r="B74" s="35" t="s">
        <v>30</v>
      </c>
      <c r="C74" s="32"/>
      <c r="D74" s="33"/>
      <c r="E74" s="33"/>
      <c r="F74" s="51">
        <f>SUM(F72:F73)</f>
        <v>1572345112.6400001</v>
      </c>
      <c r="G74" s="62">
        <f>+F74/$F$74</f>
        <v>1</v>
      </c>
    </row>
    <row r="75" spans="1:9" ht="15.6" x14ac:dyDescent="0.3">
      <c r="B75" s="10"/>
    </row>
    <row r="76" spans="1:9" x14ac:dyDescent="0.25">
      <c r="B76" s="21" t="s">
        <v>43</v>
      </c>
      <c r="C76" s="32"/>
      <c r="D76" s="33"/>
      <c r="E76" s="33"/>
      <c r="F76" s="6">
        <v>45426874.329999998</v>
      </c>
    </row>
    <row r="77" spans="1:9" s="21" customFormat="1" x14ac:dyDescent="0.25">
      <c r="A77" s="32"/>
      <c r="B77" s="21" t="s">
        <v>67</v>
      </c>
      <c r="C77" s="32"/>
      <c r="D77" s="33"/>
      <c r="E77" s="33"/>
      <c r="F77" s="6">
        <v>1095680.05</v>
      </c>
      <c r="I77" s="36"/>
    </row>
    <row r="78" spans="1:9" s="21" customFormat="1" x14ac:dyDescent="0.25">
      <c r="A78" s="32"/>
      <c r="B78" s="21" t="s">
        <v>69</v>
      </c>
      <c r="C78" s="32"/>
      <c r="D78" s="33"/>
      <c r="E78" s="33"/>
      <c r="F78" s="6">
        <v>4660365.5</v>
      </c>
      <c r="I78" s="36"/>
    </row>
    <row r="79" spans="1:9" s="21" customFormat="1" x14ac:dyDescent="0.25">
      <c r="A79" s="32"/>
      <c r="B79" s="21" t="s">
        <v>76</v>
      </c>
      <c r="C79" s="32"/>
      <c r="D79" s="33"/>
      <c r="E79" s="33"/>
      <c r="F79" s="6">
        <v>8292.41</v>
      </c>
      <c r="I79" s="36"/>
    </row>
    <row r="80" spans="1:9" x14ac:dyDescent="0.25">
      <c r="B80" s="21" t="s">
        <v>77</v>
      </c>
      <c r="C80" s="32"/>
      <c r="D80" s="33"/>
      <c r="E80" s="33"/>
      <c r="F80" s="39">
        <v>1243.6099999999999</v>
      </c>
    </row>
    <row r="81" spans="1:9" x14ac:dyDescent="0.25">
      <c r="B81" s="35" t="s">
        <v>42</v>
      </c>
      <c r="C81" s="32"/>
      <c r="D81" s="33"/>
      <c r="E81" s="33"/>
      <c r="F81" s="51">
        <f>SUM(F76:F80)</f>
        <v>51192455.899999991</v>
      </c>
      <c r="G81" s="62">
        <f>+F81/$F$74</f>
        <v>3.2558027807296573E-2</v>
      </c>
    </row>
    <row r="82" spans="1:9" ht="15.6" x14ac:dyDescent="0.3">
      <c r="B82" s="10"/>
    </row>
    <row r="83" spans="1:9" x14ac:dyDescent="0.25">
      <c r="B83" s="21" t="s">
        <v>149</v>
      </c>
      <c r="C83" s="32"/>
      <c r="D83" s="33"/>
      <c r="E83" s="33"/>
      <c r="F83" s="36">
        <f>554063.09+1911.84+35583.11</f>
        <v>591558.03999999992</v>
      </c>
      <c r="H83" s="25">
        <f>591558.04-F83</f>
        <v>0</v>
      </c>
    </row>
    <row r="84" spans="1:9" x14ac:dyDescent="0.25">
      <c r="B84" s="21" t="s">
        <v>150</v>
      </c>
      <c r="C84" s="32"/>
      <c r="D84" s="33"/>
      <c r="E84" s="33"/>
      <c r="F84" s="36">
        <f>6905278.69+1113292.44-35583.11</f>
        <v>7982988.0200000005</v>
      </c>
    </row>
    <row r="85" spans="1:9" s="21" customFormat="1" x14ac:dyDescent="0.25">
      <c r="A85" s="32"/>
      <c r="B85" s="21" t="s">
        <v>151</v>
      </c>
      <c r="C85" s="32"/>
      <c r="D85" s="33"/>
      <c r="E85" s="33"/>
      <c r="F85" s="36">
        <f>28270373.25+147750</f>
        <v>28418123.25</v>
      </c>
      <c r="I85" s="36"/>
    </row>
    <row r="86" spans="1:9" s="21" customFormat="1" x14ac:dyDescent="0.25">
      <c r="A86" s="32"/>
      <c r="B86" s="69" t="s">
        <v>153</v>
      </c>
      <c r="C86" s="32"/>
      <c r="D86" s="33"/>
      <c r="E86" s="33"/>
      <c r="F86" s="36">
        <v>1291405.1399999999</v>
      </c>
      <c r="I86" s="36"/>
    </row>
    <row r="87" spans="1:9" s="21" customFormat="1" x14ac:dyDescent="0.25">
      <c r="A87" s="32"/>
      <c r="B87" s="21" t="s">
        <v>152</v>
      </c>
      <c r="C87" s="32"/>
      <c r="D87" s="33"/>
      <c r="E87" s="33"/>
      <c r="F87" s="36">
        <f>4703426.9+3872000+13.44+217315.41</f>
        <v>8792755.75</v>
      </c>
      <c r="I87" s="36"/>
    </row>
    <row r="88" spans="1:9" s="21" customFormat="1" x14ac:dyDescent="0.25">
      <c r="A88" s="32"/>
      <c r="B88" s="69" t="s">
        <v>156</v>
      </c>
      <c r="C88" s="32"/>
      <c r="D88" s="33"/>
      <c r="E88" s="33"/>
      <c r="F88" s="36">
        <v>33196.74</v>
      </c>
      <c r="I88" s="36"/>
    </row>
    <row r="89" spans="1:9" s="21" customFormat="1" x14ac:dyDescent="0.25">
      <c r="A89" s="32"/>
      <c r="B89" s="69" t="s">
        <v>155</v>
      </c>
      <c r="C89" s="32"/>
      <c r="D89" s="33"/>
      <c r="E89" s="33"/>
      <c r="F89" s="40">
        <v>2962776.9</v>
      </c>
      <c r="I89" s="36"/>
    </row>
    <row r="90" spans="1:9" x14ac:dyDescent="0.25">
      <c r="B90" s="1" t="s">
        <v>54</v>
      </c>
      <c r="C90" s="32"/>
      <c r="D90" s="33"/>
      <c r="E90" s="33"/>
      <c r="F90" s="52">
        <f>SUM(F83:F89)</f>
        <v>50072803.840000004</v>
      </c>
      <c r="G90" s="62">
        <f>+F90/$F$74</f>
        <v>3.1845937280223884E-2</v>
      </c>
    </row>
    <row r="91" spans="1:9" ht="15.6" x14ac:dyDescent="0.3">
      <c r="B91" s="10"/>
    </row>
    <row r="92" spans="1:9" ht="16.2" thickBot="1" x14ac:dyDescent="0.35">
      <c r="B92" s="44" t="s">
        <v>37</v>
      </c>
      <c r="C92" s="48"/>
      <c r="D92" s="49"/>
      <c r="E92" s="49"/>
      <c r="F92" s="50">
        <f>+F74-F81-F90</f>
        <v>1471079852.9000001</v>
      </c>
      <c r="G92" s="63">
        <f>+F92/$F$74</f>
        <v>0.93559603491247956</v>
      </c>
      <c r="I92" s="25">
        <f>+F10-F92</f>
        <v>0</v>
      </c>
    </row>
    <row r="93" spans="1:9" ht="15.6" x14ac:dyDescent="0.3">
      <c r="B93" s="10"/>
    </row>
  </sheetData>
  <phoneticPr fontId="0" type="noConversion"/>
  <pageMargins left="0.5" right="0.25" top="1" bottom="0.5" header="0.5" footer="0"/>
  <pageSetup scale="86" orientation="portrait" r:id="rId1"/>
  <headerFooter alignWithMargins="0">
    <oddFooter>&amp;LCertification November 29, 2001&amp;CPage &amp;P of &amp;N&amp;RTrade Month December 2000</oddFooter>
  </headerFooter>
  <rowBreaks count="1" manualBreakCount="1">
    <brk id="37"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100"/>
  <sheetViews>
    <sheetView zoomScaleNormal="100" workbookViewId="0">
      <selection activeCell="I11" sqref="I11"/>
    </sheetView>
  </sheetViews>
  <sheetFormatPr defaultRowHeight="13.2" x14ac:dyDescent="0.25"/>
  <cols>
    <col min="1" max="1" width="5" style="8" customWidth="1"/>
    <col min="2" max="2" width="50" customWidth="1"/>
    <col min="3" max="3" width="8.109375" style="8" customWidth="1"/>
    <col min="4" max="4" width="6" style="12" customWidth="1"/>
    <col min="5" max="5" width="5" style="12" customWidth="1"/>
    <col min="6" max="6" width="17.44140625" customWidth="1"/>
    <col min="7" max="7" width="9.33203125" customWidth="1"/>
    <col min="9" max="9" width="14" style="25" bestFit="1" customWidth="1"/>
  </cols>
  <sheetData>
    <row r="1" spans="1:9" ht="15.6" x14ac:dyDescent="0.3">
      <c r="B1" s="53" t="s">
        <v>238</v>
      </c>
    </row>
    <row r="2" spans="1:9" ht="15.6" x14ac:dyDescent="0.3">
      <c r="B2" s="10"/>
    </row>
    <row r="3" spans="1:9" ht="15.6" x14ac:dyDescent="0.3">
      <c r="B3" s="10" t="s">
        <v>71</v>
      </c>
    </row>
    <row r="4" spans="1:9" ht="15.6" x14ac:dyDescent="0.3">
      <c r="B4" s="10"/>
    </row>
    <row r="5" spans="1:9" ht="15.6" x14ac:dyDescent="0.3">
      <c r="B5" s="10"/>
    </row>
    <row r="6" spans="1:9" ht="15.6" x14ac:dyDescent="0.3">
      <c r="B6" s="10"/>
    </row>
    <row r="7" spans="1:9" ht="16.2" thickBot="1" x14ac:dyDescent="0.35">
      <c r="A7" s="10" t="s">
        <v>57</v>
      </c>
    </row>
    <row r="8" spans="1:9" s="5" customFormat="1" ht="31.8" thickTop="1" thickBot="1" x14ac:dyDescent="0.3">
      <c r="A8" s="15" t="s">
        <v>12</v>
      </c>
      <c r="B8" s="15" t="s">
        <v>14</v>
      </c>
      <c r="C8" s="15" t="s">
        <v>51</v>
      </c>
      <c r="D8" s="45"/>
      <c r="E8" s="46"/>
      <c r="F8" s="47" t="s">
        <v>52</v>
      </c>
      <c r="G8" s="16" t="s">
        <v>53</v>
      </c>
      <c r="I8" s="87"/>
    </row>
    <row r="9" spans="1:9" s="3" customFormat="1" ht="10.8" thickTop="1" x14ac:dyDescent="0.2">
      <c r="F9" s="4"/>
      <c r="I9" s="88"/>
    </row>
    <row r="10" spans="1:9" s="1" customFormat="1" ht="13.8" thickBot="1" x14ac:dyDescent="0.3">
      <c r="A10" s="11"/>
      <c r="B10" s="1" t="s">
        <v>157</v>
      </c>
      <c r="C10" s="11"/>
      <c r="D10" s="14"/>
      <c r="E10" s="14"/>
      <c r="F10" s="30">
        <v>824310305.36000001</v>
      </c>
      <c r="G10" s="20">
        <f>+F10/F$10</f>
        <v>1</v>
      </c>
      <c r="I10" s="65"/>
    </row>
    <row r="11" spans="1:9" ht="16.2" thickTop="1" x14ac:dyDescent="0.3">
      <c r="B11" s="10"/>
    </row>
    <row r="12" spans="1:9" ht="15.6" x14ac:dyDescent="0.3">
      <c r="B12" s="10"/>
    </row>
    <row r="13" spans="1:9" ht="15.6" x14ac:dyDescent="0.3">
      <c r="B13" s="10"/>
    </row>
    <row r="14" spans="1:9" ht="15.6" x14ac:dyDescent="0.3">
      <c r="B14" s="10"/>
    </row>
    <row r="15" spans="1:9" ht="15.6" x14ac:dyDescent="0.3">
      <c r="B15" s="10"/>
    </row>
    <row r="16" spans="1:9" ht="15.6" x14ac:dyDescent="0.3">
      <c r="A16" s="10" t="s">
        <v>49</v>
      </c>
    </row>
    <row r="17" spans="1:9" ht="16.2" thickBot="1" x14ac:dyDescent="0.35">
      <c r="A17" s="10" t="s">
        <v>88</v>
      </c>
    </row>
    <row r="18" spans="1:9" s="5" customFormat="1" ht="31.8" thickTop="1" thickBot="1" x14ac:dyDescent="0.3">
      <c r="A18" s="15" t="s">
        <v>12</v>
      </c>
      <c r="B18" s="15" t="s">
        <v>14</v>
      </c>
      <c r="C18" s="15" t="s">
        <v>13</v>
      </c>
      <c r="D18" s="15" t="s">
        <v>17</v>
      </c>
      <c r="E18" s="15" t="s">
        <v>15</v>
      </c>
      <c r="F18" s="16" t="s">
        <v>11</v>
      </c>
      <c r="G18" s="16" t="s">
        <v>56</v>
      </c>
      <c r="I18" s="87"/>
    </row>
    <row r="19" spans="1:9" ht="13.8" thickTop="1" x14ac:dyDescent="0.25"/>
    <row r="20" spans="1:9" x14ac:dyDescent="0.25">
      <c r="A20" s="24">
        <v>2606</v>
      </c>
      <c r="B20" s="23" t="s">
        <v>80</v>
      </c>
      <c r="C20" s="70">
        <v>36977</v>
      </c>
      <c r="D20" s="31">
        <v>14415</v>
      </c>
      <c r="E20" s="24" t="s">
        <v>79</v>
      </c>
      <c r="F20" s="27">
        <v>145848.15</v>
      </c>
      <c r="G20" s="28">
        <f>+F20/$F$36</f>
        <v>1.8105264142362137E-4</v>
      </c>
    </row>
    <row r="21" spans="1:9" x14ac:dyDescent="0.25">
      <c r="A21" s="24">
        <v>1544</v>
      </c>
      <c r="B21" s="23" t="s">
        <v>4</v>
      </c>
      <c r="C21" s="70">
        <v>36977</v>
      </c>
      <c r="D21" s="31">
        <v>14431</v>
      </c>
      <c r="E21" s="24" t="s">
        <v>79</v>
      </c>
      <c r="F21" s="29">
        <v>80164.399999999994</v>
      </c>
      <c r="G21" s="28">
        <f>+F21/$F$36</f>
        <v>9.9514298728778892E-5</v>
      </c>
    </row>
    <row r="22" spans="1:9" x14ac:dyDescent="0.25">
      <c r="A22" s="24">
        <v>2528</v>
      </c>
      <c r="B22" s="23" t="s">
        <v>78</v>
      </c>
      <c r="C22" s="70">
        <v>36977</v>
      </c>
      <c r="D22" s="31">
        <v>14418</v>
      </c>
      <c r="E22" s="24" t="s">
        <v>79</v>
      </c>
      <c r="F22" s="29">
        <v>159458.66</v>
      </c>
      <c r="G22" s="28">
        <f>+F22/$F$36</f>
        <v>1.979484250631301E-4</v>
      </c>
    </row>
    <row r="23" spans="1:9" x14ac:dyDescent="0.25">
      <c r="A23" s="24">
        <v>1010</v>
      </c>
      <c r="B23" s="23" t="s">
        <v>63</v>
      </c>
      <c r="C23" s="70">
        <v>36977</v>
      </c>
      <c r="D23" s="31">
        <v>14459</v>
      </c>
      <c r="E23" s="24" t="s">
        <v>79</v>
      </c>
      <c r="F23" s="29">
        <v>2678130.4300000002</v>
      </c>
      <c r="G23" s="28">
        <f>+F23/$F$36</f>
        <v>3.3245714013409081E-3</v>
      </c>
    </row>
    <row r="24" spans="1:9" x14ac:dyDescent="0.25">
      <c r="A24" s="24">
        <v>2966</v>
      </c>
      <c r="B24" s="23" t="s">
        <v>64</v>
      </c>
      <c r="C24" s="70">
        <v>36994</v>
      </c>
      <c r="D24" s="31">
        <v>14602</v>
      </c>
      <c r="E24" s="24" t="s">
        <v>79</v>
      </c>
      <c r="F24" s="29">
        <v>617.11</v>
      </c>
      <c r="G24" s="28">
        <f t="shared" ref="G24:G34" si="0">+F24/$F$36</f>
        <v>7.6606659425526472E-7</v>
      </c>
      <c r="I24" s="25">
        <f>SUM(F20:F24)-3064218.75</f>
        <v>0</v>
      </c>
    </row>
    <row r="25" spans="1:9" x14ac:dyDescent="0.25">
      <c r="A25" s="24">
        <v>1924</v>
      </c>
      <c r="B25" s="23" t="s">
        <v>58</v>
      </c>
      <c r="C25" s="70">
        <v>36977</v>
      </c>
      <c r="D25" s="31">
        <v>14495</v>
      </c>
      <c r="E25" s="24" t="s">
        <v>16</v>
      </c>
      <c r="F25" s="29">
        <f>361251.6-4898.46</f>
        <v>356353.13999999996</v>
      </c>
      <c r="G25" s="28">
        <f t="shared" si="0"/>
        <v>4.423688423651691E-4</v>
      </c>
    </row>
    <row r="26" spans="1:9" x14ac:dyDescent="0.25">
      <c r="A26" s="24">
        <v>2606</v>
      </c>
      <c r="B26" s="23" t="s">
        <v>0</v>
      </c>
      <c r="C26" s="70">
        <v>36977</v>
      </c>
      <c r="D26" s="31">
        <v>14483</v>
      </c>
      <c r="E26" s="24" t="s">
        <v>16</v>
      </c>
      <c r="F26" s="29">
        <v>2008731.95</v>
      </c>
      <c r="G26" s="28">
        <f t="shared" si="0"/>
        <v>2.4935950538935306E-3</v>
      </c>
    </row>
    <row r="27" spans="1:9" x14ac:dyDescent="0.25">
      <c r="A27" s="24">
        <v>1243</v>
      </c>
      <c r="B27" s="23" t="s">
        <v>218</v>
      </c>
      <c r="C27" s="70">
        <v>36977</v>
      </c>
      <c r="D27" s="31">
        <v>14510</v>
      </c>
      <c r="E27" s="24" t="s">
        <v>16</v>
      </c>
      <c r="F27" s="29">
        <v>415999776.30000001</v>
      </c>
      <c r="G27" s="28">
        <f t="shared" si="0"/>
        <v>0.5164128467227771</v>
      </c>
    </row>
    <row r="28" spans="1:9" x14ac:dyDescent="0.25">
      <c r="A28" s="24">
        <v>1243</v>
      </c>
      <c r="B28" s="23" t="s">
        <v>218</v>
      </c>
      <c r="C28" s="70">
        <v>36994</v>
      </c>
      <c r="D28" s="31">
        <v>14709</v>
      </c>
      <c r="E28" s="24" t="s">
        <v>16</v>
      </c>
      <c r="F28" s="29">
        <v>14624579.52</v>
      </c>
      <c r="G28" s="28">
        <f t="shared" si="0"/>
        <v>1.815462693085786E-2</v>
      </c>
    </row>
    <row r="29" spans="1:9" x14ac:dyDescent="0.25">
      <c r="A29" s="24">
        <v>2769</v>
      </c>
      <c r="B29" s="23" t="s">
        <v>222</v>
      </c>
      <c r="C29" s="70">
        <v>36977</v>
      </c>
      <c r="D29" s="31">
        <v>14475</v>
      </c>
      <c r="E29" s="24" t="s">
        <v>16</v>
      </c>
      <c r="F29" s="29">
        <f>206727081.73-2136592.33</f>
        <v>204590489.39999998</v>
      </c>
      <c r="G29" s="28">
        <f t="shared" si="0"/>
        <v>0.2539740717727404</v>
      </c>
    </row>
    <row r="30" spans="1:9" x14ac:dyDescent="0.25">
      <c r="A30" s="24">
        <v>2769</v>
      </c>
      <c r="B30" s="23" t="s">
        <v>218</v>
      </c>
      <c r="C30" s="70">
        <v>36977</v>
      </c>
      <c r="D30" s="31">
        <v>14475</v>
      </c>
      <c r="E30" s="24" t="s">
        <v>16</v>
      </c>
      <c r="F30" s="29">
        <v>2136592.33</v>
      </c>
      <c r="G30" s="28">
        <f t="shared" si="0"/>
        <v>2.6523180787137151E-3</v>
      </c>
    </row>
    <row r="31" spans="1:9" x14ac:dyDescent="0.25">
      <c r="A31" s="24">
        <v>1544</v>
      </c>
      <c r="B31" s="23" t="s">
        <v>4</v>
      </c>
      <c r="C31" s="70">
        <v>36977</v>
      </c>
      <c r="D31" s="31">
        <v>14500</v>
      </c>
      <c r="E31" s="24" t="s">
        <v>16</v>
      </c>
      <c r="F31" s="29">
        <v>1844911.74</v>
      </c>
      <c r="G31" s="28">
        <f t="shared" si="0"/>
        <v>2.2902322979101854E-3</v>
      </c>
    </row>
    <row r="32" spans="1:9" x14ac:dyDescent="0.25">
      <c r="A32" s="24">
        <v>1011</v>
      </c>
      <c r="B32" s="23" t="s">
        <v>223</v>
      </c>
      <c r="C32" s="70">
        <v>36977</v>
      </c>
      <c r="D32" s="31">
        <v>14531</v>
      </c>
      <c r="E32" s="24" t="s">
        <v>16</v>
      </c>
      <c r="F32" s="29">
        <v>3798392.4</v>
      </c>
      <c r="G32" s="28">
        <f t="shared" si="0"/>
        <v>4.7152396323395847E-3</v>
      </c>
    </row>
    <row r="33" spans="1:9" x14ac:dyDescent="0.25">
      <c r="A33" s="24">
        <v>1010</v>
      </c>
      <c r="B33" s="23" t="s">
        <v>63</v>
      </c>
      <c r="C33" s="70">
        <v>36977</v>
      </c>
      <c r="D33" s="31">
        <v>14532</v>
      </c>
      <c r="E33" s="24" t="s">
        <v>16</v>
      </c>
      <c r="F33" s="29">
        <v>155833733.33000001</v>
      </c>
      <c r="G33" s="28">
        <f t="shared" si="0"/>
        <v>0.19344852192023504</v>
      </c>
    </row>
    <row r="34" spans="1:9" x14ac:dyDescent="0.25">
      <c r="A34" s="24">
        <v>2465</v>
      </c>
      <c r="B34" s="23" t="s">
        <v>26</v>
      </c>
      <c r="C34" s="70">
        <v>36977</v>
      </c>
      <c r="D34" s="31">
        <v>14489</v>
      </c>
      <c r="E34" s="24" t="s">
        <v>16</v>
      </c>
      <c r="F34" s="56">
        <v>1298819.78</v>
      </c>
      <c r="G34" s="28">
        <f t="shared" si="0"/>
        <v>1.6123259150167266E-3</v>
      </c>
      <c r="I34" s="25">
        <f>SUM(F25:F34)-802492379.89</f>
        <v>0</v>
      </c>
    </row>
    <row r="35" spans="1:9" x14ac:dyDescent="0.25">
      <c r="A35" s="7"/>
      <c r="B35" s="2"/>
      <c r="C35" s="9"/>
      <c r="D35" s="7"/>
      <c r="E35" s="13"/>
      <c r="F35" s="6"/>
      <c r="G35" s="21"/>
    </row>
    <row r="36" spans="1:9" ht="13.8" thickBot="1" x14ac:dyDescent="0.3">
      <c r="B36" s="1" t="s">
        <v>18</v>
      </c>
      <c r="F36" s="30">
        <f>SUM(F20:F35)</f>
        <v>805556598.63999999</v>
      </c>
      <c r="G36" s="20">
        <f>+F36/F36</f>
        <v>1</v>
      </c>
    </row>
    <row r="37" spans="1:9" ht="13.8" thickTop="1" x14ac:dyDescent="0.25"/>
    <row r="40" spans="1:9" x14ac:dyDescent="0.25">
      <c r="B40" s="26" t="s">
        <v>221</v>
      </c>
    </row>
    <row r="41" spans="1:9" x14ac:dyDescent="0.25">
      <c r="B41" s="83" t="s">
        <v>220</v>
      </c>
    </row>
    <row r="47" spans="1:9" ht="15.6" x14ac:dyDescent="0.3">
      <c r="B47" s="10" t="str">
        <f>+B1</f>
        <v>Certification for Market Settlement November 29, 2001</v>
      </c>
    </row>
    <row r="48" spans="1:9" ht="15.6" x14ac:dyDescent="0.3">
      <c r="B48" s="10"/>
    </row>
    <row r="49" spans="1:9" ht="15.6" x14ac:dyDescent="0.3">
      <c r="B49" s="10" t="s">
        <v>72</v>
      </c>
    </row>
    <row r="50" spans="1:9" ht="15.6" x14ac:dyDescent="0.3">
      <c r="B50" s="10"/>
    </row>
    <row r="51" spans="1:9" ht="15.6" x14ac:dyDescent="0.3">
      <c r="B51" s="10" t="s">
        <v>28</v>
      </c>
    </row>
    <row r="52" spans="1:9" ht="15.6" x14ac:dyDescent="0.3">
      <c r="B52" s="10"/>
    </row>
    <row r="53" spans="1:9" x14ac:dyDescent="0.25">
      <c r="B53" s="21" t="s">
        <v>27</v>
      </c>
      <c r="C53" s="32"/>
      <c r="D53" s="33"/>
      <c r="E53" s="33"/>
      <c r="F53" s="34">
        <v>852880070.61000001</v>
      </c>
      <c r="G53" s="61">
        <f>+F53/F55</f>
        <v>0.94701907326548973</v>
      </c>
    </row>
    <row r="54" spans="1:9" x14ac:dyDescent="0.25">
      <c r="B54" s="21" t="s">
        <v>29</v>
      </c>
      <c r="C54" s="32"/>
      <c r="D54" s="33"/>
      <c r="E54" s="33"/>
      <c r="F54" s="39">
        <v>47714325.729999997</v>
      </c>
      <c r="G54" s="61">
        <f>+F54/F55</f>
        <v>5.2980926734510214E-2</v>
      </c>
    </row>
    <row r="55" spans="1:9" x14ac:dyDescent="0.25">
      <c r="B55" s="35" t="s">
        <v>30</v>
      </c>
      <c r="C55" s="32"/>
      <c r="D55" s="33"/>
      <c r="E55" s="33"/>
      <c r="F55" s="39">
        <f>SUM(F53:F54)</f>
        <v>900594396.34000003</v>
      </c>
      <c r="G55" s="62">
        <f>+F55/F55</f>
        <v>1</v>
      </c>
    </row>
    <row r="56" spans="1:9" ht="15.6" x14ac:dyDescent="0.3">
      <c r="B56" s="10"/>
    </row>
    <row r="57" spans="1:9" x14ac:dyDescent="0.25">
      <c r="B57" s="21" t="s">
        <v>81</v>
      </c>
      <c r="C57" s="32"/>
      <c r="D57" s="33"/>
      <c r="E57" s="33"/>
      <c r="F57" s="6">
        <v>12952984.789999999</v>
      </c>
    </row>
    <row r="58" spans="1:9" x14ac:dyDescent="0.25">
      <c r="B58" s="21" t="s">
        <v>74</v>
      </c>
      <c r="C58" s="32"/>
      <c r="D58" s="33"/>
      <c r="E58" s="33"/>
      <c r="F58" s="39">
        <v>1948770.11</v>
      </c>
    </row>
    <row r="59" spans="1:9" x14ac:dyDescent="0.25">
      <c r="B59" s="35" t="s">
        <v>34</v>
      </c>
      <c r="C59" s="32"/>
      <c r="D59" s="33"/>
      <c r="E59" s="33"/>
      <c r="F59" s="39">
        <f>SUM(F57:F58)</f>
        <v>14901754.899999999</v>
      </c>
      <c r="G59" s="62">
        <f>+F59/F55</f>
        <v>1.654657741660449E-2</v>
      </c>
    </row>
    <row r="60" spans="1:9" ht="15.6" x14ac:dyDescent="0.3">
      <c r="B60" s="10"/>
    </row>
    <row r="61" spans="1:9" s="21" customFormat="1" x14ac:dyDescent="0.25">
      <c r="A61" s="32"/>
      <c r="B61" s="21" t="s">
        <v>140</v>
      </c>
      <c r="C61" s="32"/>
      <c r="D61" s="33"/>
      <c r="E61" s="33"/>
      <c r="F61" s="6">
        <v>7683.69</v>
      </c>
      <c r="I61" s="36"/>
    </row>
    <row r="62" spans="1:9" s="21" customFormat="1" x14ac:dyDescent="0.25">
      <c r="A62" s="32"/>
      <c r="B62" s="21" t="s">
        <v>160</v>
      </c>
      <c r="C62" s="32"/>
      <c r="D62" s="33"/>
      <c r="E62" s="33"/>
      <c r="F62" s="6">
        <f>5033877.99+13.44+217315.41</f>
        <v>5251206.8400000008</v>
      </c>
      <c r="I62" s="36"/>
    </row>
    <row r="63" spans="1:9" s="21" customFormat="1" x14ac:dyDescent="0.25">
      <c r="A63" s="32"/>
      <c r="B63" s="21" t="s">
        <v>159</v>
      </c>
      <c r="C63" s="32"/>
      <c r="D63" s="33"/>
      <c r="E63" s="33"/>
      <c r="F63" s="6">
        <v>30344780.579999998</v>
      </c>
      <c r="I63" s="36"/>
    </row>
    <row r="64" spans="1:9" s="21" customFormat="1" x14ac:dyDescent="0.25">
      <c r="A64" s="32"/>
      <c r="B64" s="21" t="s">
        <v>142</v>
      </c>
      <c r="C64" s="32"/>
      <c r="D64" s="33"/>
      <c r="E64" s="33"/>
      <c r="F64" s="6">
        <f>46774875.92+816816.06</f>
        <v>47591691.980000004</v>
      </c>
      <c r="I64" s="36"/>
    </row>
    <row r="65" spans="1:9" s="21" customFormat="1" x14ac:dyDescent="0.25">
      <c r="A65" s="32"/>
      <c r="B65" s="21" t="s">
        <v>240</v>
      </c>
      <c r="C65" s="32"/>
      <c r="D65" s="33"/>
      <c r="E65" s="33"/>
      <c r="F65" s="39">
        <v>4898.46</v>
      </c>
      <c r="I65" s="36"/>
    </row>
    <row r="66" spans="1:9" x14ac:dyDescent="0.25">
      <c r="B66" s="1" t="s">
        <v>54</v>
      </c>
      <c r="F66" s="40">
        <f>SUM(F61:F65)</f>
        <v>83200261.549999997</v>
      </c>
      <c r="G66" s="62">
        <f>+F66/F55</f>
        <v>9.2383721115881265E-2</v>
      </c>
    </row>
    <row r="67" spans="1:9" x14ac:dyDescent="0.25">
      <c r="B67" s="1"/>
      <c r="F67" s="36"/>
      <c r="G67" s="62"/>
    </row>
    <row r="68" spans="1:9" s="21" customFormat="1" x14ac:dyDescent="0.25">
      <c r="A68" s="32"/>
      <c r="B68" s="21" t="s">
        <v>158</v>
      </c>
      <c r="C68" s="32"/>
      <c r="D68" s="33"/>
      <c r="E68" s="33"/>
      <c r="F68" s="39">
        <f>3066490.71-56-2215.96</f>
        <v>3064218.75</v>
      </c>
      <c r="G68" s="62">
        <f>+F68/F55</f>
        <v>3.402440390982813E-3</v>
      </c>
      <c r="I68" s="36">
        <f>SUM(F20:F24)-F68</f>
        <v>0</v>
      </c>
    </row>
    <row r="69" spans="1:9" ht="15.6" x14ac:dyDescent="0.3">
      <c r="B69" s="10"/>
    </row>
    <row r="70" spans="1:9" ht="16.2" thickBot="1" x14ac:dyDescent="0.35">
      <c r="B70" s="44" t="s">
        <v>36</v>
      </c>
      <c r="C70" s="48"/>
      <c r="D70" s="49"/>
      <c r="E70" s="49"/>
      <c r="F70" s="50">
        <f>+F55-F59-F66+F68</f>
        <v>805556598.6400001</v>
      </c>
      <c r="G70" s="63">
        <f>+F70/F55</f>
        <v>0.89447214185849711</v>
      </c>
      <c r="I70" s="25">
        <f>+F36-F70</f>
        <v>0</v>
      </c>
    </row>
    <row r="71" spans="1:9" ht="15.6" x14ac:dyDescent="0.3">
      <c r="B71" s="37"/>
      <c r="C71" s="32"/>
      <c r="D71" s="33"/>
      <c r="E71" s="33"/>
      <c r="F71" s="38"/>
    </row>
    <row r="72" spans="1:9" ht="15.6" x14ac:dyDescent="0.3">
      <c r="B72" s="37" t="s">
        <v>35</v>
      </c>
      <c r="C72" s="32"/>
      <c r="D72" s="33"/>
      <c r="E72" s="33"/>
      <c r="F72" s="21"/>
    </row>
    <row r="73" spans="1:9" ht="15.6" x14ac:dyDescent="0.3">
      <c r="B73" s="37"/>
      <c r="C73" s="32"/>
      <c r="D73" s="33"/>
      <c r="E73" s="33"/>
      <c r="F73" s="21"/>
    </row>
    <row r="74" spans="1:9" s="21" customFormat="1" x14ac:dyDescent="0.25">
      <c r="A74" s="32"/>
      <c r="B74" s="21" t="s">
        <v>27</v>
      </c>
      <c r="C74" s="32"/>
      <c r="D74" s="33"/>
      <c r="E74" s="33"/>
      <c r="F74" s="34">
        <v>835450696.79999995</v>
      </c>
      <c r="G74" s="64">
        <f>+F74/F76</f>
        <v>0.94566217633351235</v>
      </c>
      <c r="I74" s="36"/>
    </row>
    <row r="75" spans="1:9" x14ac:dyDescent="0.25">
      <c r="B75" s="21" t="s">
        <v>29</v>
      </c>
      <c r="C75" s="32"/>
      <c r="D75" s="33"/>
      <c r="E75" s="33"/>
      <c r="F75" s="39">
        <v>48005063.310000002</v>
      </c>
      <c r="G75" s="64">
        <f>+F75/F76</f>
        <v>5.4337823666487664E-2</v>
      </c>
    </row>
    <row r="76" spans="1:9" x14ac:dyDescent="0.25">
      <c r="B76" s="35" t="s">
        <v>30</v>
      </c>
      <c r="C76" s="32"/>
      <c r="D76" s="33"/>
      <c r="E76" s="33"/>
      <c r="F76" s="39">
        <f>SUM(F74:F75)</f>
        <v>883455760.1099999</v>
      </c>
      <c r="G76" s="62">
        <f>+F76/F76</f>
        <v>1</v>
      </c>
    </row>
    <row r="77" spans="1:9" ht="15.6" x14ac:dyDescent="0.3">
      <c r="B77" s="10"/>
    </row>
    <row r="78" spans="1:9" x14ac:dyDescent="0.25">
      <c r="B78" s="21" t="s">
        <v>82</v>
      </c>
      <c r="C78" s="32"/>
      <c r="D78" s="33"/>
      <c r="E78" s="33"/>
      <c r="F78" s="6">
        <v>5980329.0499999998</v>
      </c>
    </row>
    <row r="79" spans="1:9" x14ac:dyDescent="0.25">
      <c r="B79" s="21" t="s">
        <v>83</v>
      </c>
      <c r="C79" s="32"/>
      <c r="D79" s="33"/>
      <c r="E79" s="33"/>
      <c r="F79" s="39">
        <v>3500845.61</v>
      </c>
    </row>
    <row r="80" spans="1:9" x14ac:dyDescent="0.25">
      <c r="B80" s="35" t="s">
        <v>42</v>
      </c>
      <c r="C80" s="32"/>
      <c r="D80" s="33"/>
      <c r="E80" s="33"/>
      <c r="F80" s="39">
        <f>SUM(F78:F79)</f>
        <v>9481174.6600000001</v>
      </c>
      <c r="G80" s="62">
        <f>+F80/F76</f>
        <v>1.073191787081618E-2</v>
      </c>
    </row>
    <row r="81" spans="2:9" ht="15.6" x14ac:dyDescent="0.3">
      <c r="B81" s="10"/>
    </row>
    <row r="82" spans="2:9" x14ac:dyDescent="0.25">
      <c r="B82" s="21" t="s">
        <v>161</v>
      </c>
      <c r="C82" s="32"/>
      <c r="D82" s="33"/>
      <c r="E82" s="33"/>
      <c r="F82" s="36">
        <f>122896.33-4775.87+21.04+21483.12</f>
        <v>139624.62</v>
      </c>
      <c r="I82" s="25">
        <f>139624.62-F82</f>
        <v>0</v>
      </c>
    </row>
    <row r="83" spans="2:9" x14ac:dyDescent="0.25">
      <c r="B83" s="21" t="s">
        <v>144</v>
      </c>
      <c r="C83" s="32"/>
      <c r="D83" s="33"/>
      <c r="E83" s="33"/>
      <c r="F83" s="36">
        <f>2355642.34+4780.7</f>
        <v>2360423.04</v>
      </c>
    </row>
    <row r="84" spans="2:9" x14ac:dyDescent="0.25">
      <c r="B84" s="21" t="s">
        <v>162</v>
      </c>
      <c r="C84" s="32"/>
      <c r="D84" s="33"/>
      <c r="E84" s="33"/>
      <c r="F84" s="36">
        <f>46774875.92+838299.18-21483.12</f>
        <v>47591691.980000004</v>
      </c>
      <c r="I84" s="25">
        <f>47591691.98-F84</f>
        <v>0</v>
      </c>
    </row>
    <row r="85" spans="2:9" x14ac:dyDescent="0.25">
      <c r="B85" s="21" t="s">
        <v>164</v>
      </c>
      <c r="C85" s="32"/>
      <c r="D85" s="33"/>
      <c r="E85" s="33"/>
      <c r="F85" s="36">
        <f>-5855172.13+4097000</f>
        <v>-1758172.13</v>
      </c>
    </row>
    <row r="86" spans="2:9" x14ac:dyDescent="0.25">
      <c r="B86" s="21" t="s">
        <v>163</v>
      </c>
      <c r="C86" s="32"/>
      <c r="D86" s="33"/>
      <c r="E86" s="33"/>
      <c r="F86" s="36">
        <f>4388030.55-4097000</f>
        <v>291030.54999999981</v>
      </c>
    </row>
    <row r="87" spans="2:9" x14ac:dyDescent="0.25">
      <c r="B87" s="69" t="s">
        <v>156</v>
      </c>
      <c r="C87" s="32"/>
      <c r="D87" s="33"/>
      <c r="E87" s="33"/>
      <c r="F87" s="36">
        <v>127265.99</v>
      </c>
    </row>
    <row r="88" spans="2:9" x14ac:dyDescent="0.25">
      <c r="B88" s="69" t="s">
        <v>155</v>
      </c>
      <c r="F88" s="25">
        <f>882262.79+6706.48</f>
        <v>888969.27</v>
      </c>
    </row>
    <row r="89" spans="2:9" x14ac:dyDescent="0.25">
      <c r="B89" s="69" t="s">
        <v>165</v>
      </c>
      <c r="C89" s="32"/>
      <c r="D89" s="33"/>
      <c r="E89" s="33"/>
      <c r="F89" s="40">
        <v>23446.77</v>
      </c>
    </row>
    <row r="90" spans="2:9" x14ac:dyDescent="0.25">
      <c r="B90" s="1" t="s">
        <v>54</v>
      </c>
      <c r="C90" s="32"/>
      <c r="D90" s="33"/>
      <c r="E90" s="33"/>
      <c r="F90" s="40">
        <f>SUM(F82:F89)</f>
        <v>49664280.090000004</v>
      </c>
      <c r="G90" s="62">
        <f>+F90/F76</f>
        <v>5.6215921987781546E-2</v>
      </c>
    </row>
    <row r="91" spans="2:9" ht="15.6" x14ac:dyDescent="0.3">
      <c r="B91" s="10"/>
    </row>
    <row r="92" spans="2:9" ht="16.2" thickBot="1" x14ac:dyDescent="0.35">
      <c r="B92" s="44" t="s">
        <v>37</v>
      </c>
      <c r="C92" s="48"/>
      <c r="D92" s="49"/>
      <c r="E92" s="49"/>
      <c r="F92" s="50">
        <f>+F76-F80-F90</f>
        <v>824310305.3599999</v>
      </c>
      <c r="G92" s="63">
        <f>+F92/F76</f>
        <v>0.93305216014140224</v>
      </c>
      <c r="I92" s="25">
        <f>+F92-F10</f>
        <v>0</v>
      </c>
    </row>
    <row r="93" spans="2:9" ht="15.6" x14ac:dyDescent="0.3">
      <c r="B93" s="37"/>
      <c r="C93" s="32"/>
      <c r="D93" s="33"/>
      <c r="E93" s="33"/>
      <c r="F93" s="38"/>
      <c r="G93" s="71"/>
    </row>
    <row r="94" spans="2:9" ht="15.6" x14ac:dyDescent="0.3">
      <c r="B94" s="37" t="s">
        <v>100</v>
      </c>
      <c r="C94" s="32"/>
      <c r="D94" s="33"/>
      <c r="E94" s="33"/>
      <c r="G94" s="71"/>
    </row>
    <row r="95" spans="2:9" ht="15.6" x14ac:dyDescent="0.3">
      <c r="B95" s="37"/>
      <c r="C95" s="32"/>
      <c r="D95" s="33"/>
      <c r="E95" s="33"/>
      <c r="G95" s="71"/>
    </row>
    <row r="96" spans="2:9" x14ac:dyDescent="0.25">
      <c r="B96" s="72" t="s">
        <v>98</v>
      </c>
      <c r="C96" s="32"/>
      <c r="D96" s="33"/>
      <c r="E96" s="33"/>
      <c r="F96" s="34">
        <f>+'Cert Nov-00'!F52-'Cert Nov-00'!F83</f>
        <v>6704830.5400000215</v>
      </c>
      <c r="G96" s="71"/>
    </row>
    <row r="97" spans="2:7" x14ac:dyDescent="0.25">
      <c r="B97" s="72" t="s">
        <v>101</v>
      </c>
      <c r="C97" s="32"/>
      <c r="D97" s="33"/>
      <c r="E97" s="33"/>
      <c r="F97" s="39">
        <f>+F98-F96</f>
        <v>12048876.179999769</v>
      </c>
      <c r="G97" s="71"/>
    </row>
    <row r="98" spans="2:7" ht="16.2" thickBot="1" x14ac:dyDescent="0.35">
      <c r="B98" s="37" t="s">
        <v>99</v>
      </c>
      <c r="F98" s="73">
        <f>+F92-F70</f>
        <v>18753706.71999979</v>
      </c>
    </row>
    <row r="99" spans="2:7" ht="13.8" thickTop="1" x14ac:dyDescent="0.25"/>
    <row r="100" spans="2:7" x14ac:dyDescent="0.25">
      <c r="F100" s="12"/>
    </row>
  </sheetData>
  <phoneticPr fontId="0" type="noConversion"/>
  <pageMargins left="0.5" right="0.25" top="0.5" bottom="0.5" header="0.5" footer="0"/>
  <pageSetup scale="96" orientation="portrait" r:id="rId1"/>
  <headerFooter alignWithMargins="0">
    <oddFooter>&amp;LCertification Novemner 29, 2001&amp;CPage &amp;P of &amp;N&amp;RTrade Month January 2001</oddFooter>
  </headerFooter>
  <rowBreaks count="1" manualBreakCount="1">
    <brk id="46" max="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120"/>
  <sheetViews>
    <sheetView zoomScaleNormal="100" workbookViewId="0">
      <selection activeCell="I9" sqref="I9"/>
    </sheetView>
  </sheetViews>
  <sheetFormatPr defaultRowHeight="13.2" x14ac:dyDescent="0.25"/>
  <cols>
    <col min="1" max="1" width="6.33203125" style="8" customWidth="1"/>
    <col min="2" max="2" width="50" customWidth="1"/>
    <col min="3" max="3" width="8.44140625" style="8" customWidth="1"/>
    <col min="4" max="4" width="6" style="12" customWidth="1"/>
    <col min="5" max="5" width="5" style="12" customWidth="1"/>
    <col min="6" max="6" width="17.44140625" customWidth="1"/>
    <col min="7" max="7" width="9.33203125" customWidth="1"/>
    <col min="9" max="9" width="14" style="25" bestFit="1" customWidth="1"/>
  </cols>
  <sheetData>
    <row r="1" spans="1:9" ht="15.6" x14ac:dyDescent="0.3">
      <c r="B1" s="53" t="s">
        <v>238</v>
      </c>
    </row>
    <row r="2" spans="1:9" ht="15.6" x14ac:dyDescent="0.3">
      <c r="B2" s="10"/>
    </row>
    <row r="3" spans="1:9" ht="15.6" x14ac:dyDescent="0.3">
      <c r="B3" s="10" t="s">
        <v>91</v>
      </c>
    </row>
    <row r="4" spans="1:9" ht="15.6" x14ac:dyDescent="0.3">
      <c r="B4" s="10"/>
    </row>
    <row r="5" spans="1:9" ht="16.2" thickBot="1" x14ac:dyDescent="0.35">
      <c r="A5" s="10" t="s">
        <v>57</v>
      </c>
    </row>
    <row r="6" spans="1:9" s="5" customFormat="1" ht="31.8" thickTop="1" thickBot="1" x14ac:dyDescent="0.3">
      <c r="A6" s="15" t="s">
        <v>12</v>
      </c>
      <c r="B6" s="15" t="s">
        <v>14</v>
      </c>
      <c r="C6" s="15" t="s">
        <v>51</v>
      </c>
      <c r="D6" s="45"/>
      <c r="E6" s="46"/>
      <c r="F6" s="47" t="s">
        <v>52</v>
      </c>
      <c r="G6" s="16" t="s">
        <v>53</v>
      </c>
      <c r="I6" s="87"/>
    </row>
    <row r="7" spans="1:9" s="3" customFormat="1" ht="10.8" thickTop="1" x14ac:dyDescent="0.2">
      <c r="F7" s="4"/>
      <c r="I7" s="88"/>
    </row>
    <row r="8" spans="1:9" s="1" customFormat="1" ht="13.8" thickBot="1" x14ac:dyDescent="0.3">
      <c r="A8" s="11"/>
      <c r="B8" s="1" t="s">
        <v>199</v>
      </c>
      <c r="C8" s="11"/>
      <c r="D8" s="14"/>
      <c r="E8" s="14"/>
      <c r="F8" s="30">
        <v>969279855.71000004</v>
      </c>
      <c r="G8" s="20">
        <f>+F8/F$8</f>
        <v>1</v>
      </c>
      <c r="I8" s="65"/>
    </row>
    <row r="9" spans="1:9" s="1" customFormat="1" ht="13.8" thickTop="1" x14ac:dyDescent="0.25">
      <c r="A9" s="11"/>
      <c r="C9" s="11"/>
      <c r="D9" s="14"/>
      <c r="E9" s="14"/>
      <c r="F9" s="66"/>
      <c r="G9" s="59"/>
      <c r="I9" s="65"/>
    </row>
    <row r="10" spans="1:9" s="1" customFormat="1" x14ac:dyDescent="0.25">
      <c r="A10" s="11"/>
      <c r="C10" s="11"/>
      <c r="D10" s="14"/>
      <c r="E10" s="14"/>
      <c r="F10" s="66"/>
      <c r="G10" s="59"/>
      <c r="I10" s="65"/>
    </row>
    <row r="11" spans="1:9" ht="15.6" x14ac:dyDescent="0.3">
      <c r="A11" s="10" t="s">
        <v>49</v>
      </c>
    </row>
    <row r="12" spans="1:9" ht="16.2" thickBot="1" x14ac:dyDescent="0.35">
      <c r="A12" s="10" t="s">
        <v>113</v>
      </c>
    </row>
    <row r="13" spans="1:9" s="5" customFormat="1" ht="31.8" thickTop="1" thickBot="1" x14ac:dyDescent="0.3">
      <c r="A13" s="15" t="s">
        <v>12</v>
      </c>
      <c r="B13" s="15" t="s">
        <v>14</v>
      </c>
      <c r="C13" s="15" t="s">
        <v>13</v>
      </c>
      <c r="D13" s="15" t="s">
        <v>17</v>
      </c>
      <c r="E13" s="15" t="s">
        <v>15</v>
      </c>
      <c r="F13" s="16" t="s">
        <v>11</v>
      </c>
      <c r="G13" s="16" t="s">
        <v>56</v>
      </c>
      <c r="I13" s="87"/>
    </row>
    <row r="14" spans="1:9" ht="13.8" thickTop="1" x14ac:dyDescent="0.25"/>
    <row r="15" spans="1:9" x14ac:dyDescent="0.25">
      <c r="A15" s="24">
        <v>1924</v>
      </c>
      <c r="B15" s="23" t="s">
        <v>58</v>
      </c>
      <c r="C15" s="70">
        <v>37005</v>
      </c>
      <c r="D15" s="31">
        <v>14803</v>
      </c>
      <c r="E15" s="24" t="s">
        <v>79</v>
      </c>
      <c r="F15" s="27">
        <v>9619.33</v>
      </c>
      <c r="G15" s="28">
        <f t="shared" ref="G15:G48" si="0">+F15/$F$50</f>
        <v>9.7177047353179288E-6</v>
      </c>
    </row>
    <row r="16" spans="1:9" x14ac:dyDescent="0.25">
      <c r="A16" s="24">
        <v>1007</v>
      </c>
      <c r="B16" s="23" t="s">
        <v>59</v>
      </c>
      <c r="C16" s="70">
        <v>37005</v>
      </c>
      <c r="D16" s="31">
        <v>14832</v>
      </c>
      <c r="E16" s="24" t="s">
        <v>79</v>
      </c>
      <c r="F16" s="29">
        <v>20569.830000000002</v>
      </c>
      <c r="G16" s="28">
        <f t="shared" si="0"/>
        <v>2.0780193048339624E-5</v>
      </c>
    </row>
    <row r="17" spans="1:9" x14ac:dyDescent="0.25">
      <c r="A17" s="24">
        <v>2606</v>
      </c>
      <c r="B17" s="23" t="s">
        <v>0</v>
      </c>
      <c r="C17" s="70">
        <v>37005</v>
      </c>
      <c r="D17" s="31">
        <v>14792</v>
      </c>
      <c r="E17" s="24" t="s">
        <v>79</v>
      </c>
      <c r="F17" s="29">
        <v>275048.65999999997</v>
      </c>
      <c r="G17" s="28">
        <f t="shared" si="0"/>
        <v>2.7786152109604833E-4</v>
      </c>
    </row>
    <row r="18" spans="1:9" x14ac:dyDescent="0.25">
      <c r="A18" s="24">
        <v>2606</v>
      </c>
      <c r="B18" s="23" t="s">
        <v>0</v>
      </c>
      <c r="C18" s="70">
        <v>37021</v>
      </c>
      <c r="D18" s="31">
        <v>14992</v>
      </c>
      <c r="E18" s="24" t="s">
        <v>79</v>
      </c>
      <c r="F18" s="29">
        <v>684.97</v>
      </c>
      <c r="G18" s="28">
        <f t="shared" si="0"/>
        <v>6.9197503490895123E-7</v>
      </c>
    </row>
    <row r="19" spans="1:9" x14ac:dyDescent="0.25">
      <c r="A19" s="24">
        <v>1544</v>
      </c>
      <c r="B19" s="23" t="s">
        <v>4</v>
      </c>
      <c r="C19" s="70">
        <v>37005</v>
      </c>
      <c r="D19" s="31">
        <v>14807</v>
      </c>
      <c r="E19" s="24" t="s">
        <v>79</v>
      </c>
      <c r="F19" s="29">
        <v>105256.55</v>
      </c>
      <c r="G19" s="28">
        <f t="shared" si="0"/>
        <v>1.0633298518277555E-4</v>
      </c>
    </row>
    <row r="20" spans="1:9" x14ac:dyDescent="0.25">
      <c r="A20" s="24">
        <v>1544</v>
      </c>
      <c r="B20" s="23" t="s">
        <v>4</v>
      </c>
      <c r="C20" s="70">
        <v>37021</v>
      </c>
      <c r="D20" s="31">
        <v>15007</v>
      </c>
      <c r="E20" s="24" t="s">
        <v>79</v>
      </c>
      <c r="F20" s="29">
        <v>207.76</v>
      </c>
      <c r="G20" s="28">
        <f t="shared" si="0"/>
        <v>2.0988471502793361E-7</v>
      </c>
    </row>
    <row r="21" spans="1:9" x14ac:dyDescent="0.25">
      <c r="A21" s="24">
        <v>3106</v>
      </c>
      <c r="B21" s="23" t="s">
        <v>187</v>
      </c>
      <c r="C21" s="70">
        <v>37005</v>
      </c>
      <c r="D21" s="31">
        <v>14781</v>
      </c>
      <c r="E21" s="24" t="s">
        <v>79</v>
      </c>
      <c r="F21" s="29">
        <f>4291209.47-5849.58-1055835.09</f>
        <v>3229524.8</v>
      </c>
      <c r="G21" s="28">
        <f t="shared" si="0"/>
        <v>3.2625524274337903E-3</v>
      </c>
    </row>
    <row r="22" spans="1:9" x14ac:dyDescent="0.25">
      <c r="A22" s="24">
        <v>1011</v>
      </c>
      <c r="B22" s="23" t="s">
        <v>187</v>
      </c>
      <c r="C22" s="70">
        <v>37005</v>
      </c>
      <c r="D22" s="31">
        <v>14829</v>
      </c>
      <c r="E22" s="24" t="s">
        <v>79</v>
      </c>
      <c r="F22" s="29">
        <f>639755.47-852.92-107528.65</f>
        <v>531373.89999999991</v>
      </c>
      <c r="G22" s="28">
        <f t="shared" si="0"/>
        <v>5.3680814196564155E-4</v>
      </c>
    </row>
    <row r="23" spans="1:9" x14ac:dyDescent="0.25">
      <c r="A23" s="24">
        <v>2528</v>
      </c>
      <c r="B23" s="23" t="s">
        <v>78</v>
      </c>
      <c r="C23" s="70">
        <v>37005</v>
      </c>
      <c r="D23" s="31">
        <v>14795</v>
      </c>
      <c r="E23" s="24" t="s">
        <v>79</v>
      </c>
      <c r="F23" s="29">
        <v>157012.97</v>
      </c>
      <c r="G23" s="28">
        <f t="shared" si="0"/>
        <v>1.5861870650818008E-4</v>
      </c>
    </row>
    <row r="24" spans="1:9" x14ac:dyDescent="0.25">
      <c r="A24" s="24">
        <v>1010</v>
      </c>
      <c r="B24" s="23" t="s">
        <v>63</v>
      </c>
      <c r="C24" s="70">
        <v>37005</v>
      </c>
      <c r="D24" s="31">
        <v>14830</v>
      </c>
      <c r="E24" s="24" t="s">
        <v>79</v>
      </c>
      <c r="F24" s="29">
        <v>5142134.4000000004</v>
      </c>
      <c r="G24" s="28">
        <f t="shared" si="0"/>
        <v>5.1947218578135088E-3</v>
      </c>
      <c r="I24" s="25">
        <f>SUM(F15:F24)-9471433.17</f>
        <v>0</v>
      </c>
    </row>
    <row r="25" spans="1:9" x14ac:dyDescent="0.25">
      <c r="A25" s="24">
        <v>1924</v>
      </c>
      <c r="B25" s="23" t="s">
        <v>58</v>
      </c>
      <c r="C25" s="70">
        <v>37005</v>
      </c>
      <c r="D25" s="31">
        <v>14870</v>
      </c>
      <c r="E25" s="24" t="s">
        <v>16</v>
      </c>
      <c r="F25" s="29">
        <v>508508.33</v>
      </c>
      <c r="G25" s="28">
        <f t="shared" si="0"/>
        <v>5.1370873089805755E-4</v>
      </c>
    </row>
    <row r="26" spans="1:9" x14ac:dyDescent="0.25">
      <c r="A26" s="24">
        <v>1924</v>
      </c>
      <c r="B26" s="23" t="s">
        <v>58</v>
      </c>
      <c r="C26" s="70">
        <v>37021</v>
      </c>
      <c r="D26" s="31">
        <v>15070</v>
      </c>
      <c r="E26" s="24" t="s">
        <v>16</v>
      </c>
      <c r="F26" s="29">
        <v>45068.84</v>
      </c>
      <c r="G26" s="28">
        <f t="shared" si="0"/>
        <v>4.5529748941276161E-5</v>
      </c>
    </row>
    <row r="27" spans="1:9" x14ac:dyDescent="0.25">
      <c r="A27" s="24">
        <v>1007</v>
      </c>
      <c r="B27" s="23" t="s">
        <v>59</v>
      </c>
      <c r="C27" s="70">
        <v>37005</v>
      </c>
      <c r="D27" s="31">
        <v>14908</v>
      </c>
      <c r="E27" s="24" t="s">
        <v>16</v>
      </c>
      <c r="F27" s="29">
        <v>1024112.25</v>
      </c>
      <c r="G27" s="28">
        <f t="shared" si="0"/>
        <v>1.0345856168072099E-3</v>
      </c>
    </row>
    <row r="28" spans="1:9" x14ac:dyDescent="0.25">
      <c r="A28" s="24">
        <v>2606</v>
      </c>
      <c r="B28" s="23" t="s">
        <v>0</v>
      </c>
      <c r="C28" s="70">
        <v>37005</v>
      </c>
      <c r="D28" s="31">
        <v>14857</v>
      </c>
      <c r="E28" s="24" t="s">
        <v>16</v>
      </c>
      <c r="F28" s="29">
        <v>6897234.6200000001</v>
      </c>
      <c r="G28" s="28">
        <f t="shared" si="0"/>
        <v>6.9677710950110617E-3</v>
      </c>
    </row>
    <row r="29" spans="1:9" x14ac:dyDescent="0.25">
      <c r="A29" s="24">
        <v>2606</v>
      </c>
      <c r="B29" s="23" t="s">
        <v>0</v>
      </c>
      <c r="C29" s="70">
        <v>37021</v>
      </c>
      <c r="D29" s="31">
        <v>15057</v>
      </c>
      <c r="E29" s="24" t="s">
        <v>16</v>
      </c>
      <c r="F29" s="29">
        <v>1350389.95</v>
      </c>
      <c r="G29" s="28">
        <f t="shared" si="0"/>
        <v>1.3642000858314187E-3</v>
      </c>
    </row>
    <row r="30" spans="1:9" x14ac:dyDescent="0.25">
      <c r="A30" s="24">
        <v>1243</v>
      </c>
      <c r="B30" s="23" t="s">
        <v>218</v>
      </c>
      <c r="C30" s="70">
        <v>37005</v>
      </c>
      <c r="D30" s="31">
        <v>14884</v>
      </c>
      <c r="E30" s="24" t="s">
        <v>16</v>
      </c>
      <c r="F30" s="29">
        <v>9016270.5199999996</v>
      </c>
      <c r="G30" s="28">
        <f t="shared" si="0"/>
        <v>9.1084779009672646E-3</v>
      </c>
    </row>
    <row r="31" spans="1:9" x14ac:dyDescent="0.25">
      <c r="A31" s="24">
        <v>2769</v>
      </c>
      <c r="B31" s="23" t="s">
        <v>222</v>
      </c>
      <c r="C31" s="70">
        <v>37005</v>
      </c>
      <c r="D31" s="31">
        <v>14850</v>
      </c>
      <c r="E31" s="24" t="s">
        <v>16</v>
      </c>
      <c r="F31" s="29">
        <f>298219558.92-1396734.43</f>
        <v>296822824.49000001</v>
      </c>
      <c r="G31" s="28">
        <f t="shared" si="0"/>
        <v>0.29985836509371394</v>
      </c>
    </row>
    <row r="32" spans="1:9" x14ac:dyDescent="0.25">
      <c r="A32" s="24">
        <v>2769</v>
      </c>
      <c r="B32" s="23" t="s">
        <v>222</v>
      </c>
      <c r="C32" s="70">
        <v>37021</v>
      </c>
      <c r="D32" s="31">
        <v>15050</v>
      </c>
      <c r="E32" s="24" t="s">
        <v>16</v>
      </c>
      <c r="F32" s="29">
        <v>22318778.210000001</v>
      </c>
      <c r="G32" s="28">
        <f t="shared" si="0"/>
        <v>2.254702736030759E-2</v>
      </c>
    </row>
    <row r="33" spans="1:9" x14ac:dyDescent="0.25">
      <c r="A33" s="24">
        <v>1584</v>
      </c>
      <c r="B33" s="23" t="s">
        <v>1</v>
      </c>
      <c r="C33" s="70">
        <v>37005</v>
      </c>
      <c r="D33" s="31">
        <v>14876</v>
      </c>
      <c r="E33" s="24" t="s">
        <v>16</v>
      </c>
      <c r="F33" s="29">
        <v>291092.84999999998</v>
      </c>
      <c r="G33" s="28">
        <f t="shared" si="0"/>
        <v>2.9406979143684552E-4</v>
      </c>
    </row>
    <row r="34" spans="1:9" x14ac:dyDescent="0.25">
      <c r="A34" s="24">
        <v>1684</v>
      </c>
      <c r="B34" s="23" t="s">
        <v>93</v>
      </c>
      <c r="C34" s="70">
        <v>37005</v>
      </c>
      <c r="D34" s="31">
        <v>14873</v>
      </c>
      <c r="E34" s="24" t="s">
        <v>16</v>
      </c>
      <c r="F34" s="29">
        <f>66990.38-8896.57</f>
        <v>58093.810000000005</v>
      </c>
      <c r="G34" s="28">
        <f t="shared" si="0"/>
        <v>5.8687922394767624E-5</v>
      </c>
    </row>
    <row r="35" spans="1:9" x14ac:dyDescent="0.25">
      <c r="A35" s="24">
        <v>1103</v>
      </c>
      <c r="B35" s="23" t="s">
        <v>25</v>
      </c>
      <c r="C35" s="70">
        <v>37021</v>
      </c>
      <c r="D35" s="31">
        <v>15093</v>
      </c>
      <c r="E35" s="24" t="s">
        <v>16</v>
      </c>
      <c r="F35" s="29">
        <v>189667.55</v>
      </c>
      <c r="G35" s="28">
        <f t="shared" si="0"/>
        <v>1.9160723759047146E-4</v>
      </c>
    </row>
    <row r="36" spans="1:9" x14ac:dyDescent="0.25">
      <c r="A36" s="24">
        <v>1544</v>
      </c>
      <c r="B36" s="23" t="s">
        <v>4</v>
      </c>
      <c r="C36" s="70">
        <v>37005</v>
      </c>
      <c r="D36" s="31">
        <v>14875</v>
      </c>
      <c r="E36" s="24" t="s">
        <v>16</v>
      </c>
      <c r="F36" s="29">
        <v>1784223.49</v>
      </c>
      <c r="G36" s="28">
        <f t="shared" si="0"/>
        <v>1.8024703443627031E-3</v>
      </c>
    </row>
    <row r="37" spans="1:9" x14ac:dyDescent="0.25">
      <c r="A37" s="24">
        <v>1544</v>
      </c>
      <c r="B37" s="23" t="s">
        <v>4</v>
      </c>
      <c r="C37" s="70">
        <v>37021</v>
      </c>
      <c r="D37" s="31">
        <v>15075</v>
      </c>
      <c r="E37" s="24" t="s">
        <v>16</v>
      </c>
      <c r="F37" s="29">
        <v>357475.41</v>
      </c>
      <c r="G37" s="28">
        <f t="shared" si="0"/>
        <v>3.611312310230253E-4</v>
      </c>
    </row>
    <row r="38" spans="1:9" x14ac:dyDescent="0.25">
      <c r="A38" s="24">
        <v>3106</v>
      </c>
      <c r="B38" s="23" t="s">
        <v>219</v>
      </c>
      <c r="C38" s="70">
        <v>37005</v>
      </c>
      <c r="D38" s="31">
        <v>14839</v>
      </c>
      <c r="E38" s="24" t="s">
        <v>16</v>
      </c>
      <c r="F38" s="29">
        <f>156420353.66-3328521.87</f>
        <v>153091831.78999999</v>
      </c>
      <c r="G38" s="28">
        <f t="shared" si="0"/>
        <v>0.15465746769516991</v>
      </c>
    </row>
    <row r="39" spans="1:9" x14ac:dyDescent="0.25">
      <c r="A39" s="24">
        <v>3106</v>
      </c>
      <c r="B39" s="23" t="s">
        <v>219</v>
      </c>
      <c r="C39" s="70">
        <v>37021</v>
      </c>
      <c r="D39" s="31">
        <v>15039</v>
      </c>
      <c r="E39" s="24" t="s">
        <v>16</v>
      </c>
      <c r="F39" s="29">
        <v>10964758.17</v>
      </c>
      <c r="G39" s="28">
        <f t="shared" si="0"/>
        <v>1.1076892298135623E-2</v>
      </c>
    </row>
    <row r="40" spans="1:9" x14ac:dyDescent="0.25">
      <c r="A40" s="24">
        <v>1011</v>
      </c>
      <c r="B40" s="23" t="s">
        <v>219</v>
      </c>
      <c r="C40" s="70">
        <v>37005</v>
      </c>
      <c r="D40" s="31">
        <v>14905</v>
      </c>
      <c r="E40" s="24" t="s">
        <v>16</v>
      </c>
      <c r="F40" s="29">
        <v>16247132.24</v>
      </c>
      <c r="G40" s="28">
        <f t="shared" si="0"/>
        <v>1.6413288025671702E-2</v>
      </c>
    </row>
    <row r="41" spans="1:9" x14ac:dyDescent="0.25">
      <c r="A41" s="24">
        <v>1011</v>
      </c>
      <c r="B41" s="23" t="s">
        <v>219</v>
      </c>
      <c r="C41" s="70">
        <v>37021</v>
      </c>
      <c r="D41" s="31">
        <v>15105</v>
      </c>
      <c r="E41" s="24" t="s">
        <v>16</v>
      </c>
      <c r="F41" s="29">
        <v>2153805.64</v>
      </c>
      <c r="G41" s="28">
        <f t="shared" si="0"/>
        <v>2.1758321283064895E-3</v>
      </c>
    </row>
    <row r="42" spans="1:9" x14ac:dyDescent="0.25">
      <c r="A42" s="24">
        <v>2528</v>
      </c>
      <c r="B42" s="23" t="s">
        <v>78</v>
      </c>
      <c r="C42" s="70">
        <v>37005</v>
      </c>
      <c r="D42" s="31">
        <v>14861</v>
      </c>
      <c r="E42" s="24" t="s">
        <v>16</v>
      </c>
      <c r="F42" s="29">
        <v>1223.99</v>
      </c>
      <c r="G42" s="28">
        <f t="shared" si="0"/>
        <v>1.2365074718282657E-6</v>
      </c>
    </row>
    <row r="43" spans="1:9" x14ac:dyDescent="0.25">
      <c r="A43" s="24">
        <v>1008</v>
      </c>
      <c r="B43" s="23" t="s">
        <v>8</v>
      </c>
      <c r="C43" s="70">
        <v>37005</v>
      </c>
      <c r="D43" s="31">
        <v>14907</v>
      </c>
      <c r="E43" s="24" t="s">
        <v>16</v>
      </c>
      <c r="F43" s="29">
        <v>38142.15</v>
      </c>
      <c r="G43" s="28">
        <f t="shared" si="0"/>
        <v>3.8532221232685305E-5</v>
      </c>
    </row>
    <row r="44" spans="1:9" x14ac:dyDescent="0.25">
      <c r="A44" s="24">
        <v>1008</v>
      </c>
      <c r="B44" s="23" t="s">
        <v>8</v>
      </c>
      <c r="C44" s="70">
        <v>37021</v>
      </c>
      <c r="D44" s="31">
        <v>15107</v>
      </c>
      <c r="E44" s="24" t="s">
        <v>16</v>
      </c>
      <c r="F44" s="29">
        <v>8419.49</v>
      </c>
      <c r="G44" s="28">
        <f t="shared" si="0"/>
        <v>8.5055942401354302E-6</v>
      </c>
    </row>
    <row r="45" spans="1:9" x14ac:dyDescent="0.25">
      <c r="A45" s="24">
        <v>1024</v>
      </c>
      <c r="B45" s="23" t="s">
        <v>9</v>
      </c>
      <c r="C45" s="70">
        <v>37005</v>
      </c>
      <c r="D45" s="31">
        <v>14896</v>
      </c>
      <c r="E45" s="24" t="s">
        <v>16</v>
      </c>
      <c r="F45" s="29">
        <f>203919.45-812.92</f>
        <v>203106.53</v>
      </c>
      <c r="G45" s="28">
        <f t="shared" si="0"/>
        <v>2.051836550315867E-4</v>
      </c>
    </row>
    <row r="46" spans="1:9" x14ac:dyDescent="0.25">
      <c r="A46" s="24">
        <v>1024</v>
      </c>
      <c r="B46" s="23" t="s">
        <v>9</v>
      </c>
      <c r="C46" s="70">
        <v>37021</v>
      </c>
      <c r="D46" s="31">
        <v>15096</v>
      </c>
      <c r="E46" s="24" t="s">
        <v>16</v>
      </c>
      <c r="F46" s="29">
        <v>18881.310000000001</v>
      </c>
      <c r="G46" s="28">
        <f t="shared" si="0"/>
        <v>1.9074404932152839E-5</v>
      </c>
    </row>
    <row r="47" spans="1:9" x14ac:dyDescent="0.25">
      <c r="A47" s="24">
        <v>1010</v>
      </c>
      <c r="B47" s="23" t="s">
        <v>63</v>
      </c>
      <c r="C47" s="70">
        <v>37005</v>
      </c>
      <c r="D47" s="31">
        <v>14906</v>
      </c>
      <c r="E47" s="24" t="s">
        <v>16</v>
      </c>
      <c r="F47" s="29">
        <v>420279224.39999998</v>
      </c>
      <c r="G47" s="28">
        <f t="shared" si="0"/>
        <v>0.42457732597879749</v>
      </c>
    </row>
    <row r="48" spans="1:9" x14ac:dyDescent="0.25">
      <c r="A48" s="24">
        <v>1010</v>
      </c>
      <c r="B48" s="23" t="s">
        <v>63</v>
      </c>
      <c r="C48" s="70">
        <v>37021</v>
      </c>
      <c r="D48" s="31">
        <v>15106</v>
      </c>
      <c r="E48" s="24" t="s">
        <v>16</v>
      </c>
      <c r="F48" s="56">
        <v>36735052.770000003</v>
      </c>
      <c r="G48" s="57">
        <f t="shared" si="0"/>
        <v>3.7110733934191155E-2</v>
      </c>
      <c r="I48" s="25">
        <f>SUM(F25:F48)-980405318.8</f>
        <v>0</v>
      </c>
    </row>
    <row r="49" spans="1:7" x14ac:dyDescent="0.25">
      <c r="A49" s="19"/>
      <c r="B49" s="18"/>
      <c r="C49" s="74"/>
      <c r="D49" s="32"/>
      <c r="E49" s="19"/>
      <c r="F49" s="6"/>
      <c r="G49" s="58"/>
    </row>
    <row r="50" spans="1:7" ht="13.8" thickBot="1" x14ac:dyDescent="0.3">
      <c r="B50" s="1" t="s">
        <v>18</v>
      </c>
      <c r="F50" s="30">
        <f>SUM(F15:F49)</f>
        <v>989876751.97000003</v>
      </c>
      <c r="G50" s="20">
        <f>+F50/F50</f>
        <v>1</v>
      </c>
    </row>
    <row r="51" spans="1:7" ht="13.8" thickTop="1" x14ac:dyDescent="0.25">
      <c r="B51" s="1"/>
      <c r="F51" s="66"/>
      <c r="G51" s="59"/>
    </row>
    <row r="52" spans="1:7" x14ac:dyDescent="0.25">
      <c r="B52" s="1"/>
      <c r="F52" s="66"/>
      <c r="G52" s="59"/>
    </row>
    <row r="53" spans="1:7" x14ac:dyDescent="0.25">
      <c r="A53" s="19"/>
      <c r="B53" s="18"/>
      <c r="C53" s="74"/>
      <c r="D53" s="32"/>
      <c r="E53" s="19"/>
      <c r="F53" s="6"/>
      <c r="G53" s="58"/>
    </row>
    <row r="54" spans="1:7" x14ac:dyDescent="0.25">
      <c r="A54" s="19"/>
      <c r="B54" s="26" t="s">
        <v>221</v>
      </c>
      <c r="C54" s="74"/>
      <c r="D54" s="32"/>
      <c r="E54" s="19"/>
      <c r="F54" s="6"/>
      <c r="G54" s="58"/>
    </row>
    <row r="55" spans="1:7" x14ac:dyDescent="0.25">
      <c r="B55" s="83" t="s">
        <v>220</v>
      </c>
    </row>
    <row r="56" spans="1:7" x14ac:dyDescent="0.25">
      <c r="B56" s="83"/>
    </row>
    <row r="57" spans="1:7" ht="15.6" x14ac:dyDescent="0.3">
      <c r="B57" s="10" t="str">
        <f>+B1</f>
        <v>Certification for Market Settlement November 29, 2001</v>
      </c>
    </row>
    <row r="58" spans="1:7" ht="15.6" x14ac:dyDescent="0.3">
      <c r="B58" s="10"/>
    </row>
    <row r="59" spans="1:7" ht="15.6" x14ac:dyDescent="0.3">
      <c r="B59" s="10" t="str">
        <f>+B3</f>
        <v>For the Trade Month of February 2001</v>
      </c>
    </row>
    <row r="60" spans="1:7" ht="15.6" x14ac:dyDescent="0.3">
      <c r="B60" s="10"/>
    </row>
    <row r="61" spans="1:7" ht="15.6" x14ac:dyDescent="0.3">
      <c r="B61" s="10" t="s">
        <v>28</v>
      </c>
    </row>
    <row r="62" spans="1:7" ht="15.6" x14ac:dyDescent="0.3">
      <c r="B62" s="10"/>
    </row>
    <row r="63" spans="1:7" x14ac:dyDescent="0.25">
      <c r="B63" s="21" t="s">
        <v>27</v>
      </c>
      <c r="C63" s="32"/>
      <c r="D63" s="33"/>
      <c r="E63" s="33"/>
      <c r="F63" s="34">
        <v>972588030.84000003</v>
      </c>
      <c r="G63" s="61">
        <f>+F63/F65</f>
        <v>0.92227598723775517</v>
      </c>
    </row>
    <row r="64" spans="1:7" x14ac:dyDescent="0.25">
      <c r="B64" s="21" t="s">
        <v>29</v>
      </c>
      <c r="C64" s="32"/>
      <c r="D64" s="33"/>
      <c r="E64" s="33"/>
      <c r="F64" s="39">
        <v>81964016.810000002</v>
      </c>
      <c r="G64" s="61">
        <f>+F64/F65</f>
        <v>7.7724012762244804E-2</v>
      </c>
    </row>
    <row r="65" spans="1:9" x14ac:dyDescent="0.25">
      <c r="B65" s="35" t="s">
        <v>30</v>
      </c>
      <c r="C65" s="32"/>
      <c r="D65" s="33"/>
      <c r="E65" s="33"/>
      <c r="F65" s="39">
        <f>SUM(F63:F64)</f>
        <v>1054552047.6500001</v>
      </c>
      <c r="G65" s="62">
        <f>+F65/F65</f>
        <v>1</v>
      </c>
    </row>
    <row r="66" spans="1:9" ht="15.6" x14ac:dyDescent="0.3">
      <c r="B66" s="10"/>
    </row>
    <row r="67" spans="1:9" x14ac:dyDescent="0.25">
      <c r="B67" s="21" t="s">
        <v>94</v>
      </c>
      <c r="C67" s="32"/>
      <c r="D67" s="33"/>
      <c r="E67" s="33"/>
      <c r="F67" s="6">
        <v>59861543.329999998</v>
      </c>
    </row>
    <row r="68" spans="1:9" x14ac:dyDescent="0.25">
      <c r="B68" s="21" t="s">
        <v>95</v>
      </c>
      <c r="C68" s="32"/>
      <c r="D68" s="33"/>
      <c r="E68" s="33"/>
      <c r="F68" s="6">
        <v>1703105.49</v>
      </c>
    </row>
    <row r="69" spans="1:9" x14ac:dyDescent="0.25">
      <c r="B69" s="21" t="s">
        <v>104</v>
      </c>
      <c r="C69" s="32"/>
      <c r="D69" s="33"/>
      <c r="E69" s="33"/>
      <c r="F69" s="6">
        <v>171667.35</v>
      </c>
    </row>
    <row r="70" spans="1:9" x14ac:dyDescent="0.25">
      <c r="B70" s="21" t="s">
        <v>103</v>
      </c>
      <c r="C70" s="32"/>
      <c r="D70" s="33"/>
      <c r="E70" s="33"/>
      <c r="F70" s="6">
        <v>2754904.04</v>
      </c>
    </row>
    <row r="71" spans="1:9" x14ac:dyDescent="0.25">
      <c r="B71" s="21" t="s">
        <v>115</v>
      </c>
      <c r="C71" s="32"/>
      <c r="D71" s="33"/>
      <c r="E71" s="33"/>
      <c r="F71" s="6">
        <v>459411.62</v>
      </c>
    </row>
    <row r="72" spans="1:9" x14ac:dyDescent="0.25">
      <c r="B72" s="21" t="s">
        <v>166</v>
      </c>
      <c r="C72" s="32"/>
      <c r="D72" s="33"/>
      <c r="E72" s="33"/>
      <c r="F72" s="39">
        <v>24932.27</v>
      </c>
    </row>
    <row r="73" spans="1:9" x14ac:dyDescent="0.25">
      <c r="B73" s="35" t="s">
        <v>34</v>
      </c>
      <c r="C73" s="32"/>
      <c r="D73" s="33"/>
      <c r="E73" s="33"/>
      <c r="F73" s="39">
        <f>SUM(F67:F72)</f>
        <v>64975564.100000001</v>
      </c>
      <c r="G73" s="62">
        <f>+F73/F65</f>
        <v>6.1614373842233554E-2</v>
      </c>
    </row>
    <row r="74" spans="1:9" ht="15.6" x14ac:dyDescent="0.3">
      <c r="B74" s="10"/>
    </row>
    <row r="75" spans="1:9" s="21" customFormat="1" x14ac:dyDescent="0.25">
      <c r="A75" s="32"/>
      <c r="B75" s="21" t="s">
        <v>140</v>
      </c>
      <c r="C75" s="32"/>
      <c r="D75" s="33"/>
      <c r="E75" s="33"/>
      <c r="F75" s="6">
        <v>25515.38</v>
      </c>
      <c r="I75" s="36"/>
    </row>
    <row r="76" spans="1:9" s="21" customFormat="1" x14ac:dyDescent="0.25">
      <c r="A76" s="32"/>
      <c r="B76" s="21" t="s">
        <v>160</v>
      </c>
      <c r="C76" s="32"/>
      <c r="D76" s="33"/>
      <c r="E76" s="33"/>
      <c r="F76" s="6">
        <v>33196.74</v>
      </c>
      <c r="I76" s="36"/>
    </row>
    <row r="77" spans="1:9" s="21" customFormat="1" x14ac:dyDescent="0.25">
      <c r="A77" s="32"/>
      <c r="B77" s="21" t="s">
        <v>168</v>
      </c>
      <c r="C77" s="32"/>
      <c r="D77" s="33"/>
      <c r="E77" s="33"/>
      <c r="F77" s="6">
        <v>127265.99</v>
      </c>
      <c r="I77" s="36"/>
    </row>
    <row r="78" spans="1:9" s="21" customFormat="1" x14ac:dyDescent="0.25">
      <c r="A78" s="32"/>
      <c r="B78" s="21" t="s">
        <v>145</v>
      </c>
      <c r="C78" s="32"/>
      <c r="D78" s="33"/>
      <c r="E78" s="33"/>
      <c r="F78" s="6">
        <f>12423.05+4221121.69+5615.29</f>
        <v>4239160.03</v>
      </c>
      <c r="I78" s="36"/>
    </row>
    <row r="79" spans="1:9" s="21" customFormat="1" x14ac:dyDescent="0.25">
      <c r="A79" s="32"/>
      <c r="B79" s="21" t="s">
        <v>169</v>
      </c>
      <c r="C79" s="32"/>
      <c r="D79" s="33"/>
      <c r="E79" s="33"/>
      <c r="F79" s="6">
        <f>22.1-9.19</f>
        <v>12.910000000000002</v>
      </c>
      <c r="I79" s="36"/>
    </row>
    <row r="80" spans="1:9" s="21" customFormat="1" x14ac:dyDescent="0.25">
      <c r="A80" s="32"/>
      <c r="B80" s="21" t="s">
        <v>148</v>
      </c>
      <c r="C80" s="32"/>
      <c r="D80" s="33"/>
      <c r="E80" s="33"/>
      <c r="F80" s="6">
        <f>522.23</f>
        <v>522.23</v>
      </c>
      <c r="I80" s="36"/>
    </row>
    <row r="81" spans="1:9" s="21" customFormat="1" x14ac:dyDescent="0.25">
      <c r="A81" s="32"/>
      <c r="B81" s="21" t="s">
        <v>201</v>
      </c>
      <c r="C81" s="32"/>
      <c r="D81" s="33"/>
      <c r="E81" s="33"/>
      <c r="F81" s="6">
        <v>10525.68</v>
      </c>
      <c r="I81" s="36"/>
    </row>
    <row r="82" spans="1:9" s="21" customFormat="1" x14ac:dyDescent="0.25">
      <c r="A82" s="32"/>
      <c r="B82" s="21" t="s">
        <v>200</v>
      </c>
      <c r="C82" s="32"/>
      <c r="D82" s="33"/>
      <c r="E82" s="33"/>
      <c r="F82" s="6">
        <v>3337418.44</v>
      </c>
      <c r="I82" s="36"/>
    </row>
    <row r="83" spans="1:9" s="21" customFormat="1" x14ac:dyDescent="0.25">
      <c r="A83" s="32"/>
      <c r="B83" s="21" t="s">
        <v>224</v>
      </c>
      <c r="C83" s="32"/>
      <c r="D83" s="33"/>
      <c r="E83" s="33"/>
      <c r="F83" s="39">
        <v>1397547.35</v>
      </c>
      <c r="I83" s="36"/>
    </row>
    <row r="84" spans="1:9" x14ac:dyDescent="0.25">
      <c r="B84" s="1" t="s">
        <v>54</v>
      </c>
      <c r="F84" s="40">
        <f>SUM(F75:F83)</f>
        <v>9171164.75</v>
      </c>
      <c r="G84" s="62">
        <f>+F84/F65</f>
        <v>8.6967397867533779E-3</v>
      </c>
    </row>
    <row r="85" spans="1:9" x14ac:dyDescent="0.25">
      <c r="B85" s="1"/>
      <c r="F85" s="36"/>
      <c r="G85" s="62"/>
    </row>
    <row r="86" spans="1:9" s="21" customFormat="1" x14ac:dyDescent="0.25">
      <c r="A86" s="32"/>
      <c r="B86" s="21" t="s">
        <v>167</v>
      </c>
      <c r="C86" s="32"/>
      <c r="D86" s="33"/>
      <c r="E86" s="33"/>
      <c r="F86" s="39">
        <v>9471433.1699999999</v>
      </c>
      <c r="G86" s="62">
        <f>+F86/F65</f>
        <v>8.981475301391208E-3</v>
      </c>
      <c r="I86" s="36">
        <f>SUM(F15:F24)-F86</f>
        <v>0</v>
      </c>
    </row>
    <row r="87" spans="1:9" ht="15.6" x14ac:dyDescent="0.3">
      <c r="B87" s="10"/>
    </row>
    <row r="88" spans="1:9" ht="16.2" thickBot="1" x14ac:dyDescent="0.35">
      <c r="B88" s="44" t="s">
        <v>36</v>
      </c>
      <c r="C88" s="48"/>
      <c r="D88" s="49"/>
      <c r="E88" s="49"/>
      <c r="F88" s="50">
        <f>+F65-F73-F84+F86</f>
        <v>989876751.97000003</v>
      </c>
      <c r="G88" s="63">
        <f>+F88/F65</f>
        <v>0.93867036167240425</v>
      </c>
      <c r="I88" s="25">
        <f>+F50-F88</f>
        <v>0</v>
      </c>
    </row>
    <row r="89" spans="1:9" ht="15.6" x14ac:dyDescent="0.3">
      <c r="B89" s="37"/>
      <c r="C89" s="32"/>
      <c r="D89" s="33"/>
      <c r="E89" s="33"/>
      <c r="F89" s="38"/>
    </row>
    <row r="90" spans="1:9" ht="15.6" x14ac:dyDescent="0.3">
      <c r="B90" s="37" t="s">
        <v>35</v>
      </c>
      <c r="C90" s="32"/>
      <c r="D90" s="33"/>
      <c r="E90" s="33"/>
      <c r="F90" s="21"/>
    </row>
    <row r="91" spans="1:9" ht="15.6" x14ac:dyDescent="0.3">
      <c r="B91" s="37"/>
      <c r="C91" s="32"/>
      <c r="D91" s="33"/>
      <c r="E91" s="33"/>
      <c r="F91" s="21"/>
    </row>
    <row r="92" spans="1:9" s="21" customFormat="1" x14ac:dyDescent="0.25">
      <c r="A92" s="32"/>
      <c r="B92" s="21" t="s">
        <v>27</v>
      </c>
      <c r="C92" s="32"/>
      <c r="D92" s="33"/>
      <c r="E92" s="33"/>
      <c r="F92" s="34">
        <v>952742085.5</v>
      </c>
      <c r="G92" s="64">
        <f>+F92/F94</f>
        <v>0.92078371675781356</v>
      </c>
      <c r="I92" s="36"/>
    </row>
    <row r="93" spans="1:9" x14ac:dyDescent="0.25">
      <c r="B93" s="21" t="s">
        <v>29</v>
      </c>
      <c r="C93" s="32"/>
      <c r="D93" s="33"/>
      <c r="E93" s="33"/>
      <c r="F93" s="39">
        <v>81965705.439999998</v>
      </c>
      <c r="G93" s="64">
        <f>+F93/F94</f>
        <v>7.9216283242186367E-2</v>
      </c>
    </row>
    <row r="94" spans="1:9" x14ac:dyDescent="0.25">
      <c r="B94" s="35" t="s">
        <v>30</v>
      </c>
      <c r="C94" s="32"/>
      <c r="D94" s="33"/>
      <c r="E94" s="33"/>
      <c r="F94" s="39">
        <f>SUM(F92:F93)</f>
        <v>1034707790.9400001</v>
      </c>
      <c r="G94" s="62">
        <f>+F94/F94</f>
        <v>1</v>
      </c>
    </row>
    <row r="95" spans="1:9" ht="15.6" x14ac:dyDescent="0.3">
      <c r="B95" s="10"/>
    </row>
    <row r="96" spans="1:9" x14ac:dyDescent="0.25">
      <c r="B96" s="21" t="s">
        <v>96</v>
      </c>
      <c r="C96" s="32"/>
      <c r="D96" s="33"/>
      <c r="E96" s="33"/>
      <c r="F96" s="6">
        <v>42468820.18</v>
      </c>
    </row>
    <row r="97" spans="2:7" x14ac:dyDescent="0.25">
      <c r="B97" s="21" t="s">
        <v>97</v>
      </c>
      <c r="C97" s="32"/>
      <c r="D97" s="33"/>
      <c r="E97" s="33"/>
      <c r="F97" s="6">
        <v>3857696.65</v>
      </c>
    </row>
    <row r="98" spans="2:7" x14ac:dyDescent="0.25">
      <c r="B98" s="21" t="s">
        <v>102</v>
      </c>
      <c r="C98" s="32"/>
      <c r="D98" s="33"/>
      <c r="E98" s="33"/>
      <c r="F98" s="6">
        <v>2755696.19</v>
      </c>
    </row>
    <row r="99" spans="2:7" x14ac:dyDescent="0.25">
      <c r="B99" s="21" t="s">
        <v>177</v>
      </c>
      <c r="C99" s="32"/>
      <c r="D99" s="33"/>
      <c r="E99" s="33"/>
      <c r="F99" s="6">
        <v>24932.27</v>
      </c>
    </row>
    <row r="100" spans="2:7" x14ac:dyDescent="0.25">
      <c r="B100" s="21" t="s">
        <v>202</v>
      </c>
      <c r="C100" s="32"/>
      <c r="D100" s="33"/>
      <c r="E100" s="33"/>
      <c r="F100" s="6">
        <v>3337166.7</v>
      </c>
    </row>
    <row r="101" spans="2:7" x14ac:dyDescent="0.25">
      <c r="B101" s="21" t="s">
        <v>225</v>
      </c>
      <c r="C101" s="32"/>
      <c r="D101" s="33"/>
      <c r="E101" s="33"/>
      <c r="F101" s="39">
        <v>6256970.0899999999</v>
      </c>
    </row>
    <row r="102" spans="2:7" x14ac:dyDescent="0.25">
      <c r="B102" s="35" t="s">
        <v>42</v>
      </c>
      <c r="C102" s="32"/>
      <c r="D102" s="33"/>
      <c r="E102" s="33"/>
      <c r="F102" s="39">
        <f>SUM(F96:F101)</f>
        <v>58701282.079999998</v>
      </c>
      <c r="G102" s="62">
        <f>+F102/F94</f>
        <v>5.6732231644522263E-2</v>
      </c>
    </row>
    <row r="103" spans="2:7" ht="15.6" x14ac:dyDescent="0.3">
      <c r="B103" s="10"/>
    </row>
    <row r="104" spans="2:7" x14ac:dyDescent="0.25">
      <c r="B104" s="21" t="s">
        <v>161</v>
      </c>
      <c r="C104" s="32"/>
      <c r="D104" s="33"/>
      <c r="E104" s="33"/>
      <c r="F104" s="36">
        <f>1476860.84+1433.91+1284.97+1404.1+3239.56</f>
        <v>1484223.3800000001</v>
      </c>
    </row>
    <row r="105" spans="2:7" x14ac:dyDescent="0.25">
      <c r="B105" s="21" t="s">
        <v>144</v>
      </c>
      <c r="C105" s="32"/>
      <c r="D105" s="33"/>
      <c r="E105" s="33"/>
      <c r="F105" s="36">
        <f>17369.41+1655.43</f>
        <v>19024.84</v>
      </c>
    </row>
    <row r="106" spans="2:7" x14ac:dyDescent="0.25">
      <c r="B106" s="21" t="s">
        <v>170</v>
      </c>
      <c r="C106" s="32"/>
      <c r="D106" s="33"/>
      <c r="E106" s="33"/>
      <c r="F106" s="36">
        <f>945185.16-85589.52+4188.11+1737.61</f>
        <v>865521.36</v>
      </c>
    </row>
    <row r="107" spans="2:7" x14ac:dyDescent="0.25">
      <c r="B107" s="21" t="s">
        <v>156</v>
      </c>
      <c r="C107" s="32"/>
      <c r="D107" s="33"/>
      <c r="E107" s="33"/>
      <c r="F107" s="36">
        <f>4221121.69+12423.05</f>
        <v>4233544.74</v>
      </c>
    </row>
    <row r="108" spans="2:7" x14ac:dyDescent="0.25">
      <c r="B108" s="21" t="s">
        <v>155</v>
      </c>
      <c r="C108" s="32"/>
      <c r="D108" s="33"/>
      <c r="E108" s="33"/>
      <c r="F108" s="36">
        <f>19892.77+15709.29+40026.3</f>
        <v>75628.36</v>
      </c>
    </row>
    <row r="109" spans="2:7" x14ac:dyDescent="0.25">
      <c r="B109" s="21" t="s">
        <v>165</v>
      </c>
      <c r="C109" s="32"/>
      <c r="D109" s="33"/>
      <c r="E109" s="33"/>
      <c r="F109" s="36">
        <f>18586.04+1701.48</f>
        <v>20287.52</v>
      </c>
    </row>
    <row r="110" spans="2:7" x14ac:dyDescent="0.25">
      <c r="B110" s="21" t="s">
        <v>203</v>
      </c>
      <c r="C110" s="32"/>
      <c r="D110" s="33"/>
      <c r="E110" s="33"/>
      <c r="F110" s="36">
        <v>3982.57</v>
      </c>
    </row>
    <row r="111" spans="2:7" x14ac:dyDescent="0.25">
      <c r="B111" s="21" t="s">
        <v>179</v>
      </c>
      <c r="C111" s="32"/>
      <c r="D111" s="33"/>
      <c r="E111" s="33"/>
      <c r="F111" s="36">
        <f>11567.12+25930.76</f>
        <v>37497.879999999997</v>
      </c>
    </row>
    <row r="112" spans="2:7" x14ac:dyDescent="0.25">
      <c r="B112" s="21" t="s">
        <v>204</v>
      </c>
      <c r="C112" s="32"/>
      <c r="D112" s="33"/>
      <c r="E112" s="33"/>
      <c r="F112" s="36">
        <v>155.91</v>
      </c>
    </row>
    <row r="113" spans="2:9" x14ac:dyDescent="0.25">
      <c r="B113" s="21" t="s">
        <v>205</v>
      </c>
      <c r="C113" s="32"/>
      <c r="D113" s="33"/>
      <c r="E113" s="33"/>
      <c r="F113" s="36">
        <f>608.27+1403.4</f>
        <v>2011.67</v>
      </c>
    </row>
    <row r="114" spans="2:9" x14ac:dyDescent="0.25">
      <c r="B114" s="21" t="s">
        <v>227</v>
      </c>
      <c r="C114" s="32"/>
      <c r="D114" s="33"/>
      <c r="E114" s="33"/>
      <c r="F114" s="36">
        <v>10449.370000000001</v>
      </c>
    </row>
    <row r="115" spans="2:9" x14ac:dyDescent="0.25">
      <c r="B115" s="21" t="s">
        <v>226</v>
      </c>
      <c r="C115" s="32"/>
      <c r="D115" s="33"/>
      <c r="E115" s="33"/>
      <c r="F115" s="36">
        <v>10287.86</v>
      </c>
    </row>
    <row r="116" spans="2:9" x14ac:dyDescent="0.25">
      <c r="B116" s="21" t="s">
        <v>217</v>
      </c>
      <c r="C116" s="32"/>
      <c r="D116" s="33"/>
      <c r="E116" s="33"/>
      <c r="F116" s="40">
        <v>-35962.31</v>
      </c>
    </row>
    <row r="117" spans="2:9" x14ac:dyDescent="0.25">
      <c r="B117" s="1" t="s">
        <v>54</v>
      </c>
      <c r="C117" s="32"/>
      <c r="D117" s="33"/>
      <c r="E117" s="33"/>
      <c r="F117" s="40">
        <f>SUM(F104:F116)</f>
        <v>6726653.1500000013</v>
      </c>
      <c r="G117" s="62">
        <f>+F117/F94</f>
        <v>6.5010172039866873E-3</v>
      </c>
    </row>
    <row r="118" spans="2:9" ht="15.6" x14ac:dyDescent="0.3">
      <c r="B118" s="10"/>
    </row>
    <row r="119" spans="2:9" ht="16.2" thickBot="1" x14ac:dyDescent="0.35">
      <c r="B119" s="44" t="s">
        <v>37</v>
      </c>
      <c r="C119" s="48"/>
      <c r="D119" s="49"/>
      <c r="E119" s="49"/>
      <c r="F119" s="50">
        <f>+F94-F102-F117</f>
        <v>969279855.71000004</v>
      </c>
      <c r="G119" s="63">
        <f>+F119/F94</f>
        <v>0.936766751151491</v>
      </c>
      <c r="I119" s="25">
        <f>+F119-F8</f>
        <v>0</v>
      </c>
    </row>
    <row r="120" spans="2:9" ht="15.6" x14ac:dyDescent="0.3">
      <c r="B120" s="37"/>
      <c r="C120" s="32"/>
      <c r="D120" s="33"/>
      <c r="E120" s="33"/>
      <c r="F120" s="38"/>
      <c r="G120" s="71"/>
    </row>
  </sheetData>
  <phoneticPr fontId="0" type="noConversion"/>
  <pageMargins left="0.5" right="0.25" top="0.5" bottom="0.5" header="0.5" footer="0"/>
  <pageSetup scale="80" orientation="portrait" r:id="rId1"/>
  <headerFooter alignWithMargins="0">
    <oddFooter>&amp;LCertification November 29, 2001&amp;CPage &amp;P of &amp;N&amp;RTrade Month February 2001</oddFooter>
  </headerFooter>
  <rowBreaks count="1" manualBreakCount="1">
    <brk id="55" max="6"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128"/>
  <sheetViews>
    <sheetView zoomScaleNormal="100" workbookViewId="0">
      <selection activeCell="I9" sqref="I9"/>
    </sheetView>
  </sheetViews>
  <sheetFormatPr defaultRowHeight="13.2" x14ac:dyDescent="0.25"/>
  <cols>
    <col min="1" max="1" width="6.33203125" style="8" customWidth="1"/>
    <col min="2" max="2" width="50" customWidth="1"/>
    <col min="3" max="3" width="8.44140625" style="8" customWidth="1"/>
    <col min="4" max="4" width="6" style="12" customWidth="1"/>
    <col min="5" max="5" width="5" style="12" customWidth="1"/>
    <col min="6" max="6" width="17.44140625" customWidth="1"/>
    <col min="7" max="7" width="9.33203125" customWidth="1"/>
    <col min="8" max="8" width="11.109375" customWidth="1"/>
    <col min="9" max="9" width="16.5546875" style="25" bestFit="1" customWidth="1"/>
  </cols>
  <sheetData>
    <row r="1" spans="1:9" ht="15.6" x14ac:dyDescent="0.3">
      <c r="B1" s="53" t="s">
        <v>238</v>
      </c>
    </row>
    <row r="2" spans="1:9" ht="15.6" x14ac:dyDescent="0.3">
      <c r="B2" s="10"/>
    </row>
    <row r="3" spans="1:9" ht="15.6" x14ac:dyDescent="0.3">
      <c r="B3" s="10" t="s">
        <v>106</v>
      </c>
    </row>
    <row r="4" spans="1:9" ht="15.6" x14ac:dyDescent="0.3">
      <c r="B4" s="10"/>
    </row>
    <row r="5" spans="1:9" ht="16.2" thickBot="1" x14ac:dyDescent="0.35">
      <c r="A5" s="10" t="s">
        <v>57</v>
      </c>
    </row>
    <row r="6" spans="1:9" s="5" customFormat="1" ht="31.8" thickTop="1" thickBot="1" x14ac:dyDescent="0.3">
      <c r="A6" s="15" t="s">
        <v>12</v>
      </c>
      <c r="B6" s="15" t="s">
        <v>14</v>
      </c>
      <c r="C6" s="15" t="s">
        <v>51</v>
      </c>
      <c r="D6" s="45"/>
      <c r="E6" s="46"/>
      <c r="F6" s="47" t="s">
        <v>52</v>
      </c>
      <c r="G6" s="16" t="s">
        <v>53</v>
      </c>
      <c r="I6" s="87"/>
    </row>
    <row r="7" spans="1:9" s="3" customFormat="1" ht="10.8" thickTop="1" x14ac:dyDescent="0.2">
      <c r="F7" s="4"/>
      <c r="I7" s="88"/>
    </row>
    <row r="8" spans="1:9" s="1" customFormat="1" ht="13.8" thickBot="1" x14ac:dyDescent="0.3">
      <c r="A8" s="11"/>
      <c r="B8" s="1" t="s">
        <v>199</v>
      </c>
      <c r="C8" s="76"/>
      <c r="D8" s="14"/>
      <c r="E8" s="14"/>
      <c r="F8" s="30">
        <v>844949314.49000001</v>
      </c>
      <c r="G8" s="20">
        <f>+F8/F$8</f>
        <v>1</v>
      </c>
      <c r="I8" s="65"/>
    </row>
    <row r="9" spans="1:9" s="1" customFormat="1" ht="13.8" thickTop="1" x14ac:dyDescent="0.25">
      <c r="A9" s="11"/>
      <c r="C9" s="76"/>
      <c r="D9" s="14"/>
      <c r="E9" s="14"/>
      <c r="F9" s="66"/>
      <c r="G9" s="59"/>
      <c r="I9" s="65"/>
    </row>
    <row r="10" spans="1:9" s="1" customFormat="1" x14ac:dyDescent="0.25">
      <c r="A10" s="11"/>
      <c r="C10" s="76"/>
      <c r="D10" s="14"/>
      <c r="E10" s="14"/>
      <c r="F10" s="66"/>
      <c r="G10" s="59"/>
      <c r="I10" s="65"/>
    </row>
    <row r="11" spans="1:9" ht="15.6" x14ac:dyDescent="0.3">
      <c r="A11" s="10" t="s">
        <v>49</v>
      </c>
      <c r="C11" s="78"/>
    </row>
    <row r="12" spans="1:9" ht="16.2" thickBot="1" x14ac:dyDescent="0.35">
      <c r="A12" s="10" t="s">
        <v>116</v>
      </c>
      <c r="C12" s="78"/>
    </row>
    <row r="13" spans="1:9" s="5" customFormat="1" ht="31.8" thickTop="1" thickBot="1" x14ac:dyDescent="0.3">
      <c r="A13" s="15" t="s">
        <v>12</v>
      </c>
      <c r="B13" s="15" t="s">
        <v>14</v>
      </c>
      <c r="C13" s="79" t="s">
        <v>13</v>
      </c>
      <c r="D13" s="15" t="s">
        <v>17</v>
      </c>
      <c r="E13" s="15" t="s">
        <v>15</v>
      </c>
      <c r="F13" s="16" t="s">
        <v>11</v>
      </c>
      <c r="G13" s="16" t="s">
        <v>56</v>
      </c>
      <c r="I13" s="87"/>
    </row>
    <row r="14" spans="1:9" ht="13.8" thickTop="1" x14ac:dyDescent="0.25">
      <c r="C14" s="78"/>
    </row>
    <row r="15" spans="1:9" x14ac:dyDescent="0.25">
      <c r="A15" s="24">
        <v>1924</v>
      </c>
      <c r="B15" s="23" t="s">
        <v>85</v>
      </c>
      <c r="C15" s="70">
        <v>37035</v>
      </c>
      <c r="D15" s="31">
        <v>15176</v>
      </c>
      <c r="E15" s="24" t="s">
        <v>79</v>
      </c>
      <c r="F15" s="27">
        <v>1891.9</v>
      </c>
      <c r="G15" s="28">
        <f t="shared" ref="G15:G52" si="0">+F15/$F$54</f>
        <v>2.2888216382102521E-6</v>
      </c>
    </row>
    <row r="16" spans="1:9" x14ac:dyDescent="0.25">
      <c r="A16" s="24">
        <v>1007</v>
      </c>
      <c r="B16" s="23" t="s">
        <v>59</v>
      </c>
      <c r="C16" s="70">
        <v>37035</v>
      </c>
      <c r="D16" s="31">
        <v>15204</v>
      </c>
      <c r="E16" s="24" t="s">
        <v>79</v>
      </c>
      <c r="F16" s="29">
        <v>5887.54</v>
      </c>
      <c r="G16" s="28">
        <f t="shared" si="0"/>
        <v>7.1227490606418876E-6</v>
      </c>
    </row>
    <row r="17" spans="1:9" x14ac:dyDescent="0.25">
      <c r="A17" s="24">
        <v>1007</v>
      </c>
      <c r="B17" s="23" t="s">
        <v>59</v>
      </c>
      <c r="C17" s="70">
        <v>37054</v>
      </c>
      <c r="D17" s="31">
        <v>15404</v>
      </c>
      <c r="E17" s="24" t="s">
        <v>79</v>
      </c>
      <c r="F17" s="29">
        <v>8.3000000000000007</v>
      </c>
      <c r="G17" s="28">
        <f t="shared" si="0"/>
        <v>1.0041344467014692E-8</v>
      </c>
    </row>
    <row r="18" spans="1:9" x14ac:dyDescent="0.25">
      <c r="A18" s="24">
        <v>2606</v>
      </c>
      <c r="B18" s="23" t="s">
        <v>0</v>
      </c>
      <c r="C18" s="70">
        <v>37035</v>
      </c>
      <c r="D18" s="31">
        <v>15168</v>
      </c>
      <c r="E18" s="24" t="s">
        <v>79</v>
      </c>
      <c r="F18" s="29">
        <v>312789</v>
      </c>
      <c r="G18" s="28">
        <f t="shared" si="0"/>
        <v>3.7841230054133228E-4</v>
      </c>
    </row>
    <row r="19" spans="1:9" x14ac:dyDescent="0.25">
      <c r="A19" s="24">
        <v>2606</v>
      </c>
      <c r="B19" s="23" t="s">
        <v>0</v>
      </c>
      <c r="C19" s="70">
        <v>37054</v>
      </c>
      <c r="D19" s="31">
        <v>15368</v>
      </c>
      <c r="E19" s="24" t="s">
        <v>79</v>
      </c>
      <c r="F19" s="29">
        <v>388.95</v>
      </c>
      <c r="G19" s="28">
        <f t="shared" si="0"/>
        <v>4.705519193307667E-7</v>
      </c>
    </row>
    <row r="20" spans="1:9" x14ac:dyDescent="0.25">
      <c r="A20" s="24">
        <v>1544</v>
      </c>
      <c r="B20" s="23" t="s">
        <v>4</v>
      </c>
      <c r="C20" s="70">
        <v>37035</v>
      </c>
      <c r="D20" s="31">
        <v>15180</v>
      </c>
      <c r="E20" s="24" t="s">
        <v>79</v>
      </c>
      <c r="F20" s="29">
        <v>185906.31</v>
      </c>
      <c r="G20" s="28">
        <f t="shared" si="0"/>
        <v>2.2490955389176118E-4</v>
      </c>
    </row>
    <row r="21" spans="1:9" x14ac:dyDescent="0.25">
      <c r="A21" s="24">
        <v>1544</v>
      </c>
      <c r="B21" s="23" t="s">
        <v>4</v>
      </c>
      <c r="C21" s="70">
        <v>37054</v>
      </c>
      <c r="D21" s="31">
        <v>15380</v>
      </c>
      <c r="E21" s="24" t="s">
        <v>79</v>
      </c>
      <c r="F21" s="29">
        <v>84.7</v>
      </c>
      <c r="G21" s="28">
        <f t="shared" si="0"/>
        <v>1.0247010558507762E-7</v>
      </c>
    </row>
    <row r="22" spans="1:9" x14ac:dyDescent="0.25">
      <c r="A22" s="24">
        <v>3106</v>
      </c>
      <c r="B22" s="23" t="s">
        <v>187</v>
      </c>
      <c r="C22" s="70">
        <v>37005</v>
      </c>
      <c r="D22" s="31">
        <v>15161</v>
      </c>
      <c r="E22" s="24" t="s">
        <v>79</v>
      </c>
      <c r="F22" s="29">
        <v>7053774.1900000004</v>
      </c>
      <c r="G22" s="28">
        <f t="shared" si="0"/>
        <v>8.5336598113647626E-3</v>
      </c>
    </row>
    <row r="23" spans="1:9" x14ac:dyDescent="0.25">
      <c r="A23" s="24">
        <v>3106</v>
      </c>
      <c r="B23" s="23" t="s">
        <v>187</v>
      </c>
      <c r="C23" s="70">
        <v>37054</v>
      </c>
      <c r="D23" s="31">
        <v>15361</v>
      </c>
      <c r="E23" s="24" t="s">
        <v>79</v>
      </c>
      <c r="F23" s="29">
        <v>23950.720000000001</v>
      </c>
      <c r="G23" s="28">
        <f t="shared" si="0"/>
        <v>2.8975593946146758E-5</v>
      </c>
    </row>
    <row r="24" spans="1:9" x14ac:dyDescent="0.25">
      <c r="A24" s="24">
        <v>1011</v>
      </c>
      <c r="B24" s="23" t="s">
        <v>187</v>
      </c>
      <c r="C24" s="70">
        <v>37035</v>
      </c>
      <c r="D24" s="31">
        <v>15201</v>
      </c>
      <c r="E24" s="24" t="s">
        <v>79</v>
      </c>
      <c r="F24" s="29">
        <v>732545.14</v>
      </c>
      <c r="G24" s="28">
        <f t="shared" si="0"/>
        <v>8.8623350462379538E-4</v>
      </c>
    </row>
    <row r="25" spans="1:9" x14ac:dyDescent="0.25">
      <c r="A25" s="24">
        <v>1011</v>
      </c>
      <c r="B25" s="23" t="s">
        <v>187</v>
      </c>
      <c r="C25" s="70">
        <v>37054</v>
      </c>
      <c r="D25" s="31">
        <v>15401</v>
      </c>
      <c r="E25" s="24" t="s">
        <v>79</v>
      </c>
      <c r="F25" s="29">
        <v>3838.57</v>
      </c>
      <c r="G25" s="28">
        <f t="shared" si="0"/>
        <v>4.6439040518974197E-6</v>
      </c>
    </row>
    <row r="26" spans="1:9" x14ac:dyDescent="0.25">
      <c r="A26" s="24">
        <v>2528</v>
      </c>
      <c r="B26" s="23" t="s">
        <v>78</v>
      </c>
      <c r="C26" s="70">
        <v>37035</v>
      </c>
      <c r="D26" s="31">
        <v>15170</v>
      </c>
      <c r="E26" s="24" t="s">
        <v>79</v>
      </c>
      <c r="F26" s="29">
        <v>199000.28</v>
      </c>
      <c r="G26" s="28">
        <f t="shared" si="0"/>
        <v>2.4075064584486435E-4</v>
      </c>
    </row>
    <row r="27" spans="1:9" x14ac:dyDescent="0.25">
      <c r="A27" s="24">
        <v>1010</v>
      </c>
      <c r="B27" s="23" t="s">
        <v>63</v>
      </c>
      <c r="C27" s="70">
        <v>37035</v>
      </c>
      <c r="D27" s="31">
        <v>15202</v>
      </c>
      <c r="E27" s="24" t="s">
        <v>79</v>
      </c>
      <c r="F27" s="29">
        <v>3586669.37</v>
      </c>
      <c r="G27" s="28">
        <f t="shared" si="0"/>
        <v>4.3391545341518751E-3</v>
      </c>
    </row>
    <row r="28" spans="1:9" x14ac:dyDescent="0.25">
      <c r="A28" s="24">
        <v>1010</v>
      </c>
      <c r="B28" s="23" t="s">
        <v>63</v>
      </c>
      <c r="C28" s="70">
        <v>37054</v>
      </c>
      <c r="D28" s="31">
        <v>15402</v>
      </c>
      <c r="E28" s="24" t="s">
        <v>79</v>
      </c>
      <c r="F28" s="29">
        <v>53768.11</v>
      </c>
      <c r="G28" s="28">
        <f t="shared" si="0"/>
        <v>6.5048688415703286E-5</v>
      </c>
      <c r="I28" s="25">
        <f>SUM(F15:F28)-12160503.08</f>
        <v>0</v>
      </c>
    </row>
    <row r="29" spans="1:9" x14ac:dyDescent="0.25">
      <c r="A29" s="24">
        <v>1924</v>
      </c>
      <c r="B29" s="23" t="s">
        <v>58</v>
      </c>
      <c r="C29" s="70">
        <v>37035</v>
      </c>
      <c r="D29" s="31">
        <v>15241</v>
      </c>
      <c r="E29" s="24" t="s">
        <v>16</v>
      </c>
      <c r="F29" s="29">
        <v>159815.43</v>
      </c>
      <c r="G29" s="28">
        <f t="shared" si="0"/>
        <v>1.9334479322579199E-4</v>
      </c>
    </row>
    <row r="30" spans="1:9" x14ac:dyDescent="0.25">
      <c r="A30" s="24">
        <v>1924</v>
      </c>
      <c r="B30" s="23" t="s">
        <v>58</v>
      </c>
      <c r="C30" s="70">
        <v>37054</v>
      </c>
      <c r="D30" s="31">
        <v>15442</v>
      </c>
      <c r="E30" s="24" t="s">
        <v>16</v>
      </c>
      <c r="F30" s="29">
        <v>24618.66</v>
      </c>
      <c r="G30" s="28">
        <f t="shared" si="0"/>
        <v>2.9783668117628417E-5</v>
      </c>
    </row>
    <row r="31" spans="1:9" x14ac:dyDescent="0.25">
      <c r="A31" s="24">
        <v>1007</v>
      </c>
      <c r="B31" s="23" t="s">
        <v>59</v>
      </c>
      <c r="C31" s="70">
        <v>37035</v>
      </c>
      <c r="D31" s="31">
        <v>15276</v>
      </c>
      <c r="E31" s="24" t="s">
        <v>16</v>
      </c>
      <c r="F31" s="29">
        <v>10566.4</v>
      </c>
      <c r="G31" s="28">
        <f t="shared" si="0"/>
        <v>1.2783236406778798E-5</v>
      </c>
    </row>
    <row r="32" spans="1:9" x14ac:dyDescent="0.25">
      <c r="A32" s="24">
        <v>1007</v>
      </c>
      <c r="B32" s="23" t="s">
        <v>59</v>
      </c>
      <c r="C32" s="70">
        <v>37054</v>
      </c>
      <c r="D32" s="31">
        <v>15477</v>
      </c>
      <c r="E32" s="24" t="s">
        <v>16</v>
      </c>
      <c r="F32" s="29">
        <v>35686.06</v>
      </c>
      <c r="G32" s="28">
        <f t="shared" si="0"/>
        <v>4.3173014594042678E-5</v>
      </c>
    </row>
    <row r="33" spans="1:7" x14ac:dyDescent="0.25">
      <c r="A33" s="24">
        <v>2606</v>
      </c>
      <c r="B33" s="23" t="s">
        <v>0</v>
      </c>
      <c r="C33" s="70">
        <v>37035</v>
      </c>
      <c r="D33" s="31">
        <v>15228</v>
      </c>
      <c r="E33" s="24" t="s">
        <v>16</v>
      </c>
      <c r="F33" s="29">
        <v>3859521.81</v>
      </c>
      <c r="G33" s="28">
        <f t="shared" si="0"/>
        <v>4.6692515629115691E-3</v>
      </c>
    </row>
    <row r="34" spans="1:7" x14ac:dyDescent="0.25">
      <c r="A34" s="24">
        <v>2606</v>
      </c>
      <c r="B34" s="23" t="s">
        <v>0</v>
      </c>
      <c r="C34" s="70">
        <v>37054</v>
      </c>
      <c r="D34" s="31">
        <v>15429</v>
      </c>
      <c r="E34" s="24" t="s">
        <v>16</v>
      </c>
      <c r="F34" s="29">
        <v>2887840.08</v>
      </c>
      <c r="G34" s="28">
        <f t="shared" si="0"/>
        <v>3.4937104830037665E-3</v>
      </c>
    </row>
    <row r="35" spans="1:7" x14ac:dyDescent="0.25">
      <c r="A35" s="24">
        <v>1584</v>
      </c>
      <c r="B35" s="23" t="s">
        <v>1</v>
      </c>
      <c r="C35" s="70">
        <v>37054</v>
      </c>
      <c r="D35" s="31">
        <v>15447</v>
      </c>
      <c r="E35" s="24" t="s">
        <v>16</v>
      </c>
      <c r="F35" s="29">
        <v>206636.42</v>
      </c>
      <c r="G35" s="28">
        <f t="shared" si="0"/>
        <v>2.4998885212659322E-4</v>
      </c>
    </row>
    <row r="36" spans="1:7" x14ac:dyDescent="0.25">
      <c r="A36" s="24">
        <v>1684</v>
      </c>
      <c r="B36" s="23" t="s">
        <v>93</v>
      </c>
      <c r="C36" s="70">
        <v>37054</v>
      </c>
      <c r="D36" s="31">
        <v>15444</v>
      </c>
      <c r="E36" s="24" t="s">
        <v>16</v>
      </c>
      <c r="F36" s="29">
        <v>228.65</v>
      </c>
      <c r="G36" s="28">
        <f t="shared" si="0"/>
        <v>2.766208930581818E-7</v>
      </c>
    </row>
    <row r="37" spans="1:7" x14ac:dyDescent="0.25">
      <c r="A37" s="24">
        <v>1504</v>
      </c>
      <c r="B37" s="23" t="s">
        <v>2</v>
      </c>
      <c r="C37" s="70">
        <v>37054</v>
      </c>
      <c r="D37" s="31">
        <v>15449</v>
      </c>
      <c r="E37" s="24" t="s">
        <v>16</v>
      </c>
      <c r="F37" s="29">
        <f>47046.31-5691.65-16913.49+15853.26</f>
        <v>40294.429999999993</v>
      </c>
      <c r="G37" s="28">
        <f t="shared" si="0"/>
        <v>4.8748223100242248E-5</v>
      </c>
    </row>
    <row r="38" spans="1:7" x14ac:dyDescent="0.25">
      <c r="A38" s="24">
        <v>1103</v>
      </c>
      <c r="B38" s="23" t="s">
        <v>25</v>
      </c>
      <c r="C38" s="70">
        <v>37054</v>
      </c>
      <c r="D38" s="31">
        <v>15462</v>
      </c>
      <c r="E38" s="24" t="s">
        <v>16</v>
      </c>
      <c r="F38" s="29">
        <v>384728.44</v>
      </c>
      <c r="G38" s="28">
        <f t="shared" si="0"/>
        <v>4.6544467377074614E-4</v>
      </c>
    </row>
    <row r="39" spans="1:7" x14ac:dyDescent="0.25">
      <c r="A39" s="55">
        <v>2405</v>
      </c>
      <c r="B39" s="81" t="s">
        <v>188</v>
      </c>
      <c r="C39" s="70">
        <v>37054</v>
      </c>
      <c r="D39" s="55">
        <v>15438</v>
      </c>
      <c r="E39" s="24" t="s">
        <v>16</v>
      </c>
      <c r="F39" s="29">
        <f>1742.73-368.58-850.4</f>
        <v>523.75000000000011</v>
      </c>
      <c r="G39" s="28">
        <f t="shared" si="0"/>
        <v>6.3363303187939101E-7</v>
      </c>
    </row>
    <row r="40" spans="1:7" x14ac:dyDescent="0.25">
      <c r="A40" s="55">
        <v>1017</v>
      </c>
      <c r="B40" s="81" t="s">
        <v>109</v>
      </c>
      <c r="C40" s="70">
        <v>37035</v>
      </c>
      <c r="D40" s="55">
        <v>15269</v>
      </c>
      <c r="E40" s="24" t="s">
        <v>16</v>
      </c>
      <c r="F40" s="82">
        <f>1570197.56-518911.89-100911.95</f>
        <v>950373.72</v>
      </c>
      <c r="G40" s="85">
        <f t="shared" si="0"/>
        <v>1.1497626379419479E-3</v>
      </c>
    </row>
    <row r="41" spans="1:7" x14ac:dyDescent="0.25">
      <c r="A41" s="55">
        <v>1000</v>
      </c>
      <c r="B41" s="81" t="s">
        <v>110</v>
      </c>
      <c r="C41" s="70">
        <v>37035</v>
      </c>
      <c r="D41" s="55">
        <v>15283</v>
      </c>
      <c r="E41" s="24" t="s">
        <v>16</v>
      </c>
      <c r="F41" s="82">
        <v>41.41</v>
      </c>
      <c r="G41" s="85">
        <f t="shared" si="0"/>
        <v>5.0097840286635934E-8</v>
      </c>
    </row>
    <row r="42" spans="1:7" x14ac:dyDescent="0.25">
      <c r="A42" s="24">
        <v>1544</v>
      </c>
      <c r="B42" s="23" t="s">
        <v>4</v>
      </c>
      <c r="C42" s="70">
        <v>37035</v>
      </c>
      <c r="D42" s="55">
        <v>15245</v>
      </c>
      <c r="E42" s="24" t="s">
        <v>16</v>
      </c>
      <c r="F42" s="29">
        <v>9664579.0999999996</v>
      </c>
      <c r="G42" s="28">
        <f t="shared" si="0"/>
        <v>1.1692212996603711E-2</v>
      </c>
    </row>
    <row r="43" spans="1:7" x14ac:dyDescent="0.25">
      <c r="A43" s="24">
        <v>1544</v>
      </c>
      <c r="B43" s="23" t="s">
        <v>4</v>
      </c>
      <c r="C43" s="70">
        <v>37054</v>
      </c>
      <c r="D43" s="55">
        <v>15446</v>
      </c>
      <c r="E43" s="24" t="s">
        <v>16</v>
      </c>
      <c r="F43" s="29">
        <v>1378767.61</v>
      </c>
      <c r="G43" s="28">
        <f t="shared" si="0"/>
        <v>1.6680337966232012E-3</v>
      </c>
    </row>
    <row r="44" spans="1:7" x14ac:dyDescent="0.25">
      <c r="A44" s="24">
        <v>1005</v>
      </c>
      <c r="B44" s="23" t="s">
        <v>111</v>
      </c>
      <c r="C44" s="70">
        <v>37035</v>
      </c>
      <c r="D44" s="55">
        <v>15278</v>
      </c>
      <c r="E44" s="24" t="s">
        <v>16</v>
      </c>
      <c r="F44" s="29">
        <v>21206.94</v>
      </c>
      <c r="G44" s="28">
        <f t="shared" si="0"/>
        <v>2.5656167425459337E-5</v>
      </c>
    </row>
    <row r="45" spans="1:7" x14ac:dyDescent="0.25">
      <c r="A45" s="24">
        <v>3106</v>
      </c>
      <c r="B45" s="23" t="s">
        <v>187</v>
      </c>
      <c r="C45" s="70">
        <v>37035</v>
      </c>
      <c r="D45" s="55">
        <v>15212</v>
      </c>
      <c r="E45" s="24" t="s">
        <v>16</v>
      </c>
      <c r="F45" s="29">
        <v>250061586.25</v>
      </c>
      <c r="G45" s="28">
        <f t="shared" si="0"/>
        <v>0.30252464162703063</v>
      </c>
    </row>
    <row r="46" spans="1:7" x14ac:dyDescent="0.25">
      <c r="A46" s="24">
        <v>3106</v>
      </c>
      <c r="B46" s="23" t="s">
        <v>187</v>
      </c>
      <c r="C46" s="70">
        <v>37054</v>
      </c>
      <c r="D46" s="55">
        <v>15413</v>
      </c>
      <c r="E46" s="24" t="s">
        <v>16</v>
      </c>
      <c r="F46" s="29">
        <v>26829644.829999998</v>
      </c>
      <c r="G46" s="28">
        <f t="shared" si="0"/>
        <v>3.2458518754902382E-2</v>
      </c>
    </row>
    <row r="47" spans="1:7" x14ac:dyDescent="0.25">
      <c r="A47" s="24">
        <v>1011</v>
      </c>
      <c r="B47" s="23" t="s">
        <v>187</v>
      </c>
      <c r="C47" s="70">
        <v>37035</v>
      </c>
      <c r="D47" s="55">
        <v>15273</v>
      </c>
      <c r="E47" s="24" t="s">
        <v>16</v>
      </c>
      <c r="F47" s="29">
        <v>11636159.73</v>
      </c>
      <c r="G47" s="28">
        <f t="shared" si="0"/>
        <v>1.4077432303871646E-2</v>
      </c>
    </row>
    <row r="48" spans="1:7" x14ac:dyDescent="0.25">
      <c r="A48" s="24">
        <v>1011</v>
      </c>
      <c r="B48" s="23" t="s">
        <v>187</v>
      </c>
      <c r="C48" s="70">
        <v>37054</v>
      </c>
      <c r="D48" s="55">
        <v>15474</v>
      </c>
      <c r="E48" s="24" t="s">
        <v>16</v>
      </c>
      <c r="F48" s="29">
        <v>1220018.43</v>
      </c>
      <c r="G48" s="28">
        <f t="shared" si="0"/>
        <v>1.4759789532212588E-3</v>
      </c>
    </row>
    <row r="49" spans="1:9" x14ac:dyDescent="0.25">
      <c r="A49" s="24">
        <v>2528</v>
      </c>
      <c r="B49" s="23" t="s">
        <v>78</v>
      </c>
      <c r="C49" s="70">
        <v>37035</v>
      </c>
      <c r="D49" s="55">
        <v>15232</v>
      </c>
      <c r="E49" s="24" t="s">
        <v>16</v>
      </c>
      <c r="F49" s="29">
        <v>2359.04</v>
      </c>
      <c r="G49" s="28">
        <f t="shared" si="0"/>
        <v>2.8539678616224501E-6</v>
      </c>
    </row>
    <row r="50" spans="1:9" x14ac:dyDescent="0.25">
      <c r="A50" s="24">
        <v>1010</v>
      </c>
      <c r="B50" s="23" t="s">
        <v>63</v>
      </c>
      <c r="C50" s="70">
        <v>37035</v>
      </c>
      <c r="D50" s="55">
        <v>15274</v>
      </c>
      <c r="E50" s="24" t="s">
        <v>16</v>
      </c>
      <c r="F50" s="29">
        <v>416053783.75</v>
      </c>
      <c r="G50" s="28">
        <f t="shared" si="0"/>
        <v>0.50334209149862519</v>
      </c>
    </row>
    <row r="51" spans="1:9" s="21" customFormat="1" x14ac:dyDescent="0.25">
      <c r="A51" s="24">
        <v>1010</v>
      </c>
      <c r="B51" s="23" t="s">
        <v>63</v>
      </c>
      <c r="C51" s="70">
        <v>37054</v>
      </c>
      <c r="D51" s="55">
        <v>15475</v>
      </c>
      <c r="E51" s="24" t="s">
        <v>16</v>
      </c>
      <c r="F51" s="29">
        <v>88939559.700000003</v>
      </c>
      <c r="G51" s="28">
        <f t="shared" si="0"/>
        <v>0.10759912719184551</v>
      </c>
      <c r="I51" s="36"/>
    </row>
    <row r="52" spans="1:9" x14ac:dyDescent="0.25">
      <c r="A52" s="24">
        <v>2465</v>
      </c>
      <c r="B52" s="23" t="s">
        <v>26</v>
      </c>
      <c r="C52" s="70">
        <v>37054</v>
      </c>
      <c r="D52" s="55">
        <v>15436</v>
      </c>
      <c r="E52" s="24" t="s">
        <v>16</v>
      </c>
      <c r="F52" s="56">
        <v>53494.83</v>
      </c>
      <c r="G52" s="57">
        <f t="shared" si="0"/>
        <v>6.4718074124625477E-5</v>
      </c>
      <c r="I52" s="25">
        <f>SUM(F29:F52)-814422035.47</f>
        <v>0</v>
      </c>
    </row>
    <row r="53" spans="1:9" x14ac:dyDescent="0.25">
      <c r="A53" s="7"/>
      <c r="B53" s="2"/>
      <c r="C53" s="9"/>
      <c r="D53" s="7"/>
      <c r="E53" s="13"/>
      <c r="F53" s="6"/>
      <c r="G53" s="21"/>
    </row>
    <row r="54" spans="1:9" ht="13.8" thickBot="1" x14ac:dyDescent="0.3">
      <c r="B54" s="1" t="s">
        <v>18</v>
      </c>
      <c r="F54" s="30">
        <f>SUM(F15:F53)</f>
        <v>826582538.55000007</v>
      </c>
      <c r="G54" s="20">
        <f>+F54/F54</f>
        <v>1</v>
      </c>
    </row>
    <row r="55" spans="1:9" ht="13.8" thickTop="1" x14ac:dyDescent="0.25">
      <c r="C55" s="78"/>
    </row>
    <row r="56" spans="1:9" x14ac:dyDescent="0.25">
      <c r="C56" s="78"/>
    </row>
    <row r="57" spans="1:9" x14ac:dyDescent="0.25">
      <c r="B57" s="83" t="s">
        <v>186</v>
      </c>
      <c r="C57" s="78"/>
    </row>
    <row r="58" spans="1:9" x14ac:dyDescent="0.25">
      <c r="B58" s="83"/>
      <c r="C58" s="78"/>
    </row>
    <row r="59" spans="1:9" ht="15.6" x14ac:dyDescent="0.3">
      <c r="B59" s="10" t="str">
        <f>+B1</f>
        <v>Certification for Market Settlement November 29, 2001</v>
      </c>
    </row>
    <row r="60" spans="1:9" ht="15.6" x14ac:dyDescent="0.3">
      <c r="B60" s="10"/>
    </row>
    <row r="61" spans="1:9" ht="15.6" x14ac:dyDescent="0.3">
      <c r="B61" s="10" t="str">
        <f>+B3</f>
        <v>For the Trade Month of March 2001</v>
      </c>
    </row>
    <row r="62" spans="1:9" ht="15.6" x14ac:dyDescent="0.3">
      <c r="B62" s="10"/>
    </row>
    <row r="63" spans="1:9" ht="15.6" x14ac:dyDescent="0.3">
      <c r="B63" s="10" t="s">
        <v>28</v>
      </c>
    </row>
    <row r="64" spans="1:9" ht="15.6" x14ac:dyDescent="0.3">
      <c r="B64" s="10"/>
    </row>
    <row r="65" spans="1:9" x14ac:dyDescent="0.25">
      <c r="B65" s="21" t="s">
        <v>27</v>
      </c>
      <c r="C65" s="32"/>
      <c r="D65" s="33"/>
      <c r="E65" s="33"/>
      <c r="F65" s="34">
        <v>832494154.59000003</v>
      </c>
      <c r="G65" s="61">
        <f>+F65/F67</f>
        <v>0.85391062514161531</v>
      </c>
    </row>
    <row r="66" spans="1:9" x14ac:dyDescent="0.25">
      <c r="B66" s="21" t="s">
        <v>29</v>
      </c>
      <c r="C66" s="32"/>
      <c r="D66" s="33"/>
      <c r="E66" s="33"/>
      <c r="F66" s="39">
        <v>142425386.25999999</v>
      </c>
      <c r="G66" s="61">
        <f>+F66/F67</f>
        <v>0.14608937485838475</v>
      </c>
    </row>
    <row r="67" spans="1:9" x14ac:dyDescent="0.25">
      <c r="B67" s="35" t="s">
        <v>30</v>
      </c>
      <c r="C67" s="32"/>
      <c r="D67" s="33"/>
      <c r="E67" s="33"/>
      <c r="F67" s="39">
        <f>SUM(F65:F66)</f>
        <v>974919540.85000002</v>
      </c>
      <c r="G67" s="62">
        <f>+F67/F67</f>
        <v>1</v>
      </c>
    </row>
    <row r="68" spans="1:9" ht="15.6" x14ac:dyDescent="0.3">
      <c r="B68" s="10"/>
    </row>
    <row r="69" spans="1:9" x14ac:dyDescent="0.25">
      <c r="B69" s="21" t="s">
        <v>104</v>
      </c>
      <c r="C69" s="32"/>
      <c r="D69" s="33"/>
      <c r="E69" s="33"/>
      <c r="F69" s="6">
        <v>25834711.77</v>
      </c>
    </row>
    <row r="70" spans="1:9" x14ac:dyDescent="0.25">
      <c r="B70" s="21" t="s">
        <v>108</v>
      </c>
      <c r="C70" s="32"/>
      <c r="D70" s="33"/>
      <c r="E70" s="33"/>
      <c r="F70" s="6">
        <v>42129119.369999997</v>
      </c>
    </row>
    <row r="71" spans="1:9" x14ac:dyDescent="0.25">
      <c r="B71" s="21" t="s">
        <v>115</v>
      </c>
      <c r="C71" s="32"/>
      <c r="D71" s="33"/>
      <c r="E71" s="33"/>
      <c r="F71" s="39">
        <f>43601.78+23970.6</f>
        <v>67572.38</v>
      </c>
    </row>
    <row r="72" spans="1:9" x14ac:dyDescent="0.25">
      <c r="B72" s="35" t="s">
        <v>34</v>
      </c>
      <c r="C72" s="32"/>
      <c r="D72" s="33"/>
      <c r="E72" s="33"/>
      <c r="F72" s="39">
        <f>SUM(F69:F71)</f>
        <v>68031403.519999996</v>
      </c>
      <c r="G72" s="62">
        <f>+F72/F67</f>
        <v>6.9781557010013026E-2</v>
      </c>
    </row>
    <row r="73" spans="1:9" ht="15.6" x14ac:dyDescent="0.3">
      <c r="B73" s="10"/>
    </row>
    <row r="74" spans="1:9" s="21" customFormat="1" x14ac:dyDescent="0.25">
      <c r="A74" s="32"/>
      <c r="B74" s="21" t="s">
        <v>140</v>
      </c>
      <c r="C74" s="32"/>
      <c r="D74" s="33"/>
      <c r="E74" s="33"/>
      <c r="F74" s="6">
        <v>1328993.47</v>
      </c>
      <c r="I74" s="36"/>
    </row>
    <row r="75" spans="1:9" s="21" customFormat="1" x14ac:dyDescent="0.25">
      <c r="A75" s="32"/>
      <c r="B75" s="21" t="s">
        <v>160</v>
      </c>
      <c r="C75" s="32"/>
      <c r="D75" s="33"/>
      <c r="E75" s="33"/>
      <c r="F75" s="6">
        <v>2962776.9</v>
      </c>
      <c r="I75" s="36"/>
    </row>
    <row r="76" spans="1:9" s="21" customFormat="1" x14ac:dyDescent="0.25">
      <c r="A76" s="32"/>
      <c r="B76" s="21" t="s">
        <v>168</v>
      </c>
      <c r="C76" s="32"/>
      <c r="D76" s="33"/>
      <c r="E76" s="33"/>
      <c r="F76" s="6">
        <v>888969.27</v>
      </c>
      <c r="I76" s="36"/>
    </row>
    <row r="77" spans="1:9" s="21" customFormat="1" x14ac:dyDescent="0.25">
      <c r="A77" s="32"/>
      <c r="B77" s="21" t="s">
        <v>171</v>
      </c>
      <c r="C77" s="32"/>
      <c r="D77" s="33"/>
      <c r="E77" s="33"/>
      <c r="F77" s="6">
        <v>6.32</v>
      </c>
      <c r="I77" s="36"/>
    </row>
    <row r="78" spans="1:9" s="21" customFormat="1" x14ac:dyDescent="0.25">
      <c r="A78" s="32"/>
      <c r="B78" s="21" t="s">
        <v>172</v>
      </c>
      <c r="C78" s="32"/>
      <c r="D78" s="33"/>
      <c r="E78" s="33"/>
      <c r="F78" s="6">
        <v>10.33</v>
      </c>
      <c r="I78" s="36"/>
    </row>
    <row r="79" spans="1:9" s="21" customFormat="1" x14ac:dyDescent="0.25">
      <c r="A79" s="32"/>
      <c r="B79" s="21" t="s">
        <v>154</v>
      </c>
      <c r="C79" s="32"/>
      <c r="D79" s="33"/>
      <c r="E79" s="33"/>
      <c r="F79" s="6">
        <f>19892.77+15709.29+40026.3</f>
        <v>75628.36</v>
      </c>
      <c r="I79" s="36"/>
    </row>
    <row r="80" spans="1:9" s="21" customFormat="1" x14ac:dyDescent="0.25">
      <c r="A80" s="32"/>
      <c r="B80" s="21" t="s">
        <v>148</v>
      </c>
      <c r="C80" s="32"/>
      <c r="D80" s="33"/>
      <c r="E80" s="33"/>
      <c r="F80" s="6">
        <v>83643512.489999995</v>
      </c>
      <c r="I80" s="36"/>
    </row>
    <row r="81" spans="1:9" s="21" customFormat="1" x14ac:dyDescent="0.25">
      <c r="A81" s="32"/>
      <c r="B81" s="21" t="s">
        <v>146</v>
      </c>
      <c r="C81" s="32"/>
      <c r="D81" s="33"/>
      <c r="E81" s="33"/>
      <c r="F81" s="6">
        <v>205.19</v>
      </c>
      <c r="I81" s="36"/>
    </row>
    <row r="82" spans="1:9" s="21" customFormat="1" x14ac:dyDescent="0.25">
      <c r="A82" s="32"/>
      <c r="B82" s="21" t="s">
        <v>198</v>
      </c>
      <c r="C82" s="32"/>
      <c r="D82" s="33"/>
      <c r="E82" s="33"/>
      <c r="F82" s="6">
        <v>2968438.1</v>
      </c>
      <c r="I82" s="36"/>
    </row>
    <row r="83" spans="1:9" s="21" customFormat="1" x14ac:dyDescent="0.25">
      <c r="A83" s="32"/>
      <c r="B83" s="21" t="s">
        <v>217</v>
      </c>
      <c r="C83" s="32"/>
      <c r="D83" s="33"/>
      <c r="E83" s="33"/>
      <c r="F83" s="6">
        <v>496649.48</v>
      </c>
      <c r="I83" s="36"/>
    </row>
    <row r="84" spans="1:9" s="21" customFormat="1" x14ac:dyDescent="0.25">
      <c r="A84" s="32"/>
      <c r="B84" s="21" t="s">
        <v>239</v>
      </c>
      <c r="C84" s="32"/>
      <c r="D84" s="33"/>
      <c r="E84" s="33"/>
      <c r="F84" s="39">
        <v>100911.95</v>
      </c>
      <c r="I84" s="36"/>
    </row>
    <row r="85" spans="1:9" x14ac:dyDescent="0.25">
      <c r="B85" s="1" t="s">
        <v>54</v>
      </c>
      <c r="F85" s="40">
        <f>SUM(F74:F84)</f>
        <v>92466101.859999999</v>
      </c>
      <c r="G85" s="62">
        <f>+F85/F67</f>
        <v>9.484485435524441E-2</v>
      </c>
    </row>
    <row r="86" spans="1:9" x14ac:dyDescent="0.25">
      <c r="B86" s="1"/>
      <c r="F86" s="36"/>
      <c r="G86" s="62"/>
    </row>
    <row r="87" spans="1:9" s="21" customFormat="1" x14ac:dyDescent="0.25">
      <c r="A87" s="32"/>
      <c r="B87" s="21" t="s">
        <v>114</v>
      </c>
      <c r="C87" s="32"/>
      <c r="D87" s="33"/>
      <c r="E87" s="33"/>
      <c r="F87" s="39">
        <v>12160503.08</v>
      </c>
      <c r="G87" s="62">
        <f>+F87/F67</f>
        <v>1.2473340178818921E-2</v>
      </c>
      <c r="I87" s="36">
        <f>SUM(F15:F28)-F87</f>
        <v>0</v>
      </c>
    </row>
    <row r="88" spans="1:9" ht="15.6" x14ac:dyDescent="0.3">
      <c r="B88" s="10"/>
    </row>
    <row r="89" spans="1:9" ht="16.2" thickBot="1" x14ac:dyDescent="0.35">
      <c r="B89" s="44" t="s">
        <v>36</v>
      </c>
      <c r="C89" s="48"/>
      <c r="D89" s="49"/>
      <c r="E89" s="49"/>
      <c r="F89" s="50">
        <f>+F67-F72-F85+F87</f>
        <v>826582538.55000007</v>
      </c>
      <c r="G89" s="63">
        <f>+F89/F67</f>
        <v>0.8478469288135615</v>
      </c>
      <c r="I89" s="25">
        <f>+F54-F89</f>
        <v>0</v>
      </c>
    </row>
    <row r="90" spans="1:9" ht="15.6" x14ac:dyDescent="0.3">
      <c r="B90" s="37"/>
      <c r="C90" s="32"/>
      <c r="D90" s="33"/>
      <c r="E90" s="33"/>
      <c r="F90" s="38"/>
    </row>
    <row r="91" spans="1:9" ht="15.6" x14ac:dyDescent="0.3">
      <c r="B91" s="37" t="s">
        <v>35</v>
      </c>
      <c r="C91" s="32"/>
      <c r="D91" s="33"/>
      <c r="E91" s="33"/>
      <c r="F91" s="21"/>
    </row>
    <row r="92" spans="1:9" ht="15.6" x14ac:dyDescent="0.3">
      <c r="B92" s="37"/>
      <c r="C92" s="32"/>
      <c r="D92" s="33"/>
      <c r="E92" s="33"/>
      <c r="F92" s="21"/>
    </row>
    <row r="93" spans="1:9" s="21" customFormat="1" x14ac:dyDescent="0.25">
      <c r="A93" s="32"/>
      <c r="B93" s="21" t="s">
        <v>27</v>
      </c>
      <c r="C93" s="32"/>
      <c r="D93" s="33"/>
      <c r="E93" s="33"/>
      <c r="F93" s="34">
        <v>846325629.70000005</v>
      </c>
      <c r="G93" s="64">
        <f>+F93/F95</f>
        <v>0.85595425272921077</v>
      </c>
      <c r="I93" s="36"/>
    </row>
    <row r="94" spans="1:9" x14ac:dyDescent="0.25">
      <c r="B94" s="21" t="s">
        <v>29</v>
      </c>
      <c r="C94" s="32"/>
      <c r="D94" s="33"/>
      <c r="E94" s="33"/>
      <c r="F94" s="39">
        <v>142425377.72999999</v>
      </c>
      <c r="G94" s="64">
        <f>+F94/F95</f>
        <v>0.1440457472707892</v>
      </c>
    </row>
    <row r="95" spans="1:9" x14ac:dyDescent="0.25">
      <c r="B95" s="35" t="s">
        <v>30</v>
      </c>
      <c r="C95" s="32"/>
      <c r="D95" s="33"/>
      <c r="E95" s="33"/>
      <c r="F95" s="39">
        <f>SUM(F93:F94)</f>
        <v>988751007.43000007</v>
      </c>
      <c r="G95" s="62">
        <f>+F95/F95</f>
        <v>1</v>
      </c>
    </row>
    <row r="96" spans="1:9" ht="15.6" x14ac:dyDescent="0.3">
      <c r="B96" s="10"/>
    </row>
    <row r="97" spans="2:7" x14ac:dyDescent="0.25">
      <c r="B97" s="21" t="s">
        <v>107</v>
      </c>
      <c r="C97" s="32"/>
      <c r="D97" s="33"/>
      <c r="E97" s="33"/>
      <c r="F97" s="6">
        <v>12908276.5</v>
      </c>
    </row>
    <row r="98" spans="2:7" x14ac:dyDescent="0.25">
      <c r="B98" s="21" t="s">
        <v>102</v>
      </c>
      <c r="C98" s="32"/>
      <c r="D98" s="33"/>
      <c r="E98" s="33"/>
      <c r="F98" s="6">
        <v>42048639.130000003</v>
      </c>
    </row>
    <row r="99" spans="2:7" x14ac:dyDescent="0.25">
      <c r="B99" s="21" t="s">
        <v>202</v>
      </c>
      <c r="C99" s="32"/>
      <c r="D99" s="33"/>
      <c r="E99" s="33"/>
      <c r="F99" s="6">
        <v>2968689.84</v>
      </c>
    </row>
    <row r="100" spans="2:7" x14ac:dyDescent="0.25">
      <c r="B100" s="21" t="s">
        <v>225</v>
      </c>
      <c r="C100" s="32"/>
      <c r="D100" s="33"/>
      <c r="E100" s="33"/>
      <c r="F100" s="39">
        <v>3791.74</v>
      </c>
    </row>
    <row r="101" spans="2:7" x14ac:dyDescent="0.25">
      <c r="B101" s="35" t="s">
        <v>42</v>
      </c>
      <c r="C101" s="32"/>
      <c r="D101" s="33"/>
      <c r="E101" s="33"/>
      <c r="F101" s="39">
        <f>SUM(F97:F100)</f>
        <v>57929397.210000001</v>
      </c>
      <c r="G101" s="62">
        <f>+F101/F95</f>
        <v>5.8588458342583472E-2</v>
      </c>
    </row>
    <row r="102" spans="2:7" ht="15.6" x14ac:dyDescent="0.3">
      <c r="B102" s="10"/>
    </row>
    <row r="103" spans="2:7" x14ac:dyDescent="0.25">
      <c r="B103" s="21" t="s">
        <v>206</v>
      </c>
      <c r="C103" s="32"/>
      <c r="D103" s="33"/>
      <c r="E103" s="33"/>
      <c r="F103" s="36">
        <v>1292641.3899999999</v>
      </c>
    </row>
    <row r="104" spans="2:7" x14ac:dyDescent="0.25">
      <c r="B104" s="21" t="s">
        <v>161</v>
      </c>
      <c r="C104" s="32"/>
      <c r="D104" s="33"/>
      <c r="E104" s="33"/>
      <c r="F104" s="36">
        <f>6303.02+256.87</f>
        <v>6559.89</v>
      </c>
    </row>
    <row r="105" spans="2:7" x14ac:dyDescent="0.25">
      <c r="B105" s="21" t="s">
        <v>144</v>
      </c>
      <c r="C105" s="32"/>
      <c r="D105" s="33"/>
      <c r="E105" s="33"/>
      <c r="F105" s="36">
        <v>7944.92</v>
      </c>
    </row>
    <row r="106" spans="2:7" x14ac:dyDescent="0.25">
      <c r="B106" s="21" t="s">
        <v>170</v>
      </c>
      <c r="C106" s="32"/>
      <c r="D106" s="33"/>
      <c r="E106" s="33"/>
      <c r="F106" s="36">
        <f>66132.36+76</f>
        <v>66208.36</v>
      </c>
    </row>
    <row r="107" spans="2:7" x14ac:dyDescent="0.25">
      <c r="B107" s="21" t="s">
        <v>156</v>
      </c>
      <c r="C107" s="32"/>
      <c r="D107" s="33"/>
      <c r="E107" s="33"/>
      <c r="F107" s="36">
        <v>5473.52</v>
      </c>
    </row>
    <row r="108" spans="2:7" x14ac:dyDescent="0.25">
      <c r="B108" s="21" t="s">
        <v>172</v>
      </c>
      <c r="C108" s="32"/>
      <c r="D108" s="33"/>
      <c r="E108" s="33"/>
      <c r="F108" s="36">
        <v>646409.68999999994</v>
      </c>
    </row>
    <row r="109" spans="2:7" x14ac:dyDescent="0.25">
      <c r="B109" s="21" t="s">
        <v>155</v>
      </c>
      <c r="C109" s="32"/>
      <c r="D109" s="33"/>
      <c r="E109" s="33"/>
      <c r="F109" s="36">
        <v>83643512.489999995</v>
      </c>
    </row>
    <row r="110" spans="2:7" x14ac:dyDescent="0.25">
      <c r="B110" s="21" t="s">
        <v>173</v>
      </c>
      <c r="C110" s="32"/>
      <c r="D110" s="33"/>
      <c r="E110" s="33"/>
      <c r="F110" s="36">
        <v>30294.94</v>
      </c>
    </row>
    <row r="111" spans="2:7" x14ac:dyDescent="0.25">
      <c r="B111" s="21" t="s">
        <v>165</v>
      </c>
      <c r="C111" s="32"/>
      <c r="D111" s="33"/>
      <c r="E111" s="33"/>
      <c r="F111" s="36">
        <f>171309.95+4808.47</f>
        <v>176118.42</v>
      </c>
    </row>
    <row r="112" spans="2:7" x14ac:dyDescent="0.25">
      <c r="B112" s="21" t="s">
        <v>179</v>
      </c>
      <c r="C112" s="32"/>
      <c r="D112" s="33"/>
      <c r="E112" s="33"/>
      <c r="F112" s="36">
        <v>26.04</v>
      </c>
    </row>
    <row r="113" spans="2:9" x14ac:dyDescent="0.25">
      <c r="B113" s="21" t="s">
        <v>204</v>
      </c>
      <c r="C113" s="32"/>
      <c r="D113" s="33"/>
      <c r="E113" s="33"/>
      <c r="F113" s="36">
        <v>51.95</v>
      </c>
    </row>
    <row r="114" spans="2:9" x14ac:dyDescent="0.25">
      <c r="B114" s="21" t="s">
        <v>205</v>
      </c>
      <c r="C114" s="32"/>
      <c r="D114" s="33"/>
      <c r="E114" s="33"/>
      <c r="F114" s="36">
        <v>845.86</v>
      </c>
    </row>
    <row r="115" spans="2:9" x14ac:dyDescent="0.25">
      <c r="B115" s="21" t="s">
        <v>217</v>
      </c>
      <c r="C115" s="32"/>
      <c r="D115" s="33"/>
      <c r="E115" s="33"/>
      <c r="F115" s="40">
        <v>-3791.74</v>
      </c>
    </row>
    <row r="116" spans="2:9" x14ac:dyDescent="0.25">
      <c r="B116" s="1" t="s">
        <v>54</v>
      </c>
      <c r="C116" s="32"/>
      <c r="D116" s="33"/>
      <c r="E116" s="33"/>
      <c r="F116" s="40">
        <f>SUM(F103:F115)</f>
        <v>85872295.730000004</v>
      </c>
      <c r="G116" s="62">
        <f>+F116/F95</f>
        <v>8.6849262437873623E-2</v>
      </c>
    </row>
    <row r="117" spans="2:9" ht="15.6" x14ac:dyDescent="0.3">
      <c r="B117" s="10"/>
    </row>
    <row r="118" spans="2:9" ht="16.2" thickBot="1" x14ac:dyDescent="0.35">
      <c r="B118" s="44" t="s">
        <v>37</v>
      </c>
      <c r="C118" s="48"/>
      <c r="D118" s="49"/>
      <c r="E118" s="49"/>
      <c r="F118" s="50">
        <f>+F95-F101-F116</f>
        <v>844949314.49000001</v>
      </c>
      <c r="G118" s="63">
        <f>+F118/F95</f>
        <v>0.85456227921954286</v>
      </c>
      <c r="I118" s="25">
        <f>+F118-F8</f>
        <v>0</v>
      </c>
    </row>
    <row r="119" spans="2:9" ht="15.6" x14ac:dyDescent="0.3">
      <c r="B119" s="10"/>
    </row>
    <row r="120" spans="2:9" ht="15.6" x14ac:dyDescent="0.3">
      <c r="B120" s="37" t="s">
        <v>100</v>
      </c>
      <c r="C120" s="32"/>
      <c r="D120" s="33"/>
      <c r="E120" s="33"/>
    </row>
    <row r="121" spans="2:9" ht="15.6" x14ac:dyDescent="0.3">
      <c r="B121" s="37"/>
      <c r="C121" s="32"/>
      <c r="D121" s="33"/>
      <c r="E121" s="33"/>
    </row>
    <row r="122" spans="2:9" x14ac:dyDescent="0.25">
      <c r="B122" s="72" t="s">
        <v>101</v>
      </c>
      <c r="C122" s="32"/>
      <c r="D122" s="33"/>
      <c r="E122" s="33"/>
      <c r="F122" s="75">
        <f>+F123</f>
        <v>18366775.939999938</v>
      </c>
    </row>
    <row r="123" spans="2:9" ht="16.2" thickBot="1" x14ac:dyDescent="0.35">
      <c r="B123" s="37" t="s">
        <v>99</v>
      </c>
      <c r="F123" s="73">
        <f>+F118-F89</f>
        <v>18366775.939999938</v>
      </c>
    </row>
    <row r="124" spans="2:9" ht="13.8" thickTop="1" x14ac:dyDescent="0.25"/>
    <row r="126" spans="2:9" x14ac:dyDescent="0.25">
      <c r="F126" s="8"/>
    </row>
    <row r="127" spans="2:9" x14ac:dyDescent="0.25">
      <c r="F127" s="8"/>
    </row>
    <row r="128" spans="2:9" x14ac:dyDescent="0.25">
      <c r="F128" s="8"/>
    </row>
  </sheetData>
  <phoneticPr fontId="0" type="noConversion"/>
  <pageMargins left="0.5" right="0.25" top="0.5" bottom="0.5" header="0.5" footer="0"/>
  <pageSetup scale="78" orientation="portrait" r:id="rId1"/>
  <headerFooter alignWithMargins="0">
    <oddFooter>&amp;LCertification October 24, 2001&amp;CPage &amp;P of &amp;N&amp;RTrade Month March 2001</oddFooter>
  </headerFooter>
  <rowBreaks count="1" manualBreakCount="1">
    <brk id="58" max="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I109"/>
  <sheetViews>
    <sheetView zoomScaleNormal="100" workbookViewId="0">
      <selection activeCell="I9" sqref="I9"/>
    </sheetView>
  </sheetViews>
  <sheetFormatPr defaultRowHeight="13.2" x14ac:dyDescent="0.25"/>
  <cols>
    <col min="1" max="1" width="6.33203125" style="8" customWidth="1"/>
    <col min="2" max="2" width="50" customWidth="1"/>
    <col min="3" max="3" width="8.44140625" style="8" customWidth="1"/>
    <col min="4" max="4" width="6" style="12" customWidth="1"/>
    <col min="5" max="5" width="5" style="12" customWidth="1"/>
    <col min="6" max="6" width="17.44140625" customWidth="1"/>
    <col min="7" max="7" width="9.33203125" customWidth="1"/>
    <col min="8" max="8" width="11.109375" customWidth="1"/>
    <col min="9" max="9" width="16.5546875" style="86" bestFit="1" customWidth="1"/>
  </cols>
  <sheetData>
    <row r="1" spans="1:9" ht="15.6" x14ac:dyDescent="0.3">
      <c r="B1" s="53" t="s">
        <v>238</v>
      </c>
    </row>
    <row r="2" spans="1:9" ht="15.6" x14ac:dyDescent="0.3">
      <c r="B2" s="10"/>
    </row>
    <row r="3" spans="1:9" ht="15.6" x14ac:dyDescent="0.3">
      <c r="B3" s="10" t="s">
        <v>118</v>
      </c>
    </row>
    <row r="4" spans="1:9" ht="15.6" x14ac:dyDescent="0.3">
      <c r="B4" s="10"/>
    </row>
    <row r="5" spans="1:9" ht="16.2" thickBot="1" x14ac:dyDescent="0.35">
      <c r="A5" s="10" t="s">
        <v>57</v>
      </c>
    </row>
    <row r="6" spans="1:9" s="5" customFormat="1" ht="31.8" thickTop="1" thickBot="1" x14ac:dyDescent="0.3">
      <c r="A6" s="15" t="s">
        <v>12</v>
      </c>
      <c r="B6" s="15" t="s">
        <v>14</v>
      </c>
      <c r="C6" s="15" t="s">
        <v>51</v>
      </c>
      <c r="D6" s="45"/>
      <c r="E6" s="46"/>
      <c r="F6" s="47" t="s">
        <v>52</v>
      </c>
      <c r="G6" s="16" t="s">
        <v>53</v>
      </c>
      <c r="I6" s="87"/>
    </row>
    <row r="7" spans="1:9" s="3" customFormat="1" ht="10.8" thickTop="1" x14ac:dyDescent="0.2">
      <c r="F7" s="4"/>
      <c r="I7" s="88"/>
    </row>
    <row r="8" spans="1:9" s="1" customFormat="1" ht="13.8" thickBot="1" x14ac:dyDescent="0.3">
      <c r="A8" s="11"/>
      <c r="B8" s="1" t="s">
        <v>105</v>
      </c>
      <c r="C8" s="76"/>
      <c r="D8" s="14"/>
      <c r="E8" s="14"/>
      <c r="F8" s="30">
        <v>709358606.51999998</v>
      </c>
      <c r="G8" s="20">
        <f>+F8/F$8</f>
        <v>1</v>
      </c>
      <c r="I8" s="86"/>
    </row>
    <row r="9" spans="1:9" s="1" customFormat="1" ht="13.8" thickTop="1" x14ac:dyDescent="0.25">
      <c r="A9" s="11"/>
      <c r="C9" s="76"/>
      <c r="D9" s="14"/>
      <c r="E9" s="14"/>
      <c r="F9" s="66"/>
      <c r="G9" s="59"/>
      <c r="I9" s="86"/>
    </row>
    <row r="10" spans="1:9" s="1" customFormat="1" x14ac:dyDescent="0.25">
      <c r="A10" s="11"/>
      <c r="C10" s="76"/>
      <c r="D10" s="14"/>
      <c r="E10" s="14"/>
      <c r="F10" s="66"/>
      <c r="G10" s="59"/>
      <c r="I10" s="86"/>
    </row>
    <row r="11" spans="1:9" ht="15.6" x14ac:dyDescent="0.3">
      <c r="A11" s="10" t="s">
        <v>49</v>
      </c>
      <c r="C11" s="78"/>
    </row>
    <row r="12" spans="1:9" ht="16.2" thickBot="1" x14ac:dyDescent="0.35">
      <c r="A12" s="10" t="s">
        <v>174</v>
      </c>
      <c r="C12" s="78"/>
    </row>
    <row r="13" spans="1:9" s="5" customFormat="1" ht="31.8" thickTop="1" thickBot="1" x14ac:dyDescent="0.3">
      <c r="A13" s="15" t="s">
        <v>12</v>
      </c>
      <c r="B13" s="15" t="s">
        <v>14</v>
      </c>
      <c r="C13" s="79" t="s">
        <v>13</v>
      </c>
      <c r="D13" s="15" t="s">
        <v>17</v>
      </c>
      <c r="E13" s="15" t="s">
        <v>15</v>
      </c>
      <c r="F13" s="16" t="s">
        <v>11</v>
      </c>
      <c r="G13" s="16" t="s">
        <v>56</v>
      </c>
      <c r="I13" s="87"/>
    </row>
    <row r="14" spans="1:9" ht="13.8" thickTop="1" x14ac:dyDescent="0.25">
      <c r="C14" s="78"/>
    </row>
    <row r="15" spans="1:9" x14ac:dyDescent="0.25">
      <c r="A15" s="24">
        <v>1007</v>
      </c>
      <c r="B15" s="23" t="s">
        <v>59</v>
      </c>
      <c r="C15" s="70">
        <v>37071</v>
      </c>
      <c r="D15" s="31">
        <v>15591</v>
      </c>
      <c r="E15" s="24" t="s">
        <v>79</v>
      </c>
      <c r="F15" s="27">
        <v>20921.759999999998</v>
      </c>
      <c r="G15" s="28">
        <f t="shared" ref="G15:G45" si="0">+F15/$F$47</f>
        <v>2.921396262370643E-5</v>
      </c>
    </row>
    <row r="16" spans="1:9" x14ac:dyDescent="0.25">
      <c r="A16" s="24">
        <v>1007</v>
      </c>
      <c r="B16" s="23" t="s">
        <v>59</v>
      </c>
      <c r="C16" s="70">
        <v>37084</v>
      </c>
      <c r="D16" s="31">
        <v>15731</v>
      </c>
      <c r="E16" s="24" t="s">
        <v>79</v>
      </c>
      <c r="F16" s="29">
        <v>16.170000000000002</v>
      </c>
      <c r="G16" s="28">
        <f t="shared" si="0"/>
        <v>2.2578873652375951E-8</v>
      </c>
    </row>
    <row r="17" spans="1:9" x14ac:dyDescent="0.25">
      <c r="A17" s="24">
        <v>2606</v>
      </c>
      <c r="B17" s="23" t="s">
        <v>0</v>
      </c>
      <c r="C17" s="70">
        <v>37071</v>
      </c>
      <c r="D17" s="31">
        <v>15553</v>
      </c>
      <c r="E17" s="24" t="s">
        <v>79</v>
      </c>
      <c r="F17" s="29">
        <v>220578.62</v>
      </c>
      <c r="G17" s="28">
        <f t="shared" si="0"/>
        <v>3.0800351214566767E-4</v>
      </c>
    </row>
    <row r="18" spans="1:9" x14ac:dyDescent="0.25">
      <c r="A18" s="24">
        <v>1544</v>
      </c>
      <c r="B18" s="23" t="s">
        <v>4</v>
      </c>
      <c r="C18" s="70">
        <v>37071</v>
      </c>
      <c r="D18" s="31">
        <v>15567</v>
      </c>
      <c r="E18" s="24" t="s">
        <v>79</v>
      </c>
      <c r="F18" s="29">
        <v>140656.32999999999</v>
      </c>
      <c r="G18" s="28">
        <f t="shared" si="0"/>
        <v>1.9640454566956689E-4</v>
      </c>
    </row>
    <row r="19" spans="1:9" x14ac:dyDescent="0.25">
      <c r="A19" s="24">
        <v>3186</v>
      </c>
      <c r="B19" s="23" t="s">
        <v>38</v>
      </c>
      <c r="C19" s="70">
        <v>37071</v>
      </c>
      <c r="D19" s="31">
        <v>15543</v>
      </c>
      <c r="E19" s="24" t="s">
        <v>79</v>
      </c>
      <c r="F19" s="29">
        <v>90</v>
      </c>
      <c r="G19" s="28">
        <f t="shared" si="0"/>
        <v>1.2567091086665648E-7</v>
      </c>
    </row>
    <row r="20" spans="1:9" x14ac:dyDescent="0.25">
      <c r="A20" s="24">
        <v>3106</v>
      </c>
      <c r="B20" s="23" t="s">
        <v>187</v>
      </c>
      <c r="C20" s="70">
        <v>37071</v>
      </c>
      <c r="D20" s="31">
        <v>15545</v>
      </c>
      <c r="E20" s="24" t="s">
        <v>79</v>
      </c>
      <c r="F20" s="29">
        <v>1288148.8400000001</v>
      </c>
      <c r="G20" s="28">
        <f t="shared" si="0"/>
        <v>1.7986982006069662E-3</v>
      </c>
    </row>
    <row r="21" spans="1:9" x14ac:dyDescent="0.25">
      <c r="A21" s="24">
        <v>1011</v>
      </c>
      <c r="B21" s="23" t="s">
        <v>187</v>
      </c>
      <c r="C21" s="70">
        <v>37071</v>
      </c>
      <c r="D21" s="31">
        <v>15588</v>
      </c>
      <c r="E21" s="24" t="s">
        <v>79</v>
      </c>
      <c r="F21" s="29">
        <v>171090.87</v>
      </c>
      <c r="G21" s="28">
        <f t="shared" si="0"/>
        <v>2.3890161637631901E-4</v>
      </c>
    </row>
    <row r="22" spans="1:9" x14ac:dyDescent="0.25">
      <c r="A22" s="24">
        <v>2528</v>
      </c>
      <c r="B22" s="23" t="s">
        <v>78</v>
      </c>
      <c r="C22" s="70">
        <v>37071</v>
      </c>
      <c r="D22" s="31">
        <v>15556</v>
      </c>
      <c r="E22" s="24" t="s">
        <v>79</v>
      </c>
      <c r="F22" s="29">
        <v>157189.18</v>
      </c>
      <c r="G22" s="28">
        <f t="shared" si="0"/>
        <v>2.1949008254425358E-4</v>
      </c>
    </row>
    <row r="23" spans="1:9" x14ac:dyDescent="0.25">
      <c r="A23" s="24">
        <v>1010</v>
      </c>
      <c r="B23" s="23" t="s">
        <v>63</v>
      </c>
      <c r="C23" s="70">
        <v>37071</v>
      </c>
      <c r="D23" s="31">
        <v>15589</v>
      </c>
      <c r="E23" s="24" t="s">
        <v>79</v>
      </c>
      <c r="F23" s="29">
        <v>3119404.25</v>
      </c>
      <c r="G23" s="28">
        <f t="shared" si="0"/>
        <v>4.3557597050979937E-3</v>
      </c>
      <c r="I23" s="86">
        <f>ROUND(SUM(F15:F23)-5118096.02,2)</f>
        <v>0</v>
      </c>
    </row>
    <row r="24" spans="1:9" x14ac:dyDescent="0.25">
      <c r="A24" s="24">
        <v>2606</v>
      </c>
      <c r="B24" s="23" t="s">
        <v>0</v>
      </c>
      <c r="C24" s="70">
        <v>37071</v>
      </c>
      <c r="D24" s="31">
        <v>15617</v>
      </c>
      <c r="E24" s="24" t="s">
        <v>16</v>
      </c>
      <c r="F24" s="29">
        <v>3410801.81</v>
      </c>
      <c r="G24" s="28">
        <f t="shared" si="0"/>
        <v>4.7626507805371178E-3</v>
      </c>
    </row>
    <row r="25" spans="1:9" x14ac:dyDescent="0.25">
      <c r="A25" s="24">
        <v>2606</v>
      </c>
      <c r="B25" s="23" t="s">
        <v>0</v>
      </c>
      <c r="C25" s="70">
        <v>37084</v>
      </c>
      <c r="D25" s="31">
        <v>15758</v>
      </c>
      <c r="E25" s="24" t="s">
        <v>16</v>
      </c>
      <c r="F25" s="29">
        <v>361608.15</v>
      </c>
      <c r="G25" s="28">
        <f t="shared" si="0"/>
        <v>5.0492917319229502E-4</v>
      </c>
    </row>
    <row r="26" spans="1:9" x14ac:dyDescent="0.25">
      <c r="A26" s="24">
        <v>1685</v>
      </c>
      <c r="B26" s="23" t="s">
        <v>23</v>
      </c>
      <c r="C26" s="70">
        <v>37071</v>
      </c>
      <c r="D26" s="31">
        <v>15629</v>
      </c>
      <c r="E26" s="24" t="s">
        <v>16</v>
      </c>
      <c r="F26" s="29">
        <f>10577-8.88</f>
        <v>10568.12</v>
      </c>
      <c r="G26" s="28">
        <f t="shared" si="0"/>
        <v>1.4756725183868109E-5</v>
      </c>
    </row>
    <row r="27" spans="1:9" x14ac:dyDescent="0.25">
      <c r="A27" s="24">
        <v>1504</v>
      </c>
      <c r="B27" s="23" t="s">
        <v>2</v>
      </c>
      <c r="C27" s="70">
        <v>37071</v>
      </c>
      <c r="D27" s="31">
        <v>15635</v>
      </c>
      <c r="E27" s="24" t="s">
        <v>16</v>
      </c>
      <c r="F27" s="29">
        <v>166136.63</v>
      </c>
      <c r="G27" s="28">
        <f t="shared" si="0"/>
        <v>2.3198379578240764E-4</v>
      </c>
    </row>
    <row r="28" spans="1:9" x14ac:dyDescent="0.25">
      <c r="A28" s="24">
        <v>1504</v>
      </c>
      <c r="B28" s="23" t="s">
        <v>2</v>
      </c>
      <c r="C28" s="70">
        <v>37084</v>
      </c>
      <c r="D28" s="31">
        <v>15777</v>
      </c>
      <c r="E28" s="24" t="s">
        <v>16</v>
      </c>
      <c r="F28" s="29">
        <v>1699.09</v>
      </c>
      <c r="G28" s="28">
        <f t="shared" si="0"/>
        <v>2.3725131993825263E-6</v>
      </c>
    </row>
    <row r="29" spans="1:9" x14ac:dyDescent="0.25">
      <c r="A29" s="24">
        <v>1564</v>
      </c>
      <c r="B29" s="23" t="s">
        <v>24</v>
      </c>
      <c r="C29" s="70">
        <v>37071</v>
      </c>
      <c r="D29" s="31">
        <v>15631</v>
      </c>
      <c r="E29" s="24" t="s">
        <v>16</v>
      </c>
      <c r="F29" s="29">
        <f>3720429.56-334045.19</f>
        <v>3386384.37</v>
      </c>
      <c r="G29" s="28">
        <f t="shared" si="0"/>
        <v>4.7285556480278742E-3</v>
      </c>
    </row>
    <row r="30" spans="1:9" x14ac:dyDescent="0.25">
      <c r="A30" s="55">
        <v>1017</v>
      </c>
      <c r="B30" s="81" t="s">
        <v>109</v>
      </c>
      <c r="C30" s="70">
        <v>37071</v>
      </c>
      <c r="D30" s="31">
        <v>15656</v>
      </c>
      <c r="E30" s="24" t="s">
        <v>16</v>
      </c>
      <c r="F30" s="82">
        <v>6105737.21</v>
      </c>
      <c r="G30" s="80">
        <f t="shared" si="0"/>
        <v>8.5257061854793099E-3</v>
      </c>
    </row>
    <row r="31" spans="1:9" x14ac:dyDescent="0.25">
      <c r="A31" s="24">
        <v>1544</v>
      </c>
      <c r="B31" s="23" t="s">
        <v>4</v>
      </c>
      <c r="C31" s="70">
        <v>37071</v>
      </c>
      <c r="D31" s="31">
        <v>15632</v>
      </c>
      <c r="E31" s="24" t="s">
        <v>16</v>
      </c>
      <c r="F31" s="29">
        <v>4262853.17</v>
      </c>
      <c r="G31" s="28">
        <f t="shared" si="0"/>
        <v>5.9524071196079336E-3</v>
      </c>
    </row>
    <row r="32" spans="1:9" x14ac:dyDescent="0.25">
      <c r="A32" s="24">
        <v>1544</v>
      </c>
      <c r="B32" s="23" t="s">
        <v>4</v>
      </c>
      <c r="C32" s="70">
        <v>37084</v>
      </c>
      <c r="D32" s="31">
        <v>15774</v>
      </c>
      <c r="E32" s="24" t="s">
        <v>16</v>
      </c>
      <c r="F32" s="29">
        <v>91010.61</v>
      </c>
      <c r="G32" s="28">
        <f t="shared" si="0"/>
        <v>1.2708206952477817E-4</v>
      </c>
    </row>
    <row r="33" spans="1:9" x14ac:dyDescent="0.25">
      <c r="A33" s="24">
        <v>2531</v>
      </c>
      <c r="B33" s="23" t="s">
        <v>5</v>
      </c>
      <c r="C33" s="70">
        <v>37084</v>
      </c>
      <c r="D33" s="31">
        <v>15760</v>
      </c>
      <c r="E33" s="24" t="s">
        <v>16</v>
      </c>
      <c r="F33" s="29">
        <v>12.68</v>
      </c>
      <c r="G33" s="28">
        <f t="shared" si="0"/>
        <v>1.7705634997657824E-8</v>
      </c>
    </row>
    <row r="34" spans="1:9" x14ac:dyDescent="0.25">
      <c r="A34" s="24">
        <v>1005</v>
      </c>
      <c r="B34" s="23" t="s">
        <v>120</v>
      </c>
      <c r="C34" s="70">
        <v>37084</v>
      </c>
      <c r="D34" s="31">
        <v>15807</v>
      </c>
      <c r="E34" s="24" t="s">
        <v>16</v>
      </c>
      <c r="F34" s="29">
        <v>204.79</v>
      </c>
      <c r="G34" s="28">
        <f t="shared" si="0"/>
        <v>2.8595717595980646E-7</v>
      </c>
    </row>
    <row r="35" spans="1:9" x14ac:dyDescent="0.25">
      <c r="A35" s="24">
        <v>2769</v>
      </c>
      <c r="B35" s="23" t="s">
        <v>189</v>
      </c>
      <c r="C35" s="70">
        <v>37071</v>
      </c>
      <c r="D35" s="31">
        <v>15610</v>
      </c>
      <c r="E35" s="24" t="s">
        <v>16</v>
      </c>
      <c r="F35" s="29">
        <v>486576.92</v>
      </c>
      <c r="G35" s="28">
        <f t="shared" si="0"/>
        <v>6.7942849714546936E-4</v>
      </c>
    </row>
    <row r="36" spans="1:9" x14ac:dyDescent="0.25">
      <c r="A36" s="24">
        <v>3106</v>
      </c>
      <c r="B36" s="23" t="s">
        <v>187</v>
      </c>
      <c r="C36" s="70">
        <v>37071</v>
      </c>
      <c r="D36" s="31">
        <v>15603</v>
      </c>
      <c r="E36" s="24" t="s">
        <v>16</v>
      </c>
      <c r="F36" s="29">
        <v>50758977.649999999</v>
      </c>
      <c r="G36" s="28">
        <f t="shared" si="0"/>
        <v>7.0876966177063988E-2</v>
      </c>
    </row>
    <row r="37" spans="1:9" x14ac:dyDescent="0.25">
      <c r="A37" s="24">
        <v>3106</v>
      </c>
      <c r="B37" s="23" t="s">
        <v>187</v>
      </c>
      <c r="C37" s="70">
        <v>37084</v>
      </c>
      <c r="D37" s="31">
        <v>15743</v>
      </c>
      <c r="E37" s="24" t="s">
        <v>16</v>
      </c>
      <c r="F37" s="29">
        <v>256089.02</v>
      </c>
      <c r="G37" s="28">
        <f t="shared" si="0"/>
        <v>3.5758822673721564E-4</v>
      </c>
    </row>
    <row r="38" spans="1:9" x14ac:dyDescent="0.25">
      <c r="A38" s="24">
        <v>3187</v>
      </c>
      <c r="B38" s="23" t="s">
        <v>38</v>
      </c>
      <c r="C38" s="70">
        <v>37071</v>
      </c>
      <c r="D38" s="31">
        <v>15599</v>
      </c>
      <c r="E38" s="24" t="s">
        <v>16</v>
      </c>
      <c r="F38" s="29">
        <f>188545375.17-1083861.85</f>
        <v>187461513.31999999</v>
      </c>
      <c r="G38" s="28">
        <f t="shared" si="0"/>
        <v>0.26176065701518064</v>
      </c>
    </row>
    <row r="39" spans="1:9" x14ac:dyDescent="0.25">
      <c r="A39" s="24">
        <v>3187</v>
      </c>
      <c r="B39" s="23" t="s">
        <v>38</v>
      </c>
      <c r="C39" s="70">
        <v>37084</v>
      </c>
      <c r="D39" s="31">
        <v>15739</v>
      </c>
      <c r="E39" s="24" t="s">
        <v>16</v>
      </c>
      <c r="F39" s="29">
        <v>8324121.6699999999</v>
      </c>
      <c r="G39" s="28">
        <f t="shared" si="0"/>
        <v>1.1623332804819708E-2</v>
      </c>
    </row>
    <row r="40" spans="1:9" x14ac:dyDescent="0.25">
      <c r="A40" s="24">
        <v>3186</v>
      </c>
      <c r="B40" s="23" t="s">
        <v>38</v>
      </c>
      <c r="C40" s="70">
        <v>37071</v>
      </c>
      <c r="D40" s="31">
        <v>15600</v>
      </c>
      <c r="E40" s="24" t="s">
        <v>16</v>
      </c>
      <c r="F40" s="29">
        <v>16951713.870000001</v>
      </c>
      <c r="G40" s="28">
        <f t="shared" si="0"/>
        <v>2.3670414697709273E-2</v>
      </c>
    </row>
    <row r="41" spans="1:9" x14ac:dyDescent="0.25">
      <c r="A41" s="24">
        <v>1011</v>
      </c>
      <c r="B41" s="23" t="s">
        <v>187</v>
      </c>
      <c r="C41" s="70">
        <v>37071</v>
      </c>
      <c r="D41" s="31">
        <v>15660</v>
      </c>
      <c r="E41" s="24" t="s">
        <v>16</v>
      </c>
      <c r="F41" s="29">
        <v>1100362.1100000001</v>
      </c>
      <c r="G41" s="28">
        <f t="shared" si="0"/>
        <v>1.536483429409512E-3</v>
      </c>
    </row>
    <row r="42" spans="1:9" x14ac:dyDescent="0.25">
      <c r="A42" s="24">
        <v>2528</v>
      </c>
      <c r="B42" s="23" t="s">
        <v>78</v>
      </c>
      <c r="C42" s="70">
        <v>37084</v>
      </c>
      <c r="D42" s="31">
        <v>15762</v>
      </c>
      <c r="E42" s="24" t="s">
        <v>16</v>
      </c>
      <c r="F42" s="29">
        <v>3576.11</v>
      </c>
      <c r="G42" s="28">
        <f t="shared" si="0"/>
        <v>4.993477789548433E-6</v>
      </c>
    </row>
    <row r="43" spans="1:9" x14ac:dyDescent="0.25">
      <c r="A43" s="24">
        <v>1010</v>
      </c>
      <c r="B43" s="23" t="s">
        <v>63</v>
      </c>
      <c r="C43" s="70">
        <v>37071</v>
      </c>
      <c r="D43" s="31">
        <v>15661</v>
      </c>
      <c r="E43" s="24" t="s">
        <v>16</v>
      </c>
      <c r="F43" s="29">
        <v>427893504.99000001</v>
      </c>
      <c r="G43" s="28">
        <f t="shared" si="0"/>
        <v>0.5974862947335503</v>
      </c>
    </row>
    <row r="44" spans="1:9" s="21" customFormat="1" x14ac:dyDescent="0.25">
      <c r="A44" s="24">
        <v>1024</v>
      </c>
      <c r="B44" s="23" t="s">
        <v>9</v>
      </c>
      <c r="C44" s="70">
        <v>37071</v>
      </c>
      <c r="D44" s="31">
        <v>15651</v>
      </c>
      <c r="E44" s="24" t="s">
        <v>16</v>
      </c>
      <c r="F44" s="29">
        <v>2885.2</v>
      </c>
      <c r="G44" s="28">
        <f t="shared" si="0"/>
        <v>4.0287301336941918E-6</v>
      </c>
      <c r="I44" s="89"/>
    </row>
    <row r="45" spans="1:9" x14ac:dyDescent="0.25">
      <c r="A45" s="24">
        <v>1024</v>
      </c>
      <c r="B45" s="23" t="s">
        <v>9</v>
      </c>
      <c r="C45" s="70">
        <v>37084</v>
      </c>
      <c r="D45" s="31">
        <v>15793</v>
      </c>
      <c r="E45" s="24" t="s">
        <v>16</v>
      </c>
      <c r="F45" s="56">
        <v>1750.76</v>
      </c>
      <c r="G45" s="57">
        <f t="shared" si="0"/>
        <v>2.4446622656545276E-6</v>
      </c>
      <c r="I45" s="86">
        <f>SUM(F24:F45)-711038088.25</f>
        <v>0</v>
      </c>
    </row>
    <row r="46" spans="1:9" x14ac:dyDescent="0.25">
      <c r="A46" s="7"/>
      <c r="B46" s="2"/>
      <c r="C46" s="9"/>
      <c r="D46" s="7"/>
      <c r="E46" s="13"/>
      <c r="F46" s="6"/>
      <c r="G46" s="21"/>
    </row>
    <row r="47" spans="1:9" ht="13.8" thickBot="1" x14ac:dyDescent="0.3">
      <c r="B47" s="1" t="s">
        <v>18</v>
      </c>
      <c r="F47" s="30">
        <f>SUM(F15:F45)</f>
        <v>716156184.2700001</v>
      </c>
      <c r="G47" s="20">
        <f>+F47/F47</f>
        <v>1</v>
      </c>
    </row>
    <row r="48" spans="1:9" ht="13.8" thickTop="1" x14ac:dyDescent="0.25">
      <c r="B48" s="1"/>
      <c r="F48" s="66"/>
      <c r="G48" s="59"/>
    </row>
    <row r="49" spans="2:7" x14ac:dyDescent="0.25">
      <c r="B49" s="1"/>
      <c r="F49" s="66"/>
      <c r="G49" s="59"/>
    </row>
    <row r="50" spans="2:7" x14ac:dyDescent="0.25">
      <c r="B50" s="83" t="s">
        <v>186</v>
      </c>
      <c r="F50" s="66"/>
      <c r="G50" s="59"/>
    </row>
    <row r="52" spans="2:7" ht="15.6" x14ac:dyDescent="0.3">
      <c r="B52" s="10" t="str">
        <f>+B1</f>
        <v>Certification for Market Settlement November 29, 2001</v>
      </c>
    </row>
    <row r="53" spans="2:7" ht="15.6" x14ac:dyDescent="0.3">
      <c r="B53" s="10"/>
    </row>
    <row r="54" spans="2:7" ht="15.6" x14ac:dyDescent="0.3">
      <c r="B54" s="10" t="str">
        <f>+B3</f>
        <v>For the Trade Month of April 2001</v>
      </c>
    </row>
    <row r="55" spans="2:7" ht="15.6" x14ac:dyDescent="0.3">
      <c r="B55" s="10"/>
    </row>
    <row r="56" spans="2:7" ht="15.6" x14ac:dyDescent="0.3">
      <c r="B56" s="10"/>
    </row>
    <row r="57" spans="2:7" ht="15.6" x14ac:dyDescent="0.3">
      <c r="B57" s="10" t="s">
        <v>28</v>
      </c>
    </row>
    <row r="58" spans="2:7" ht="15.6" x14ac:dyDescent="0.3">
      <c r="B58" s="10"/>
    </row>
    <row r="59" spans="2:7" x14ac:dyDescent="0.25">
      <c r="B59" s="21" t="s">
        <v>27</v>
      </c>
      <c r="C59" s="32"/>
      <c r="D59" s="33"/>
      <c r="E59" s="33"/>
      <c r="F59" s="34">
        <v>782081536.39999998</v>
      </c>
      <c r="G59" s="61">
        <f>+F59/F61</f>
        <v>0.98612500846426299</v>
      </c>
    </row>
    <row r="60" spans="2:7" x14ac:dyDescent="0.25">
      <c r="B60" s="21" t="s">
        <v>29</v>
      </c>
      <c r="C60" s="32"/>
      <c r="D60" s="33"/>
      <c r="E60" s="33"/>
      <c r="F60" s="39">
        <v>11004055.880000001</v>
      </c>
      <c r="G60" s="61">
        <f>+F60/F61</f>
        <v>1.3874991535737045E-2</v>
      </c>
    </row>
    <row r="61" spans="2:7" x14ac:dyDescent="0.25">
      <c r="B61" s="35" t="s">
        <v>30</v>
      </c>
      <c r="C61" s="32"/>
      <c r="D61" s="33"/>
      <c r="E61" s="33"/>
      <c r="F61" s="39">
        <f>SUM(F59:F60)</f>
        <v>793085592.27999997</v>
      </c>
      <c r="G61" s="62">
        <f>+F61/F61</f>
        <v>1</v>
      </c>
    </row>
    <row r="62" spans="2:7" ht="15.6" x14ac:dyDescent="0.3">
      <c r="B62" s="10"/>
    </row>
    <row r="63" spans="2:7" x14ac:dyDescent="0.25">
      <c r="B63" s="21" t="s">
        <v>121</v>
      </c>
      <c r="C63" s="32"/>
      <c r="D63" s="33"/>
      <c r="E63" s="33"/>
      <c r="F63" s="6">
        <v>59675885.689999998</v>
      </c>
    </row>
    <row r="64" spans="2:7" x14ac:dyDescent="0.25">
      <c r="B64" s="21" t="s">
        <v>115</v>
      </c>
      <c r="C64" s="32"/>
      <c r="D64" s="33"/>
      <c r="E64" s="33"/>
      <c r="F64" s="6">
        <f>724101.32+3717.88</f>
        <v>727819.2</v>
      </c>
    </row>
    <row r="65" spans="1:9" x14ac:dyDescent="0.25">
      <c r="B65" s="21" t="s">
        <v>115</v>
      </c>
      <c r="C65" s="32"/>
      <c r="D65" s="33"/>
      <c r="E65" s="33"/>
      <c r="F65" s="39">
        <v>16643322.310000001</v>
      </c>
    </row>
    <row r="66" spans="1:9" x14ac:dyDescent="0.25">
      <c r="B66" s="35" t="s">
        <v>34</v>
      </c>
      <c r="C66" s="32"/>
      <c r="D66" s="33"/>
      <c r="E66" s="33"/>
      <c r="F66" s="39">
        <f>SUM(F63:F65)</f>
        <v>77047027.200000003</v>
      </c>
      <c r="G66" s="62">
        <f>+F66/F61</f>
        <v>9.7148438894850642E-2</v>
      </c>
    </row>
    <row r="67" spans="1:9" ht="15.6" x14ac:dyDescent="0.3">
      <c r="B67" s="10"/>
    </row>
    <row r="68" spans="1:9" s="21" customFormat="1" x14ac:dyDescent="0.25">
      <c r="A68" s="32"/>
      <c r="B68" s="21" t="s">
        <v>168</v>
      </c>
      <c r="C68" s="32"/>
      <c r="D68" s="33"/>
      <c r="E68" s="33"/>
      <c r="F68" s="6">
        <v>23446.77</v>
      </c>
      <c r="I68" s="89"/>
    </row>
    <row r="69" spans="1:9" s="21" customFormat="1" x14ac:dyDescent="0.25">
      <c r="A69" s="32"/>
      <c r="B69" s="21" t="s">
        <v>154</v>
      </c>
      <c r="C69" s="32"/>
      <c r="D69" s="33"/>
      <c r="E69" s="33"/>
      <c r="F69" s="6">
        <f>18586.04+1701.48</f>
        <v>20287.52</v>
      </c>
      <c r="I69" s="89"/>
    </row>
    <row r="70" spans="1:9" s="21" customFormat="1" x14ac:dyDescent="0.25">
      <c r="A70" s="32"/>
      <c r="B70" s="21" t="s">
        <v>148</v>
      </c>
      <c r="C70" s="32"/>
      <c r="D70" s="33"/>
      <c r="E70" s="33"/>
      <c r="F70" s="6">
        <f>171309.95+4808.47</f>
        <v>176118.42</v>
      </c>
      <c r="I70" s="89"/>
    </row>
    <row r="71" spans="1:9" s="21" customFormat="1" x14ac:dyDescent="0.25">
      <c r="A71" s="32"/>
      <c r="B71" s="21" t="s">
        <v>146</v>
      </c>
      <c r="C71" s="32"/>
      <c r="D71" s="33"/>
      <c r="E71" s="33"/>
      <c r="F71" s="6">
        <f>3183507.98+4743.92-3717.88</f>
        <v>3184534.02</v>
      </c>
      <c r="I71" s="89"/>
    </row>
    <row r="72" spans="1:9" s="21" customFormat="1" x14ac:dyDescent="0.25">
      <c r="A72" s="32"/>
      <c r="B72" s="21" t="s">
        <v>176</v>
      </c>
      <c r="C72" s="32"/>
      <c r="D72" s="33"/>
      <c r="E72" s="33"/>
      <c r="F72" s="6">
        <v>9967.98</v>
      </c>
      <c r="I72" s="89"/>
    </row>
    <row r="73" spans="1:9" s="21" customFormat="1" x14ac:dyDescent="0.25">
      <c r="A73" s="32"/>
      <c r="B73" s="21" t="s">
        <v>147</v>
      </c>
      <c r="C73" s="32"/>
      <c r="D73" s="33"/>
      <c r="E73" s="33"/>
      <c r="F73" s="6">
        <f>169976.54+9221.99</f>
        <v>179198.53</v>
      </c>
      <c r="I73" s="89"/>
    </row>
    <row r="74" spans="1:9" s="21" customFormat="1" x14ac:dyDescent="0.25">
      <c r="A74" s="32"/>
      <c r="B74" s="21" t="s">
        <v>198</v>
      </c>
      <c r="C74" s="32"/>
      <c r="D74" s="33"/>
      <c r="E74" s="33"/>
      <c r="F74" s="6">
        <v>323061.74</v>
      </c>
      <c r="I74" s="89"/>
    </row>
    <row r="75" spans="1:9" s="21" customFormat="1" x14ac:dyDescent="0.25">
      <c r="A75" s="32"/>
      <c r="B75" s="21" t="s">
        <v>217</v>
      </c>
      <c r="C75" s="32"/>
      <c r="D75" s="33"/>
      <c r="E75" s="33"/>
      <c r="F75" s="39">
        <v>1083861.8500000001</v>
      </c>
      <c r="I75" s="89"/>
    </row>
    <row r="76" spans="1:9" x14ac:dyDescent="0.25">
      <c r="B76" s="1" t="s">
        <v>54</v>
      </c>
      <c r="F76" s="40">
        <f>SUM(F68:F75)</f>
        <v>5000476.83</v>
      </c>
      <c r="G76" s="62">
        <f>+F76/F61</f>
        <v>6.3050909998558832E-3</v>
      </c>
    </row>
    <row r="77" spans="1:9" x14ac:dyDescent="0.25">
      <c r="B77" s="1"/>
      <c r="F77" s="36"/>
      <c r="G77" s="62"/>
    </row>
    <row r="78" spans="1:9" s="21" customFormat="1" x14ac:dyDescent="0.25">
      <c r="A78" s="32"/>
      <c r="B78" s="21" t="s">
        <v>175</v>
      </c>
      <c r="C78" s="32"/>
      <c r="D78" s="33"/>
      <c r="E78" s="33"/>
      <c r="F78" s="39">
        <f>5118096.02</f>
        <v>5118096.0199999996</v>
      </c>
      <c r="G78" s="62">
        <f>+F78/F61</f>
        <v>6.4533967957812162E-3</v>
      </c>
      <c r="I78" s="86">
        <f>SUM(F15:F23)-F78</f>
        <v>0</v>
      </c>
    </row>
    <row r="79" spans="1:9" ht="15.6" x14ac:dyDescent="0.3">
      <c r="B79" s="10"/>
    </row>
    <row r="80" spans="1:9" ht="16.2" thickBot="1" x14ac:dyDescent="0.35">
      <c r="B80" s="44" t="s">
        <v>36</v>
      </c>
      <c r="C80" s="48"/>
      <c r="D80" s="49"/>
      <c r="E80" s="49"/>
      <c r="F80" s="50">
        <f>+F61-F66-F76+F78</f>
        <v>716156184.26999986</v>
      </c>
      <c r="G80" s="63">
        <f>+F80/F61</f>
        <v>0.90299986690107459</v>
      </c>
      <c r="I80" s="86">
        <f>+F47-F80</f>
        <v>0</v>
      </c>
    </row>
    <row r="81" spans="1:9" ht="15.6" x14ac:dyDescent="0.3">
      <c r="B81" s="37"/>
      <c r="C81" s="32"/>
      <c r="D81" s="33"/>
      <c r="E81" s="33"/>
      <c r="F81" s="38"/>
    </row>
    <row r="82" spans="1:9" ht="15.6" x14ac:dyDescent="0.3">
      <c r="B82" s="10"/>
    </row>
    <row r="83" spans="1:9" ht="15.6" x14ac:dyDescent="0.3">
      <c r="B83" s="37" t="s">
        <v>35</v>
      </c>
      <c r="C83" s="32"/>
      <c r="D83" s="33"/>
      <c r="E83" s="33"/>
      <c r="F83" s="21"/>
    </row>
    <row r="84" spans="1:9" ht="15.6" x14ac:dyDescent="0.3">
      <c r="B84" s="37"/>
      <c r="C84" s="32"/>
      <c r="D84" s="33"/>
      <c r="E84" s="33"/>
      <c r="F84" s="21"/>
    </row>
    <row r="85" spans="1:9" s="21" customFormat="1" x14ac:dyDescent="0.25">
      <c r="A85" s="32"/>
      <c r="B85" s="21" t="s">
        <v>27</v>
      </c>
      <c r="C85" s="32"/>
      <c r="D85" s="33"/>
      <c r="E85" s="33"/>
      <c r="F85" s="34">
        <v>781819933.97000003</v>
      </c>
      <c r="G85" s="64">
        <f>+F85/F87</f>
        <v>0.99592312801425242</v>
      </c>
      <c r="I85" s="89"/>
    </row>
    <row r="86" spans="1:9" x14ac:dyDescent="0.25">
      <c r="B86" s="21" t="s">
        <v>29</v>
      </c>
      <c r="C86" s="32"/>
      <c r="D86" s="33"/>
      <c r="E86" s="33"/>
      <c r="F86" s="39">
        <v>3200427.52</v>
      </c>
      <c r="G86" s="64">
        <f>+F86/F87</f>
        <v>4.0768719857475549E-3</v>
      </c>
    </row>
    <row r="87" spans="1:9" x14ac:dyDescent="0.25">
      <c r="B87" s="35" t="s">
        <v>30</v>
      </c>
      <c r="C87" s="32"/>
      <c r="D87" s="33"/>
      <c r="E87" s="33"/>
      <c r="F87" s="39">
        <f>SUM(F85:F86)</f>
        <v>785020361.49000001</v>
      </c>
      <c r="G87" s="62">
        <f>+F87/F87</f>
        <v>1</v>
      </c>
    </row>
    <row r="88" spans="1:9" ht="15.6" x14ac:dyDescent="0.3">
      <c r="B88" s="10"/>
    </row>
    <row r="89" spans="1:9" x14ac:dyDescent="0.25">
      <c r="B89" s="21" t="s">
        <v>122</v>
      </c>
      <c r="C89" s="32"/>
      <c r="D89" s="33"/>
      <c r="E89" s="33"/>
      <c r="F89" s="6">
        <v>53933943.25</v>
      </c>
    </row>
    <row r="90" spans="1:9" x14ac:dyDescent="0.25">
      <c r="B90" s="21" t="s">
        <v>123</v>
      </c>
      <c r="C90" s="32"/>
      <c r="D90" s="33"/>
      <c r="E90" s="33"/>
      <c r="F90" s="6">
        <v>1302886.05</v>
      </c>
    </row>
    <row r="91" spans="1:9" x14ac:dyDescent="0.25">
      <c r="B91" s="21" t="s">
        <v>177</v>
      </c>
      <c r="C91" s="32"/>
      <c r="D91" s="33"/>
      <c r="E91" s="33"/>
      <c r="F91" s="6">
        <v>16774321.140000001</v>
      </c>
    </row>
    <row r="92" spans="1:9" x14ac:dyDescent="0.25">
      <c r="B92" s="21" t="s">
        <v>225</v>
      </c>
      <c r="C92" s="32"/>
      <c r="D92" s="33"/>
      <c r="E92" s="33"/>
      <c r="F92" s="39">
        <v>4743.92</v>
      </c>
    </row>
    <row r="93" spans="1:9" x14ac:dyDescent="0.25">
      <c r="B93" s="35" t="s">
        <v>42</v>
      </c>
      <c r="C93" s="32"/>
      <c r="D93" s="33"/>
      <c r="E93" s="33"/>
      <c r="F93" s="39">
        <f>SUM(F89:F92)</f>
        <v>72015894.359999999</v>
      </c>
      <c r="G93" s="62">
        <f>+F93/F87</f>
        <v>9.1737613306374574E-2</v>
      </c>
    </row>
    <row r="94" spans="1:9" ht="15.6" x14ac:dyDescent="0.3">
      <c r="B94" s="10"/>
    </row>
    <row r="95" spans="1:9" x14ac:dyDescent="0.25">
      <c r="B95" s="21" t="s">
        <v>161</v>
      </c>
      <c r="C95" s="32"/>
      <c r="D95" s="33"/>
      <c r="E95" s="33"/>
      <c r="F95" s="36">
        <v>24785.08</v>
      </c>
    </row>
    <row r="96" spans="1:9" x14ac:dyDescent="0.25">
      <c r="B96" s="21" t="s">
        <v>144</v>
      </c>
      <c r="C96" s="32"/>
      <c r="D96" s="33"/>
      <c r="E96" s="33"/>
      <c r="F96" s="36">
        <v>2376.69</v>
      </c>
    </row>
    <row r="97" spans="2:9" x14ac:dyDescent="0.25">
      <c r="B97" s="21" t="s">
        <v>156</v>
      </c>
      <c r="C97" s="32"/>
      <c r="D97" s="33"/>
      <c r="E97" s="33"/>
      <c r="F97" s="36">
        <v>10525.68</v>
      </c>
    </row>
    <row r="98" spans="2:9" x14ac:dyDescent="0.25">
      <c r="B98" s="21" t="s">
        <v>170</v>
      </c>
      <c r="C98" s="32"/>
      <c r="D98" s="33"/>
      <c r="E98" s="33"/>
      <c r="F98" s="36">
        <v>1513.5</v>
      </c>
    </row>
    <row r="99" spans="2:9" x14ac:dyDescent="0.25">
      <c r="B99" s="21" t="s">
        <v>155</v>
      </c>
      <c r="C99" s="32"/>
      <c r="D99" s="33"/>
      <c r="E99" s="33"/>
      <c r="F99" s="36">
        <v>205.19</v>
      </c>
    </row>
    <row r="100" spans="2:9" x14ac:dyDescent="0.25">
      <c r="B100" s="21" t="s">
        <v>173</v>
      </c>
      <c r="C100" s="32"/>
      <c r="D100" s="33"/>
      <c r="E100" s="33"/>
      <c r="F100" s="36">
        <v>358212.75</v>
      </c>
    </row>
    <row r="101" spans="2:9" x14ac:dyDescent="0.25">
      <c r="B101" s="21" t="s">
        <v>165</v>
      </c>
      <c r="C101" s="32"/>
      <c r="D101" s="33"/>
      <c r="E101" s="33"/>
      <c r="F101" s="36">
        <f>3188251.9-3717.88</f>
        <v>3184534.02</v>
      </c>
    </row>
    <row r="102" spans="2:9" x14ac:dyDescent="0.25">
      <c r="B102" s="21" t="s">
        <v>178</v>
      </c>
      <c r="C102" s="32"/>
      <c r="D102" s="33"/>
      <c r="E102" s="33"/>
      <c r="F102" s="36">
        <v>9950.2099999999991</v>
      </c>
    </row>
    <row r="103" spans="2:9" x14ac:dyDescent="0.25">
      <c r="B103" s="21" t="s">
        <v>179</v>
      </c>
      <c r="C103" s="32"/>
      <c r="D103" s="33"/>
      <c r="E103" s="33"/>
      <c r="F103" s="36">
        <v>6264.07</v>
      </c>
    </row>
    <row r="104" spans="2:9" x14ac:dyDescent="0.25">
      <c r="B104" s="21" t="s">
        <v>180</v>
      </c>
      <c r="C104" s="32"/>
      <c r="D104" s="33"/>
      <c r="E104" s="33"/>
      <c r="F104" s="36">
        <v>52237.34</v>
      </c>
    </row>
    <row r="105" spans="2:9" x14ac:dyDescent="0.25">
      <c r="B105" s="21" t="s">
        <v>217</v>
      </c>
      <c r="C105" s="32"/>
      <c r="D105" s="33"/>
      <c r="E105" s="33"/>
      <c r="F105" s="40">
        <v>-4743.92</v>
      </c>
    </row>
    <row r="106" spans="2:9" x14ac:dyDescent="0.25">
      <c r="B106" s="1" t="s">
        <v>54</v>
      </c>
      <c r="C106" s="32"/>
      <c r="D106" s="33"/>
      <c r="E106" s="33"/>
      <c r="F106" s="40">
        <f>SUM(F95:F105)</f>
        <v>3645860.61</v>
      </c>
      <c r="G106" s="62">
        <f>+F106/F87</f>
        <v>4.6442879558945592E-3</v>
      </c>
    </row>
    <row r="107" spans="2:9" ht="15.6" x14ac:dyDescent="0.3">
      <c r="B107" s="10"/>
    </row>
    <row r="108" spans="2:9" ht="16.2" thickBot="1" x14ac:dyDescent="0.35">
      <c r="B108" s="44" t="s">
        <v>37</v>
      </c>
      <c r="C108" s="48"/>
      <c r="D108" s="49"/>
      <c r="E108" s="49"/>
      <c r="F108" s="50">
        <f>+F87-F93-F106</f>
        <v>709358606.51999998</v>
      </c>
      <c r="G108" s="63">
        <f>+F108/F87</f>
        <v>0.9036180987377308</v>
      </c>
      <c r="I108" s="86">
        <f>+F108-F8</f>
        <v>0</v>
      </c>
    </row>
    <row r="109" spans="2:9" ht="15.6" x14ac:dyDescent="0.3">
      <c r="B109" s="10"/>
    </row>
  </sheetData>
  <phoneticPr fontId="0" type="noConversion"/>
  <pageMargins left="0.5" right="0.25" top="0.5" bottom="0.5" header="0.5" footer="0"/>
  <pageSetup scale="87" orientation="portrait" r:id="rId1"/>
  <headerFooter alignWithMargins="0">
    <oddFooter>&amp;LCertification November 29, 2001&amp;CPage &amp;P of &amp;N&amp;RTrade Month April 2001</oddFooter>
  </headerFooter>
  <rowBreaks count="1" manualBreakCount="1">
    <brk id="51" max="6"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I113"/>
  <sheetViews>
    <sheetView zoomScaleNormal="100" workbookViewId="0">
      <selection activeCell="F12" sqref="F12"/>
    </sheetView>
  </sheetViews>
  <sheetFormatPr defaultRowHeight="13.2" x14ac:dyDescent="0.25"/>
  <cols>
    <col min="1" max="1" width="6.88671875" style="8" customWidth="1"/>
    <col min="2" max="2" width="50.5546875" customWidth="1"/>
    <col min="3" max="3" width="8.44140625" style="8" customWidth="1"/>
    <col min="4" max="4" width="5.44140625" style="12" bestFit="1" customWidth="1"/>
    <col min="5" max="5" width="4.44140625" style="12" bestFit="1" customWidth="1"/>
    <col min="6" max="6" width="20.5546875" customWidth="1"/>
    <col min="7" max="7" width="12.44140625" bestFit="1" customWidth="1"/>
    <col min="8" max="8" width="11.109375" customWidth="1"/>
    <col min="9" max="9" width="17" style="25" bestFit="1" customWidth="1"/>
  </cols>
  <sheetData>
    <row r="1" spans="1:9" ht="15.6" x14ac:dyDescent="0.3">
      <c r="B1" s="53" t="s">
        <v>238</v>
      </c>
    </row>
    <row r="2" spans="1:9" ht="15.6" x14ac:dyDescent="0.3">
      <c r="B2" s="10"/>
    </row>
    <row r="3" spans="1:9" ht="15.6" x14ac:dyDescent="0.3">
      <c r="B3" s="10" t="s">
        <v>181</v>
      </c>
    </row>
    <row r="4" spans="1:9" ht="15.6" x14ac:dyDescent="0.3">
      <c r="B4" s="10"/>
    </row>
    <row r="5" spans="1:9" ht="15.6" x14ac:dyDescent="0.3">
      <c r="B5" s="10"/>
    </row>
    <row r="6" spans="1:9" ht="16.2" thickBot="1" x14ac:dyDescent="0.35">
      <c r="A6" s="10" t="s">
        <v>57</v>
      </c>
    </row>
    <row r="7" spans="1:9" s="5" customFormat="1" ht="21.6" thickTop="1" thickBot="1" x14ac:dyDescent="0.3">
      <c r="A7" s="15" t="s">
        <v>12</v>
      </c>
      <c r="B7" s="15" t="s">
        <v>14</v>
      </c>
      <c r="C7" s="15" t="s">
        <v>51</v>
      </c>
      <c r="D7" s="45"/>
      <c r="E7" s="46"/>
      <c r="F7" s="47" t="s">
        <v>52</v>
      </c>
      <c r="G7" s="16" t="s">
        <v>53</v>
      </c>
      <c r="I7" s="87"/>
    </row>
    <row r="8" spans="1:9" s="3" customFormat="1" ht="10.8" thickTop="1" x14ac:dyDescent="0.2">
      <c r="F8" s="4"/>
      <c r="I8" s="88"/>
    </row>
    <row r="9" spans="1:9" s="1" customFormat="1" ht="13.8" thickBot="1" x14ac:dyDescent="0.3">
      <c r="A9" s="11"/>
      <c r="B9" s="1" t="s">
        <v>182</v>
      </c>
      <c r="C9" s="76"/>
      <c r="D9" s="14"/>
      <c r="E9" s="14"/>
      <c r="F9" s="30">
        <v>569932330.5</v>
      </c>
      <c r="G9" s="20">
        <f>+F9/F$9</f>
        <v>1</v>
      </c>
      <c r="I9" s="65"/>
    </row>
    <row r="10" spans="1:9" s="1" customFormat="1" ht="13.8" thickTop="1" x14ac:dyDescent="0.25">
      <c r="A10" s="11"/>
      <c r="C10" s="76"/>
      <c r="D10" s="14"/>
      <c r="E10" s="14"/>
      <c r="F10" s="66"/>
      <c r="G10" s="59"/>
      <c r="I10" s="65"/>
    </row>
    <row r="11" spans="1:9" s="1" customFormat="1" x14ac:dyDescent="0.25">
      <c r="A11" s="11"/>
      <c r="C11" s="76"/>
      <c r="D11" s="14"/>
      <c r="E11" s="14"/>
      <c r="F11" s="66"/>
      <c r="G11" s="59"/>
      <c r="I11" s="65"/>
    </row>
    <row r="12" spans="1:9" s="1" customFormat="1" x14ac:dyDescent="0.25">
      <c r="A12" s="11"/>
      <c r="B12" s="11"/>
      <c r="C12" s="77"/>
      <c r="D12" s="14"/>
      <c r="E12" s="14"/>
      <c r="F12" s="66"/>
      <c r="G12" s="59"/>
      <c r="I12" s="65"/>
    </row>
    <row r="13" spans="1:9" ht="15.6" x14ac:dyDescent="0.3">
      <c r="A13" s="10" t="s">
        <v>49</v>
      </c>
      <c r="C13" s="78"/>
    </row>
    <row r="14" spans="1:9" ht="16.2" thickBot="1" x14ac:dyDescent="0.35">
      <c r="A14" s="10" t="s">
        <v>207</v>
      </c>
      <c r="C14" s="78"/>
    </row>
    <row r="15" spans="1:9" s="5" customFormat="1" ht="21.6" thickTop="1" thickBot="1" x14ac:dyDescent="0.3">
      <c r="A15" s="15" t="s">
        <v>12</v>
      </c>
      <c r="B15" s="15" t="s">
        <v>14</v>
      </c>
      <c r="C15" s="79" t="s">
        <v>13</v>
      </c>
      <c r="D15" s="15" t="s">
        <v>17</v>
      </c>
      <c r="E15" s="15" t="s">
        <v>15</v>
      </c>
      <c r="F15" s="16" t="s">
        <v>11</v>
      </c>
      <c r="G15" s="16" t="s">
        <v>56</v>
      </c>
      <c r="I15" s="87"/>
    </row>
    <row r="16" spans="1:9" ht="13.8" thickTop="1" x14ac:dyDescent="0.25">
      <c r="C16" s="78"/>
    </row>
    <row r="17" spans="1:9" x14ac:dyDescent="0.25">
      <c r="A17" s="24">
        <v>1007</v>
      </c>
      <c r="B17" s="23" t="s">
        <v>59</v>
      </c>
      <c r="C17" s="70">
        <v>37097</v>
      </c>
      <c r="D17" s="55">
        <v>15887</v>
      </c>
      <c r="E17" s="24" t="s">
        <v>79</v>
      </c>
      <c r="F17" s="27">
        <v>47461.45</v>
      </c>
      <c r="G17" s="28">
        <f t="shared" ref="G17:G49" si="0">+F17/$F$51</f>
        <v>8.354338301634795E-5</v>
      </c>
    </row>
    <row r="18" spans="1:9" x14ac:dyDescent="0.25">
      <c r="A18" s="24">
        <v>2606</v>
      </c>
      <c r="B18" s="23" t="s">
        <v>0</v>
      </c>
      <c r="C18" s="70">
        <v>37097</v>
      </c>
      <c r="D18" s="55">
        <v>15855</v>
      </c>
      <c r="E18" s="24" t="s">
        <v>79</v>
      </c>
      <c r="F18" s="29">
        <v>128935.29</v>
      </c>
      <c r="G18" s="28">
        <f t="shared" si="0"/>
        <v>2.2695662093749554E-4</v>
      </c>
    </row>
    <row r="19" spans="1:9" x14ac:dyDescent="0.25">
      <c r="A19" s="24">
        <v>1544</v>
      </c>
      <c r="B19" s="23" t="s">
        <v>4</v>
      </c>
      <c r="C19" s="70">
        <v>37097</v>
      </c>
      <c r="D19" s="55">
        <v>15868</v>
      </c>
      <c r="E19" s="24" t="s">
        <v>79</v>
      </c>
      <c r="F19" s="29">
        <v>135747.91</v>
      </c>
      <c r="G19" s="28">
        <f t="shared" si="0"/>
        <v>2.3894844423840255E-4</v>
      </c>
    </row>
    <row r="20" spans="1:9" x14ac:dyDescent="0.25">
      <c r="A20" s="24">
        <v>2528</v>
      </c>
      <c r="B20" s="23" t="s">
        <v>78</v>
      </c>
      <c r="C20" s="70">
        <v>37097</v>
      </c>
      <c r="D20" s="55">
        <v>15857</v>
      </c>
      <c r="E20" s="24" t="s">
        <v>79</v>
      </c>
      <c r="F20" s="29">
        <v>238119.93</v>
      </c>
      <c r="G20" s="28">
        <f t="shared" si="0"/>
        <v>4.1914742418986279E-4</v>
      </c>
    </row>
    <row r="21" spans="1:9" x14ac:dyDescent="0.25">
      <c r="A21" s="24">
        <v>1010</v>
      </c>
      <c r="B21" s="23" t="s">
        <v>63</v>
      </c>
      <c r="C21" s="70">
        <v>37097</v>
      </c>
      <c r="D21" s="55">
        <v>15886</v>
      </c>
      <c r="E21" s="24" t="s">
        <v>79</v>
      </c>
      <c r="F21" s="29">
        <v>2918351.14</v>
      </c>
      <c r="G21" s="28">
        <f t="shared" si="0"/>
        <v>5.1369885889541028E-3</v>
      </c>
    </row>
    <row r="22" spans="1:9" x14ac:dyDescent="0.25">
      <c r="A22" s="24">
        <v>1010</v>
      </c>
      <c r="B22" s="23" t="s">
        <v>63</v>
      </c>
      <c r="C22" s="70">
        <v>37116</v>
      </c>
      <c r="D22" s="55">
        <v>16026</v>
      </c>
      <c r="E22" s="24" t="s">
        <v>79</v>
      </c>
      <c r="F22" s="29">
        <v>7917.83</v>
      </c>
      <c r="G22" s="28">
        <f t="shared" si="0"/>
        <v>1.3937254431719434E-5</v>
      </c>
      <c r="I22" s="25">
        <f>SUM(F17:F22)-3476533.55</f>
        <v>0</v>
      </c>
    </row>
    <row r="23" spans="1:9" x14ac:dyDescent="0.25">
      <c r="A23" s="24">
        <v>1007</v>
      </c>
      <c r="B23" s="23" t="s">
        <v>59</v>
      </c>
      <c r="C23" s="70">
        <v>37097</v>
      </c>
      <c r="D23" s="55">
        <v>15973</v>
      </c>
      <c r="E23" s="24" t="s">
        <v>16</v>
      </c>
      <c r="F23" s="29">
        <v>789564.01</v>
      </c>
      <c r="G23" s="28">
        <f t="shared" si="0"/>
        <v>1.3898194956823609E-3</v>
      </c>
    </row>
    <row r="24" spans="1:9" x14ac:dyDescent="0.25">
      <c r="A24" s="24">
        <v>2606</v>
      </c>
      <c r="B24" s="23" t="s">
        <v>0</v>
      </c>
      <c r="C24" s="70">
        <v>37097</v>
      </c>
      <c r="D24" s="55">
        <v>15918</v>
      </c>
      <c r="E24" s="24" t="s">
        <v>16</v>
      </c>
      <c r="F24" s="29">
        <v>2175341.4700000002</v>
      </c>
      <c r="G24" s="28">
        <f t="shared" si="0"/>
        <v>3.8291157480345715E-3</v>
      </c>
    </row>
    <row r="25" spans="1:9" x14ac:dyDescent="0.25">
      <c r="A25" s="24">
        <v>2606</v>
      </c>
      <c r="B25" s="23" t="s">
        <v>0</v>
      </c>
      <c r="C25" s="70">
        <v>37116</v>
      </c>
      <c r="D25" s="55">
        <v>16059</v>
      </c>
      <c r="E25" s="24" t="s">
        <v>16</v>
      </c>
      <c r="F25" s="29">
        <v>183772.95</v>
      </c>
      <c r="G25" s="28">
        <f t="shared" si="0"/>
        <v>3.2348387901958673E-4</v>
      </c>
    </row>
    <row r="26" spans="1:9" x14ac:dyDescent="0.25">
      <c r="A26" s="24">
        <v>1164</v>
      </c>
      <c r="B26" s="23" t="s">
        <v>183</v>
      </c>
      <c r="C26" s="70">
        <v>37097</v>
      </c>
      <c r="D26" s="55">
        <v>15954</v>
      </c>
      <c r="E26" s="24" t="s">
        <v>16</v>
      </c>
      <c r="F26" s="29">
        <v>5754</v>
      </c>
      <c r="G26" s="28">
        <f t="shared" si="0"/>
        <v>1.0128401594895776E-5</v>
      </c>
    </row>
    <row r="27" spans="1:9" x14ac:dyDescent="0.25">
      <c r="A27" s="24">
        <v>1504</v>
      </c>
      <c r="B27" s="23" t="s">
        <v>2</v>
      </c>
      <c r="C27" s="70">
        <v>37097</v>
      </c>
      <c r="D27" s="55">
        <v>15940</v>
      </c>
      <c r="E27" s="24" t="s">
        <v>16</v>
      </c>
      <c r="F27" s="29">
        <v>24028.63</v>
      </c>
      <c r="G27" s="28">
        <f t="shared" si="0"/>
        <v>4.2296074802773814E-5</v>
      </c>
    </row>
    <row r="28" spans="1:9" x14ac:dyDescent="0.25">
      <c r="A28" s="24">
        <v>1504</v>
      </c>
      <c r="B28" s="23" t="s">
        <v>2</v>
      </c>
      <c r="C28" s="70">
        <v>37116</v>
      </c>
      <c r="D28" s="55">
        <v>16081</v>
      </c>
      <c r="E28" s="24" t="s">
        <v>16</v>
      </c>
      <c r="F28" s="29">
        <v>728.62</v>
      </c>
      <c r="G28" s="28">
        <f t="shared" si="0"/>
        <v>1.2825436166272091E-6</v>
      </c>
    </row>
    <row r="29" spans="1:9" x14ac:dyDescent="0.25">
      <c r="A29" s="55">
        <v>2746</v>
      </c>
      <c r="B29" s="81" t="s">
        <v>61</v>
      </c>
      <c r="C29" s="70">
        <v>37097</v>
      </c>
      <c r="D29" s="55">
        <v>15912</v>
      </c>
      <c r="E29" s="24" t="s">
        <v>16</v>
      </c>
      <c r="F29" s="29">
        <f>174563.55-14898.51</f>
        <v>159665.03999999998</v>
      </c>
      <c r="G29" s="80">
        <f t="shared" si="0"/>
        <v>2.810482526564299E-4</v>
      </c>
    </row>
    <row r="30" spans="1:9" x14ac:dyDescent="0.25">
      <c r="A30" s="55">
        <v>1017</v>
      </c>
      <c r="B30" s="81" t="s">
        <v>109</v>
      </c>
      <c r="C30" s="70">
        <v>37097</v>
      </c>
      <c r="D30" s="55">
        <v>15966</v>
      </c>
      <c r="E30" s="24" t="s">
        <v>16</v>
      </c>
      <c r="F30" s="29">
        <v>17134041.280000001</v>
      </c>
      <c r="G30" s="80">
        <f t="shared" si="0"/>
        <v>3.0159967158039987E-2</v>
      </c>
    </row>
    <row r="31" spans="1:9" x14ac:dyDescent="0.25">
      <c r="A31" s="55">
        <v>1017</v>
      </c>
      <c r="B31" s="81" t="s">
        <v>109</v>
      </c>
      <c r="C31" s="70">
        <v>37116</v>
      </c>
      <c r="D31" s="55">
        <v>16107</v>
      </c>
      <c r="E31" s="24" t="s">
        <v>16</v>
      </c>
      <c r="F31" s="29">
        <v>1142298.74</v>
      </c>
      <c r="G31" s="80">
        <f t="shared" si="0"/>
        <v>2.0107160896877712E-3</v>
      </c>
    </row>
    <row r="32" spans="1:9" x14ac:dyDescent="0.25">
      <c r="A32" s="24">
        <v>1544</v>
      </c>
      <c r="B32" s="23" t="s">
        <v>4</v>
      </c>
      <c r="C32" s="70">
        <v>37097</v>
      </c>
      <c r="D32" s="55">
        <v>15937</v>
      </c>
      <c r="E32" s="24" t="s">
        <v>16</v>
      </c>
      <c r="F32" s="29">
        <v>2379488.09</v>
      </c>
      <c r="G32" s="28">
        <f t="shared" si="0"/>
        <v>4.1884621073673099E-3</v>
      </c>
    </row>
    <row r="33" spans="1:9" x14ac:dyDescent="0.25">
      <c r="A33" s="24">
        <v>1544</v>
      </c>
      <c r="B33" s="23" t="s">
        <v>4</v>
      </c>
      <c r="C33" s="70">
        <v>37116</v>
      </c>
      <c r="D33" s="55">
        <v>16078</v>
      </c>
      <c r="E33" s="24" t="s">
        <v>16</v>
      </c>
      <c r="F33" s="29">
        <v>121739.8</v>
      </c>
      <c r="G33" s="28">
        <f t="shared" si="0"/>
        <v>2.1429085583633868E-4</v>
      </c>
    </row>
    <row r="34" spans="1:9" x14ac:dyDescent="0.25">
      <c r="A34" s="24">
        <v>1185</v>
      </c>
      <c r="B34" s="23" t="s">
        <v>92</v>
      </c>
      <c r="C34" s="70">
        <v>37097</v>
      </c>
      <c r="D34" s="55">
        <v>15951</v>
      </c>
      <c r="E34" s="24" t="s">
        <v>16</v>
      </c>
      <c r="F34" s="29">
        <f>127593.07-3669.39</f>
        <v>123923.68000000001</v>
      </c>
      <c r="G34" s="28">
        <f t="shared" si="0"/>
        <v>2.1813500141768403E-4</v>
      </c>
    </row>
    <row r="35" spans="1:9" x14ac:dyDescent="0.25">
      <c r="A35" s="24">
        <v>1005</v>
      </c>
      <c r="B35" s="23" t="s">
        <v>120</v>
      </c>
      <c r="C35" s="70">
        <v>37097</v>
      </c>
      <c r="D35" s="55">
        <v>15975</v>
      </c>
      <c r="E35" s="24" t="s">
        <v>16</v>
      </c>
      <c r="F35" s="29">
        <v>162.71</v>
      </c>
      <c r="G35" s="28">
        <f t="shared" si="0"/>
        <v>2.8640810279900796E-7</v>
      </c>
    </row>
    <row r="36" spans="1:9" x14ac:dyDescent="0.25">
      <c r="A36" s="24">
        <v>2769</v>
      </c>
      <c r="B36" s="23" t="s">
        <v>189</v>
      </c>
      <c r="C36" s="70">
        <v>37097</v>
      </c>
      <c r="D36" s="55">
        <v>15910</v>
      </c>
      <c r="E36" s="24" t="s">
        <v>16</v>
      </c>
      <c r="F36" s="29">
        <v>154882.82</v>
      </c>
      <c r="G36" s="28">
        <f t="shared" si="0"/>
        <v>2.7263041381820566E-4</v>
      </c>
    </row>
    <row r="37" spans="1:9" x14ac:dyDescent="0.25">
      <c r="A37" s="24">
        <v>3186</v>
      </c>
      <c r="B37" s="23" t="s">
        <v>38</v>
      </c>
      <c r="C37" s="70">
        <v>37097</v>
      </c>
      <c r="D37" s="55">
        <v>15898</v>
      </c>
      <c r="E37" s="24" t="s">
        <v>16</v>
      </c>
      <c r="F37" s="29">
        <v>12040135.130000001</v>
      </c>
      <c r="G37" s="28">
        <f t="shared" si="0"/>
        <v>2.1193486940120382E-2</v>
      </c>
    </row>
    <row r="38" spans="1:9" x14ac:dyDescent="0.25">
      <c r="A38" s="24">
        <v>3186</v>
      </c>
      <c r="B38" s="23" t="s">
        <v>38</v>
      </c>
      <c r="C38" s="70">
        <v>37116</v>
      </c>
      <c r="D38" s="55">
        <v>16039</v>
      </c>
      <c r="E38" s="24" t="s">
        <v>16</v>
      </c>
      <c r="F38" s="29">
        <v>969428.32</v>
      </c>
      <c r="G38" s="28">
        <f t="shared" si="0"/>
        <v>1.7064232433828871E-3</v>
      </c>
    </row>
    <row r="39" spans="1:9" x14ac:dyDescent="0.25">
      <c r="A39" s="24">
        <v>3187</v>
      </c>
      <c r="B39" s="23" t="s">
        <v>38</v>
      </c>
      <c r="C39" s="70">
        <v>37097</v>
      </c>
      <c r="D39" s="55">
        <v>15897</v>
      </c>
      <c r="E39" s="24" t="s">
        <v>16</v>
      </c>
      <c r="F39" s="29">
        <v>243608942.53</v>
      </c>
      <c r="G39" s="28">
        <f t="shared" si="0"/>
        <v>0.42880938513238193</v>
      </c>
    </row>
    <row r="40" spans="1:9" x14ac:dyDescent="0.25">
      <c r="A40" s="24">
        <v>1012</v>
      </c>
      <c r="B40" s="23" t="s">
        <v>90</v>
      </c>
      <c r="C40" s="70">
        <v>37097</v>
      </c>
      <c r="D40" s="55">
        <v>15969</v>
      </c>
      <c r="E40" s="24" t="s">
        <v>16</v>
      </c>
      <c r="F40" s="29">
        <f>85181.41-32249.38-25930.76</f>
        <v>27001.27</v>
      </c>
      <c r="G40" s="28">
        <f t="shared" si="0"/>
        <v>4.7528624631944993E-5</v>
      </c>
    </row>
    <row r="41" spans="1:9" x14ac:dyDescent="0.25">
      <c r="A41" s="24">
        <v>2666</v>
      </c>
      <c r="B41" s="23" t="s">
        <v>184</v>
      </c>
      <c r="C41" s="70">
        <v>37097</v>
      </c>
      <c r="D41" s="55">
        <v>15915</v>
      </c>
      <c r="E41" s="24" t="s">
        <v>16</v>
      </c>
      <c r="F41" s="29">
        <v>10.02</v>
      </c>
      <c r="G41" s="28">
        <f t="shared" si="0"/>
        <v>1.7637571077660005E-8</v>
      </c>
    </row>
    <row r="42" spans="1:9" x14ac:dyDescent="0.25">
      <c r="A42" s="24">
        <v>2626</v>
      </c>
      <c r="B42" s="23" t="s">
        <v>7</v>
      </c>
      <c r="C42" s="70">
        <v>37097</v>
      </c>
      <c r="D42" s="55">
        <v>15917</v>
      </c>
      <c r="E42" s="24" t="s">
        <v>16</v>
      </c>
      <c r="F42" s="29">
        <f>28483.79-26.04-5735.53</f>
        <v>22722.22</v>
      </c>
      <c r="G42" s="28">
        <f t="shared" si="0"/>
        <v>3.9996484061100578E-5</v>
      </c>
    </row>
    <row r="43" spans="1:9" x14ac:dyDescent="0.25">
      <c r="A43" s="24">
        <v>2528</v>
      </c>
      <c r="B43" s="23" t="s">
        <v>78</v>
      </c>
      <c r="C43" s="70">
        <v>37097</v>
      </c>
      <c r="D43" s="55">
        <v>15922</v>
      </c>
      <c r="E43" s="24" t="s">
        <v>16</v>
      </c>
      <c r="F43" s="29">
        <v>5187.76</v>
      </c>
      <c r="G43" s="28">
        <f t="shared" si="0"/>
        <v>9.1316852029781914E-6</v>
      </c>
    </row>
    <row r="44" spans="1:9" x14ac:dyDescent="0.25">
      <c r="A44" s="24">
        <v>1008</v>
      </c>
      <c r="B44" s="23" t="s">
        <v>8</v>
      </c>
      <c r="C44" s="70">
        <v>37097</v>
      </c>
      <c r="D44" s="55">
        <v>15972</v>
      </c>
      <c r="E44" s="24" t="s">
        <v>16</v>
      </c>
      <c r="F44" s="29">
        <v>2580.9899999999998</v>
      </c>
      <c r="G44" s="28">
        <f t="shared" si="0"/>
        <v>4.5431531512704288E-6</v>
      </c>
    </row>
    <row r="45" spans="1:9" s="21" customFormat="1" x14ac:dyDescent="0.25">
      <c r="A45" s="24">
        <v>1010</v>
      </c>
      <c r="B45" s="23" t="s">
        <v>63</v>
      </c>
      <c r="C45" s="70">
        <v>37097</v>
      </c>
      <c r="D45" s="55">
        <v>15971</v>
      </c>
      <c r="E45" s="24" t="s">
        <v>16</v>
      </c>
      <c r="F45" s="29">
        <v>275597626.93000001</v>
      </c>
      <c r="G45" s="28">
        <f t="shared" si="0"/>
        <v>0.48511703930262484</v>
      </c>
      <c r="I45" s="36"/>
    </row>
    <row r="46" spans="1:9" s="21" customFormat="1" x14ac:dyDescent="0.25">
      <c r="A46" s="24">
        <v>1010</v>
      </c>
      <c r="B46" s="23" t="s">
        <v>63</v>
      </c>
      <c r="C46" s="70">
        <v>37116</v>
      </c>
      <c r="D46" s="55">
        <v>16112</v>
      </c>
      <c r="E46" s="24" t="s">
        <v>16</v>
      </c>
      <c r="F46" s="29">
        <v>7735653.8300000001</v>
      </c>
      <c r="G46" s="28">
        <f t="shared" si="0"/>
        <v>1.361658126335308E-2</v>
      </c>
      <c r="I46" s="36"/>
    </row>
    <row r="47" spans="1:9" s="21" customFormat="1" x14ac:dyDescent="0.25">
      <c r="A47" s="24">
        <v>2767</v>
      </c>
      <c r="B47" s="23" t="s">
        <v>10</v>
      </c>
      <c r="C47" s="70">
        <v>37097</v>
      </c>
      <c r="D47" s="55">
        <v>15911</v>
      </c>
      <c r="E47" s="24" t="s">
        <v>16</v>
      </c>
      <c r="F47" s="29">
        <v>121.08</v>
      </c>
      <c r="G47" s="28">
        <f t="shared" si="0"/>
        <v>2.1312945170489756E-7</v>
      </c>
      <c r="I47" s="36"/>
    </row>
    <row r="48" spans="1:9" s="21" customFormat="1" x14ac:dyDescent="0.25">
      <c r="A48" s="24">
        <v>2767</v>
      </c>
      <c r="B48" s="23" t="s">
        <v>10</v>
      </c>
      <c r="C48" s="70">
        <v>37116</v>
      </c>
      <c r="D48" s="55">
        <v>16052</v>
      </c>
      <c r="E48" s="24" t="s">
        <v>16</v>
      </c>
      <c r="F48" s="29">
        <v>154.38</v>
      </c>
      <c r="G48" s="28">
        <f t="shared" si="0"/>
        <v>2.7174533163364786E-7</v>
      </c>
      <c r="I48" s="36"/>
    </row>
    <row r="49" spans="1:9" x14ac:dyDescent="0.25">
      <c r="A49" s="24">
        <v>3207</v>
      </c>
      <c r="B49" s="23" t="s">
        <v>185</v>
      </c>
      <c r="C49" s="70">
        <v>37116</v>
      </c>
      <c r="D49" s="55">
        <v>16034</v>
      </c>
      <c r="E49" s="24" t="s">
        <v>16</v>
      </c>
      <c r="F49" s="56">
        <f>232692.9-8747.15</f>
        <v>223945.75</v>
      </c>
      <c r="G49" s="57">
        <f t="shared" si="0"/>
        <v>3.9419751328990802E-4</v>
      </c>
      <c r="I49" s="36">
        <f>SUM(F23:F49)-564628902.05</f>
        <v>0</v>
      </c>
    </row>
    <row r="50" spans="1:9" x14ac:dyDescent="0.25">
      <c r="A50" s="7"/>
      <c r="B50" s="2"/>
      <c r="C50" s="9"/>
      <c r="D50" s="13"/>
      <c r="E50" s="13"/>
      <c r="F50" s="6"/>
      <c r="G50" s="21"/>
    </row>
    <row r="51" spans="1:9" ht="13.8" thickBot="1" x14ac:dyDescent="0.3">
      <c r="B51" s="1" t="s">
        <v>18</v>
      </c>
      <c r="F51" s="30">
        <f>SUM(F17:F50)</f>
        <v>568105435.60000002</v>
      </c>
      <c r="G51" s="20">
        <f>+F51/F51</f>
        <v>1</v>
      </c>
    </row>
    <row r="52" spans="1:9" ht="13.8" thickTop="1" x14ac:dyDescent="0.25">
      <c r="B52" s="1"/>
      <c r="F52" s="66"/>
      <c r="G52" s="59"/>
    </row>
    <row r="53" spans="1:9" x14ac:dyDescent="0.25">
      <c r="A53" s="19"/>
      <c r="B53" s="18"/>
      <c r="C53" s="74"/>
      <c r="D53" s="33"/>
      <c r="E53" s="19"/>
      <c r="F53" s="6"/>
      <c r="G53" s="58"/>
    </row>
    <row r="54" spans="1:9" x14ac:dyDescent="0.25">
      <c r="B54" s="83" t="s">
        <v>186</v>
      </c>
      <c r="C54" s="78"/>
    </row>
    <row r="56" spans="1:9" ht="15.6" x14ac:dyDescent="0.3">
      <c r="B56" s="10" t="str">
        <f>+B1</f>
        <v>Certification for Market Settlement November 29, 2001</v>
      </c>
    </row>
    <row r="57" spans="1:9" ht="15.6" x14ac:dyDescent="0.3">
      <c r="B57" s="10"/>
    </row>
    <row r="58" spans="1:9" ht="15.6" x14ac:dyDescent="0.3">
      <c r="B58" s="10" t="str">
        <f>+B3</f>
        <v>For the Trade Month of May 2001</v>
      </c>
    </row>
    <row r="59" spans="1:9" ht="15.6" x14ac:dyDescent="0.3">
      <c r="B59" s="10"/>
    </row>
    <row r="60" spans="1:9" ht="15.6" x14ac:dyDescent="0.3">
      <c r="B60" s="10"/>
    </row>
    <row r="61" spans="1:9" ht="15.6" x14ac:dyDescent="0.3">
      <c r="B61" s="10" t="s">
        <v>28</v>
      </c>
    </row>
    <row r="62" spans="1:9" ht="15.6" x14ac:dyDescent="0.3">
      <c r="B62" s="10"/>
    </row>
    <row r="63" spans="1:9" x14ac:dyDescent="0.25">
      <c r="B63" s="21" t="s">
        <v>27</v>
      </c>
      <c r="C63" s="32"/>
      <c r="D63" s="33"/>
      <c r="E63" s="33"/>
      <c r="F63" s="34">
        <v>629206074.5</v>
      </c>
      <c r="G63" s="61">
        <f>+F63/F65</f>
        <v>0.97471777732534515</v>
      </c>
    </row>
    <row r="64" spans="1:9" x14ac:dyDescent="0.25">
      <c r="B64" s="21" t="s">
        <v>29</v>
      </c>
      <c r="C64" s="32"/>
      <c r="D64" s="33"/>
      <c r="E64" s="33"/>
      <c r="F64" s="39">
        <v>16320342.619999999</v>
      </c>
      <c r="G64" s="61">
        <f>+F64/F65</f>
        <v>2.5282222674654898E-2</v>
      </c>
    </row>
    <row r="65" spans="1:9" x14ac:dyDescent="0.25">
      <c r="B65" s="35" t="s">
        <v>30</v>
      </c>
      <c r="C65" s="32"/>
      <c r="D65" s="33"/>
      <c r="E65" s="33"/>
      <c r="F65" s="39">
        <f>SUM(F63:F64)</f>
        <v>645526417.12</v>
      </c>
      <c r="G65" s="62">
        <f>+F65/F65</f>
        <v>1</v>
      </c>
    </row>
    <row r="66" spans="1:9" ht="15.6" x14ac:dyDescent="0.3">
      <c r="B66" s="10"/>
    </row>
    <row r="67" spans="1:9" x14ac:dyDescent="0.25">
      <c r="B67" s="21" t="s">
        <v>190</v>
      </c>
      <c r="C67" s="32"/>
      <c r="D67" s="33"/>
      <c r="E67" s="33"/>
      <c r="F67" s="6">
        <v>38626846.890000001</v>
      </c>
    </row>
    <row r="68" spans="1:9" x14ac:dyDescent="0.25">
      <c r="B68" s="21" t="s">
        <v>191</v>
      </c>
      <c r="C68" s="32"/>
      <c r="D68" s="33"/>
      <c r="E68" s="33"/>
      <c r="F68" s="6">
        <v>21768339.239999998</v>
      </c>
    </row>
    <row r="69" spans="1:9" x14ac:dyDescent="0.25">
      <c r="B69" s="21" t="s">
        <v>208</v>
      </c>
      <c r="C69" s="32"/>
      <c r="D69" s="33"/>
      <c r="E69" s="33"/>
      <c r="F69" s="6">
        <v>795036.39</v>
      </c>
    </row>
    <row r="70" spans="1:9" x14ac:dyDescent="0.25">
      <c r="B70" s="21" t="s">
        <v>228</v>
      </c>
      <c r="C70" s="32"/>
      <c r="D70" s="33"/>
      <c r="E70" s="33"/>
      <c r="F70" s="39">
        <v>156999.85</v>
      </c>
    </row>
    <row r="71" spans="1:9" x14ac:dyDescent="0.25">
      <c r="B71" s="35" t="s">
        <v>34</v>
      </c>
      <c r="C71" s="32"/>
      <c r="D71" s="33"/>
      <c r="E71" s="33"/>
      <c r="F71" s="39">
        <f>SUM(F67:F70)</f>
        <v>61347222.369999997</v>
      </c>
      <c r="G71" s="62">
        <f>+F71/F65</f>
        <v>9.5034410278202239E-2</v>
      </c>
    </row>
    <row r="72" spans="1:9" ht="15.6" x14ac:dyDescent="0.3">
      <c r="B72" s="10"/>
    </row>
    <row r="73" spans="1:9" s="21" customFormat="1" x14ac:dyDescent="0.25">
      <c r="A73" s="32"/>
      <c r="B73" s="21" t="s">
        <v>145</v>
      </c>
      <c r="C73" s="32"/>
      <c r="D73" s="33"/>
      <c r="E73" s="33"/>
      <c r="F73" s="6">
        <f>11567.12+25930.76</f>
        <v>37497.879999999997</v>
      </c>
      <c r="I73" s="36"/>
    </row>
    <row r="74" spans="1:9" s="21" customFormat="1" x14ac:dyDescent="0.25">
      <c r="A74" s="32"/>
      <c r="B74" s="21" t="s">
        <v>209</v>
      </c>
      <c r="C74" s="32"/>
      <c r="D74" s="33"/>
      <c r="E74" s="33"/>
      <c r="F74" s="6">
        <v>26.04</v>
      </c>
      <c r="I74" s="36"/>
    </row>
    <row r="75" spans="1:9" s="21" customFormat="1" x14ac:dyDescent="0.25">
      <c r="A75" s="32"/>
      <c r="B75" s="21" t="s">
        <v>193</v>
      </c>
      <c r="C75" s="32"/>
      <c r="D75" s="33"/>
      <c r="E75" s="33"/>
      <c r="F75" s="6">
        <v>52237.34</v>
      </c>
      <c r="I75" s="36"/>
    </row>
    <row r="76" spans="1:9" s="21" customFormat="1" x14ac:dyDescent="0.25">
      <c r="A76" s="32"/>
      <c r="B76" s="21" t="s">
        <v>180</v>
      </c>
      <c r="C76" s="32"/>
      <c r="D76" s="33"/>
      <c r="E76" s="33"/>
      <c r="F76" s="6">
        <v>2137665.4700000002</v>
      </c>
      <c r="I76" s="36"/>
    </row>
    <row r="77" spans="1:9" s="21" customFormat="1" x14ac:dyDescent="0.25">
      <c r="A77" s="32"/>
      <c r="B77" s="21" t="s">
        <v>147</v>
      </c>
      <c r="C77" s="32"/>
      <c r="D77" s="33"/>
      <c r="E77" s="33"/>
      <c r="F77" s="6">
        <v>15208557.91</v>
      </c>
      <c r="I77" s="36"/>
    </row>
    <row r="78" spans="1:9" s="21" customFormat="1" x14ac:dyDescent="0.25">
      <c r="A78" s="32"/>
      <c r="B78" s="21" t="s">
        <v>198</v>
      </c>
      <c r="C78" s="32"/>
      <c r="D78" s="33"/>
      <c r="E78" s="33"/>
      <c r="F78" s="6">
        <v>2000087.82</v>
      </c>
      <c r="I78" s="36"/>
    </row>
    <row r="79" spans="1:9" s="21" customFormat="1" x14ac:dyDescent="0.25">
      <c r="A79" s="32"/>
      <c r="B79" s="21" t="s">
        <v>217</v>
      </c>
      <c r="C79" s="32"/>
      <c r="D79" s="33"/>
      <c r="E79" s="33"/>
      <c r="F79" s="39">
        <v>114220.24</v>
      </c>
      <c r="I79" s="36"/>
    </row>
    <row r="80" spans="1:9" x14ac:dyDescent="0.25">
      <c r="B80" s="1" t="s">
        <v>54</v>
      </c>
      <c r="F80" s="40">
        <f>SUM(F73:F79)</f>
        <v>19550292.699999999</v>
      </c>
      <c r="G80" s="62">
        <f>+F80/F65</f>
        <v>3.0285813533740637E-2</v>
      </c>
    </row>
    <row r="81" spans="1:9" x14ac:dyDescent="0.25">
      <c r="B81" s="1"/>
      <c r="F81" s="36"/>
      <c r="G81" s="62"/>
    </row>
    <row r="82" spans="1:9" s="21" customFormat="1" x14ac:dyDescent="0.25">
      <c r="A82" s="32"/>
      <c r="B82" s="21" t="s">
        <v>192</v>
      </c>
      <c r="C82" s="32"/>
      <c r="D82" s="33"/>
      <c r="E82" s="33"/>
      <c r="F82" s="39">
        <v>3476533.55</v>
      </c>
      <c r="G82" s="62">
        <f>+F82/F65</f>
        <v>5.3855790526907751E-3</v>
      </c>
      <c r="I82" s="36">
        <f>SUM(F17:F22)-F82</f>
        <v>0</v>
      </c>
    </row>
    <row r="83" spans="1:9" ht="15.6" x14ac:dyDescent="0.3">
      <c r="B83" s="10"/>
    </row>
    <row r="84" spans="1:9" ht="16.2" thickBot="1" x14ac:dyDescent="0.35">
      <c r="B84" s="44" t="s">
        <v>36</v>
      </c>
      <c r="C84" s="48"/>
      <c r="D84" s="49"/>
      <c r="E84" s="49"/>
      <c r="F84" s="50">
        <f>+F65-F71-F80+F82</f>
        <v>568105435.5999999</v>
      </c>
      <c r="G84" s="63">
        <f>+F84/F65</f>
        <v>0.88006535524074769</v>
      </c>
      <c r="I84" s="25">
        <f>+F51-F84</f>
        <v>0</v>
      </c>
    </row>
    <row r="85" spans="1:9" ht="15.6" x14ac:dyDescent="0.3">
      <c r="B85" s="37"/>
      <c r="C85" s="32"/>
      <c r="D85" s="33"/>
      <c r="E85" s="33"/>
      <c r="F85" s="38"/>
    </row>
    <row r="86" spans="1:9" ht="15.6" x14ac:dyDescent="0.3">
      <c r="B86" s="10"/>
    </row>
    <row r="87" spans="1:9" ht="15.6" x14ac:dyDescent="0.3">
      <c r="B87" s="37" t="s">
        <v>35</v>
      </c>
      <c r="C87" s="32"/>
      <c r="D87" s="33"/>
      <c r="E87" s="33"/>
      <c r="F87" s="21"/>
    </row>
    <row r="88" spans="1:9" ht="15.6" x14ac:dyDescent="0.3">
      <c r="B88" s="37"/>
      <c r="C88" s="32"/>
      <c r="D88" s="33"/>
      <c r="E88" s="33"/>
      <c r="F88" s="21"/>
    </row>
    <row r="89" spans="1:9" s="21" customFormat="1" x14ac:dyDescent="0.25">
      <c r="A89" s="32"/>
      <c r="B89" s="21" t="s">
        <v>27</v>
      </c>
      <c r="C89" s="32"/>
      <c r="D89" s="33"/>
      <c r="E89" s="33"/>
      <c r="F89" s="34">
        <v>629486180.25</v>
      </c>
      <c r="G89" s="64">
        <f>+F89/F91</f>
        <v>0.97472689721298678</v>
      </c>
      <c r="I89" s="36"/>
    </row>
    <row r="90" spans="1:9" x14ac:dyDescent="0.25">
      <c r="B90" s="21" t="s">
        <v>29</v>
      </c>
      <c r="C90" s="32"/>
      <c r="D90" s="33"/>
      <c r="E90" s="33"/>
      <c r="F90" s="39">
        <v>16321565.539999999</v>
      </c>
      <c r="G90" s="64">
        <f>+F90/F91</f>
        <v>2.5273102787013259E-2</v>
      </c>
    </row>
    <row r="91" spans="1:9" x14ac:dyDescent="0.25">
      <c r="B91" s="35" t="s">
        <v>30</v>
      </c>
      <c r="C91" s="32"/>
      <c r="D91" s="33"/>
      <c r="E91" s="33"/>
      <c r="F91" s="39">
        <f>SUM(F89:F90)</f>
        <v>645807745.78999996</v>
      </c>
      <c r="G91" s="62">
        <f>+F91/F91</f>
        <v>1</v>
      </c>
    </row>
    <row r="92" spans="1:9" ht="15.6" x14ac:dyDescent="0.3">
      <c r="B92" s="10"/>
    </row>
    <row r="93" spans="1:9" x14ac:dyDescent="0.25">
      <c r="B93" s="21" t="s">
        <v>177</v>
      </c>
      <c r="F93" s="6">
        <v>57029735.530000001</v>
      </c>
    </row>
    <row r="94" spans="1:9" x14ac:dyDescent="0.25">
      <c r="B94" s="21" t="s">
        <v>202</v>
      </c>
      <c r="C94" s="32"/>
      <c r="D94" s="33"/>
      <c r="E94" s="33"/>
      <c r="F94" s="39">
        <v>1981016.92</v>
      </c>
    </row>
    <row r="95" spans="1:9" x14ac:dyDescent="0.25">
      <c r="B95" s="35" t="s">
        <v>42</v>
      </c>
      <c r="C95" s="32"/>
      <c r="D95" s="33"/>
      <c r="E95" s="33"/>
      <c r="F95" s="39">
        <f>SUM(F93:F94)</f>
        <v>59010752.450000003</v>
      </c>
      <c r="G95" s="62">
        <f>+F95/F91</f>
        <v>9.137510789347017E-2</v>
      </c>
    </row>
    <row r="96" spans="1:9" ht="15.6" x14ac:dyDescent="0.3">
      <c r="B96" s="10"/>
    </row>
    <row r="97" spans="2:9" x14ac:dyDescent="0.25">
      <c r="B97" s="21" t="s">
        <v>206</v>
      </c>
      <c r="C97" s="32"/>
      <c r="D97" s="33"/>
      <c r="E97" s="33"/>
      <c r="F97" s="36">
        <v>1350922.63</v>
      </c>
    </row>
    <row r="98" spans="2:9" x14ac:dyDescent="0.25">
      <c r="B98" s="21" t="s">
        <v>161</v>
      </c>
      <c r="C98" s="32"/>
      <c r="D98" s="33"/>
      <c r="E98" s="33"/>
      <c r="F98" s="36">
        <f>13796.62+470.09</f>
        <v>14266.710000000001</v>
      </c>
    </row>
    <row r="99" spans="2:9" x14ac:dyDescent="0.25">
      <c r="B99" s="21" t="s">
        <v>144</v>
      </c>
      <c r="C99" s="32"/>
      <c r="D99" s="33"/>
      <c r="E99" s="33"/>
      <c r="F99" s="36">
        <f>1006.04+56</f>
        <v>1062.04</v>
      </c>
    </row>
    <row r="100" spans="2:9" x14ac:dyDescent="0.25">
      <c r="B100" s="21" t="s">
        <v>170</v>
      </c>
      <c r="C100" s="32"/>
      <c r="D100" s="33"/>
      <c r="E100" s="33"/>
      <c r="F100" s="36">
        <f>1256.42+7622.67+821.53</f>
        <v>9700.6200000000008</v>
      </c>
    </row>
    <row r="101" spans="2:9" x14ac:dyDescent="0.25">
      <c r="B101" s="21" t="s">
        <v>165</v>
      </c>
      <c r="C101" s="32"/>
      <c r="D101" s="33"/>
      <c r="E101" s="33"/>
      <c r="F101" s="36">
        <f>169976.54+9221.99</f>
        <v>179198.53</v>
      </c>
    </row>
    <row r="102" spans="2:9" x14ac:dyDescent="0.25">
      <c r="B102" s="21" t="s">
        <v>180</v>
      </c>
      <c r="C102" s="32"/>
      <c r="D102" s="33"/>
      <c r="E102" s="33"/>
      <c r="F102" s="36">
        <v>101935.48</v>
      </c>
    </row>
    <row r="103" spans="2:9" x14ac:dyDescent="0.25">
      <c r="B103" s="21" t="s">
        <v>147</v>
      </c>
      <c r="C103" s="32"/>
      <c r="D103" s="33"/>
      <c r="E103" s="33"/>
      <c r="F103" s="36">
        <v>15207497.130000001</v>
      </c>
    </row>
    <row r="104" spans="2:9" x14ac:dyDescent="0.25">
      <c r="B104" s="21" t="s">
        <v>204</v>
      </c>
      <c r="C104" s="32"/>
      <c r="D104" s="33"/>
      <c r="E104" s="33"/>
      <c r="F104" s="40">
        <v>79.7</v>
      </c>
    </row>
    <row r="105" spans="2:9" x14ac:dyDescent="0.25">
      <c r="B105" s="1" t="s">
        <v>54</v>
      </c>
      <c r="C105" s="32"/>
      <c r="D105" s="33"/>
      <c r="E105" s="33"/>
      <c r="F105" s="40">
        <f>SUM(F97:F104)</f>
        <v>16864662.84</v>
      </c>
      <c r="G105" s="62">
        <f>+F105/F91</f>
        <v>2.6114060956902729E-2</v>
      </c>
    </row>
    <row r="106" spans="2:9" ht="15.6" x14ac:dyDescent="0.3">
      <c r="B106" s="10"/>
    </row>
    <row r="107" spans="2:9" ht="16.2" thickBot="1" x14ac:dyDescent="0.35">
      <c r="B107" s="44" t="s">
        <v>37</v>
      </c>
      <c r="C107" s="48"/>
      <c r="D107" s="49"/>
      <c r="E107" s="49"/>
      <c r="F107" s="50">
        <f>+F91-F95-F105</f>
        <v>569932330.49999988</v>
      </c>
      <c r="G107" s="63">
        <f>+F107/F91</f>
        <v>0.88251083114962703</v>
      </c>
      <c r="I107" s="25">
        <f>+F9-F107</f>
        <v>0</v>
      </c>
    </row>
    <row r="108" spans="2:9" ht="15.6" x14ac:dyDescent="0.3">
      <c r="B108" s="10"/>
    </row>
    <row r="109" spans="2:9" ht="15.6" x14ac:dyDescent="0.3">
      <c r="B109" s="37" t="s">
        <v>100</v>
      </c>
      <c r="C109" s="32"/>
      <c r="D109" s="33"/>
      <c r="E109" s="33"/>
    </row>
    <row r="110" spans="2:9" ht="15.6" x14ac:dyDescent="0.3">
      <c r="B110" s="37"/>
      <c r="C110" s="32"/>
      <c r="D110" s="33"/>
      <c r="E110" s="33"/>
    </row>
    <row r="111" spans="2:9" x14ac:dyDescent="0.25">
      <c r="B111" s="72" t="s">
        <v>101</v>
      </c>
      <c r="C111" s="32"/>
      <c r="D111" s="33"/>
      <c r="E111" s="33"/>
      <c r="F111" s="75">
        <f>+F112</f>
        <v>1826894.8999999762</v>
      </c>
    </row>
    <row r="112" spans="2:9" ht="16.2" thickBot="1" x14ac:dyDescent="0.35">
      <c r="B112" s="37" t="s">
        <v>99</v>
      </c>
      <c r="F112" s="73">
        <f>+F107-F84</f>
        <v>1826894.8999999762</v>
      </c>
    </row>
    <row r="113" ht="13.8" thickTop="1" x14ac:dyDescent="0.25"/>
  </sheetData>
  <phoneticPr fontId="0" type="noConversion"/>
  <pageMargins left="0.5" right="0.25" top="0.5" bottom="0.5" header="0.5" footer="0"/>
  <pageSetup scale="84" orientation="portrait" r:id="rId1"/>
  <headerFooter alignWithMargins="0">
    <oddFooter>&amp;LCertification November 29, 2001&amp;CPage &amp;P of &amp;N&amp;RTrade Month May 2001</oddFooter>
  </headerFooter>
  <rowBreaks count="1" manualBreakCount="1">
    <brk id="54" max="6"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I115"/>
  <sheetViews>
    <sheetView topLeftCell="A30" zoomScaleNormal="100" workbookViewId="0">
      <selection activeCell="I39" sqref="I39"/>
    </sheetView>
  </sheetViews>
  <sheetFormatPr defaultRowHeight="13.2" x14ac:dyDescent="0.25"/>
  <cols>
    <col min="1" max="1" width="6.88671875" style="8" customWidth="1"/>
    <col min="2" max="2" width="50.5546875" customWidth="1"/>
    <col min="3" max="3" width="8.44140625" style="8" customWidth="1"/>
    <col min="4" max="4" width="5.5546875" style="12" bestFit="1" customWidth="1"/>
    <col min="5" max="5" width="4.44140625" style="12" bestFit="1" customWidth="1"/>
    <col min="6" max="6" width="18.88671875" customWidth="1"/>
    <col min="7" max="7" width="12.5546875" bestFit="1" customWidth="1"/>
    <col min="8" max="8" width="11.109375" customWidth="1"/>
    <col min="9" max="9" width="18.5546875" style="25" bestFit="1" customWidth="1"/>
  </cols>
  <sheetData>
    <row r="1" spans="1:9" ht="15.6" x14ac:dyDescent="0.3">
      <c r="B1" s="53" t="s">
        <v>238</v>
      </c>
    </row>
    <row r="2" spans="1:9" ht="15.6" x14ac:dyDescent="0.3">
      <c r="B2" s="10"/>
    </row>
    <row r="3" spans="1:9" ht="15.6" x14ac:dyDescent="0.3">
      <c r="B3" s="10" t="s">
        <v>210</v>
      </c>
    </row>
    <row r="4" spans="1:9" ht="15.6" x14ac:dyDescent="0.3">
      <c r="B4" s="10"/>
    </row>
    <row r="5" spans="1:9" ht="15.6" x14ac:dyDescent="0.3">
      <c r="B5" s="10"/>
    </row>
    <row r="6" spans="1:9" ht="16.2" thickBot="1" x14ac:dyDescent="0.35">
      <c r="A6" s="10" t="s">
        <v>57</v>
      </c>
    </row>
    <row r="7" spans="1:9" s="5" customFormat="1" ht="21.6" thickTop="1" thickBot="1" x14ac:dyDescent="0.3">
      <c r="A7" s="15" t="s">
        <v>12</v>
      </c>
      <c r="B7" s="15" t="s">
        <v>14</v>
      </c>
      <c r="C7" s="15" t="s">
        <v>51</v>
      </c>
      <c r="D7" s="45"/>
      <c r="E7" s="46"/>
      <c r="F7" s="47" t="s">
        <v>52</v>
      </c>
      <c r="G7" s="16" t="s">
        <v>53</v>
      </c>
      <c r="I7" s="87"/>
    </row>
    <row r="8" spans="1:9" s="3" customFormat="1" ht="10.8" thickTop="1" x14ac:dyDescent="0.2">
      <c r="F8" s="4"/>
      <c r="I8" s="88"/>
    </row>
    <row r="9" spans="1:9" s="1" customFormat="1" ht="13.8" thickBot="1" x14ac:dyDescent="0.3">
      <c r="A9" s="11"/>
      <c r="B9" s="1" t="s">
        <v>229</v>
      </c>
      <c r="C9" s="76"/>
      <c r="D9" s="14"/>
      <c r="E9" s="14"/>
      <c r="F9" s="30">
        <f>181371476.73</f>
        <v>181371476.72999999</v>
      </c>
      <c r="G9" s="20">
        <f>+F9/F$9</f>
        <v>1</v>
      </c>
      <c r="I9" s="65"/>
    </row>
    <row r="10" spans="1:9" s="1" customFormat="1" ht="13.8" thickTop="1" x14ac:dyDescent="0.25">
      <c r="A10" s="11"/>
      <c r="C10" s="76"/>
      <c r="D10" s="14"/>
      <c r="E10" s="14"/>
      <c r="F10" s="66"/>
      <c r="G10" s="59"/>
      <c r="I10" s="65"/>
    </row>
    <row r="11" spans="1:9" s="1" customFormat="1" x14ac:dyDescent="0.25">
      <c r="A11" s="11"/>
      <c r="C11" s="76"/>
      <c r="D11" s="14"/>
      <c r="E11" s="14"/>
      <c r="F11" s="66"/>
      <c r="G11" s="59"/>
      <c r="I11" s="65"/>
    </row>
    <row r="12" spans="1:9" ht="15.6" x14ac:dyDescent="0.3">
      <c r="A12" s="10" t="s">
        <v>49</v>
      </c>
      <c r="C12" s="78"/>
    </row>
    <row r="13" spans="1:9" ht="16.2" thickBot="1" x14ac:dyDescent="0.35">
      <c r="A13" s="10" t="s">
        <v>232</v>
      </c>
      <c r="C13" s="78"/>
    </row>
    <row r="14" spans="1:9" s="5" customFormat="1" ht="21.6" thickTop="1" thickBot="1" x14ac:dyDescent="0.3">
      <c r="A14" s="15" t="s">
        <v>12</v>
      </c>
      <c r="B14" s="15" t="s">
        <v>14</v>
      </c>
      <c r="C14" s="79" t="s">
        <v>13</v>
      </c>
      <c r="D14" s="15" t="s">
        <v>17</v>
      </c>
      <c r="E14" s="15" t="s">
        <v>15</v>
      </c>
      <c r="F14" s="16" t="s">
        <v>11</v>
      </c>
      <c r="G14" s="16" t="s">
        <v>56</v>
      </c>
      <c r="I14" s="87"/>
    </row>
    <row r="15" spans="1:9" ht="13.8" thickTop="1" x14ac:dyDescent="0.25">
      <c r="C15" s="78"/>
    </row>
    <row r="16" spans="1:9" x14ac:dyDescent="0.25">
      <c r="A16" s="24">
        <v>1924</v>
      </c>
      <c r="B16" s="23" t="s">
        <v>211</v>
      </c>
      <c r="C16" s="70">
        <v>37126</v>
      </c>
      <c r="D16" s="55">
        <v>16208</v>
      </c>
      <c r="E16" s="24" t="s">
        <v>79</v>
      </c>
      <c r="F16" s="27">
        <v>2068.06</v>
      </c>
      <c r="G16" s="28">
        <f t="shared" ref="G16:G55" si="0">+F16/$F$57</f>
        <v>8.0492591136541224E-6</v>
      </c>
    </row>
    <row r="17" spans="1:9" x14ac:dyDescent="0.25">
      <c r="A17" s="24">
        <v>1007</v>
      </c>
      <c r="B17" s="23" t="s">
        <v>59</v>
      </c>
      <c r="C17" s="70">
        <v>37126</v>
      </c>
      <c r="D17" s="55">
        <v>16233</v>
      </c>
      <c r="E17" s="24" t="s">
        <v>79</v>
      </c>
      <c r="F17" s="29">
        <v>33285.910000000003</v>
      </c>
      <c r="G17" s="28">
        <f t="shared" si="0"/>
        <v>1.2955471041641486E-4</v>
      </c>
    </row>
    <row r="18" spans="1:9" x14ac:dyDescent="0.25">
      <c r="A18" s="24">
        <v>2606</v>
      </c>
      <c r="B18" s="23" t="s">
        <v>0</v>
      </c>
      <c r="C18" s="70">
        <v>37126</v>
      </c>
      <c r="D18" s="55">
        <v>16196</v>
      </c>
      <c r="E18" s="24" t="s">
        <v>79</v>
      </c>
      <c r="F18" s="29">
        <v>113422.38</v>
      </c>
      <c r="G18" s="28">
        <f t="shared" si="0"/>
        <v>4.4146017325771066E-4</v>
      </c>
    </row>
    <row r="19" spans="1:9" x14ac:dyDescent="0.25">
      <c r="A19" s="24">
        <v>1584</v>
      </c>
      <c r="B19" s="23" t="s">
        <v>1</v>
      </c>
      <c r="C19" s="70">
        <v>37126</v>
      </c>
      <c r="D19" s="55">
        <v>16213</v>
      </c>
      <c r="E19" s="24" t="s">
        <v>79</v>
      </c>
      <c r="F19" s="29">
        <v>76478.14</v>
      </c>
      <c r="G19" s="28">
        <f t="shared" si="0"/>
        <v>2.9766658868229928E-4</v>
      </c>
    </row>
    <row r="20" spans="1:9" x14ac:dyDescent="0.25">
      <c r="A20" s="24">
        <v>1544</v>
      </c>
      <c r="B20" s="23" t="s">
        <v>4</v>
      </c>
      <c r="C20" s="70">
        <v>37126</v>
      </c>
      <c r="D20" s="55">
        <v>16212</v>
      </c>
      <c r="E20" s="24" t="s">
        <v>79</v>
      </c>
      <c r="F20" s="29">
        <v>110374.06</v>
      </c>
      <c r="G20" s="28">
        <f t="shared" si="0"/>
        <v>4.2959556703674309E-4</v>
      </c>
    </row>
    <row r="21" spans="1:9" x14ac:dyDescent="0.25">
      <c r="A21" s="24">
        <v>2528</v>
      </c>
      <c r="B21" s="23" t="s">
        <v>78</v>
      </c>
      <c r="C21" s="70">
        <v>37126</v>
      </c>
      <c r="D21" s="55">
        <v>16199</v>
      </c>
      <c r="E21" s="24" t="s">
        <v>79</v>
      </c>
      <c r="F21" s="29">
        <v>145772.65</v>
      </c>
      <c r="G21" s="28">
        <f t="shared" si="0"/>
        <v>5.6737320558108203E-4</v>
      </c>
    </row>
    <row r="22" spans="1:9" x14ac:dyDescent="0.25">
      <c r="A22" s="24">
        <v>1010</v>
      </c>
      <c r="B22" s="23" t="s">
        <v>63</v>
      </c>
      <c r="C22" s="70">
        <v>37126</v>
      </c>
      <c r="D22" s="55">
        <v>16232</v>
      </c>
      <c r="E22" s="24" t="s">
        <v>79</v>
      </c>
      <c r="F22" s="29">
        <v>2501980.59</v>
      </c>
      <c r="G22" s="28">
        <f t="shared" si="0"/>
        <v>9.7381555981176648E-3</v>
      </c>
      <c r="I22" s="25">
        <f>SUM(F16:F22)-2983291.79-90</f>
        <v>0</v>
      </c>
    </row>
    <row r="23" spans="1:9" x14ac:dyDescent="0.25">
      <c r="A23" s="24">
        <v>1924</v>
      </c>
      <c r="B23" s="23" t="s">
        <v>211</v>
      </c>
      <c r="C23" s="70">
        <v>37126</v>
      </c>
      <c r="D23" s="55">
        <v>16280</v>
      </c>
      <c r="E23" s="24" t="s">
        <v>16</v>
      </c>
      <c r="F23" s="29">
        <v>10360.18</v>
      </c>
      <c r="G23" s="28">
        <f t="shared" si="0"/>
        <v>4.0323672081127804E-5</v>
      </c>
    </row>
    <row r="24" spans="1:9" x14ac:dyDescent="0.25">
      <c r="A24" s="24">
        <v>1924</v>
      </c>
      <c r="B24" s="23" t="s">
        <v>211</v>
      </c>
      <c r="C24" s="70">
        <v>37146</v>
      </c>
      <c r="D24" s="55">
        <v>16253</v>
      </c>
      <c r="E24" s="24" t="s">
        <v>16</v>
      </c>
      <c r="F24" s="29">
        <v>8117.74</v>
      </c>
      <c r="G24" s="28">
        <f t="shared" si="0"/>
        <v>3.1595694843125737E-5</v>
      </c>
    </row>
    <row r="25" spans="1:9" x14ac:dyDescent="0.25">
      <c r="A25" s="24">
        <v>1007</v>
      </c>
      <c r="B25" s="23" t="s">
        <v>59</v>
      </c>
      <c r="C25" s="70">
        <v>37126</v>
      </c>
      <c r="D25" s="55">
        <v>16316</v>
      </c>
      <c r="E25" s="24" t="s">
        <v>16</v>
      </c>
      <c r="F25" s="29">
        <v>1351954.93</v>
      </c>
      <c r="G25" s="28">
        <f t="shared" si="0"/>
        <v>5.2620502023887706E-3</v>
      </c>
    </row>
    <row r="26" spans="1:9" x14ac:dyDescent="0.25">
      <c r="A26" s="24">
        <v>1007</v>
      </c>
      <c r="B26" s="23" t="s">
        <v>59</v>
      </c>
      <c r="C26" s="70">
        <v>37146</v>
      </c>
      <c r="D26" s="55">
        <v>16560</v>
      </c>
      <c r="E26" s="24" t="s">
        <v>16</v>
      </c>
      <c r="F26" s="29">
        <v>10312.61</v>
      </c>
      <c r="G26" s="28">
        <f t="shared" si="0"/>
        <v>4.0138521139648099E-5</v>
      </c>
    </row>
    <row r="27" spans="1:9" x14ac:dyDescent="0.25">
      <c r="A27" s="24">
        <v>2606</v>
      </c>
      <c r="B27" s="23" t="s">
        <v>0</v>
      </c>
      <c r="C27" s="70">
        <v>37126</v>
      </c>
      <c r="D27" s="55">
        <v>16266</v>
      </c>
      <c r="E27" s="24" t="s">
        <v>16</v>
      </c>
      <c r="F27" s="29">
        <v>1071214.5</v>
      </c>
      <c r="G27" s="28">
        <f t="shared" si="0"/>
        <v>4.1693582762605749E-3</v>
      </c>
    </row>
    <row r="28" spans="1:9" x14ac:dyDescent="0.25">
      <c r="A28" s="24">
        <v>1243</v>
      </c>
      <c r="B28" s="23" t="s">
        <v>218</v>
      </c>
      <c r="C28" s="70">
        <v>37126</v>
      </c>
      <c r="D28" s="55">
        <v>16292</v>
      </c>
      <c r="E28" s="24" t="s">
        <v>16</v>
      </c>
      <c r="F28" s="29">
        <v>54920135.43</v>
      </c>
      <c r="G28" s="28">
        <f t="shared" si="0"/>
        <v>0.2137589821538283</v>
      </c>
    </row>
    <row r="29" spans="1:9" x14ac:dyDescent="0.25">
      <c r="A29" s="24">
        <v>1243</v>
      </c>
      <c r="B29" s="23" t="s">
        <v>218</v>
      </c>
      <c r="C29" s="70">
        <v>37146</v>
      </c>
      <c r="D29" s="55">
        <v>16535</v>
      </c>
      <c r="E29" s="24" t="s">
        <v>16</v>
      </c>
      <c r="F29" s="29">
        <v>4268</v>
      </c>
      <c r="G29" s="28">
        <f t="shared" si="0"/>
        <v>1.6611818756262293E-5</v>
      </c>
    </row>
    <row r="30" spans="1:9" x14ac:dyDescent="0.25">
      <c r="A30" s="24">
        <v>1019</v>
      </c>
      <c r="B30" s="23" t="s">
        <v>60</v>
      </c>
      <c r="C30" s="70">
        <v>37126</v>
      </c>
      <c r="D30" s="55">
        <v>16307</v>
      </c>
      <c r="E30" s="24" t="s">
        <v>16</v>
      </c>
      <c r="F30" s="29">
        <f>17276.58-8306.4</f>
        <v>8970.1800000000021</v>
      </c>
      <c r="G30" s="28">
        <f t="shared" si="0"/>
        <v>3.4913543667068629E-5</v>
      </c>
    </row>
    <row r="31" spans="1:9" x14ac:dyDescent="0.25">
      <c r="A31" s="24">
        <v>1164</v>
      </c>
      <c r="B31" s="23" t="s">
        <v>183</v>
      </c>
      <c r="C31" s="70">
        <v>37146</v>
      </c>
      <c r="D31" s="55">
        <v>16541</v>
      </c>
      <c r="E31" s="24" t="s">
        <v>16</v>
      </c>
      <c r="F31" s="29">
        <v>39.65</v>
      </c>
      <c r="G31" s="28">
        <f t="shared" si="0"/>
        <v>1.5432488605571694E-7</v>
      </c>
    </row>
    <row r="32" spans="1:9" x14ac:dyDescent="0.25">
      <c r="A32" s="24">
        <v>1504</v>
      </c>
      <c r="B32" s="23" t="s">
        <v>2</v>
      </c>
      <c r="C32" s="70">
        <v>37126</v>
      </c>
      <c r="D32" s="55">
        <v>16287</v>
      </c>
      <c r="E32" s="24" t="s">
        <v>16</v>
      </c>
      <c r="F32" s="29">
        <v>4247.95</v>
      </c>
      <c r="G32" s="28">
        <f t="shared" si="0"/>
        <v>1.6533780573023524E-5</v>
      </c>
    </row>
    <row r="33" spans="1:7" x14ac:dyDescent="0.25">
      <c r="A33" s="24">
        <v>1504</v>
      </c>
      <c r="B33" s="23" t="s">
        <v>2</v>
      </c>
      <c r="C33" s="70">
        <v>37146</v>
      </c>
      <c r="D33" s="55">
        <v>16530</v>
      </c>
      <c r="E33" s="24" t="s">
        <v>16</v>
      </c>
      <c r="F33" s="29">
        <v>1753.88</v>
      </c>
      <c r="G33" s="28">
        <f t="shared" si="0"/>
        <v>6.826414404928142E-6</v>
      </c>
    </row>
    <row r="34" spans="1:7" x14ac:dyDescent="0.25">
      <c r="A34" s="55">
        <v>2746</v>
      </c>
      <c r="B34" s="81" t="s">
        <v>61</v>
      </c>
      <c r="C34" s="70">
        <v>37126</v>
      </c>
      <c r="D34" s="55">
        <v>16261</v>
      </c>
      <c r="E34" s="24" t="s">
        <v>16</v>
      </c>
      <c r="F34" s="29">
        <v>13485.93</v>
      </c>
      <c r="G34" s="80">
        <f t="shared" si="0"/>
        <v>5.2489649700009448E-5</v>
      </c>
    </row>
    <row r="35" spans="1:7" x14ac:dyDescent="0.25">
      <c r="A35" s="55">
        <v>2746</v>
      </c>
      <c r="B35" s="81" t="s">
        <v>61</v>
      </c>
      <c r="C35" s="70">
        <v>37146</v>
      </c>
      <c r="D35" s="55">
        <v>16502</v>
      </c>
      <c r="E35" s="24" t="s">
        <v>16</v>
      </c>
      <c r="F35" s="29">
        <v>813.31</v>
      </c>
      <c r="G35" s="80">
        <f t="shared" si="0"/>
        <v>3.1655478708190447E-6</v>
      </c>
    </row>
    <row r="36" spans="1:7" x14ac:dyDescent="0.25">
      <c r="A36" s="55">
        <v>2405</v>
      </c>
      <c r="B36" s="81" t="s">
        <v>3</v>
      </c>
      <c r="C36" s="70">
        <v>37126</v>
      </c>
      <c r="D36" s="55">
        <v>16274</v>
      </c>
      <c r="E36" s="24" t="s">
        <v>16</v>
      </c>
      <c r="F36" s="29">
        <v>1740511.46</v>
      </c>
      <c r="G36" s="80">
        <f t="shared" si="0"/>
        <v>6.7743816580875032E-3</v>
      </c>
    </row>
    <row r="37" spans="1:7" x14ac:dyDescent="0.25">
      <c r="A37" s="55">
        <v>2064</v>
      </c>
      <c r="B37" s="81" t="s">
        <v>212</v>
      </c>
      <c r="C37" s="70">
        <v>37146</v>
      </c>
      <c r="D37" s="55">
        <v>16522</v>
      </c>
      <c r="E37" s="24" t="s">
        <v>16</v>
      </c>
      <c r="F37" s="29">
        <f>766.44-747.02</f>
        <v>19.420000000000073</v>
      </c>
      <c r="G37" s="80">
        <f t="shared" si="0"/>
        <v>7.5586110648222801E-8</v>
      </c>
    </row>
    <row r="38" spans="1:7" x14ac:dyDescent="0.25">
      <c r="A38" s="24">
        <v>1544</v>
      </c>
      <c r="B38" s="23" t="s">
        <v>4</v>
      </c>
      <c r="C38" s="70">
        <v>37126</v>
      </c>
      <c r="D38" s="55">
        <v>16284</v>
      </c>
      <c r="E38" s="24" t="s">
        <v>16</v>
      </c>
      <c r="F38" s="29">
        <v>472343.08</v>
      </c>
      <c r="G38" s="28">
        <f t="shared" si="0"/>
        <v>1.8384436822246253E-3</v>
      </c>
    </row>
    <row r="39" spans="1:7" x14ac:dyDescent="0.25">
      <c r="A39" s="24">
        <v>1544</v>
      </c>
      <c r="B39" s="23" t="s">
        <v>4</v>
      </c>
      <c r="C39" s="70">
        <v>37146</v>
      </c>
      <c r="D39" s="55">
        <v>16527</v>
      </c>
      <c r="E39" s="24" t="s">
        <v>16</v>
      </c>
      <c r="F39" s="29">
        <v>141425.79</v>
      </c>
      <c r="G39" s="28">
        <f t="shared" si="0"/>
        <v>5.5045444961134308E-4</v>
      </c>
    </row>
    <row r="40" spans="1:7" x14ac:dyDescent="0.25">
      <c r="A40" s="24">
        <v>1185</v>
      </c>
      <c r="B40" s="23" t="s">
        <v>92</v>
      </c>
      <c r="C40" s="70">
        <v>37126</v>
      </c>
      <c r="D40" s="55">
        <v>16295</v>
      </c>
      <c r="E40" s="24" t="s">
        <v>16</v>
      </c>
      <c r="F40" s="29">
        <v>320042.95</v>
      </c>
      <c r="G40" s="28">
        <f t="shared" si="0"/>
        <v>1.2456643579239726E-3</v>
      </c>
    </row>
    <row r="41" spans="1:7" x14ac:dyDescent="0.25">
      <c r="A41" s="24">
        <v>1185</v>
      </c>
      <c r="B41" s="23" t="s">
        <v>92</v>
      </c>
      <c r="C41" s="70">
        <v>37146</v>
      </c>
      <c r="D41" s="55">
        <v>16538</v>
      </c>
      <c r="E41" s="24" t="s">
        <v>16</v>
      </c>
      <c r="F41" s="29">
        <v>1177.1500000000001</v>
      </c>
      <c r="G41" s="28">
        <f t="shared" si="0"/>
        <v>4.5816781745393994E-6</v>
      </c>
    </row>
    <row r="42" spans="1:7" x14ac:dyDescent="0.25">
      <c r="A42" s="24">
        <v>1005</v>
      </c>
      <c r="B42" s="23" t="s">
        <v>120</v>
      </c>
      <c r="C42" s="70">
        <v>37146</v>
      </c>
      <c r="D42" s="55">
        <v>16562</v>
      </c>
      <c r="E42" s="24" t="s">
        <v>16</v>
      </c>
      <c r="F42" s="29">
        <v>154.02000000000001</v>
      </c>
      <c r="G42" s="28">
        <f t="shared" si="0"/>
        <v>5.9947336570747854E-7</v>
      </c>
    </row>
    <row r="43" spans="1:7" x14ac:dyDescent="0.25">
      <c r="A43" s="24">
        <v>2769</v>
      </c>
      <c r="B43" s="23" t="s">
        <v>222</v>
      </c>
      <c r="C43" s="70">
        <v>37126</v>
      </c>
      <c r="D43" s="55">
        <v>16259</v>
      </c>
      <c r="E43" s="24" t="s">
        <v>16</v>
      </c>
      <c r="F43" s="29">
        <v>11581848.51</v>
      </c>
      <c r="G43" s="28">
        <f t="shared" si="0"/>
        <v>4.5078624252719419E-2</v>
      </c>
    </row>
    <row r="44" spans="1:7" x14ac:dyDescent="0.25">
      <c r="A44" s="24">
        <v>2769</v>
      </c>
      <c r="B44" s="23" t="s">
        <v>222</v>
      </c>
      <c r="C44" s="70">
        <v>37146</v>
      </c>
      <c r="D44" s="55">
        <v>16500</v>
      </c>
      <c r="E44" s="24" t="s">
        <v>16</v>
      </c>
      <c r="F44" s="29">
        <v>1098.26</v>
      </c>
      <c r="G44" s="28">
        <f t="shared" si="0"/>
        <v>4.2746241957011776E-6</v>
      </c>
    </row>
    <row r="45" spans="1:7" x14ac:dyDescent="0.25">
      <c r="A45" s="24">
        <v>3186</v>
      </c>
      <c r="B45" s="23" t="s">
        <v>38</v>
      </c>
      <c r="C45" s="70">
        <v>37126</v>
      </c>
      <c r="D45" s="55">
        <v>16248</v>
      </c>
      <c r="E45" s="24" t="s">
        <v>16</v>
      </c>
      <c r="F45" s="29">
        <v>13927831.960000001</v>
      </c>
      <c r="G45" s="28">
        <f t="shared" si="0"/>
        <v>5.4209611102904738E-2</v>
      </c>
    </row>
    <row r="46" spans="1:7" x14ac:dyDescent="0.25">
      <c r="A46" s="24">
        <v>3187</v>
      </c>
      <c r="B46" s="23" t="s">
        <v>38</v>
      </c>
      <c r="C46" s="70">
        <v>37126</v>
      </c>
      <c r="D46" s="55">
        <v>16247</v>
      </c>
      <c r="E46" s="24" t="s">
        <v>16</v>
      </c>
      <c r="F46" s="29">
        <v>19725561.050000001</v>
      </c>
      <c r="G46" s="28">
        <f t="shared" si="0"/>
        <v>7.6775408863211561E-2</v>
      </c>
    </row>
    <row r="47" spans="1:7" x14ac:dyDescent="0.25">
      <c r="A47" s="24">
        <v>3187</v>
      </c>
      <c r="B47" s="23" t="s">
        <v>38</v>
      </c>
      <c r="C47" s="70">
        <v>37146</v>
      </c>
      <c r="D47" s="55">
        <v>16487</v>
      </c>
      <c r="E47" s="24" t="s">
        <v>16</v>
      </c>
      <c r="F47" s="29">
        <v>10014532.699999999</v>
      </c>
      <c r="G47" s="28">
        <f t="shared" si="0"/>
        <v>3.8978351017118565E-2</v>
      </c>
    </row>
    <row r="48" spans="1:7" x14ac:dyDescent="0.25">
      <c r="A48" s="24">
        <v>2626</v>
      </c>
      <c r="B48" s="23" t="s">
        <v>7</v>
      </c>
      <c r="C48" s="70">
        <v>37126</v>
      </c>
      <c r="D48" s="55">
        <v>16265</v>
      </c>
      <c r="E48" s="24" t="s">
        <v>16</v>
      </c>
      <c r="F48" s="29">
        <v>114273.11</v>
      </c>
      <c r="G48" s="28">
        <f t="shared" si="0"/>
        <v>4.4477136645605062E-4</v>
      </c>
    </row>
    <row r="49" spans="1:9" x14ac:dyDescent="0.25">
      <c r="A49" s="24">
        <v>2626</v>
      </c>
      <c r="B49" s="23" t="s">
        <v>7</v>
      </c>
      <c r="C49" s="70">
        <v>37146</v>
      </c>
      <c r="D49" s="55">
        <v>16507</v>
      </c>
      <c r="E49" s="24" t="s">
        <v>16</v>
      </c>
      <c r="F49" s="29">
        <v>387.01</v>
      </c>
      <c r="G49" s="28">
        <f t="shared" si="0"/>
        <v>1.5063120845503911E-6</v>
      </c>
    </row>
    <row r="50" spans="1:9" x14ac:dyDescent="0.25">
      <c r="A50" s="24">
        <v>2528</v>
      </c>
      <c r="B50" s="23" t="s">
        <v>78</v>
      </c>
      <c r="C50" s="70">
        <v>37146</v>
      </c>
      <c r="D50" s="55">
        <v>16512</v>
      </c>
      <c r="E50" s="24" t="s">
        <v>16</v>
      </c>
      <c r="F50" s="29">
        <v>6582.2</v>
      </c>
      <c r="G50" s="28">
        <f t="shared" si="0"/>
        <v>2.5619098738863555E-5</v>
      </c>
    </row>
    <row r="51" spans="1:9" s="21" customFormat="1" x14ac:dyDescent="0.25">
      <c r="A51" s="24">
        <v>1010</v>
      </c>
      <c r="B51" s="23" t="s">
        <v>63</v>
      </c>
      <c r="C51" s="70">
        <v>37126</v>
      </c>
      <c r="D51" s="55">
        <v>16314</v>
      </c>
      <c r="E51" s="24" t="s">
        <v>16</v>
      </c>
      <c r="F51" s="29">
        <v>127016332.56</v>
      </c>
      <c r="G51" s="28">
        <f t="shared" si="0"/>
        <v>0.49437026606650819</v>
      </c>
      <c r="I51" s="36"/>
    </row>
    <row r="52" spans="1:9" s="21" customFormat="1" x14ac:dyDescent="0.25">
      <c r="A52" s="24">
        <v>1010</v>
      </c>
      <c r="B52" s="23" t="s">
        <v>63</v>
      </c>
      <c r="C52" s="70">
        <v>37146</v>
      </c>
      <c r="D52" s="55">
        <v>16558</v>
      </c>
      <c r="E52" s="24" t="s">
        <v>16</v>
      </c>
      <c r="F52" s="29">
        <v>11297244.880000001</v>
      </c>
      <c r="G52" s="28">
        <f t="shared" si="0"/>
        <v>4.3970896061778855E-2</v>
      </c>
      <c r="I52" s="36"/>
    </row>
    <row r="53" spans="1:9" s="21" customFormat="1" x14ac:dyDescent="0.25">
      <c r="A53" s="12">
        <v>1024</v>
      </c>
      <c r="B53" t="s">
        <v>9</v>
      </c>
      <c r="C53" s="70">
        <v>37126</v>
      </c>
      <c r="D53" s="55">
        <v>16304</v>
      </c>
      <c r="E53" s="24" t="s">
        <v>16</v>
      </c>
      <c r="F53" s="29">
        <v>24374.42</v>
      </c>
      <c r="G53" s="28">
        <f t="shared" si="0"/>
        <v>9.4869598718138397E-5</v>
      </c>
      <c r="I53" s="36"/>
    </row>
    <row r="54" spans="1:9" s="21" customFormat="1" x14ac:dyDescent="0.25">
      <c r="A54" s="12">
        <v>1024</v>
      </c>
      <c r="B54" t="s">
        <v>9</v>
      </c>
      <c r="C54" s="70">
        <v>37146</v>
      </c>
      <c r="D54" s="55">
        <v>16548</v>
      </c>
      <c r="E54" s="24" t="s">
        <v>16</v>
      </c>
      <c r="F54" s="29">
        <v>1642.29</v>
      </c>
      <c r="G54" s="28">
        <f t="shared" si="0"/>
        <v>6.3920861821044978E-6</v>
      </c>
      <c r="I54" s="36"/>
    </row>
    <row r="55" spans="1:9" x14ac:dyDescent="0.25">
      <c r="A55" s="24">
        <v>2767</v>
      </c>
      <c r="B55" s="23" t="s">
        <v>10</v>
      </c>
      <c r="C55" s="70">
        <v>37126</v>
      </c>
      <c r="D55" s="55">
        <v>16260</v>
      </c>
      <c r="E55" s="24" t="s">
        <v>16</v>
      </c>
      <c r="F55" s="56">
        <v>149070.74</v>
      </c>
      <c r="G55" s="57">
        <f t="shared" si="0"/>
        <v>5.8020996127973272E-4</v>
      </c>
      <c r="I55" s="25">
        <f>SUM(F23:F55)-253942127.85</f>
        <v>0</v>
      </c>
    </row>
    <row r="56" spans="1:9" x14ac:dyDescent="0.25">
      <c r="A56" s="7"/>
      <c r="B56" s="2"/>
      <c r="C56" s="9"/>
      <c r="D56" s="13"/>
      <c r="E56" s="13"/>
      <c r="F56" s="6"/>
      <c r="G56" s="21"/>
    </row>
    <row r="57" spans="1:9" ht="13.8" thickBot="1" x14ac:dyDescent="0.3">
      <c r="B57" s="1" t="s">
        <v>18</v>
      </c>
      <c r="F57" s="30">
        <f>SUM(F16:F56)</f>
        <v>256925509.63999999</v>
      </c>
      <c r="G57" s="20">
        <f>+F57/F57</f>
        <v>1</v>
      </c>
    </row>
    <row r="58" spans="1:9" ht="13.8" thickTop="1" x14ac:dyDescent="0.25"/>
    <row r="61" spans="1:9" x14ac:dyDescent="0.25">
      <c r="B61" s="26" t="s">
        <v>221</v>
      </c>
    </row>
    <row r="62" spans="1:9" x14ac:dyDescent="0.25">
      <c r="B62" s="83" t="s">
        <v>220</v>
      </c>
    </row>
    <row r="64" spans="1:9" ht="15.6" x14ac:dyDescent="0.3">
      <c r="B64" s="10" t="str">
        <f>+B1</f>
        <v>Certification for Market Settlement November 29, 2001</v>
      </c>
    </row>
    <row r="65" spans="1:9" ht="15.6" x14ac:dyDescent="0.3">
      <c r="B65" s="10"/>
    </row>
    <row r="66" spans="1:9" ht="15.6" x14ac:dyDescent="0.3">
      <c r="B66" s="10" t="str">
        <f>+B3</f>
        <v>For the Trade Month of June 2001</v>
      </c>
    </row>
    <row r="67" spans="1:9" ht="15.6" x14ac:dyDescent="0.3">
      <c r="B67" s="10"/>
    </row>
    <row r="68" spans="1:9" ht="15.6" x14ac:dyDescent="0.3">
      <c r="B68" s="10"/>
    </row>
    <row r="69" spans="1:9" ht="15.6" x14ac:dyDescent="0.3">
      <c r="B69" s="10" t="s">
        <v>28</v>
      </c>
    </row>
    <row r="70" spans="1:9" ht="15.6" x14ac:dyDescent="0.3">
      <c r="B70" s="10"/>
    </row>
    <row r="71" spans="1:9" x14ac:dyDescent="0.25">
      <c r="B71" s="21" t="s">
        <v>27</v>
      </c>
      <c r="C71" s="32"/>
      <c r="D71" s="33"/>
      <c r="E71" s="33"/>
      <c r="F71" s="34">
        <v>274871788.89999998</v>
      </c>
      <c r="G71" s="61">
        <f>+F71/F73</f>
        <v>0.91507140731996817</v>
      </c>
    </row>
    <row r="72" spans="1:9" x14ac:dyDescent="0.25">
      <c r="B72" s="21" t="s">
        <v>29</v>
      </c>
      <c r="C72" s="32"/>
      <c r="D72" s="33"/>
      <c r="E72" s="33"/>
      <c r="F72" s="39">
        <v>25511095.649999999</v>
      </c>
      <c r="G72" s="61">
        <f>+F72/F73</f>
        <v>8.4928592680031917E-2</v>
      </c>
    </row>
    <row r="73" spans="1:9" x14ac:dyDescent="0.25">
      <c r="B73" s="35" t="s">
        <v>30</v>
      </c>
      <c r="C73" s="32"/>
      <c r="D73" s="33"/>
      <c r="E73" s="33"/>
      <c r="F73" s="39">
        <f>SUM(F71:F72)</f>
        <v>300382884.54999995</v>
      </c>
      <c r="G73" s="62">
        <f>+F73/F73</f>
        <v>1</v>
      </c>
    </row>
    <row r="74" spans="1:9" ht="15.6" x14ac:dyDescent="0.3">
      <c r="B74" s="10"/>
    </row>
    <row r="75" spans="1:9" x14ac:dyDescent="0.25">
      <c r="B75" s="21" t="s">
        <v>208</v>
      </c>
      <c r="C75" s="32"/>
      <c r="D75" s="33"/>
      <c r="E75" s="33"/>
      <c r="F75" s="6">
        <v>37697147.170000002</v>
      </c>
    </row>
    <row r="76" spans="1:9" x14ac:dyDescent="0.25">
      <c r="B76" s="21" t="s">
        <v>213</v>
      </c>
      <c r="C76" s="32"/>
      <c r="D76" s="33"/>
      <c r="E76" s="33"/>
      <c r="F76" s="6">
        <v>2850791.91</v>
      </c>
    </row>
    <row r="77" spans="1:9" x14ac:dyDescent="0.25">
      <c r="B77" s="21" t="s">
        <v>241</v>
      </c>
      <c r="C77" s="32"/>
      <c r="D77" s="33"/>
      <c r="E77" s="33"/>
      <c r="F77" s="39">
        <v>747.02</v>
      </c>
    </row>
    <row r="78" spans="1:9" x14ac:dyDescent="0.25">
      <c r="B78" s="35" t="s">
        <v>34</v>
      </c>
      <c r="C78" s="32"/>
      <c r="D78" s="33"/>
      <c r="E78" s="33"/>
      <c r="F78" s="39">
        <f>SUM(F75:F77)</f>
        <v>40548686.100000001</v>
      </c>
      <c r="G78" s="62">
        <f>+F78/F73</f>
        <v>0.13499000171313191</v>
      </c>
    </row>
    <row r="79" spans="1:9" ht="15.6" x14ac:dyDescent="0.3">
      <c r="B79" s="10"/>
    </row>
    <row r="80" spans="1:9" s="21" customFormat="1" x14ac:dyDescent="0.25">
      <c r="A80" s="32"/>
      <c r="B80" s="21" t="s">
        <v>145</v>
      </c>
      <c r="C80" s="32"/>
      <c r="D80" s="33"/>
      <c r="E80" s="33"/>
      <c r="F80" s="6">
        <f>608.27+1403.4</f>
        <v>2011.67</v>
      </c>
      <c r="I80" s="36"/>
    </row>
    <row r="81" spans="1:9" s="21" customFormat="1" x14ac:dyDescent="0.25">
      <c r="A81" s="32"/>
      <c r="B81" s="21" t="s">
        <v>209</v>
      </c>
      <c r="C81" s="32"/>
      <c r="D81" s="33"/>
      <c r="E81" s="33"/>
      <c r="F81" s="6">
        <v>845.86</v>
      </c>
      <c r="I81" s="36"/>
    </row>
    <row r="82" spans="1:9" s="21" customFormat="1" x14ac:dyDescent="0.25">
      <c r="A82" s="32"/>
      <c r="B82" s="21" t="s">
        <v>215</v>
      </c>
      <c r="C82" s="32"/>
      <c r="D82" s="33"/>
      <c r="E82" s="33"/>
      <c r="F82" s="6">
        <v>3402725.29</v>
      </c>
      <c r="I82" s="36"/>
    </row>
    <row r="83" spans="1:9" s="21" customFormat="1" x14ac:dyDescent="0.25">
      <c r="A83" s="32"/>
      <c r="B83" s="21" t="s">
        <v>204</v>
      </c>
      <c r="C83" s="32"/>
      <c r="D83" s="33"/>
      <c r="E83" s="33"/>
      <c r="F83" s="6">
        <v>63.7</v>
      </c>
      <c r="I83" s="36"/>
    </row>
    <row r="84" spans="1:9" s="21" customFormat="1" x14ac:dyDescent="0.25">
      <c r="A84" s="32"/>
      <c r="B84" s="21" t="s">
        <v>198</v>
      </c>
      <c r="C84" s="32"/>
      <c r="D84" s="33"/>
      <c r="E84" s="33"/>
      <c r="F84" s="6">
        <v>2479521.08</v>
      </c>
      <c r="I84" s="36"/>
    </row>
    <row r="85" spans="1:9" s="21" customFormat="1" x14ac:dyDescent="0.25">
      <c r="A85" s="32"/>
      <c r="B85" s="21" t="s">
        <v>198</v>
      </c>
      <c r="C85" s="32"/>
      <c r="D85" s="33"/>
      <c r="E85" s="33"/>
      <c r="F85" s="39">
        <v>6903</v>
      </c>
      <c r="I85" s="36"/>
    </row>
    <row r="86" spans="1:9" x14ac:dyDescent="0.25">
      <c r="B86" s="1" t="s">
        <v>54</v>
      </c>
      <c r="F86" s="40">
        <f>SUM(F80:F85)</f>
        <v>5892070.5999999996</v>
      </c>
      <c r="G86" s="62">
        <f>+F86/F73</f>
        <v>1.9615200808883772E-2</v>
      </c>
    </row>
    <row r="87" spans="1:9" x14ac:dyDescent="0.25">
      <c r="B87" s="1"/>
      <c r="F87" s="36"/>
      <c r="G87" s="62"/>
    </row>
    <row r="88" spans="1:9" s="21" customFormat="1" x14ac:dyDescent="0.25">
      <c r="A88" s="32"/>
      <c r="B88" s="21" t="s">
        <v>214</v>
      </c>
      <c r="C88" s="32"/>
      <c r="D88" s="33"/>
      <c r="E88" s="33"/>
      <c r="F88" s="39">
        <f>2983291.79+90</f>
        <v>2983381.79</v>
      </c>
      <c r="G88" s="62">
        <f>+F88/F73</f>
        <v>9.9319300248060707E-3</v>
      </c>
      <c r="I88" s="36">
        <f>SUM(F16:F22)-F88</f>
        <v>0</v>
      </c>
    </row>
    <row r="89" spans="1:9" ht="15.6" x14ac:dyDescent="0.3">
      <c r="B89" s="10"/>
    </row>
    <row r="90" spans="1:9" ht="16.2" thickBot="1" x14ac:dyDescent="0.35">
      <c r="B90" s="44" t="s">
        <v>36</v>
      </c>
      <c r="C90" s="48"/>
      <c r="D90" s="49"/>
      <c r="E90" s="49"/>
      <c r="F90" s="50">
        <f>+F73-F78-F86+F88</f>
        <v>256925509.63999996</v>
      </c>
      <c r="G90" s="63">
        <f>+F90/F73</f>
        <v>0.85532672750279037</v>
      </c>
      <c r="I90" s="25">
        <f>+F57-F90</f>
        <v>0</v>
      </c>
    </row>
    <row r="91" spans="1:9" ht="15.6" x14ac:dyDescent="0.3">
      <c r="B91" s="37"/>
      <c r="C91" s="32"/>
      <c r="D91" s="33"/>
      <c r="E91" s="33"/>
      <c r="F91" s="38"/>
    </row>
    <row r="92" spans="1:9" ht="15.6" x14ac:dyDescent="0.3">
      <c r="B92" s="10"/>
    </row>
    <row r="93" spans="1:9" ht="15.6" x14ac:dyDescent="0.3">
      <c r="B93" s="37" t="s">
        <v>35</v>
      </c>
      <c r="C93" s="32"/>
      <c r="D93" s="33"/>
      <c r="E93" s="33"/>
      <c r="F93" s="21"/>
    </row>
    <row r="94" spans="1:9" ht="15.6" x14ac:dyDescent="0.3">
      <c r="B94" s="37"/>
      <c r="C94" s="32"/>
      <c r="D94" s="33"/>
      <c r="E94" s="33"/>
      <c r="F94" s="21"/>
    </row>
    <row r="95" spans="1:9" s="21" customFormat="1" x14ac:dyDescent="0.25">
      <c r="A95" s="32"/>
      <c r="B95" s="21" t="s">
        <v>27</v>
      </c>
      <c r="C95" s="32"/>
      <c r="D95" s="33"/>
      <c r="E95" s="33"/>
      <c r="F95" s="34">
        <v>274870136.25</v>
      </c>
      <c r="G95" s="64">
        <f>+F95/F97</f>
        <v>0.98159619540094123</v>
      </c>
      <c r="I95" s="36"/>
    </row>
    <row r="96" spans="1:9" x14ac:dyDescent="0.25">
      <c r="B96" s="21" t="s">
        <v>29</v>
      </c>
      <c r="C96" s="32"/>
      <c r="D96" s="33"/>
      <c r="E96" s="33"/>
      <c r="F96" s="39">
        <v>5153500.29</v>
      </c>
      <c r="G96" s="64">
        <f>+F96/F97</f>
        <v>1.8403804599058722E-2</v>
      </c>
    </row>
    <row r="97" spans="2:7" x14ac:dyDescent="0.25">
      <c r="B97" s="35" t="s">
        <v>30</v>
      </c>
      <c r="C97" s="32"/>
      <c r="D97" s="33"/>
      <c r="E97" s="33"/>
      <c r="F97" s="39">
        <f>SUM(F95:F96)</f>
        <v>280023636.54000002</v>
      </c>
      <c r="G97" s="62">
        <f>+F97/F97</f>
        <v>1</v>
      </c>
    </row>
    <row r="98" spans="2:7" ht="15.6" x14ac:dyDescent="0.3">
      <c r="B98" s="10"/>
    </row>
    <row r="99" spans="2:7" x14ac:dyDescent="0.25">
      <c r="B99" s="21" t="s">
        <v>202</v>
      </c>
      <c r="C99" s="32"/>
      <c r="D99" s="33"/>
      <c r="E99" s="33"/>
      <c r="F99" s="39">
        <v>29703202.440000001</v>
      </c>
    </row>
    <row r="100" spans="2:7" x14ac:dyDescent="0.25">
      <c r="B100" s="35" t="s">
        <v>42</v>
      </c>
      <c r="C100" s="32"/>
      <c r="D100" s="33"/>
      <c r="E100" s="33"/>
      <c r="F100" s="39">
        <f>SUM(F99:F99)</f>
        <v>29703202.440000001</v>
      </c>
      <c r="G100" s="62">
        <f>+F100/F97</f>
        <v>0.10607391149909962</v>
      </c>
    </row>
    <row r="101" spans="2:7" ht="15.6" x14ac:dyDescent="0.3">
      <c r="B101" s="10"/>
    </row>
    <row r="102" spans="2:7" x14ac:dyDescent="0.25">
      <c r="B102" s="21" t="s">
        <v>161</v>
      </c>
      <c r="C102" s="32"/>
      <c r="D102" s="33"/>
      <c r="E102" s="33"/>
      <c r="F102" s="36">
        <v>434861.71</v>
      </c>
    </row>
    <row r="103" spans="2:7" x14ac:dyDescent="0.25">
      <c r="B103" s="21" t="s">
        <v>156</v>
      </c>
      <c r="C103" s="32"/>
      <c r="D103" s="33"/>
      <c r="E103" s="33"/>
      <c r="F103" s="36">
        <v>3337418.44</v>
      </c>
    </row>
    <row r="104" spans="2:7" x14ac:dyDescent="0.25">
      <c r="B104" s="21" t="s">
        <v>155</v>
      </c>
      <c r="C104" s="32"/>
      <c r="D104" s="33"/>
      <c r="E104" s="33"/>
      <c r="F104" s="36">
        <v>2968438.1</v>
      </c>
    </row>
    <row r="105" spans="2:7" x14ac:dyDescent="0.25">
      <c r="B105" s="21" t="s">
        <v>173</v>
      </c>
      <c r="C105" s="32"/>
      <c r="D105" s="33"/>
      <c r="E105" s="33"/>
      <c r="F105" s="36">
        <v>22.43</v>
      </c>
    </row>
    <row r="106" spans="2:7" x14ac:dyDescent="0.25">
      <c r="B106" s="21" t="s">
        <v>165</v>
      </c>
      <c r="C106" s="32"/>
      <c r="D106" s="33"/>
      <c r="E106" s="33"/>
      <c r="F106" s="36">
        <v>323061.74</v>
      </c>
    </row>
    <row r="107" spans="2:7" x14ac:dyDescent="0.25">
      <c r="B107" s="21" t="s">
        <v>180</v>
      </c>
      <c r="C107" s="32"/>
      <c r="D107" s="33"/>
      <c r="E107" s="33"/>
      <c r="F107" s="36">
        <v>149679.06</v>
      </c>
    </row>
    <row r="108" spans="2:7" x14ac:dyDescent="0.25">
      <c r="B108" s="21" t="s">
        <v>179</v>
      </c>
      <c r="C108" s="32"/>
      <c r="D108" s="33"/>
      <c r="E108" s="33"/>
      <c r="F108" s="36">
        <v>2000087.82</v>
      </c>
    </row>
    <row r="109" spans="2:7" x14ac:dyDescent="0.25">
      <c r="B109" s="21" t="s">
        <v>236</v>
      </c>
      <c r="C109" s="32"/>
      <c r="D109" s="33"/>
      <c r="E109" s="33"/>
      <c r="F109" s="36">
        <v>56824014.520000003</v>
      </c>
    </row>
    <row r="110" spans="2:7" x14ac:dyDescent="0.25">
      <c r="B110" s="21" t="s">
        <v>204</v>
      </c>
      <c r="C110" s="32"/>
      <c r="D110" s="33"/>
      <c r="E110" s="33"/>
      <c r="F110" s="36">
        <f>431852.47</f>
        <v>431852.47</v>
      </c>
    </row>
    <row r="111" spans="2:7" x14ac:dyDescent="0.25">
      <c r="B111" s="21" t="s">
        <v>205</v>
      </c>
      <c r="C111" s="32"/>
      <c r="D111" s="33"/>
      <c r="E111" s="33"/>
      <c r="F111" s="40">
        <v>2479521.08</v>
      </c>
    </row>
    <row r="112" spans="2:7" x14ac:dyDescent="0.25">
      <c r="B112" s="1" t="s">
        <v>54</v>
      </c>
      <c r="C112" s="32"/>
      <c r="D112" s="33"/>
      <c r="E112" s="33"/>
      <c r="F112" s="40">
        <f>SUM(F102:F111)</f>
        <v>68948957.370000005</v>
      </c>
      <c r="G112" s="62">
        <f>+F112/F97</f>
        <v>0.24622549089762635</v>
      </c>
    </row>
    <row r="113" spans="2:9" ht="15.6" x14ac:dyDescent="0.3">
      <c r="B113" s="10"/>
    </row>
    <row r="114" spans="2:9" ht="16.2" thickBot="1" x14ac:dyDescent="0.35">
      <c r="B114" s="44" t="s">
        <v>37</v>
      </c>
      <c r="C114" s="48"/>
      <c r="D114" s="49"/>
      <c r="E114" s="49"/>
      <c r="F114" s="50">
        <f>+F97-F100-F112</f>
        <v>181371476.73000002</v>
      </c>
      <c r="G114" s="63">
        <f>+F114/F97</f>
        <v>0.64770059760327403</v>
      </c>
      <c r="I114" s="25">
        <f>+F9-F114</f>
        <v>0</v>
      </c>
    </row>
    <row r="115" spans="2:9" ht="15.6" x14ac:dyDescent="0.3">
      <c r="B115" s="10"/>
    </row>
  </sheetData>
  <phoneticPr fontId="0" type="noConversion"/>
  <pageMargins left="0.5" right="0.25" top="0.5" bottom="0.5" header="0.5" footer="0"/>
  <pageSetup scale="78" orientation="portrait" r:id="rId1"/>
  <headerFooter alignWithMargins="0">
    <oddFooter>&amp;LCertification November 29, 2001&amp;CPage &amp;P of &amp;N&amp;RTrade Month June 2001</oddFooter>
  </headerFooter>
  <rowBreaks count="1" manualBreakCount="1">
    <brk id="63" max="6"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I94"/>
  <sheetViews>
    <sheetView zoomScaleNormal="100" workbookViewId="0">
      <selection activeCell="I10" sqref="I10"/>
    </sheetView>
  </sheetViews>
  <sheetFormatPr defaultRowHeight="13.2" x14ac:dyDescent="0.25"/>
  <cols>
    <col min="1" max="1" width="6.88671875" style="8" customWidth="1"/>
    <col min="2" max="2" width="50.5546875" customWidth="1"/>
    <col min="3" max="3" width="8.44140625" style="8" customWidth="1"/>
    <col min="4" max="4" width="5.5546875" style="12" bestFit="1" customWidth="1"/>
    <col min="5" max="5" width="4.44140625" style="12" bestFit="1" customWidth="1"/>
    <col min="6" max="6" width="22.6640625" bestFit="1" customWidth="1"/>
    <col min="7" max="7" width="12.44140625" bestFit="1" customWidth="1"/>
    <col min="8" max="8" width="11.109375" customWidth="1"/>
    <col min="9" max="9" width="18.44140625" style="25" bestFit="1" customWidth="1"/>
  </cols>
  <sheetData>
    <row r="1" spans="1:9" ht="15.6" x14ac:dyDescent="0.3">
      <c r="B1" s="53" t="s">
        <v>238</v>
      </c>
    </row>
    <row r="2" spans="1:9" ht="15.6" x14ac:dyDescent="0.3">
      <c r="B2" s="10"/>
    </row>
    <row r="3" spans="1:9" ht="15.6" x14ac:dyDescent="0.3">
      <c r="B3" s="10" t="s">
        <v>231</v>
      </c>
    </row>
    <row r="4" spans="1:9" ht="15.6" x14ac:dyDescent="0.3">
      <c r="B4" s="10"/>
    </row>
    <row r="5" spans="1:9" ht="15.6" x14ac:dyDescent="0.3">
      <c r="B5" s="10"/>
    </row>
    <row r="6" spans="1:9" ht="16.2" thickBot="1" x14ac:dyDescent="0.35">
      <c r="A6" s="10" t="s">
        <v>57</v>
      </c>
    </row>
    <row r="7" spans="1:9" s="5" customFormat="1" ht="21.6" thickTop="1" thickBot="1" x14ac:dyDescent="0.3">
      <c r="A7" s="15" t="s">
        <v>12</v>
      </c>
      <c r="B7" s="15" t="s">
        <v>14</v>
      </c>
      <c r="C7" s="15" t="s">
        <v>51</v>
      </c>
      <c r="D7" s="45"/>
      <c r="E7" s="46"/>
      <c r="F7" s="47" t="s">
        <v>52</v>
      </c>
      <c r="G7" s="16" t="s">
        <v>53</v>
      </c>
      <c r="I7" s="87"/>
    </row>
    <row r="8" spans="1:9" s="3" customFormat="1" ht="10.8" thickTop="1" x14ac:dyDescent="0.2">
      <c r="F8" s="4"/>
      <c r="I8" s="88"/>
    </row>
    <row r="9" spans="1:9" s="1" customFormat="1" ht="13.8" thickBot="1" x14ac:dyDescent="0.3">
      <c r="A9" s="11"/>
      <c r="B9" s="1" t="s">
        <v>230</v>
      </c>
      <c r="C9" s="76"/>
      <c r="D9" s="14"/>
      <c r="E9" s="14"/>
      <c r="F9" s="30">
        <v>132920135.06</v>
      </c>
      <c r="G9" s="20">
        <f>+F9/F$9</f>
        <v>1</v>
      </c>
      <c r="I9" s="65"/>
    </row>
    <row r="10" spans="1:9" s="1" customFormat="1" ht="13.8" thickTop="1" x14ac:dyDescent="0.25">
      <c r="A10" s="11"/>
      <c r="C10" s="76"/>
      <c r="D10" s="14"/>
      <c r="E10" s="14"/>
      <c r="F10" s="66"/>
      <c r="G10" s="59"/>
      <c r="I10" s="65"/>
    </row>
    <row r="11" spans="1:9" s="1" customFormat="1" x14ac:dyDescent="0.25">
      <c r="A11" s="11"/>
      <c r="C11" s="76"/>
      <c r="D11" s="14"/>
      <c r="E11" s="14"/>
      <c r="F11" s="66"/>
      <c r="G11" s="59"/>
      <c r="I11" s="65"/>
    </row>
    <row r="12" spans="1:9" ht="15.6" x14ac:dyDescent="0.3">
      <c r="A12" s="10" t="s">
        <v>49</v>
      </c>
      <c r="C12" s="78"/>
    </row>
    <row r="13" spans="1:9" ht="16.2" thickBot="1" x14ac:dyDescent="0.35">
      <c r="A13" s="10" t="s">
        <v>246</v>
      </c>
      <c r="C13" s="78"/>
    </row>
    <row r="14" spans="1:9" s="5" customFormat="1" ht="21.6" thickTop="1" thickBot="1" x14ac:dyDescent="0.3">
      <c r="A14" s="15" t="s">
        <v>12</v>
      </c>
      <c r="B14" s="15" t="s">
        <v>14</v>
      </c>
      <c r="C14" s="79" t="s">
        <v>13</v>
      </c>
      <c r="D14" s="15" t="s">
        <v>17</v>
      </c>
      <c r="E14" s="15" t="s">
        <v>15</v>
      </c>
      <c r="F14" s="16" t="s">
        <v>11</v>
      </c>
      <c r="G14" s="16" t="s">
        <v>56</v>
      </c>
      <c r="I14" s="87"/>
    </row>
    <row r="15" spans="1:9" ht="13.8" thickTop="1" x14ac:dyDescent="0.25">
      <c r="C15" s="78"/>
    </row>
    <row r="16" spans="1:9" x14ac:dyDescent="0.25">
      <c r="A16" s="24">
        <v>1924</v>
      </c>
      <c r="B16" s="23" t="s">
        <v>211</v>
      </c>
      <c r="C16" s="70">
        <v>37175</v>
      </c>
      <c r="D16" s="55">
        <v>16767</v>
      </c>
      <c r="E16" s="24" t="s">
        <v>79</v>
      </c>
      <c r="F16" s="27">
        <v>35.68</v>
      </c>
      <c r="G16" s="28">
        <f t="shared" ref="G16:G40" si="0">+F16/$F$42</f>
        <v>2.4135545832028256E-7</v>
      </c>
    </row>
    <row r="17" spans="1:9" x14ac:dyDescent="0.25">
      <c r="A17" s="24">
        <v>1007</v>
      </c>
      <c r="B17" s="23" t="s">
        <v>59</v>
      </c>
      <c r="C17" s="70">
        <v>37175</v>
      </c>
      <c r="D17" s="55">
        <v>16791</v>
      </c>
      <c r="E17" s="24" t="s">
        <v>79</v>
      </c>
      <c r="F17" s="29">
        <v>78220.22</v>
      </c>
      <c r="G17" s="28">
        <f t="shared" si="0"/>
        <v>5.2911650919319872E-4</v>
      </c>
    </row>
    <row r="18" spans="1:9" x14ac:dyDescent="0.25">
      <c r="A18" s="24">
        <v>2606</v>
      </c>
      <c r="B18" s="23" t="s">
        <v>0</v>
      </c>
      <c r="C18" s="70">
        <v>37175</v>
      </c>
      <c r="D18" s="55">
        <v>16755</v>
      </c>
      <c r="E18" s="24" t="s">
        <v>79</v>
      </c>
      <c r="F18" s="29">
        <v>115199.37</v>
      </c>
      <c r="G18" s="28">
        <f t="shared" si="0"/>
        <v>7.7925999844612691E-4</v>
      </c>
    </row>
    <row r="19" spans="1:9" x14ac:dyDescent="0.25">
      <c r="A19" s="24">
        <v>1564</v>
      </c>
      <c r="B19" s="23" t="s">
        <v>24</v>
      </c>
      <c r="C19" s="70">
        <v>37175</v>
      </c>
      <c r="D19" s="55">
        <v>16770</v>
      </c>
      <c r="E19" s="24" t="s">
        <v>79</v>
      </c>
      <c r="F19" s="29">
        <v>4108.12</v>
      </c>
      <c r="G19" s="28">
        <f t="shared" si="0"/>
        <v>2.7789158784605355E-5</v>
      </c>
    </row>
    <row r="20" spans="1:9" x14ac:dyDescent="0.25">
      <c r="A20" s="24">
        <v>1544</v>
      </c>
      <c r="B20" s="23" t="s">
        <v>4</v>
      </c>
      <c r="C20" s="70">
        <v>37175</v>
      </c>
      <c r="D20" s="55">
        <v>16771</v>
      </c>
      <c r="E20" s="24" t="s">
        <v>79</v>
      </c>
      <c r="F20" s="29">
        <v>139896.68</v>
      </c>
      <c r="G20" s="28">
        <f t="shared" si="0"/>
        <v>9.4632363561899949E-4</v>
      </c>
    </row>
    <row r="21" spans="1:9" x14ac:dyDescent="0.25">
      <c r="A21" s="24">
        <v>2528</v>
      </c>
      <c r="B21" s="23" t="s">
        <v>78</v>
      </c>
      <c r="C21" s="70">
        <v>37175</v>
      </c>
      <c r="D21" s="55">
        <v>16758</v>
      </c>
      <c r="E21" s="24" t="s">
        <v>79</v>
      </c>
      <c r="F21" s="29">
        <v>136543.45000000001</v>
      </c>
      <c r="G21" s="28">
        <f t="shared" si="0"/>
        <v>9.2364089000511733E-4</v>
      </c>
    </row>
    <row r="22" spans="1:9" x14ac:dyDescent="0.25">
      <c r="A22" s="24">
        <v>1010</v>
      </c>
      <c r="B22" s="23" t="s">
        <v>63</v>
      </c>
      <c r="C22" s="70">
        <v>37175</v>
      </c>
      <c r="D22" s="55">
        <v>16789</v>
      </c>
      <c r="E22" s="24" t="s">
        <v>79</v>
      </c>
      <c r="F22" s="29">
        <v>2440055.4500000002</v>
      </c>
      <c r="G22" s="28">
        <f t="shared" si="0"/>
        <v>1.6505625040965619E-2</v>
      </c>
    </row>
    <row r="23" spans="1:9" x14ac:dyDescent="0.25">
      <c r="A23" s="24">
        <v>1123</v>
      </c>
      <c r="B23" s="23" t="s">
        <v>22</v>
      </c>
      <c r="C23" s="70">
        <v>37175</v>
      </c>
      <c r="D23" s="55">
        <v>16778</v>
      </c>
      <c r="E23" s="24" t="s">
        <v>79</v>
      </c>
      <c r="F23" s="29">
        <v>360</v>
      </c>
      <c r="G23" s="28">
        <f t="shared" si="0"/>
        <v>2.4352008126485909E-6</v>
      </c>
      <c r="I23" s="25">
        <f>SUM(F16:F23)-2914418.97</f>
        <v>0</v>
      </c>
    </row>
    <row r="24" spans="1:9" x14ac:dyDescent="0.25">
      <c r="A24" s="24">
        <v>1924</v>
      </c>
      <c r="B24" s="23" t="s">
        <v>211</v>
      </c>
      <c r="C24" s="70">
        <v>37175</v>
      </c>
      <c r="D24" s="55">
        <v>16845</v>
      </c>
      <c r="E24" s="24" t="s">
        <v>16</v>
      </c>
      <c r="F24" s="29">
        <v>199841.44</v>
      </c>
      <c r="G24" s="28">
        <f t="shared" si="0"/>
        <v>1.3518167696912906E-3</v>
      </c>
    </row>
    <row r="25" spans="1:9" x14ac:dyDescent="0.25">
      <c r="A25" s="24">
        <v>1007</v>
      </c>
      <c r="B25" s="23" t="s">
        <v>59</v>
      </c>
      <c r="C25" s="70">
        <v>37175</v>
      </c>
      <c r="D25" s="55">
        <v>16883</v>
      </c>
      <c r="E25" s="24" t="s">
        <v>16</v>
      </c>
      <c r="F25" s="29">
        <v>1063639.47</v>
      </c>
      <c r="G25" s="28">
        <f t="shared" si="0"/>
        <v>7.1949325047475452E-3</v>
      </c>
    </row>
    <row r="26" spans="1:9" x14ac:dyDescent="0.25">
      <c r="A26" s="24">
        <v>1243</v>
      </c>
      <c r="B26" s="23" t="s">
        <v>218</v>
      </c>
      <c r="C26" s="70">
        <v>37175</v>
      </c>
      <c r="D26" s="55">
        <v>16859</v>
      </c>
      <c r="E26" s="24" t="s">
        <v>16</v>
      </c>
      <c r="F26" s="29">
        <v>12880913.18</v>
      </c>
      <c r="G26" s="28">
        <f t="shared" si="0"/>
        <v>8.7132250676644277E-2</v>
      </c>
    </row>
    <row r="27" spans="1:9" x14ac:dyDescent="0.25">
      <c r="A27" s="24">
        <v>1164</v>
      </c>
      <c r="B27" s="23" t="s">
        <v>183</v>
      </c>
      <c r="C27" s="70">
        <v>37175</v>
      </c>
      <c r="D27" s="55">
        <v>16865</v>
      </c>
      <c r="E27" s="24" t="s">
        <v>16</v>
      </c>
      <c r="F27" s="29">
        <v>41.89</v>
      </c>
      <c r="G27" s="28">
        <f t="shared" si="0"/>
        <v>2.8336267233847074E-7</v>
      </c>
    </row>
    <row r="28" spans="1:9" x14ac:dyDescent="0.25">
      <c r="A28" s="24">
        <v>1584</v>
      </c>
      <c r="B28" s="23" t="s">
        <v>1</v>
      </c>
      <c r="C28" s="70">
        <v>37175</v>
      </c>
      <c r="D28" s="55">
        <v>16851</v>
      </c>
      <c r="E28" s="24" t="s">
        <v>16</v>
      </c>
      <c r="F28" s="29">
        <v>4528.84</v>
      </c>
      <c r="G28" s="28">
        <f t="shared" si="0"/>
        <v>3.0635096800987345E-5</v>
      </c>
    </row>
    <row r="29" spans="1:9" x14ac:dyDescent="0.25">
      <c r="A29" s="24">
        <v>1504</v>
      </c>
      <c r="B29" s="23" t="s">
        <v>2</v>
      </c>
      <c r="C29" s="70">
        <v>37175</v>
      </c>
      <c r="D29" s="55">
        <v>16854</v>
      </c>
      <c r="E29" s="24" t="s">
        <v>16</v>
      </c>
      <c r="F29" s="29">
        <v>34816.61</v>
      </c>
      <c r="G29" s="28">
        <f t="shared" si="0"/>
        <v>2.3551510268241403E-4</v>
      </c>
    </row>
    <row r="30" spans="1:9" x14ac:dyDescent="0.25">
      <c r="A30" s="55">
        <v>1505</v>
      </c>
      <c r="B30" s="23" t="s">
        <v>233</v>
      </c>
      <c r="C30" s="70">
        <v>37175</v>
      </c>
      <c r="D30" s="55">
        <v>16853</v>
      </c>
      <c r="E30" s="24" t="s">
        <v>16</v>
      </c>
      <c r="F30" s="29">
        <v>317.8</v>
      </c>
      <c r="G30" s="80">
        <f t="shared" si="0"/>
        <v>2.1497411618325615E-6</v>
      </c>
    </row>
    <row r="31" spans="1:9" x14ac:dyDescent="0.25">
      <c r="A31" s="55">
        <v>2405</v>
      </c>
      <c r="B31" s="81" t="s">
        <v>3</v>
      </c>
      <c r="C31" s="70">
        <v>37175</v>
      </c>
      <c r="D31" s="55">
        <v>16838</v>
      </c>
      <c r="E31" s="24" t="s">
        <v>16</v>
      </c>
      <c r="F31" s="29">
        <v>1885140.18</v>
      </c>
      <c r="G31" s="80">
        <f t="shared" si="0"/>
        <v>1.2751930273034751E-2</v>
      </c>
    </row>
    <row r="32" spans="1:9" x14ac:dyDescent="0.25">
      <c r="A32" s="24">
        <v>1544</v>
      </c>
      <c r="B32" s="23" t="s">
        <v>4</v>
      </c>
      <c r="C32" s="70">
        <v>37175</v>
      </c>
      <c r="D32" s="55">
        <v>16850</v>
      </c>
      <c r="E32" s="24" t="s">
        <v>16</v>
      </c>
      <c r="F32" s="29">
        <v>192005.43</v>
      </c>
      <c r="G32" s="28">
        <f t="shared" si="0"/>
        <v>1.2988104976915057E-3</v>
      </c>
    </row>
    <row r="33" spans="1:9" x14ac:dyDescent="0.25">
      <c r="A33" s="24">
        <v>1005</v>
      </c>
      <c r="B33" s="23" t="s">
        <v>120</v>
      </c>
      <c r="C33" s="70">
        <v>37175</v>
      </c>
      <c r="D33" s="55">
        <v>16885</v>
      </c>
      <c r="E33" s="24" t="s">
        <v>16</v>
      </c>
      <c r="F33" s="29">
        <v>142.31</v>
      </c>
      <c r="G33" s="28">
        <f t="shared" si="0"/>
        <v>9.6264841013339155E-7</v>
      </c>
    </row>
    <row r="34" spans="1:9" x14ac:dyDescent="0.25">
      <c r="A34" s="55">
        <v>2546</v>
      </c>
      <c r="B34" s="54" t="s">
        <v>6</v>
      </c>
      <c r="C34" s="70">
        <v>37175</v>
      </c>
      <c r="D34" s="55">
        <v>16830</v>
      </c>
      <c r="E34" s="24" t="s">
        <v>16</v>
      </c>
      <c r="F34" s="29">
        <v>366912.4</v>
      </c>
      <c r="G34" s="28">
        <f t="shared" si="0"/>
        <v>2.4819593740301247E-3</v>
      </c>
    </row>
    <row r="35" spans="1:9" x14ac:dyDescent="0.25">
      <c r="A35" s="24">
        <v>3186</v>
      </c>
      <c r="B35" s="23" t="s">
        <v>38</v>
      </c>
      <c r="C35" s="70">
        <v>37175</v>
      </c>
      <c r="D35" s="55">
        <v>16826</v>
      </c>
      <c r="E35" s="24" t="s">
        <v>16</v>
      </c>
      <c r="F35" s="29">
        <v>4534786.38</v>
      </c>
      <c r="G35" s="28">
        <f t="shared" si="0"/>
        <v>3.0675320771566001E-2</v>
      </c>
    </row>
    <row r="36" spans="1:9" x14ac:dyDescent="0.25">
      <c r="A36" s="24">
        <v>1012</v>
      </c>
      <c r="B36" s="23" t="s">
        <v>90</v>
      </c>
      <c r="C36" s="70">
        <v>37175</v>
      </c>
      <c r="D36" s="55">
        <v>16879</v>
      </c>
      <c r="E36" s="24" t="s">
        <v>16</v>
      </c>
      <c r="F36" s="29">
        <v>57071.05</v>
      </c>
      <c r="G36" s="28">
        <f t="shared" si="0"/>
        <v>3.8605407594085656E-4</v>
      </c>
    </row>
    <row r="37" spans="1:9" x14ac:dyDescent="0.25">
      <c r="A37" s="24">
        <v>2528</v>
      </c>
      <c r="B37" s="23" t="s">
        <v>78</v>
      </c>
      <c r="C37" s="70">
        <v>37175</v>
      </c>
      <c r="D37" s="55">
        <v>16833</v>
      </c>
      <c r="E37" s="24" t="s">
        <v>16</v>
      </c>
      <c r="F37" s="29">
        <v>7789.66</v>
      </c>
      <c r="G37" s="28">
        <f t="shared" si="0"/>
        <v>5.2692739895156167E-5</v>
      </c>
    </row>
    <row r="38" spans="1:9" s="21" customFormat="1" x14ac:dyDescent="0.25">
      <c r="A38" s="24">
        <v>2767</v>
      </c>
      <c r="B38" t="s">
        <v>10</v>
      </c>
      <c r="C38" s="70">
        <v>37175</v>
      </c>
      <c r="D38" s="55">
        <v>16822</v>
      </c>
      <c r="E38" s="24" t="s">
        <v>16</v>
      </c>
      <c r="F38" s="29">
        <v>1051.81</v>
      </c>
      <c r="G38" s="28">
        <f t="shared" si="0"/>
        <v>7.1149126854219838E-6</v>
      </c>
      <c r="I38" s="36"/>
    </row>
    <row r="39" spans="1:9" s="21" customFormat="1" x14ac:dyDescent="0.25">
      <c r="A39" s="24">
        <v>1010</v>
      </c>
      <c r="B39" s="23" t="s">
        <v>63</v>
      </c>
      <c r="C39" s="70">
        <v>37175</v>
      </c>
      <c r="D39" s="55">
        <v>16881</v>
      </c>
      <c r="E39" s="24" t="s">
        <v>16</v>
      </c>
      <c r="F39" s="29">
        <v>123686667.09999999</v>
      </c>
      <c r="G39" s="28">
        <f t="shared" si="0"/>
        <v>0.83667186732143251</v>
      </c>
      <c r="I39" s="36"/>
    </row>
    <row r="40" spans="1:9" x14ac:dyDescent="0.25">
      <c r="A40" s="24">
        <v>3207</v>
      </c>
      <c r="B40" s="23" t="s">
        <v>185</v>
      </c>
      <c r="C40" s="70">
        <v>37175</v>
      </c>
      <c r="D40" s="55"/>
      <c r="E40" s="24" t="s">
        <v>16</v>
      </c>
      <c r="F40" s="56">
        <v>1666.41</v>
      </c>
      <c r="G40" s="57">
        <f t="shared" si="0"/>
        <v>1.1272341628349273E-5</v>
      </c>
      <c r="I40" s="25">
        <f>SUM(F24:F40)-144917331.96</f>
        <v>0</v>
      </c>
    </row>
    <row r="41" spans="1:9" x14ac:dyDescent="0.25">
      <c r="A41" s="7"/>
      <c r="B41" s="2"/>
      <c r="C41" s="9"/>
      <c r="D41" s="13"/>
      <c r="E41" s="13"/>
      <c r="F41" s="6"/>
      <c r="G41" s="21"/>
    </row>
    <row r="42" spans="1:9" ht="13.8" thickBot="1" x14ac:dyDescent="0.3">
      <c r="B42" s="1" t="s">
        <v>18</v>
      </c>
      <c r="F42" s="30">
        <f>SUM(F16:F41)</f>
        <v>147831750.92999998</v>
      </c>
      <c r="G42" s="20">
        <f>+F42/F42</f>
        <v>1</v>
      </c>
    </row>
    <row r="43" spans="1:9" ht="13.8" thickTop="1" x14ac:dyDescent="0.25"/>
    <row r="46" spans="1:9" x14ac:dyDescent="0.25">
      <c r="B46" s="26" t="s">
        <v>221</v>
      </c>
    </row>
    <row r="47" spans="1:9" x14ac:dyDescent="0.25">
      <c r="B47" s="83" t="s">
        <v>220</v>
      </c>
    </row>
    <row r="49" spans="1:9" ht="15.6" x14ac:dyDescent="0.3">
      <c r="B49" s="10" t="str">
        <f>+B1</f>
        <v>Certification for Market Settlement November 29, 2001</v>
      </c>
    </row>
    <row r="50" spans="1:9" ht="15.6" x14ac:dyDescent="0.3">
      <c r="B50" s="10"/>
    </row>
    <row r="51" spans="1:9" ht="15.6" x14ac:dyDescent="0.3">
      <c r="B51" s="10" t="str">
        <f>+B3</f>
        <v>For the Trade Month of July 2001</v>
      </c>
    </row>
    <row r="52" spans="1:9" ht="15.6" x14ac:dyDescent="0.3">
      <c r="B52" s="10"/>
    </row>
    <row r="53" spans="1:9" ht="15.6" x14ac:dyDescent="0.3">
      <c r="B53" s="10"/>
    </row>
    <row r="54" spans="1:9" ht="15.6" x14ac:dyDescent="0.3">
      <c r="B54" s="10" t="s">
        <v>28</v>
      </c>
    </row>
    <row r="55" spans="1:9" ht="15.6" x14ac:dyDescent="0.3">
      <c r="B55" s="10"/>
    </row>
    <row r="56" spans="1:9" x14ac:dyDescent="0.25">
      <c r="B56" s="35" t="s">
        <v>30</v>
      </c>
      <c r="C56" s="32"/>
      <c r="D56" s="33"/>
      <c r="E56" s="33"/>
      <c r="F56" s="75">
        <v>164800889.13999999</v>
      </c>
      <c r="G56" s="62">
        <f>+F56/F56</f>
        <v>1</v>
      </c>
    </row>
    <row r="57" spans="1:9" ht="15.6" x14ac:dyDescent="0.3">
      <c r="B57" s="10"/>
    </row>
    <row r="58" spans="1:9" x14ac:dyDescent="0.25">
      <c r="B58" s="21" t="s">
        <v>234</v>
      </c>
      <c r="C58" s="32"/>
      <c r="D58" s="33"/>
      <c r="E58" s="33"/>
      <c r="F58" s="39">
        <v>19873257.460000001</v>
      </c>
    </row>
    <row r="59" spans="1:9" x14ac:dyDescent="0.25">
      <c r="B59" s="35" t="s">
        <v>34</v>
      </c>
      <c r="C59" s="32"/>
      <c r="D59" s="33"/>
      <c r="E59" s="33"/>
      <c r="F59" s="39">
        <f>SUM(F58:F58)</f>
        <v>19873257.460000001</v>
      </c>
      <c r="G59" s="62">
        <f>+F59/F56</f>
        <v>0.12058950387772163</v>
      </c>
    </row>
    <row r="60" spans="1:9" ht="15.6" x14ac:dyDescent="0.3">
      <c r="B60" s="10"/>
    </row>
    <row r="61" spans="1:9" s="21" customFormat="1" x14ac:dyDescent="0.25">
      <c r="A61" s="32"/>
      <c r="B61" s="21" t="s">
        <v>145</v>
      </c>
      <c r="C61" s="32"/>
      <c r="D61" s="33"/>
      <c r="E61" s="33"/>
      <c r="F61" s="6">
        <v>10287.86</v>
      </c>
      <c r="I61" s="36"/>
    </row>
    <row r="62" spans="1:9" s="21" customFormat="1" x14ac:dyDescent="0.25">
      <c r="A62" s="32"/>
      <c r="B62" s="21" t="s">
        <v>249</v>
      </c>
      <c r="C62" s="32"/>
      <c r="D62" s="33"/>
      <c r="E62" s="33"/>
      <c r="F62" s="39">
        <v>11.86</v>
      </c>
      <c r="I62" s="36"/>
    </row>
    <row r="63" spans="1:9" x14ac:dyDescent="0.25">
      <c r="B63" s="1" t="s">
        <v>54</v>
      </c>
      <c r="F63" s="40">
        <f>SUM(F61:F62)</f>
        <v>10299.720000000001</v>
      </c>
      <c r="G63" s="62">
        <f>+F63/F56</f>
        <v>6.2497963777672871E-5</v>
      </c>
    </row>
    <row r="64" spans="1:9" x14ac:dyDescent="0.25">
      <c r="B64" s="1"/>
      <c r="F64" s="36"/>
      <c r="G64" s="62"/>
    </row>
    <row r="65" spans="1:9" s="21" customFormat="1" x14ac:dyDescent="0.25">
      <c r="A65" s="32"/>
      <c r="B65" s="21" t="s">
        <v>214</v>
      </c>
      <c r="C65" s="32"/>
      <c r="D65" s="33"/>
      <c r="E65" s="33"/>
      <c r="F65" s="39">
        <v>2914418.97</v>
      </c>
      <c r="G65" s="62">
        <f>+F65/F56</f>
        <v>1.7684485716118754E-2</v>
      </c>
      <c r="I65" s="36">
        <f>SUM(F16:F23)-F65</f>
        <v>0</v>
      </c>
    </row>
    <row r="66" spans="1:9" ht="15.6" x14ac:dyDescent="0.3">
      <c r="B66" s="10"/>
    </row>
    <row r="67" spans="1:9" ht="16.2" thickBot="1" x14ac:dyDescent="0.35">
      <c r="B67" s="44" t="s">
        <v>36</v>
      </c>
      <c r="C67" s="48"/>
      <c r="D67" s="49"/>
      <c r="E67" s="49"/>
      <c r="F67" s="50">
        <f>+F56-F59-F63+F65</f>
        <v>147831750.92999998</v>
      </c>
      <c r="G67" s="63">
        <f>+F67/F56</f>
        <v>0.89703248387461942</v>
      </c>
      <c r="I67" s="25">
        <f>+F42-F67</f>
        <v>0</v>
      </c>
    </row>
    <row r="68" spans="1:9" ht="15.6" x14ac:dyDescent="0.3">
      <c r="B68" s="37"/>
      <c r="C68" s="32"/>
      <c r="D68" s="33"/>
      <c r="E68" s="33"/>
      <c r="F68" s="38"/>
    </row>
    <row r="69" spans="1:9" ht="15.6" x14ac:dyDescent="0.3">
      <c r="B69" s="10"/>
    </row>
    <row r="70" spans="1:9" ht="15.6" x14ac:dyDescent="0.3">
      <c r="B70" s="37" t="s">
        <v>35</v>
      </c>
      <c r="C70" s="32"/>
      <c r="D70" s="33"/>
      <c r="E70" s="33"/>
      <c r="F70" s="21"/>
    </row>
    <row r="71" spans="1:9" ht="15.6" x14ac:dyDescent="0.3">
      <c r="B71" s="37"/>
      <c r="C71" s="32"/>
      <c r="D71" s="33"/>
      <c r="E71" s="33"/>
      <c r="F71" s="21"/>
    </row>
    <row r="72" spans="1:9" x14ac:dyDescent="0.25">
      <c r="B72" s="35" t="s">
        <v>30</v>
      </c>
      <c r="C72" s="32"/>
      <c r="D72" s="33"/>
      <c r="E72" s="33"/>
      <c r="F72" s="75">
        <v>151345661.16999999</v>
      </c>
      <c r="G72" s="62">
        <f>+F72/F72</f>
        <v>1</v>
      </c>
    </row>
    <row r="73" spans="1:9" ht="15.6" x14ac:dyDescent="0.3">
      <c r="B73" s="10"/>
    </row>
    <row r="74" spans="1:9" x14ac:dyDescent="0.25">
      <c r="B74" s="21" t="s">
        <v>225</v>
      </c>
      <c r="C74" s="32"/>
      <c r="D74" s="33"/>
      <c r="E74" s="33"/>
      <c r="F74" s="39">
        <v>10545264.26</v>
      </c>
    </row>
    <row r="75" spans="1:9" x14ac:dyDescent="0.25">
      <c r="B75" s="35" t="s">
        <v>42</v>
      </c>
      <c r="C75" s="32"/>
      <c r="D75" s="33"/>
      <c r="E75" s="33"/>
      <c r="F75" s="39">
        <f>SUM(F74:F74)</f>
        <v>10545264.26</v>
      </c>
      <c r="G75" s="62">
        <f>+F75/F72</f>
        <v>6.9676686985793157E-2</v>
      </c>
    </row>
    <row r="76" spans="1:9" ht="15.6" x14ac:dyDescent="0.3">
      <c r="B76" s="10"/>
    </row>
    <row r="77" spans="1:9" x14ac:dyDescent="0.25">
      <c r="B77" s="21" t="s">
        <v>161</v>
      </c>
      <c r="C77" s="32"/>
      <c r="D77" s="33"/>
      <c r="E77" s="33"/>
      <c r="F77" s="36">
        <v>199009.41</v>
      </c>
    </row>
    <row r="78" spans="1:9" x14ac:dyDescent="0.25">
      <c r="B78" s="21" t="s">
        <v>170</v>
      </c>
      <c r="C78" s="32"/>
      <c r="D78" s="33"/>
      <c r="E78" s="33"/>
      <c r="F78" s="36">
        <v>4823460.43</v>
      </c>
    </row>
    <row r="79" spans="1:9" x14ac:dyDescent="0.25">
      <c r="B79" s="21" t="s">
        <v>156</v>
      </c>
      <c r="C79" s="32"/>
      <c r="D79" s="33"/>
      <c r="E79" s="33"/>
      <c r="F79" s="36">
        <v>1397547.35</v>
      </c>
    </row>
    <row r="80" spans="1:9" x14ac:dyDescent="0.25">
      <c r="B80" s="21" t="s">
        <v>154</v>
      </c>
      <c r="C80" s="32"/>
      <c r="D80" s="33"/>
      <c r="E80" s="33"/>
      <c r="F80" s="36">
        <v>35962.31</v>
      </c>
    </row>
    <row r="81" spans="2:9" x14ac:dyDescent="0.25">
      <c r="B81" s="21" t="s">
        <v>155</v>
      </c>
      <c r="C81" s="32"/>
      <c r="D81" s="33"/>
      <c r="E81" s="33"/>
      <c r="F81" s="36">
        <v>496649.48</v>
      </c>
    </row>
    <row r="82" spans="2:9" x14ac:dyDescent="0.25">
      <c r="B82" s="21" t="s">
        <v>148</v>
      </c>
      <c r="C82" s="32"/>
      <c r="D82" s="33"/>
      <c r="E82" s="33"/>
      <c r="F82" s="36">
        <v>3791.74</v>
      </c>
    </row>
    <row r="83" spans="2:9" x14ac:dyDescent="0.25">
      <c r="B83" s="21" t="s">
        <v>173</v>
      </c>
      <c r="C83" s="32"/>
      <c r="D83" s="33"/>
      <c r="E83" s="33"/>
      <c r="F83" s="36">
        <v>221.84</v>
      </c>
    </row>
    <row r="84" spans="2:9" x14ac:dyDescent="0.25">
      <c r="B84" s="21" t="s">
        <v>165</v>
      </c>
      <c r="C84" s="32"/>
      <c r="D84" s="33"/>
      <c r="E84" s="33"/>
      <c r="F84" s="36">
        <v>1083861.8500000001</v>
      </c>
    </row>
    <row r="85" spans="2:9" x14ac:dyDescent="0.25">
      <c r="B85" s="21" t="s">
        <v>146</v>
      </c>
      <c r="C85" s="32"/>
      <c r="D85" s="33"/>
      <c r="E85" s="33"/>
      <c r="F85" s="36">
        <v>4743.92</v>
      </c>
    </row>
    <row r="86" spans="2:9" x14ac:dyDescent="0.25">
      <c r="B86" s="21" t="s">
        <v>179</v>
      </c>
      <c r="C86" s="32"/>
      <c r="D86" s="33"/>
      <c r="E86" s="33"/>
      <c r="F86" s="36">
        <v>282970.2</v>
      </c>
    </row>
    <row r="87" spans="2:9" x14ac:dyDescent="0.25">
      <c r="B87" s="21" t="s">
        <v>204</v>
      </c>
      <c r="C87" s="32"/>
      <c r="D87" s="33"/>
      <c r="E87" s="33"/>
      <c r="F87" s="36">
        <v>659.91</v>
      </c>
    </row>
    <row r="88" spans="2:9" x14ac:dyDescent="0.25">
      <c r="B88" s="21" t="s">
        <v>205</v>
      </c>
      <c r="C88" s="32"/>
      <c r="D88" s="33"/>
      <c r="E88" s="33"/>
      <c r="F88" s="36">
        <v>8065.76</v>
      </c>
    </row>
    <row r="89" spans="2:9" x14ac:dyDescent="0.25">
      <c r="B89" s="21" t="s">
        <v>227</v>
      </c>
      <c r="C89" s="32"/>
      <c r="D89" s="33"/>
      <c r="E89" s="33"/>
      <c r="F89" s="36">
        <v>294618.96000000002</v>
      </c>
    </row>
    <row r="90" spans="2:9" x14ac:dyDescent="0.25">
      <c r="B90" s="21" t="s">
        <v>235</v>
      </c>
      <c r="C90" s="32"/>
      <c r="D90" s="33"/>
      <c r="E90" s="33"/>
      <c r="F90" s="40">
        <v>-751301.31</v>
      </c>
    </row>
    <row r="91" spans="2:9" x14ac:dyDescent="0.25">
      <c r="B91" s="1" t="s">
        <v>54</v>
      </c>
      <c r="C91" s="32"/>
      <c r="D91" s="33"/>
      <c r="E91" s="33"/>
      <c r="F91" s="40">
        <f>SUM(F77:F90)</f>
        <v>7880261.8499999978</v>
      </c>
      <c r="G91" s="62">
        <f>+F91/F72</f>
        <v>5.2067973333893222E-2</v>
      </c>
    </row>
    <row r="92" spans="2:9" ht="15.6" x14ac:dyDescent="0.3">
      <c r="B92" s="10"/>
    </row>
    <row r="93" spans="2:9" ht="16.2" thickBot="1" x14ac:dyDescent="0.35">
      <c r="B93" s="44" t="s">
        <v>37</v>
      </c>
      <c r="C93" s="48"/>
      <c r="D93" s="49"/>
      <c r="E93" s="49"/>
      <c r="F93" s="50">
        <f>+F72-F75-F91</f>
        <v>132920135.06</v>
      </c>
      <c r="G93" s="63">
        <f>+F93/F72</f>
        <v>0.87825533968031366</v>
      </c>
      <c r="I93" s="25">
        <f>+F9-F93</f>
        <v>0</v>
      </c>
    </row>
    <row r="94" spans="2:9" ht="15.6" x14ac:dyDescent="0.3">
      <c r="B94" s="10"/>
    </row>
  </sheetData>
  <phoneticPr fontId="0" type="noConversion"/>
  <pageMargins left="0.5" right="0.25" top="0.5" bottom="0.5" header="0.5" footer="0"/>
  <pageSetup scale="85" orientation="portrait" r:id="rId1"/>
  <headerFooter alignWithMargins="0">
    <oddFooter>&amp;LCertification November 29, 2001&amp;CPage &amp;P of &amp;N&amp;RTrade Month July 2001</oddFooter>
  </headerFooter>
  <rowBreaks count="1" manualBreakCount="1">
    <brk id="48"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Cert Nov-00</vt:lpstr>
      <vt:lpstr>Cert Dec-00</vt:lpstr>
      <vt:lpstr>Cert Jan-01</vt:lpstr>
      <vt:lpstr>Cert Feb-01</vt:lpstr>
      <vt:lpstr>Cert Mar-01</vt:lpstr>
      <vt:lpstr>Cert Apr-01</vt:lpstr>
      <vt:lpstr>Cert May-01</vt:lpstr>
      <vt:lpstr>Cert Jun-01</vt:lpstr>
      <vt:lpstr>Cert Jul-01 </vt:lpstr>
      <vt:lpstr>Cert Aug-01</vt:lpstr>
      <vt:lpstr>Certification</vt:lpstr>
      <vt:lpstr>'Cert Apr-01'!Print_Area</vt:lpstr>
      <vt:lpstr>'Cert Aug-01'!Print_Area</vt:lpstr>
      <vt:lpstr>'Cert Dec-00'!Print_Area</vt:lpstr>
      <vt:lpstr>'Cert Feb-01'!Print_Area</vt:lpstr>
      <vt:lpstr>'Cert Jan-01'!Print_Area</vt:lpstr>
      <vt:lpstr>'Cert Jul-01 '!Print_Area</vt:lpstr>
      <vt:lpstr>'Cert Jun-01'!Print_Area</vt:lpstr>
      <vt:lpstr>'Cert Mar-01'!Print_Area</vt:lpstr>
      <vt:lpstr>'Cert May-01'!Print_Area</vt:lpstr>
      <vt:lpstr>'Cert Nov-00'!Print_Area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and Caldwell</dc:creator>
  <cp:lastModifiedBy>Havlíček Jan</cp:lastModifiedBy>
  <cp:lastPrinted>2001-11-28T22:59:10Z</cp:lastPrinted>
  <dcterms:created xsi:type="dcterms:W3CDTF">1998-02-17T01:41:47Z</dcterms:created>
  <dcterms:modified xsi:type="dcterms:W3CDTF">2023-09-10T15:29:14Z</dcterms:modified>
</cp:coreProperties>
</file>