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4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5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drawings/drawing6.xml" ContentType="application/vnd.openxmlformats-officedocument.drawing+xml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drawings/drawing7.xml" ContentType="application/vnd.openxmlformats-officedocument.drawing+xml"/>
  <Override PartName="/xl/embeddings/oleObject13.bin" ContentType="application/vnd.openxmlformats-officedocument.oleObject"/>
  <Override PartName="/xl/drawings/drawing8.xml" ContentType="application/vnd.openxmlformats-officedocument.drawing+xml"/>
  <Override PartName="/xl/embeddings/oleObject14.bin" ContentType="application/vnd.openxmlformats-officedocument.oleObject"/>
  <Override PartName="/xl/drawings/drawing9.xml" ContentType="application/vnd.openxmlformats-officedocument.drawing+xml"/>
  <Override PartName="/xl/embeddings/oleObject15.bin" ContentType="application/vnd.openxmlformats-officedocument.oleObject"/>
  <Override PartName="/xl/drawings/drawing10.xml" ContentType="application/vnd.openxmlformats-officedocument.drawing+xml"/>
  <Override PartName="/xl/embeddings/oleObject16.bin" ContentType="application/vnd.openxmlformats-officedocument.oleObject"/>
  <Override PartName="/xl/drawings/drawing11.xml" ContentType="application/vnd.openxmlformats-officedocument.drawing+xml"/>
  <Override PartName="/xl/embeddings/oleObject17.bin" ContentType="application/vnd.openxmlformats-officedocument.oleObject"/>
  <Override PartName="/xl/drawings/drawing12.xml" ContentType="application/vnd.openxmlformats-officedocument.drawing+xml"/>
  <Override PartName="/xl/embeddings/oleObject18.bin" ContentType="application/vnd.openxmlformats-officedocument.oleObject"/>
  <Override PartName="/xl/drawings/drawing13.xml" ContentType="application/vnd.openxmlformats-officedocument.drawing+xml"/>
  <Override PartName="/xl/embeddings/oleObject19.bin" ContentType="application/vnd.openxmlformats-officedocument.oleObject"/>
  <Override PartName="/xl/drawings/drawing14.xml" ContentType="application/vnd.openxmlformats-officedocument.drawing+xml"/>
  <Override PartName="/xl/embeddings/oleObject20.bin" ContentType="application/vnd.openxmlformats-officedocument.oleObject"/>
  <Override PartName="/xl/drawings/drawing15.xml" ContentType="application/vnd.openxmlformats-officedocument.drawing+xml"/>
  <Override PartName="/xl/embeddings/oleObject21.bin" ContentType="application/vnd.openxmlformats-officedocument.oleObject"/>
  <Override PartName="/xl/drawings/drawing16.xml" ContentType="application/vnd.openxmlformats-officedocument.drawing+xml"/>
  <Override PartName="/xl/embeddings/oleObject22.bin" ContentType="application/vnd.openxmlformats-officedocument.oleObject"/>
  <Override PartName="/xl/drawings/drawing17.xml" ContentType="application/vnd.openxmlformats-officedocument.drawing+xml"/>
  <Override PartName="/xl/embeddings/oleObject23.bin" ContentType="application/vnd.openxmlformats-officedocument.oleObject"/>
  <Override PartName="/xl/drawings/drawing18.xml" ContentType="application/vnd.openxmlformats-officedocument.drawing+xml"/>
  <Override PartName="/xl/embeddings/oleObject24.bin" ContentType="application/vnd.openxmlformats-officedocument.oleObject"/>
  <Override PartName="/xl/drawings/drawing19.xml" ContentType="application/vnd.openxmlformats-officedocument.drawing+xml"/>
  <Override PartName="/xl/embeddings/oleObject25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5796" windowHeight="8580" tabRatio="885" activeTab="1"/>
  </bookViews>
  <sheets>
    <sheet name="Index Pricing" sheetId="1" r:id="rId1"/>
    <sheet name="Independent Summary" sheetId="8" r:id="rId2"/>
    <sheet name="Independent Detail" sheetId="6" r:id="rId3"/>
    <sheet name="Kennedy Summary" sheetId="9" r:id="rId4"/>
    <sheet name="Box Draw Detail" sheetId="2" r:id="rId5"/>
    <sheet name="S Kitty Detail" sheetId="36" r:id="rId6"/>
    <sheet name="Internal Kennedy Total" sheetId="35" r:id="rId7"/>
    <sheet name="Kennedy Gas Daily Pricing" sheetId="39" r:id="rId8"/>
    <sheet name="MTG Summary" sheetId="12" r:id="rId9"/>
    <sheet name="MTG Detail" sheetId="7" r:id="rId10"/>
    <sheet name="Phillips Summary" sheetId="10" r:id="rId11"/>
    <sheet name="Phillips Detail" sheetId="3" r:id="rId12"/>
    <sheet name="Internal Phillips Combined" sheetId="31" r:id="rId13"/>
    <sheet name="Quantum Summary" sheetId="27" r:id="rId14"/>
    <sheet name="Quantum Detail" sheetId="26" r:id="rId15"/>
    <sheet name="Wellstar Summary" sheetId="11" r:id="rId16"/>
    <sheet name="Wellstar Detail" sheetId="5" r:id="rId17"/>
    <sheet name="North Finn Summary" sheetId="34" r:id="rId18"/>
    <sheet name="North Finn Detail" sheetId="33" r:id="rId19"/>
    <sheet name="Citation Summary" sheetId="37" r:id="rId20"/>
    <sheet name="Citation Detail" sheetId="38" r:id="rId21"/>
    <sheet name="Internal Xfer Summary" sheetId="13" r:id="rId22"/>
  </sheets>
  <externalReferences>
    <externalReference r:id="rId23"/>
  </externalReferences>
  <definedNames>
    <definedName name="_xlnm.Print_Area" localSheetId="4">'Box Draw Detail'!$A$1:$W$60</definedName>
    <definedName name="_xlnm.Print_Area" localSheetId="20">'Citation Detail'!$A$1:$I$56</definedName>
    <definedName name="_xlnm.Print_Area" localSheetId="2">'Independent Detail'!$A$1:$P$54</definedName>
    <definedName name="_xlnm.Print_Area" localSheetId="1">'Independent Summary'!$A$1:$G$46</definedName>
    <definedName name="_xlnm.Print_Area" localSheetId="6">'Internal Kennedy Total'!$A$1:$S$53</definedName>
    <definedName name="_xlnm.Print_Area" localSheetId="12">'Internal Phillips Combined'!$A$1:$H$49</definedName>
    <definedName name="_xlnm.Print_Area" localSheetId="21">'Internal Xfer Summary'!$A$1:$Q$64</definedName>
    <definedName name="_xlnm.Print_Area" localSheetId="3">'Kennedy Summary'!$A$1:$I$44</definedName>
    <definedName name="_xlnm.Print_Area" localSheetId="8">'MTG Summary'!$A$1:$H$42</definedName>
    <definedName name="_xlnm.Print_Area" localSheetId="11">'Phillips Detail'!$A$1:$U$54</definedName>
    <definedName name="_xlnm.Print_Area" localSheetId="10">'Phillips Summary'!$A$1:$G$41</definedName>
    <definedName name="_xlnm.Print_Area" localSheetId="5">'S Kitty Detail'!$A$1:$W$61</definedName>
    <definedName name="_xlnm.Print_Area" localSheetId="15">'Wellstar Summary'!$A$1:$H$38</definedName>
  </definedNames>
  <calcPr calcId="92512"/>
</workbook>
</file>

<file path=xl/calcChain.xml><?xml version="1.0" encoding="utf-8"?>
<calcChain xmlns="http://schemas.openxmlformats.org/spreadsheetml/2006/main">
  <c r="S1" i="2" l="1"/>
  <c r="A2" i="2"/>
  <c r="C5" i="2"/>
  <c r="C6" i="2"/>
  <c r="C7" i="2"/>
  <c r="C8" i="2"/>
  <c r="B11" i="2"/>
  <c r="C11" i="2"/>
  <c r="D11" i="2"/>
  <c r="B12" i="2"/>
  <c r="C12" i="2"/>
  <c r="D12" i="2"/>
  <c r="F15" i="2"/>
  <c r="D16" i="2"/>
  <c r="I16" i="2"/>
  <c r="K16" i="2"/>
  <c r="D17" i="2"/>
  <c r="E17" i="2"/>
  <c r="F17" i="2"/>
  <c r="I17" i="2"/>
  <c r="K17" i="2"/>
  <c r="D18" i="2"/>
  <c r="I18" i="2"/>
  <c r="K18" i="2"/>
  <c r="D19" i="2"/>
  <c r="I19" i="2"/>
  <c r="K19" i="2"/>
  <c r="D20" i="2"/>
  <c r="F20" i="2"/>
  <c r="I20" i="2"/>
  <c r="K20" i="2"/>
  <c r="F24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A55" i="2"/>
  <c r="B55" i="2"/>
  <c r="C55" i="2"/>
  <c r="E55" i="2"/>
  <c r="G55" i="2"/>
  <c r="I55" i="2"/>
  <c r="K55" i="2"/>
  <c r="M55" i="2"/>
  <c r="N55" i="2"/>
  <c r="O55" i="2"/>
  <c r="P55" i="2"/>
  <c r="Q55" i="2"/>
  <c r="R55" i="2"/>
  <c r="S55" i="2"/>
  <c r="T55" i="2"/>
  <c r="U55" i="2"/>
  <c r="D57" i="2"/>
  <c r="F57" i="2"/>
  <c r="H57" i="2"/>
  <c r="J57" i="2"/>
  <c r="L57" i="2"/>
  <c r="M57" i="2"/>
  <c r="N57" i="2"/>
  <c r="O57" i="2"/>
  <c r="P57" i="2"/>
  <c r="Q57" i="2"/>
  <c r="R57" i="2"/>
  <c r="S57" i="2"/>
  <c r="T57" i="2"/>
  <c r="U57" i="2"/>
  <c r="R59" i="2"/>
  <c r="M1" i="38"/>
  <c r="A2" i="38"/>
  <c r="B11" i="38"/>
  <c r="D14" i="38"/>
  <c r="E14" i="38"/>
  <c r="F14" i="38"/>
  <c r="G14" i="38"/>
  <c r="A20" i="38"/>
  <c r="B20" i="38"/>
  <c r="C20" i="38"/>
  <c r="D20" i="38"/>
  <c r="F20" i="38"/>
  <c r="G20" i="38"/>
  <c r="H20" i="38"/>
  <c r="I20" i="38"/>
  <c r="A21" i="38"/>
  <c r="B21" i="38"/>
  <c r="C21" i="38"/>
  <c r="D21" i="38"/>
  <c r="F21" i="38"/>
  <c r="G21" i="38"/>
  <c r="H21" i="38"/>
  <c r="I21" i="38"/>
  <c r="A22" i="38"/>
  <c r="B22" i="38"/>
  <c r="C22" i="38"/>
  <c r="D22" i="38"/>
  <c r="F22" i="38"/>
  <c r="G22" i="38"/>
  <c r="H22" i="38"/>
  <c r="I22" i="38"/>
  <c r="A23" i="38"/>
  <c r="B23" i="38"/>
  <c r="C23" i="38"/>
  <c r="D23" i="38"/>
  <c r="F23" i="38"/>
  <c r="G23" i="38"/>
  <c r="H23" i="38"/>
  <c r="I23" i="38"/>
  <c r="B24" i="38"/>
  <c r="C24" i="38"/>
  <c r="D24" i="38"/>
  <c r="F24" i="38"/>
  <c r="G24" i="38"/>
  <c r="H24" i="38"/>
  <c r="I24" i="38"/>
  <c r="A25" i="38"/>
  <c r="B25" i="38"/>
  <c r="C25" i="38"/>
  <c r="D25" i="38"/>
  <c r="F25" i="38"/>
  <c r="G25" i="38"/>
  <c r="H25" i="38"/>
  <c r="I25" i="38"/>
  <c r="A26" i="38"/>
  <c r="B26" i="38"/>
  <c r="C26" i="38"/>
  <c r="D26" i="38"/>
  <c r="F26" i="38"/>
  <c r="G26" i="38"/>
  <c r="H26" i="38"/>
  <c r="I26" i="38"/>
  <c r="A27" i="38"/>
  <c r="B27" i="38"/>
  <c r="C27" i="38"/>
  <c r="D27" i="38"/>
  <c r="F27" i="38"/>
  <c r="G27" i="38"/>
  <c r="H27" i="38"/>
  <c r="I27" i="38"/>
  <c r="A28" i="38"/>
  <c r="B28" i="38"/>
  <c r="C28" i="38"/>
  <c r="D28" i="38"/>
  <c r="F28" i="38"/>
  <c r="G28" i="38"/>
  <c r="H28" i="38"/>
  <c r="I28" i="38"/>
  <c r="A29" i="38"/>
  <c r="B29" i="38"/>
  <c r="C29" i="38"/>
  <c r="D29" i="38"/>
  <c r="F29" i="38"/>
  <c r="G29" i="38"/>
  <c r="H29" i="38"/>
  <c r="I29" i="38"/>
  <c r="A30" i="38"/>
  <c r="B30" i="38"/>
  <c r="C30" i="38"/>
  <c r="D30" i="38"/>
  <c r="F30" i="38"/>
  <c r="G30" i="38"/>
  <c r="H30" i="38"/>
  <c r="I30" i="38"/>
  <c r="A31" i="38"/>
  <c r="B31" i="38"/>
  <c r="C31" i="38"/>
  <c r="D31" i="38"/>
  <c r="F31" i="38"/>
  <c r="G31" i="38"/>
  <c r="H31" i="38"/>
  <c r="I31" i="38"/>
  <c r="A32" i="38"/>
  <c r="B32" i="38"/>
  <c r="C32" i="38"/>
  <c r="D32" i="38"/>
  <c r="F32" i="38"/>
  <c r="G32" i="38"/>
  <c r="H32" i="38"/>
  <c r="I32" i="38"/>
  <c r="A33" i="38"/>
  <c r="B33" i="38"/>
  <c r="C33" i="38"/>
  <c r="D33" i="38"/>
  <c r="F33" i="38"/>
  <c r="G33" i="38"/>
  <c r="H33" i="38"/>
  <c r="I33" i="38"/>
  <c r="A34" i="38"/>
  <c r="B34" i="38"/>
  <c r="C34" i="38"/>
  <c r="D34" i="38"/>
  <c r="F34" i="38"/>
  <c r="G34" i="38"/>
  <c r="H34" i="38"/>
  <c r="I34" i="38"/>
  <c r="A35" i="38"/>
  <c r="B35" i="38"/>
  <c r="C35" i="38"/>
  <c r="D35" i="38"/>
  <c r="F35" i="38"/>
  <c r="G35" i="38"/>
  <c r="H35" i="38"/>
  <c r="I35" i="38"/>
  <c r="A36" i="38"/>
  <c r="B36" i="38"/>
  <c r="C36" i="38"/>
  <c r="D36" i="38"/>
  <c r="F36" i="38"/>
  <c r="G36" i="38"/>
  <c r="H36" i="38"/>
  <c r="I36" i="38"/>
  <c r="A37" i="38"/>
  <c r="B37" i="38"/>
  <c r="C37" i="38"/>
  <c r="D37" i="38"/>
  <c r="F37" i="38"/>
  <c r="G37" i="38"/>
  <c r="H37" i="38"/>
  <c r="I37" i="38"/>
  <c r="A38" i="38"/>
  <c r="B38" i="38"/>
  <c r="C38" i="38"/>
  <c r="D38" i="38"/>
  <c r="F38" i="38"/>
  <c r="G38" i="38"/>
  <c r="H38" i="38"/>
  <c r="I38" i="38"/>
  <c r="A39" i="38"/>
  <c r="B39" i="38"/>
  <c r="C39" i="38"/>
  <c r="D39" i="38"/>
  <c r="F39" i="38"/>
  <c r="G39" i="38"/>
  <c r="H39" i="38"/>
  <c r="I39" i="38"/>
  <c r="A40" i="38"/>
  <c r="B40" i="38"/>
  <c r="C40" i="38"/>
  <c r="D40" i="38"/>
  <c r="F40" i="38"/>
  <c r="G40" i="38"/>
  <c r="H40" i="38"/>
  <c r="I40" i="38"/>
  <c r="A41" i="38"/>
  <c r="B41" i="38"/>
  <c r="C41" i="38"/>
  <c r="D41" i="38"/>
  <c r="F41" i="38"/>
  <c r="G41" i="38"/>
  <c r="H41" i="38"/>
  <c r="I41" i="38"/>
  <c r="A42" i="38"/>
  <c r="B42" i="38"/>
  <c r="C42" i="38"/>
  <c r="D42" i="38"/>
  <c r="F42" i="38"/>
  <c r="G42" i="38"/>
  <c r="H42" i="38"/>
  <c r="I42" i="38"/>
  <c r="A43" i="38"/>
  <c r="B43" i="38"/>
  <c r="C43" i="38"/>
  <c r="D43" i="38"/>
  <c r="F43" i="38"/>
  <c r="G43" i="38"/>
  <c r="H43" i="38"/>
  <c r="I43" i="38"/>
  <c r="A44" i="38"/>
  <c r="B44" i="38"/>
  <c r="C44" i="38"/>
  <c r="D44" i="38"/>
  <c r="F44" i="38"/>
  <c r="G44" i="38"/>
  <c r="H44" i="38"/>
  <c r="I44" i="38"/>
  <c r="A45" i="38"/>
  <c r="B45" i="38"/>
  <c r="C45" i="38"/>
  <c r="D45" i="38"/>
  <c r="F45" i="38"/>
  <c r="G45" i="38"/>
  <c r="H45" i="38"/>
  <c r="I45" i="38"/>
  <c r="A46" i="38"/>
  <c r="B46" i="38"/>
  <c r="C46" i="38"/>
  <c r="D46" i="38"/>
  <c r="F46" i="38"/>
  <c r="G46" i="38"/>
  <c r="H46" i="38"/>
  <c r="I46" i="38"/>
  <c r="A47" i="38"/>
  <c r="B47" i="38"/>
  <c r="C47" i="38"/>
  <c r="D47" i="38"/>
  <c r="F47" i="38"/>
  <c r="G47" i="38"/>
  <c r="H47" i="38"/>
  <c r="I47" i="38"/>
  <c r="A48" i="38"/>
  <c r="B48" i="38"/>
  <c r="C48" i="38"/>
  <c r="D48" i="38"/>
  <c r="F48" i="38"/>
  <c r="G48" i="38"/>
  <c r="H48" i="38"/>
  <c r="I48" i="38"/>
  <c r="A49" i="38"/>
  <c r="B49" i="38"/>
  <c r="C49" i="38"/>
  <c r="D49" i="38"/>
  <c r="F49" i="38"/>
  <c r="G49" i="38"/>
  <c r="H49" i="38"/>
  <c r="I49" i="38"/>
  <c r="D52" i="38"/>
  <c r="F52" i="38"/>
  <c r="G52" i="38"/>
  <c r="H52" i="38"/>
  <c r="I52" i="38"/>
  <c r="F54" i="38"/>
  <c r="H54" i="38"/>
  <c r="I54" i="38"/>
  <c r="G3" i="37"/>
  <c r="A12" i="37"/>
  <c r="A14" i="37"/>
  <c r="A19" i="37"/>
  <c r="C19" i="37"/>
  <c r="D19" i="37"/>
  <c r="E19" i="37"/>
  <c r="F19" i="37"/>
  <c r="G19" i="37"/>
  <c r="A20" i="37"/>
  <c r="E20" i="37"/>
  <c r="F20" i="37"/>
  <c r="E21" i="37"/>
  <c r="F21" i="37"/>
  <c r="G21" i="37"/>
  <c r="G35" i="37"/>
  <c r="N1" i="6"/>
  <c r="A2" i="6"/>
  <c r="B5" i="6"/>
  <c r="B6" i="6"/>
  <c r="A7" i="6"/>
  <c r="B7" i="6"/>
  <c r="A8" i="6"/>
  <c r="B8" i="6"/>
  <c r="F12" i="6"/>
  <c r="D13" i="6"/>
  <c r="I13" i="6"/>
  <c r="J13" i="6"/>
  <c r="D14" i="6"/>
  <c r="E14" i="6"/>
  <c r="F14" i="6"/>
  <c r="I14" i="6"/>
  <c r="J14" i="6"/>
  <c r="D15" i="6"/>
  <c r="E15" i="6"/>
  <c r="F15" i="6"/>
  <c r="I15" i="6"/>
  <c r="J15" i="6"/>
  <c r="A19" i="6"/>
  <c r="B19" i="6"/>
  <c r="C19" i="6"/>
  <c r="D19" i="6"/>
  <c r="E19" i="6"/>
  <c r="F19" i="6"/>
  <c r="G19" i="6"/>
  <c r="H19" i="6"/>
  <c r="J19" i="6"/>
  <c r="K19" i="6"/>
  <c r="L19" i="6"/>
  <c r="M19" i="6"/>
  <c r="N19" i="6"/>
  <c r="O19" i="6"/>
  <c r="A20" i="6"/>
  <c r="B20" i="6"/>
  <c r="C20" i="6"/>
  <c r="D20" i="6"/>
  <c r="E20" i="6"/>
  <c r="F20" i="6"/>
  <c r="G20" i="6"/>
  <c r="H20" i="6"/>
  <c r="J20" i="6"/>
  <c r="K20" i="6"/>
  <c r="L20" i="6"/>
  <c r="M20" i="6"/>
  <c r="N20" i="6"/>
  <c r="O20" i="6"/>
  <c r="A21" i="6"/>
  <c r="B21" i="6"/>
  <c r="C21" i="6"/>
  <c r="D21" i="6"/>
  <c r="E21" i="6"/>
  <c r="F21" i="6"/>
  <c r="G21" i="6"/>
  <c r="H21" i="6"/>
  <c r="J21" i="6"/>
  <c r="K21" i="6"/>
  <c r="L21" i="6"/>
  <c r="M21" i="6"/>
  <c r="N21" i="6"/>
  <c r="O21" i="6"/>
  <c r="A22" i="6"/>
  <c r="B22" i="6"/>
  <c r="C22" i="6"/>
  <c r="D22" i="6"/>
  <c r="E22" i="6"/>
  <c r="F22" i="6"/>
  <c r="G22" i="6"/>
  <c r="H22" i="6"/>
  <c r="J22" i="6"/>
  <c r="K22" i="6"/>
  <c r="L22" i="6"/>
  <c r="M22" i="6"/>
  <c r="N22" i="6"/>
  <c r="O22" i="6"/>
  <c r="A23" i="6"/>
  <c r="B23" i="6"/>
  <c r="C23" i="6"/>
  <c r="D23" i="6"/>
  <c r="E23" i="6"/>
  <c r="F23" i="6"/>
  <c r="G23" i="6"/>
  <c r="H23" i="6"/>
  <c r="J23" i="6"/>
  <c r="K23" i="6"/>
  <c r="L23" i="6"/>
  <c r="M23" i="6"/>
  <c r="N23" i="6"/>
  <c r="O23" i="6"/>
  <c r="A24" i="6"/>
  <c r="B24" i="6"/>
  <c r="C24" i="6"/>
  <c r="D24" i="6"/>
  <c r="E24" i="6"/>
  <c r="F24" i="6"/>
  <c r="G24" i="6"/>
  <c r="H24" i="6"/>
  <c r="J24" i="6"/>
  <c r="K24" i="6"/>
  <c r="L24" i="6"/>
  <c r="M24" i="6"/>
  <c r="N24" i="6"/>
  <c r="O24" i="6"/>
  <c r="A25" i="6"/>
  <c r="B25" i="6"/>
  <c r="C25" i="6"/>
  <c r="D25" i="6"/>
  <c r="E25" i="6"/>
  <c r="F25" i="6"/>
  <c r="G25" i="6"/>
  <c r="H25" i="6"/>
  <c r="J25" i="6"/>
  <c r="K25" i="6"/>
  <c r="L25" i="6"/>
  <c r="M25" i="6"/>
  <c r="N25" i="6"/>
  <c r="O25" i="6"/>
  <c r="A26" i="6"/>
  <c r="B26" i="6"/>
  <c r="C26" i="6"/>
  <c r="D26" i="6"/>
  <c r="E26" i="6"/>
  <c r="F26" i="6"/>
  <c r="G26" i="6"/>
  <c r="H26" i="6"/>
  <c r="J26" i="6"/>
  <c r="K26" i="6"/>
  <c r="L26" i="6"/>
  <c r="M26" i="6"/>
  <c r="N26" i="6"/>
  <c r="O26" i="6"/>
  <c r="A27" i="6"/>
  <c r="B27" i="6"/>
  <c r="C27" i="6"/>
  <c r="D27" i="6"/>
  <c r="E27" i="6"/>
  <c r="F27" i="6"/>
  <c r="G27" i="6"/>
  <c r="H27" i="6"/>
  <c r="J27" i="6"/>
  <c r="K27" i="6"/>
  <c r="L27" i="6"/>
  <c r="M27" i="6"/>
  <c r="N27" i="6"/>
  <c r="O27" i="6"/>
  <c r="A28" i="6"/>
  <c r="B28" i="6"/>
  <c r="C28" i="6"/>
  <c r="D28" i="6"/>
  <c r="E28" i="6"/>
  <c r="F28" i="6"/>
  <c r="G28" i="6"/>
  <c r="H28" i="6"/>
  <c r="J28" i="6"/>
  <c r="K28" i="6"/>
  <c r="L28" i="6"/>
  <c r="M28" i="6"/>
  <c r="N28" i="6"/>
  <c r="O28" i="6"/>
  <c r="A29" i="6"/>
  <c r="B29" i="6"/>
  <c r="C29" i="6"/>
  <c r="D29" i="6"/>
  <c r="E29" i="6"/>
  <c r="F29" i="6"/>
  <c r="G29" i="6"/>
  <c r="H29" i="6"/>
  <c r="J29" i="6"/>
  <c r="K29" i="6"/>
  <c r="L29" i="6"/>
  <c r="M29" i="6"/>
  <c r="N29" i="6"/>
  <c r="O29" i="6"/>
  <c r="A30" i="6"/>
  <c r="B30" i="6"/>
  <c r="C30" i="6"/>
  <c r="D30" i="6"/>
  <c r="E30" i="6"/>
  <c r="F30" i="6"/>
  <c r="G30" i="6"/>
  <c r="H30" i="6"/>
  <c r="J30" i="6"/>
  <c r="K30" i="6"/>
  <c r="L30" i="6"/>
  <c r="M30" i="6"/>
  <c r="N30" i="6"/>
  <c r="O30" i="6"/>
  <c r="A31" i="6"/>
  <c r="B31" i="6"/>
  <c r="C31" i="6"/>
  <c r="D31" i="6"/>
  <c r="E31" i="6"/>
  <c r="F31" i="6"/>
  <c r="G31" i="6"/>
  <c r="H31" i="6"/>
  <c r="J31" i="6"/>
  <c r="K31" i="6"/>
  <c r="L31" i="6"/>
  <c r="M31" i="6"/>
  <c r="N31" i="6"/>
  <c r="O31" i="6"/>
  <c r="A32" i="6"/>
  <c r="B32" i="6"/>
  <c r="C32" i="6"/>
  <c r="D32" i="6"/>
  <c r="E32" i="6"/>
  <c r="F32" i="6"/>
  <c r="G32" i="6"/>
  <c r="H32" i="6"/>
  <c r="J32" i="6"/>
  <c r="K32" i="6"/>
  <c r="L32" i="6"/>
  <c r="M32" i="6"/>
  <c r="N32" i="6"/>
  <c r="O32" i="6"/>
  <c r="A33" i="6"/>
  <c r="B33" i="6"/>
  <c r="C33" i="6"/>
  <c r="D33" i="6"/>
  <c r="E33" i="6"/>
  <c r="F33" i="6"/>
  <c r="G33" i="6"/>
  <c r="H33" i="6"/>
  <c r="J33" i="6"/>
  <c r="K33" i="6"/>
  <c r="L33" i="6"/>
  <c r="M33" i="6"/>
  <c r="N33" i="6"/>
  <c r="O33" i="6"/>
  <c r="A34" i="6"/>
  <c r="B34" i="6"/>
  <c r="C34" i="6"/>
  <c r="D34" i="6"/>
  <c r="E34" i="6"/>
  <c r="F34" i="6"/>
  <c r="G34" i="6"/>
  <c r="H34" i="6"/>
  <c r="J34" i="6"/>
  <c r="K34" i="6"/>
  <c r="L34" i="6"/>
  <c r="M34" i="6"/>
  <c r="N34" i="6"/>
  <c r="O34" i="6"/>
  <c r="A35" i="6"/>
  <c r="B35" i="6"/>
  <c r="C35" i="6"/>
  <c r="D35" i="6"/>
  <c r="E35" i="6"/>
  <c r="F35" i="6"/>
  <c r="G35" i="6"/>
  <c r="H35" i="6"/>
  <c r="J35" i="6"/>
  <c r="K35" i="6"/>
  <c r="L35" i="6"/>
  <c r="M35" i="6"/>
  <c r="N35" i="6"/>
  <c r="O35" i="6"/>
  <c r="A36" i="6"/>
  <c r="B36" i="6"/>
  <c r="C36" i="6"/>
  <c r="D36" i="6"/>
  <c r="E36" i="6"/>
  <c r="F36" i="6"/>
  <c r="G36" i="6"/>
  <c r="H36" i="6"/>
  <c r="J36" i="6"/>
  <c r="K36" i="6"/>
  <c r="L36" i="6"/>
  <c r="M36" i="6"/>
  <c r="N36" i="6"/>
  <c r="O36" i="6"/>
  <c r="A37" i="6"/>
  <c r="B37" i="6"/>
  <c r="C37" i="6"/>
  <c r="D37" i="6"/>
  <c r="E37" i="6"/>
  <c r="F37" i="6"/>
  <c r="G37" i="6"/>
  <c r="H37" i="6"/>
  <c r="J37" i="6"/>
  <c r="K37" i="6"/>
  <c r="L37" i="6"/>
  <c r="M37" i="6"/>
  <c r="N37" i="6"/>
  <c r="O37" i="6"/>
  <c r="A38" i="6"/>
  <c r="B38" i="6"/>
  <c r="C38" i="6"/>
  <c r="D38" i="6"/>
  <c r="E38" i="6"/>
  <c r="F38" i="6"/>
  <c r="G38" i="6"/>
  <c r="H38" i="6"/>
  <c r="J38" i="6"/>
  <c r="K38" i="6"/>
  <c r="L38" i="6"/>
  <c r="M38" i="6"/>
  <c r="N38" i="6"/>
  <c r="O38" i="6"/>
  <c r="A39" i="6"/>
  <c r="B39" i="6"/>
  <c r="C39" i="6"/>
  <c r="D39" i="6"/>
  <c r="E39" i="6"/>
  <c r="F39" i="6"/>
  <c r="G39" i="6"/>
  <c r="H39" i="6"/>
  <c r="J39" i="6"/>
  <c r="K39" i="6"/>
  <c r="L39" i="6"/>
  <c r="M39" i="6"/>
  <c r="N39" i="6"/>
  <c r="O39" i="6"/>
  <c r="A40" i="6"/>
  <c r="B40" i="6"/>
  <c r="C40" i="6"/>
  <c r="D40" i="6"/>
  <c r="E40" i="6"/>
  <c r="F40" i="6"/>
  <c r="G40" i="6"/>
  <c r="H40" i="6"/>
  <c r="J40" i="6"/>
  <c r="K40" i="6"/>
  <c r="L40" i="6"/>
  <c r="M40" i="6"/>
  <c r="N40" i="6"/>
  <c r="O40" i="6"/>
  <c r="A41" i="6"/>
  <c r="B41" i="6"/>
  <c r="C41" i="6"/>
  <c r="D41" i="6"/>
  <c r="E41" i="6"/>
  <c r="F41" i="6"/>
  <c r="G41" i="6"/>
  <c r="H41" i="6"/>
  <c r="J41" i="6"/>
  <c r="K41" i="6"/>
  <c r="L41" i="6"/>
  <c r="M41" i="6"/>
  <c r="N41" i="6"/>
  <c r="O41" i="6"/>
  <c r="A42" i="6"/>
  <c r="B42" i="6"/>
  <c r="C42" i="6"/>
  <c r="D42" i="6"/>
  <c r="E42" i="6"/>
  <c r="F42" i="6"/>
  <c r="G42" i="6"/>
  <c r="H42" i="6"/>
  <c r="J42" i="6"/>
  <c r="K42" i="6"/>
  <c r="L42" i="6"/>
  <c r="M42" i="6"/>
  <c r="N42" i="6"/>
  <c r="O42" i="6"/>
  <c r="A43" i="6"/>
  <c r="B43" i="6"/>
  <c r="C43" i="6"/>
  <c r="D43" i="6"/>
  <c r="E43" i="6"/>
  <c r="F43" i="6"/>
  <c r="G43" i="6"/>
  <c r="H43" i="6"/>
  <c r="J43" i="6"/>
  <c r="K43" i="6"/>
  <c r="L43" i="6"/>
  <c r="M43" i="6"/>
  <c r="N43" i="6"/>
  <c r="O43" i="6"/>
  <c r="A44" i="6"/>
  <c r="B44" i="6"/>
  <c r="C44" i="6"/>
  <c r="D44" i="6"/>
  <c r="E44" i="6"/>
  <c r="F44" i="6"/>
  <c r="G44" i="6"/>
  <c r="H44" i="6"/>
  <c r="J44" i="6"/>
  <c r="K44" i="6"/>
  <c r="L44" i="6"/>
  <c r="M44" i="6"/>
  <c r="N44" i="6"/>
  <c r="O44" i="6"/>
  <c r="A45" i="6"/>
  <c r="B45" i="6"/>
  <c r="C45" i="6"/>
  <c r="D45" i="6"/>
  <c r="E45" i="6"/>
  <c r="F45" i="6"/>
  <c r="G45" i="6"/>
  <c r="H45" i="6"/>
  <c r="J45" i="6"/>
  <c r="K45" i="6"/>
  <c r="L45" i="6"/>
  <c r="M45" i="6"/>
  <c r="N45" i="6"/>
  <c r="O45" i="6"/>
  <c r="A46" i="6"/>
  <c r="B46" i="6"/>
  <c r="C46" i="6"/>
  <c r="D46" i="6"/>
  <c r="E46" i="6"/>
  <c r="F46" i="6"/>
  <c r="G46" i="6"/>
  <c r="H46" i="6"/>
  <c r="J46" i="6"/>
  <c r="K46" i="6"/>
  <c r="L46" i="6"/>
  <c r="M46" i="6"/>
  <c r="N46" i="6"/>
  <c r="O46" i="6"/>
  <c r="A47" i="6"/>
  <c r="B47" i="6"/>
  <c r="C47" i="6"/>
  <c r="D47" i="6"/>
  <c r="E47" i="6"/>
  <c r="F47" i="6"/>
  <c r="G47" i="6"/>
  <c r="H47" i="6"/>
  <c r="J47" i="6"/>
  <c r="K47" i="6"/>
  <c r="L47" i="6"/>
  <c r="M47" i="6"/>
  <c r="N47" i="6"/>
  <c r="O47" i="6"/>
  <c r="A48" i="6"/>
  <c r="B48" i="6"/>
  <c r="C48" i="6"/>
  <c r="D48" i="6"/>
  <c r="E48" i="6"/>
  <c r="F48" i="6"/>
  <c r="G48" i="6"/>
  <c r="H48" i="6"/>
  <c r="J48" i="6"/>
  <c r="K48" i="6"/>
  <c r="L48" i="6"/>
  <c r="M48" i="6"/>
  <c r="N48" i="6"/>
  <c r="O48" i="6"/>
  <c r="B49" i="6"/>
  <c r="C49" i="6"/>
  <c r="D49" i="6"/>
  <c r="E49" i="6"/>
  <c r="F49" i="6"/>
  <c r="G49" i="6"/>
  <c r="H49" i="6"/>
  <c r="J49" i="6"/>
  <c r="K49" i="6"/>
  <c r="L49" i="6"/>
  <c r="M49" i="6"/>
  <c r="N49" i="6"/>
  <c r="O49" i="6"/>
  <c r="D51" i="6"/>
  <c r="F51" i="6"/>
  <c r="H51" i="6"/>
  <c r="J51" i="6"/>
  <c r="K51" i="6"/>
  <c r="L51" i="6"/>
  <c r="M51" i="6"/>
  <c r="N51" i="6"/>
  <c r="O51" i="6"/>
  <c r="J52" i="6"/>
  <c r="L53" i="6"/>
  <c r="M53" i="6"/>
  <c r="N53" i="6"/>
  <c r="O53" i="6"/>
  <c r="G3" i="8"/>
  <c r="A12" i="8"/>
  <c r="A14" i="8"/>
  <c r="C17" i="8"/>
  <c r="D17" i="8"/>
  <c r="E17" i="8"/>
  <c r="F17" i="8"/>
  <c r="G17" i="8"/>
  <c r="A18" i="8"/>
  <c r="C18" i="8"/>
  <c r="D18" i="8"/>
  <c r="E18" i="8"/>
  <c r="F18" i="8"/>
  <c r="G18" i="8"/>
  <c r="A19" i="8"/>
  <c r="C19" i="8"/>
  <c r="D19" i="8"/>
  <c r="E19" i="8"/>
  <c r="F19" i="8"/>
  <c r="G19" i="8"/>
  <c r="A20" i="8"/>
  <c r="E20" i="8"/>
  <c r="F20" i="8"/>
  <c r="E21" i="8"/>
  <c r="F21" i="8"/>
  <c r="G21" i="8"/>
  <c r="B25" i="8"/>
  <c r="G25" i="8"/>
  <c r="G30" i="8"/>
  <c r="G36" i="8"/>
  <c r="B1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B38" i="1"/>
  <c r="W1" i="35"/>
  <c r="C5" i="35"/>
  <c r="C6" i="35"/>
  <c r="H7" i="35"/>
  <c r="H8" i="35"/>
  <c r="B9" i="35"/>
  <c r="E9" i="35"/>
  <c r="B10" i="35"/>
  <c r="E10" i="35"/>
  <c r="B11" i="35"/>
  <c r="B12" i="35"/>
  <c r="A18" i="35"/>
  <c r="B18" i="35"/>
  <c r="C18" i="35"/>
  <c r="D18" i="35"/>
  <c r="E18" i="35"/>
  <c r="F18" i="35"/>
  <c r="G18" i="35"/>
  <c r="H18" i="35"/>
  <c r="I18" i="35"/>
  <c r="J18" i="35"/>
  <c r="K18" i="35"/>
  <c r="L18" i="35"/>
  <c r="M18" i="35"/>
  <c r="N18" i="35"/>
  <c r="O18" i="35"/>
  <c r="P18" i="35"/>
  <c r="Q18" i="35"/>
  <c r="S18" i="35"/>
  <c r="T18" i="35"/>
  <c r="U18" i="35"/>
  <c r="V18" i="35"/>
  <c r="W18" i="35"/>
  <c r="X18" i="35"/>
  <c r="Y18" i="35"/>
  <c r="A19" i="35"/>
  <c r="B19" i="35"/>
  <c r="C19" i="35"/>
  <c r="D19" i="35"/>
  <c r="E19" i="35"/>
  <c r="F19" i="35"/>
  <c r="G19" i="35"/>
  <c r="H19" i="35"/>
  <c r="I19" i="35"/>
  <c r="J19" i="35"/>
  <c r="K19" i="35"/>
  <c r="L19" i="35"/>
  <c r="M19" i="35"/>
  <c r="N19" i="35"/>
  <c r="O19" i="35"/>
  <c r="P19" i="35"/>
  <c r="Q19" i="35"/>
  <c r="S19" i="35"/>
  <c r="T19" i="35"/>
  <c r="U19" i="35"/>
  <c r="V19" i="35"/>
  <c r="W19" i="35"/>
  <c r="X19" i="35"/>
  <c r="Y19" i="35"/>
  <c r="A20" i="35"/>
  <c r="B20" i="35"/>
  <c r="C20" i="35"/>
  <c r="D20" i="35"/>
  <c r="E20" i="35"/>
  <c r="F20" i="35"/>
  <c r="G20" i="35"/>
  <c r="H20" i="35"/>
  <c r="I20" i="35"/>
  <c r="J20" i="35"/>
  <c r="K20" i="35"/>
  <c r="L20" i="35"/>
  <c r="M20" i="35"/>
  <c r="N20" i="35"/>
  <c r="O20" i="35"/>
  <c r="P20" i="35"/>
  <c r="Q20" i="35"/>
  <c r="S20" i="35"/>
  <c r="T20" i="35"/>
  <c r="U20" i="35"/>
  <c r="V20" i="35"/>
  <c r="W20" i="35"/>
  <c r="X20" i="35"/>
  <c r="Y20" i="35"/>
  <c r="A21" i="35"/>
  <c r="B21" i="35"/>
  <c r="C21" i="35"/>
  <c r="D21" i="35"/>
  <c r="E21" i="35"/>
  <c r="F21" i="35"/>
  <c r="G21" i="35"/>
  <c r="H21" i="35"/>
  <c r="I21" i="35"/>
  <c r="J21" i="35"/>
  <c r="K21" i="35"/>
  <c r="L21" i="35"/>
  <c r="M21" i="35"/>
  <c r="N21" i="35"/>
  <c r="O21" i="35"/>
  <c r="P21" i="35"/>
  <c r="Q21" i="35"/>
  <c r="S21" i="35"/>
  <c r="T21" i="35"/>
  <c r="U21" i="35"/>
  <c r="V21" i="35"/>
  <c r="W21" i="35"/>
  <c r="X21" i="35"/>
  <c r="Y21" i="35"/>
  <c r="A22" i="35"/>
  <c r="B22" i="35"/>
  <c r="C22" i="35"/>
  <c r="D22" i="35"/>
  <c r="E22" i="35"/>
  <c r="F22" i="35"/>
  <c r="G22" i="35"/>
  <c r="H22" i="35"/>
  <c r="I22" i="35"/>
  <c r="J22" i="35"/>
  <c r="K22" i="35"/>
  <c r="L22" i="35"/>
  <c r="M22" i="35"/>
  <c r="N22" i="35"/>
  <c r="O22" i="35"/>
  <c r="P22" i="35"/>
  <c r="Q22" i="35"/>
  <c r="S22" i="35"/>
  <c r="T22" i="35"/>
  <c r="U22" i="35"/>
  <c r="V22" i="35"/>
  <c r="W22" i="35"/>
  <c r="X22" i="35"/>
  <c r="Y22" i="35"/>
  <c r="A23" i="35"/>
  <c r="B23" i="35"/>
  <c r="C23" i="35"/>
  <c r="D23" i="35"/>
  <c r="E23" i="35"/>
  <c r="F23" i="35"/>
  <c r="G23" i="35"/>
  <c r="H23" i="35"/>
  <c r="I23" i="35"/>
  <c r="J23" i="35"/>
  <c r="K23" i="35"/>
  <c r="L23" i="35"/>
  <c r="M23" i="35"/>
  <c r="N23" i="35"/>
  <c r="O23" i="35"/>
  <c r="P23" i="35"/>
  <c r="Q23" i="35"/>
  <c r="S23" i="35"/>
  <c r="T23" i="35"/>
  <c r="U23" i="35"/>
  <c r="V23" i="35"/>
  <c r="W23" i="35"/>
  <c r="X23" i="35"/>
  <c r="Y23" i="35"/>
  <c r="A24" i="35"/>
  <c r="B24" i="35"/>
  <c r="C24" i="35"/>
  <c r="D24" i="35"/>
  <c r="E24" i="35"/>
  <c r="F24" i="35"/>
  <c r="G24" i="35"/>
  <c r="H24" i="35"/>
  <c r="I24" i="35"/>
  <c r="J24" i="35"/>
  <c r="K24" i="35"/>
  <c r="L24" i="35"/>
  <c r="M24" i="35"/>
  <c r="N24" i="35"/>
  <c r="O24" i="35"/>
  <c r="P24" i="35"/>
  <c r="Q24" i="35"/>
  <c r="S24" i="35"/>
  <c r="T24" i="35"/>
  <c r="U24" i="35"/>
  <c r="V24" i="35"/>
  <c r="W24" i="35"/>
  <c r="X24" i="35"/>
  <c r="Y24" i="35"/>
  <c r="A25" i="35"/>
  <c r="B25" i="35"/>
  <c r="C25" i="35"/>
  <c r="D25" i="35"/>
  <c r="E25" i="35"/>
  <c r="F25" i="35"/>
  <c r="G25" i="35"/>
  <c r="H25" i="35"/>
  <c r="I25" i="35"/>
  <c r="J25" i="35"/>
  <c r="K25" i="35"/>
  <c r="L25" i="35"/>
  <c r="M25" i="35"/>
  <c r="N25" i="35"/>
  <c r="O25" i="35"/>
  <c r="P25" i="35"/>
  <c r="Q25" i="35"/>
  <c r="S25" i="35"/>
  <c r="T25" i="35"/>
  <c r="U25" i="35"/>
  <c r="V25" i="35"/>
  <c r="W25" i="35"/>
  <c r="X25" i="35"/>
  <c r="Y25" i="35"/>
  <c r="A26" i="35"/>
  <c r="B26" i="35"/>
  <c r="C26" i="35"/>
  <c r="D26" i="35"/>
  <c r="E26" i="35"/>
  <c r="F26" i="35"/>
  <c r="G26" i="35"/>
  <c r="H26" i="35"/>
  <c r="I26" i="35"/>
  <c r="J26" i="35"/>
  <c r="K26" i="35"/>
  <c r="L26" i="35"/>
  <c r="M26" i="35"/>
  <c r="N26" i="35"/>
  <c r="O26" i="35"/>
  <c r="P26" i="35"/>
  <c r="Q26" i="35"/>
  <c r="S26" i="35"/>
  <c r="T26" i="35"/>
  <c r="U26" i="35"/>
  <c r="V26" i="35"/>
  <c r="W26" i="35"/>
  <c r="X26" i="35"/>
  <c r="Y26" i="35"/>
  <c r="A27" i="35"/>
  <c r="B27" i="35"/>
  <c r="C27" i="35"/>
  <c r="D27" i="35"/>
  <c r="E27" i="35"/>
  <c r="F27" i="35"/>
  <c r="G27" i="35"/>
  <c r="H27" i="35"/>
  <c r="I27" i="35"/>
  <c r="J27" i="35"/>
  <c r="K27" i="35"/>
  <c r="L27" i="35"/>
  <c r="M27" i="35"/>
  <c r="N27" i="35"/>
  <c r="O27" i="35"/>
  <c r="P27" i="35"/>
  <c r="Q27" i="35"/>
  <c r="S27" i="35"/>
  <c r="T27" i="35"/>
  <c r="U27" i="35"/>
  <c r="V27" i="35"/>
  <c r="W27" i="35"/>
  <c r="X27" i="35"/>
  <c r="Y27" i="35"/>
  <c r="A28" i="35"/>
  <c r="B28" i="35"/>
  <c r="C28" i="35"/>
  <c r="D28" i="35"/>
  <c r="E28" i="35"/>
  <c r="F28" i="35"/>
  <c r="G28" i="35"/>
  <c r="H28" i="35"/>
  <c r="I28" i="35"/>
  <c r="J28" i="35"/>
  <c r="K28" i="35"/>
  <c r="L28" i="35"/>
  <c r="M28" i="35"/>
  <c r="N28" i="35"/>
  <c r="O28" i="35"/>
  <c r="P28" i="35"/>
  <c r="Q28" i="35"/>
  <c r="S28" i="35"/>
  <c r="T28" i="35"/>
  <c r="U28" i="35"/>
  <c r="V28" i="35"/>
  <c r="W28" i="35"/>
  <c r="X28" i="35"/>
  <c r="Y28" i="35"/>
  <c r="A29" i="35"/>
  <c r="B29" i="35"/>
  <c r="C29" i="35"/>
  <c r="D29" i="35"/>
  <c r="E29" i="35"/>
  <c r="F29" i="35"/>
  <c r="G29" i="35"/>
  <c r="H29" i="35"/>
  <c r="I29" i="35"/>
  <c r="J29" i="35"/>
  <c r="K29" i="35"/>
  <c r="L29" i="35"/>
  <c r="M29" i="35"/>
  <c r="N29" i="35"/>
  <c r="O29" i="35"/>
  <c r="P29" i="35"/>
  <c r="Q29" i="35"/>
  <c r="S29" i="35"/>
  <c r="T29" i="35"/>
  <c r="U29" i="35"/>
  <c r="V29" i="35"/>
  <c r="W29" i="35"/>
  <c r="X29" i="35"/>
  <c r="Y29" i="35"/>
  <c r="A30" i="35"/>
  <c r="B30" i="35"/>
  <c r="C30" i="35"/>
  <c r="D30" i="35"/>
  <c r="E30" i="35"/>
  <c r="F30" i="35"/>
  <c r="G30" i="35"/>
  <c r="H30" i="35"/>
  <c r="I30" i="35"/>
  <c r="J30" i="35"/>
  <c r="K30" i="35"/>
  <c r="L30" i="35"/>
  <c r="M30" i="35"/>
  <c r="N30" i="35"/>
  <c r="O30" i="35"/>
  <c r="P30" i="35"/>
  <c r="Q30" i="35"/>
  <c r="S30" i="35"/>
  <c r="T30" i="35"/>
  <c r="U30" i="35"/>
  <c r="V30" i="35"/>
  <c r="W30" i="35"/>
  <c r="X30" i="35"/>
  <c r="Y30" i="35"/>
  <c r="A31" i="35"/>
  <c r="B31" i="35"/>
  <c r="C31" i="35"/>
  <c r="D31" i="35"/>
  <c r="E31" i="35"/>
  <c r="F31" i="35"/>
  <c r="G31" i="35"/>
  <c r="H31" i="35"/>
  <c r="I31" i="35"/>
  <c r="J31" i="35"/>
  <c r="K31" i="35"/>
  <c r="L31" i="35"/>
  <c r="M31" i="35"/>
  <c r="N31" i="35"/>
  <c r="O31" i="35"/>
  <c r="P31" i="35"/>
  <c r="Q31" i="35"/>
  <c r="S31" i="35"/>
  <c r="T31" i="35"/>
  <c r="U31" i="35"/>
  <c r="V31" i="35"/>
  <c r="W31" i="35"/>
  <c r="X31" i="35"/>
  <c r="Y31" i="35"/>
  <c r="A32" i="35"/>
  <c r="B32" i="35"/>
  <c r="C32" i="35"/>
  <c r="D32" i="35"/>
  <c r="E32" i="35"/>
  <c r="F32" i="35"/>
  <c r="G32" i="35"/>
  <c r="H32" i="35"/>
  <c r="I32" i="35"/>
  <c r="J32" i="35"/>
  <c r="K32" i="35"/>
  <c r="L32" i="35"/>
  <c r="M32" i="35"/>
  <c r="N32" i="35"/>
  <c r="O32" i="35"/>
  <c r="P32" i="35"/>
  <c r="Q32" i="35"/>
  <c r="S32" i="35"/>
  <c r="T32" i="35"/>
  <c r="U32" i="35"/>
  <c r="V32" i="35"/>
  <c r="W32" i="35"/>
  <c r="X32" i="35"/>
  <c r="Y32" i="35"/>
  <c r="A33" i="35"/>
  <c r="B33" i="35"/>
  <c r="C33" i="35"/>
  <c r="D33" i="35"/>
  <c r="E33" i="35"/>
  <c r="F33" i="35"/>
  <c r="G33" i="35"/>
  <c r="H33" i="35"/>
  <c r="I33" i="35"/>
  <c r="J33" i="35"/>
  <c r="K33" i="35"/>
  <c r="L33" i="35"/>
  <c r="M33" i="35"/>
  <c r="N33" i="35"/>
  <c r="O33" i="35"/>
  <c r="P33" i="35"/>
  <c r="Q33" i="35"/>
  <c r="S33" i="35"/>
  <c r="T33" i="35"/>
  <c r="U33" i="35"/>
  <c r="V33" i="35"/>
  <c r="W33" i="35"/>
  <c r="X33" i="35"/>
  <c r="Y33" i="35"/>
  <c r="A34" i="35"/>
  <c r="B34" i="35"/>
  <c r="C34" i="35"/>
  <c r="D34" i="35"/>
  <c r="E34" i="35"/>
  <c r="F34" i="35"/>
  <c r="G34" i="35"/>
  <c r="H34" i="35"/>
  <c r="I34" i="35"/>
  <c r="J34" i="35"/>
  <c r="K34" i="35"/>
  <c r="L34" i="35"/>
  <c r="M34" i="35"/>
  <c r="N34" i="35"/>
  <c r="O34" i="35"/>
  <c r="P34" i="35"/>
  <c r="Q34" i="35"/>
  <c r="S34" i="35"/>
  <c r="T34" i="35"/>
  <c r="U34" i="35"/>
  <c r="V34" i="35"/>
  <c r="W34" i="35"/>
  <c r="X34" i="35"/>
  <c r="Y34" i="35"/>
  <c r="A35" i="35"/>
  <c r="B35" i="35"/>
  <c r="C35" i="35"/>
  <c r="D35" i="35"/>
  <c r="E35" i="35"/>
  <c r="F35" i="35"/>
  <c r="G35" i="35"/>
  <c r="H35" i="35"/>
  <c r="I35" i="35"/>
  <c r="J35" i="35"/>
  <c r="K35" i="35"/>
  <c r="L35" i="35"/>
  <c r="M35" i="35"/>
  <c r="N35" i="35"/>
  <c r="O35" i="35"/>
  <c r="P35" i="35"/>
  <c r="Q35" i="35"/>
  <c r="S35" i="35"/>
  <c r="T35" i="35"/>
  <c r="U35" i="35"/>
  <c r="V35" i="35"/>
  <c r="W35" i="35"/>
  <c r="X35" i="35"/>
  <c r="Y35" i="35"/>
  <c r="A36" i="35"/>
  <c r="B36" i="35"/>
  <c r="C36" i="35"/>
  <c r="D36" i="35"/>
  <c r="E36" i="35"/>
  <c r="F36" i="35"/>
  <c r="G36" i="35"/>
  <c r="H36" i="35"/>
  <c r="I36" i="35"/>
  <c r="J36" i="35"/>
  <c r="K36" i="35"/>
  <c r="L36" i="35"/>
  <c r="M36" i="35"/>
  <c r="N36" i="35"/>
  <c r="O36" i="35"/>
  <c r="P36" i="35"/>
  <c r="Q36" i="35"/>
  <c r="S36" i="35"/>
  <c r="T36" i="35"/>
  <c r="U36" i="35"/>
  <c r="V36" i="35"/>
  <c r="W36" i="35"/>
  <c r="X36" i="35"/>
  <c r="Y36" i="35"/>
  <c r="A37" i="35"/>
  <c r="B37" i="35"/>
  <c r="C37" i="35"/>
  <c r="D37" i="35"/>
  <c r="E37" i="35"/>
  <c r="F37" i="35"/>
  <c r="G37" i="35"/>
  <c r="H37" i="35"/>
  <c r="I37" i="35"/>
  <c r="J37" i="35"/>
  <c r="K37" i="35"/>
  <c r="L37" i="35"/>
  <c r="M37" i="35"/>
  <c r="N37" i="35"/>
  <c r="O37" i="35"/>
  <c r="P37" i="35"/>
  <c r="Q37" i="35"/>
  <c r="S37" i="35"/>
  <c r="T37" i="35"/>
  <c r="U37" i="35"/>
  <c r="V37" i="35"/>
  <c r="W37" i="35"/>
  <c r="X37" i="35"/>
  <c r="Y37" i="35"/>
  <c r="A38" i="35"/>
  <c r="B38" i="35"/>
  <c r="C38" i="35"/>
  <c r="D38" i="35"/>
  <c r="E38" i="35"/>
  <c r="F38" i="35"/>
  <c r="G38" i="35"/>
  <c r="H38" i="35"/>
  <c r="I38" i="35"/>
  <c r="J38" i="35"/>
  <c r="K38" i="35"/>
  <c r="L38" i="35"/>
  <c r="M38" i="35"/>
  <c r="N38" i="35"/>
  <c r="O38" i="35"/>
  <c r="P38" i="35"/>
  <c r="Q38" i="35"/>
  <c r="S38" i="35"/>
  <c r="T38" i="35"/>
  <c r="U38" i="35"/>
  <c r="V38" i="35"/>
  <c r="W38" i="35"/>
  <c r="X38" i="35"/>
  <c r="Y38" i="35"/>
  <c r="A39" i="35"/>
  <c r="B39" i="35"/>
  <c r="C39" i="35"/>
  <c r="D39" i="35"/>
  <c r="E39" i="35"/>
  <c r="F39" i="35"/>
  <c r="G39" i="35"/>
  <c r="H39" i="35"/>
  <c r="I39" i="35"/>
  <c r="J39" i="35"/>
  <c r="K39" i="35"/>
  <c r="L39" i="35"/>
  <c r="M39" i="35"/>
  <c r="N39" i="35"/>
  <c r="O39" i="35"/>
  <c r="P39" i="35"/>
  <c r="Q39" i="35"/>
  <c r="S39" i="35"/>
  <c r="T39" i="35"/>
  <c r="U39" i="35"/>
  <c r="V39" i="35"/>
  <c r="W39" i="35"/>
  <c r="X39" i="35"/>
  <c r="Y39" i="35"/>
  <c r="A40" i="35"/>
  <c r="B40" i="35"/>
  <c r="C40" i="35"/>
  <c r="D40" i="35"/>
  <c r="E40" i="35"/>
  <c r="F40" i="35"/>
  <c r="G40" i="35"/>
  <c r="H40" i="35"/>
  <c r="I40" i="35"/>
  <c r="J40" i="35"/>
  <c r="K40" i="35"/>
  <c r="L40" i="35"/>
  <c r="M40" i="35"/>
  <c r="N40" i="35"/>
  <c r="O40" i="35"/>
  <c r="P40" i="35"/>
  <c r="Q40" i="35"/>
  <c r="S40" i="35"/>
  <c r="T40" i="35"/>
  <c r="U40" i="35"/>
  <c r="V40" i="35"/>
  <c r="W40" i="35"/>
  <c r="X40" i="35"/>
  <c r="Y40" i="35"/>
  <c r="A41" i="35"/>
  <c r="B41" i="35"/>
  <c r="C41" i="35"/>
  <c r="D41" i="35"/>
  <c r="E41" i="35"/>
  <c r="F41" i="35"/>
  <c r="G41" i="35"/>
  <c r="H41" i="35"/>
  <c r="I41" i="35"/>
  <c r="J41" i="35"/>
  <c r="K41" i="35"/>
  <c r="L41" i="35"/>
  <c r="M41" i="35"/>
  <c r="N41" i="35"/>
  <c r="O41" i="35"/>
  <c r="P41" i="35"/>
  <c r="Q41" i="35"/>
  <c r="S41" i="35"/>
  <c r="T41" i="35"/>
  <c r="U41" i="35"/>
  <c r="V41" i="35"/>
  <c r="W41" i="35"/>
  <c r="X41" i="35"/>
  <c r="Y41" i="35"/>
  <c r="A42" i="35"/>
  <c r="B42" i="35"/>
  <c r="C42" i="35"/>
  <c r="D42" i="35"/>
  <c r="E42" i="35"/>
  <c r="F42" i="35"/>
  <c r="G42" i="35"/>
  <c r="H42" i="35"/>
  <c r="I42" i="35"/>
  <c r="J42" i="35"/>
  <c r="K42" i="35"/>
  <c r="L42" i="35"/>
  <c r="M42" i="35"/>
  <c r="N42" i="35"/>
  <c r="O42" i="35"/>
  <c r="P42" i="35"/>
  <c r="Q42" i="35"/>
  <c r="S42" i="35"/>
  <c r="T42" i="35"/>
  <c r="U42" i="35"/>
  <c r="V42" i="35"/>
  <c r="W42" i="35"/>
  <c r="X42" i="35"/>
  <c r="Y42" i="35"/>
  <c r="A43" i="35"/>
  <c r="B43" i="35"/>
  <c r="C43" i="35"/>
  <c r="D43" i="35"/>
  <c r="E43" i="35"/>
  <c r="F43" i="35"/>
  <c r="G43" i="35"/>
  <c r="H43" i="35"/>
  <c r="I43" i="35"/>
  <c r="J43" i="35"/>
  <c r="K43" i="35"/>
  <c r="L43" i="35"/>
  <c r="M43" i="35"/>
  <c r="N43" i="35"/>
  <c r="O43" i="35"/>
  <c r="P43" i="35"/>
  <c r="Q43" i="35"/>
  <c r="S43" i="35"/>
  <c r="T43" i="35"/>
  <c r="U43" i="35"/>
  <c r="V43" i="35"/>
  <c r="W43" i="35"/>
  <c r="X43" i="35"/>
  <c r="Y43" i="35"/>
  <c r="A44" i="35"/>
  <c r="B44" i="35"/>
  <c r="C44" i="35"/>
  <c r="D44" i="35"/>
  <c r="E44" i="35"/>
  <c r="F44" i="35"/>
  <c r="G44" i="35"/>
  <c r="H44" i="35"/>
  <c r="I44" i="35"/>
  <c r="J44" i="35"/>
  <c r="K44" i="35"/>
  <c r="L44" i="35"/>
  <c r="M44" i="35"/>
  <c r="N44" i="35"/>
  <c r="O44" i="35"/>
  <c r="P44" i="35"/>
  <c r="Q44" i="35"/>
  <c r="S44" i="35"/>
  <c r="T44" i="35"/>
  <c r="U44" i="35"/>
  <c r="V44" i="35"/>
  <c r="W44" i="35"/>
  <c r="X44" i="35"/>
  <c r="Y44" i="35"/>
  <c r="A45" i="35"/>
  <c r="B45" i="35"/>
  <c r="C45" i="35"/>
  <c r="D45" i="35"/>
  <c r="E45" i="35"/>
  <c r="F45" i="35"/>
  <c r="G45" i="35"/>
  <c r="H45" i="35"/>
  <c r="I45" i="35"/>
  <c r="J45" i="35"/>
  <c r="K45" i="35"/>
  <c r="L45" i="35"/>
  <c r="M45" i="35"/>
  <c r="N45" i="35"/>
  <c r="O45" i="35"/>
  <c r="P45" i="35"/>
  <c r="Q45" i="35"/>
  <c r="S45" i="35"/>
  <c r="T45" i="35"/>
  <c r="U45" i="35"/>
  <c r="V45" i="35"/>
  <c r="W45" i="35"/>
  <c r="X45" i="35"/>
  <c r="Y45" i="35"/>
  <c r="A46" i="35"/>
  <c r="B46" i="35"/>
  <c r="C46" i="35"/>
  <c r="D46" i="35"/>
  <c r="E46" i="35"/>
  <c r="F46" i="35"/>
  <c r="G46" i="35"/>
  <c r="H46" i="35"/>
  <c r="I46" i="35"/>
  <c r="J46" i="35"/>
  <c r="K46" i="35"/>
  <c r="L46" i="35"/>
  <c r="M46" i="35"/>
  <c r="N46" i="35"/>
  <c r="O46" i="35"/>
  <c r="P46" i="35"/>
  <c r="Q46" i="35"/>
  <c r="S46" i="35"/>
  <c r="T46" i="35"/>
  <c r="U46" i="35"/>
  <c r="V46" i="35"/>
  <c r="W46" i="35"/>
  <c r="X46" i="35"/>
  <c r="Y46" i="35"/>
  <c r="A47" i="35"/>
  <c r="B47" i="35"/>
  <c r="C47" i="35"/>
  <c r="D47" i="35"/>
  <c r="E47" i="35"/>
  <c r="F47" i="35"/>
  <c r="G47" i="35"/>
  <c r="H47" i="35"/>
  <c r="I47" i="35"/>
  <c r="J47" i="35"/>
  <c r="K47" i="35"/>
  <c r="L47" i="35"/>
  <c r="M47" i="35"/>
  <c r="N47" i="35"/>
  <c r="O47" i="35"/>
  <c r="S47" i="35"/>
  <c r="T47" i="35"/>
  <c r="U47" i="35"/>
  <c r="V47" i="35"/>
  <c r="W47" i="35"/>
  <c r="X47" i="35"/>
  <c r="Y47" i="35"/>
  <c r="S48" i="35"/>
  <c r="T48" i="35"/>
  <c r="U48" i="35"/>
  <c r="V48" i="35"/>
  <c r="W48" i="35"/>
  <c r="X48" i="35"/>
  <c r="Y48" i="35"/>
  <c r="B49" i="35"/>
  <c r="C49" i="35"/>
  <c r="D49" i="35"/>
  <c r="E49" i="35"/>
  <c r="F49" i="35"/>
  <c r="G49" i="35"/>
  <c r="H49" i="35"/>
  <c r="I49" i="35"/>
  <c r="J49" i="35"/>
  <c r="K49" i="35"/>
  <c r="L49" i="35"/>
  <c r="M49" i="35"/>
  <c r="N49" i="35"/>
  <c r="O49" i="35"/>
  <c r="P49" i="35"/>
  <c r="Q49" i="35"/>
  <c r="C50" i="35"/>
  <c r="E50" i="35"/>
  <c r="G50" i="35"/>
  <c r="I50" i="35"/>
  <c r="K50" i="35"/>
  <c r="P1" i="31"/>
  <c r="B5" i="31"/>
  <c r="B6" i="31"/>
  <c r="B7" i="31"/>
  <c r="D7" i="31"/>
  <c r="A8" i="31"/>
  <c r="B8" i="31"/>
  <c r="A9" i="31"/>
  <c r="B9" i="31"/>
  <c r="F13" i="31"/>
  <c r="A15" i="31"/>
  <c r="B15" i="31"/>
  <c r="C15" i="31"/>
  <c r="D15" i="31"/>
  <c r="E15" i="31"/>
  <c r="F15" i="31"/>
  <c r="G15" i="31"/>
  <c r="H15" i="31"/>
  <c r="I15" i="31"/>
  <c r="J15" i="31"/>
  <c r="A16" i="31"/>
  <c r="B16" i="31"/>
  <c r="C16" i="31"/>
  <c r="D16" i="31"/>
  <c r="E16" i="31"/>
  <c r="F16" i="31"/>
  <c r="G16" i="31"/>
  <c r="H16" i="31"/>
  <c r="I16" i="31"/>
  <c r="J16" i="31"/>
  <c r="A17" i="31"/>
  <c r="B17" i="31"/>
  <c r="C17" i="31"/>
  <c r="D17" i="31"/>
  <c r="E17" i="31"/>
  <c r="F17" i="31"/>
  <c r="G17" i="31"/>
  <c r="H17" i="31"/>
  <c r="I17" i="31"/>
  <c r="J17" i="31"/>
  <c r="A18" i="31"/>
  <c r="B18" i="31"/>
  <c r="C18" i="31"/>
  <c r="D18" i="31"/>
  <c r="E18" i="31"/>
  <c r="F18" i="31"/>
  <c r="G18" i="31"/>
  <c r="H18" i="31"/>
  <c r="I18" i="31"/>
  <c r="J18" i="31"/>
  <c r="A19" i="31"/>
  <c r="B19" i="31"/>
  <c r="C19" i="31"/>
  <c r="D19" i="31"/>
  <c r="E19" i="31"/>
  <c r="F19" i="31"/>
  <c r="G19" i="31"/>
  <c r="H19" i="31"/>
  <c r="I19" i="31"/>
  <c r="J19" i="31"/>
  <c r="A20" i="31"/>
  <c r="B20" i="31"/>
  <c r="C20" i="31"/>
  <c r="D20" i="31"/>
  <c r="E20" i="31"/>
  <c r="F20" i="31"/>
  <c r="G20" i="31"/>
  <c r="H20" i="31"/>
  <c r="I20" i="31"/>
  <c r="J20" i="31"/>
  <c r="A21" i="31"/>
  <c r="B21" i="31"/>
  <c r="C21" i="31"/>
  <c r="D21" i="31"/>
  <c r="E21" i="31"/>
  <c r="F21" i="31"/>
  <c r="G21" i="31"/>
  <c r="H21" i="31"/>
  <c r="I21" i="31"/>
  <c r="J21" i="31"/>
  <c r="A22" i="31"/>
  <c r="B22" i="31"/>
  <c r="C22" i="31"/>
  <c r="D22" i="31"/>
  <c r="E22" i="31"/>
  <c r="F22" i="31"/>
  <c r="G22" i="31"/>
  <c r="H22" i="31"/>
  <c r="I22" i="31"/>
  <c r="J22" i="31"/>
  <c r="A23" i="31"/>
  <c r="B23" i="31"/>
  <c r="C23" i="31"/>
  <c r="D23" i="31"/>
  <c r="E23" i="31"/>
  <c r="F23" i="31"/>
  <c r="G23" i="31"/>
  <c r="H23" i="31"/>
  <c r="I23" i="31"/>
  <c r="J23" i="31"/>
  <c r="A24" i="31"/>
  <c r="B24" i="31"/>
  <c r="C24" i="31"/>
  <c r="D24" i="31"/>
  <c r="E24" i="31"/>
  <c r="F24" i="31"/>
  <c r="G24" i="31"/>
  <c r="H24" i="31"/>
  <c r="I24" i="31"/>
  <c r="J24" i="31"/>
  <c r="A25" i="31"/>
  <c r="B25" i="31"/>
  <c r="C25" i="31"/>
  <c r="D25" i="31"/>
  <c r="E25" i="31"/>
  <c r="F25" i="31"/>
  <c r="G25" i="31"/>
  <c r="H25" i="31"/>
  <c r="I25" i="31"/>
  <c r="J25" i="31"/>
  <c r="A26" i="31"/>
  <c r="B26" i="31"/>
  <c r="C26" i="31"/>
  <c r="D26" i="31"/>
  <c r="E26" i="31"/>
  <c r="F26" i="31"/>
  <c r="G26" i="31"/>
  <c r="H26" i="31"/>
  <c r="I26" i="31"/>
  <c r="J26" i="31"/>
  <c r="A27" i="31"/>
  <c r="B27" i="31"/>
  <c r="C27" i="31"/>
  <c r="D27" i="31"/>
  <c r="E27" i="31"/>
  <c r="F27" i="31"/>
  <c r="G27" i="31"/>
  <c r="H27" i="31"/>
  <c r="I27" i="31"/>
  <c r="J27" i="31"/>
  <c r="A28" i="31"/>
  <c r="B28" i="31"/>
  <c r="C28" i="31"/>
  <c r="D28" i="31"/>
  <c r="E28" i="31"/>
  <c r="F28" i="31"/>
  <c r="G28" i="31"/>
  <c r="H28" i="31"/>
  <c r="I28" i="31"/>
  <c r="J28" i="31"/>
  <c r="A29" i="31"/>
  <c r="B29" i="31"/>
  <c r="C29" i="31"/>
  <c r="D29" i="31"/>
  <c r="E29" i="31"/>
  <c r="F29" i="31"/>
  <c r="G29" i="31"/>
  <c r="H29" i="31"/>
  <c r="I29" i="31"/>
  <c r="J29" i="31"/>
  <c r="A30" i="31"/>
  <c r="B30" i="31"/>
  <c r="C30" i="31"/>
  <c r="D30" i="31"/>
  <c r="E30" i="31"/>
  <c r="F30" i="31"/>
  <c r="G30" i="31"/>
  <c r="H30" i="31"/>
  <c r="I30" i="31"/>
  <c r="J30" i="31"/>
  <c r="A31" i="31"/>
  <c r="B31" i="31"/>
  <c r="C31" i="31"/>
  <c r="D31" i="31"/>
  <c r="E31" i="31"/>
  <c r="F31" i="31"/>
  <c r="G31" i="31"/>
  <c r="H31" i="31"/>
  <c r="I31" i="31"/>
  <c r="J31" i="31"/>
  <c r="A32" i="31"/>
  <c r="B32" i="31"/>
  <c r="C32" i="31"/>
  <c r="D32" i="31"/>
  <c r="E32" i="31"/>
  <c r="F32" i="31"/>
  <c r="G32" i="31"/>
  <c r="H32" i="31"/>
  <c r="I32" i="31"/>
  <c r="J32" i="31"/>
  <c r="A33" i="31"/>
  <c r="B33" i="31"/>
  <c r="C33" i="31"/>
  <c r="D33" i="31"/>
  <c r="E33" i="31"/>
  <c r="F33" i="31"/>
  <c r="G33" i="31"/>
  <c r="H33" i="31"/>
  <c r="I33" i="31"/>
  <c r="J33" i="31"/>
  <c r="A34" i="31"/>
  <c r="B34" i="31"/>
  <c r="C34" i="31"/>
  <c r="D34" i="31"/>
  <c r="E34" i="31"/>
  <c r="F34" i="31"/>
  <c r="G34" i="31"/>
  <c r="H34" i="31"/>
  <c r="I34" i="31"/>
  <c r="J34" i="31"/>
  <c r="A35" i="31"/>
  <c r="B35" i="31"/>
  <c r="C35" i="31"/>
  <c r="D35" i="31"/>
  <c r="E35" i="31"/>
  <c r="F35" i="31"/>
  <c r="G35" i="31"/>
  <c r="H35" i="31"/>
  <c r="I35" i="31"/>
  <c r="J35" i="31"/>
  <c r="A36" i="31"/>
  <c r="B36" i="31"/>
  <c r="C36" i="31"/>
  <c r="D36" i="31"/>
  <c r="E36" i="31"/>
  <c r="F36" i="31"/>
  <c r="G36" i="31"/>
  <c r="H36" i="31"/>
  <c r="I36" i="31"/>
  <c r="J36" i="31"/>
  <c r="A37" i="31"/>
  <c r="B37" i="31"/>
  <c r="C37" i="31"/>
  <c r="D37" i="31"/>
  <c r="E37" i="31"/>
  <c r="F37" i="31"/>
  <c r="G37" i="31"/>
  <c r="H37" i="31"/>
  <c r="I37" i="31"/>
  <c r="J37" i="31"/>
  <c r="A38" i="31"/>
  <c r="B38" i="31"/>
  <c r="C38" i="31"/>
  <c r="D38" i="31"/>
  <c r="E38" i="31"/>
  <c r="F38" i="31"/>
  <c r="G38" i="31"/>
  <c r="H38" i="31"/>
  <c r="I38" i="31"/>
  <c r="J38" i="31"/>
  <c r="A39" i="31"/>
  <c r="B39" i="31"/>
  <c r="C39" i="31"/>
  <c r="D39" i="31"/>
  <c r="E39" i="31"/>
  <c r="F39" i="31"/>
  <c r="G39" i="31"/>
  <c r="H39" i="31"/>
  <c r="I39" i="31"/>
  <c r="J39" i="31"/>
  <c r="A40" i="31"/>
  <c r="B40" i="31"/>
  <c r="C40" i="31"/>
  <c r="D40" i="31"/>
  <c r="E40" i="31"/>
  <c r="F40" i="31"/>
  <c r="G40" i="31"/>
  <c r="H40" i="31"/>
  <c r="I40" i="31"/>
  <c r="J40" i="31"/>
  <c r="A41" i="31"/>
  <c r="B41" i="31"/>
  <c r="C41" i="31"/>
  <c r="D41" i="31"/>
  <c r="E41" i="31"/>
  <c r="F41" i="31"/>
  <c r="G41" i="31"/>
  <c r="H41" i="31"/>
  <c r="I41" i="31"/>
  <c r="J41" i="31"/>
  <c r="A42" i="31"/>
  <c r="B42" i="31"/>
  <c r="C42" i="31"/>
  <c r="D42" i="31"/>
  <c r="E42" i="31"/>
  <c r="F42" i="31"/>
  <c r="G42" i="31"/>
  <c r="H42" i="31"/>
  <c r="I42" i="31"/>
  <c r="J42" i="31"/>
  <c r="A43" i="31"/>
  <c r="B43" i="31"/>
  <c r="C43" i="31"/>
  <c r="D43" i="31"/>
  <c r="E43" i="31"/>
  <c r="F43" i="31"/>
  <c r="G43" i="31"/>
  <c r="H43" i="31"/>
  <c r="I43" i="31"/>
  <c r="J43" i="31"/>
  <c r="A44" i="31"/>
  <c r="B44" i="31"/>
  <c r="C44" i="31"/>
  <c r="D44" i="31"/>
  <c r="E44" i="31"/>
  <c r="F44" i="31"/>
  <c r="G44" i="31"/>
  <c r="H44" i="31"/>
  <c r="I44" i="31"/>
  <c r="J44" i="31"/>
  <c r="A45" i="31"/>
  <c r="B45" i="31"/>
  <c r="C45" i="31"/>
  <c r="D45" i="31"/>
  <c r="E45" i="31"/>
  <c r="F45" i="31"/>
  <c r="G45" i="31"/>
  <c r="H45" i="31"/>
  <c r="I45" i="31"/>
  <c r="J45" i="31"/>
  <c r="B46" i="31"/>
  <c r="C46" i="31"/>
  <c r="D46" i="31"/>
  <c r="E46" i="31"/>
  <c r="F46" i="31"/>
  <c r="G46" i="31"/>
  <c r="H46" i="31"/>
  <c r="I46" i="31"/>
  <c r="J46" i="31"/>
  <c r="L46" i="31"/>
  <c r="M46" i="31"/>
  <c r="C47" i="31"/>
  <c r="E47" i="31"/>
  <c r="G47" i="31"/>
  <c r="I47" i="31"/>
  <c r="L47" i="31"/>
  <c r="B6" i="13"/>
  <c r="B7" i="13"/>
  <c r="B8" i="13"/>
  <c r="D13" i="13"/>
  <c r="F13" i="13"/>
  <c r="G13" i="13"/>
  <c r="H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D14" i="13"/>
  <c r="F14" i="13"/>
  <c r="G14" i="13"/>
  <c r="H14" i="13"/>
  <c r="J14" i="13"/>
  <c r="K14" i="13"/>
  <c r="L14" i="13"/>
  <c r="M14" i="13"/>
  <c r="N14" i="13"/>
  <c r="O14" i="13"/>
  <c r="P14" i="13"/>
  <c r="Q14" i="13"/>
  <c r="AA14" i="13"/>
  <c r="D15" i="13"/>
  <c r="F15" i="13"/>
  <c r="G15" i="13"/>
  <c r="H15" i="13"/>
  <c r="J15" i="13"/>
  <c r="K15" i="13"/>
  <c r="L15" i="13"/>
  <c r="M15" i="13"/>
  <c r="N15" i="13"/>
  <c r="R15" i="13"/>
  <c r="D16" i="13"/>
  <c r="F16" i="13"/>
  <c r="G16" i="13"/>
  <c r="H16" i="13"/>
  <c r="J16" i="13"/>
  <c r="K16" i="13"/>
  <c r="L16" i="13"/>
  <c r="M16" i="13"/>
  <c r="N16" i="13"/>
  <c r="R16" i="13"/>
  <c r="D17" i="13"/>
  <c r="F17" i="13"/>
  <c r="G17" i="13"/>
  <c r="H17" i="13"/>
  <c r="J17" i="13"/>
  <c r="K17" i="13"/>
  <c r="L17" i="13"/>
  <c r="M17" i="13"/>
  <c r="N17" i="13"/>
  <c r="D18" i="13"/>
  <c r="F18" i="13"/>
  <c r="G18" i="13"/>
  <c r="H18" i="13"/>
  <c r="J18" i="13"/>
  <c r="K18" i="13"/>
  <c r="L18" i="13"/>
  <c r="M18" i="13"/>
  <c r="N18" i="13"/>
  <c r="R18" i="13"/>
  <c r="D19" i="13"/>
  <c r="F19" i="13"/>
  <c r="G19" i="13"/>
  <c r="H19" i="13"/>
  <c r="J19" i="13"/>
  <c r="K19" i="13"/>
  <c r="L19" i="13"/>
  <c r="M19" i="13"/>
  <c r="N19" i="13"/>
  <c r="O19" i="13"/>
  <c r="P19" i="13"/>
  <c r="Q19" i="13"/>
  <c r="AA19" i="13"/>
  <c r="D20" i="13"/>
  <c r="F20" i="13"/>
  <c r="G20" i="13"/>
  <c r="H20" i="13"/>
  <c r="J20" i="13"/>
  <c r="K20" i="13"/>
  <c r="L20" i="13"/>
  <c r="M20" i="13"/>
  <c r="N20" i="13"/>
  <c r="O20" i="13"/>
  <c r="P20" i="13"/>
  <c r="Q20" i="13"/>
  <c r="AA20" i="13"/>
  <c r="D21" i="13"/>
  <c r="F21" i="13"/>
  <c r="G21" i="13"/>
  <c r="H21" i="13"/>
  <c r="J21" i="13"/>
  <c r="K21" i="13"/>
  <c r="L21" i="13"/>
  <c r="M21" i="13"/>
  <c r="N21" i="13"/>
  <c r="O21" i="13"/>
  <c r="P21" i="13"/>
  <c r="Q21" i="13"/>
  <c r="AA21" i="13"/>
  <c r="D22" i="13"/>
  <c r="F22" i="13"/>
  <c r="G22" i="13"/>
  <c r="H22" i="13"/>
  <c r="J22" i="13"/>
  <c r="K22" i="13"/>
  <c r="L22" i="13"/>
  <c r="M22" i="13"/>
  <c r="N22" i="13"/>
  <c r="O22" i="13"/>
  <c r="P22" i="13"/>
  <c r="Q22" i="13"/>
  <c r="AA22" i="13"/>
  <c r="D23" i="13"/>
  <c r="F23" i="13"/>
  <c r="G23" i="13"/>
  <c r="H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D24" i="13"/>
  <c r="F24" i="13"/>
  <c r="G24" i="13"/>
  <c r="H24" i="13"/>
  <c r="J24" i="13"/>
  <c r="K24" i="13"/>
  <c r="L24" i="13"/>
  <c r="M24" i="13"/>
  <c r="N24" i="13"/>
  <c r="R24" i="13"/>
  <c r="Y24" i="13"/>
  <c r="D25" i="13"/>
  <c r="F25" i="13"/>
  <c r="G25" i="13"/>
  <c r="H25" i="13"/>
  <c r="J25" i="13"/>
  <c r="K25" i="13"/>
  <c r="L25" i="13"/>
  <c r="M25" i="13"/>
  <c r="N25" i="13"/>
  <c r="R25" i="13"/>
  <c r="Y25" i="13"/>
  <c r="D27" i="13"/>
  <c r="F27" i="13"/>
  <c r="G27" i="13"/>
  <c r="H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D28" i="13"/>
  <c r="F28" i="13"/>
  <c r="G28" i="13"/>
  <c r="H28" i="13"/>
  <c r="K28" i="13"/>
  <c r="L28" i="13"/>
  <c r="M28" i="13"/>
  <c r="N28" i="13"/>
  <c r="R28" i="13"/>
  <c r="Y28" i="13"/>
  <c r="D30" i="13"/>
  <c r="F30" i="13"/>
  <c r="G30" i="13"/>
  <c r="H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D31" i="13"/>
  <c r="F31" i="13"/>
  <c r="G31" i="13"/>
  <c r="H31" i="13"/>
  <c r="J31" i="13"/>
  <c r="K31" i="13"/>
  <c r="L31" i="13"/>
  <c r="M31" i="13"/>
  <c r="N31" i="13"/>
  <c r="R31" i="13"/>
  <c r="Y31" i="13"/>
  <c r="D32" i="13"/>
  <c r="F32" i="13"/>
  <c r="G32" i="13"/>
  <c r="H32" i="13"/>
  <c r="J32" i="13"/>
  <c r="K32" i="13"/>
  <c r="L32" i="13"/>
  <c r="M32" i="13"/>
  <c r="N32" i="13"/>
  <c r="R32" i="13"/>
  <c r="Y32" i="13"/>
  <c r="D34" i="13"/>
  <c r="F34" i="13"/>
  <c r="G34" i="13"/>
  <c r="H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D35" i="13"/>
  <c r="F35" i="13"/>
  <c r="G35" i="13"/>
  <c r="H35" i="13"/>
  <c r="J35" i="13"/>
  <c r="K35" i="13"/>
  <c r="L35" i="13"/>
  <c r="M35" i="13"/>
  <c r="N35" i="13"/>
  <c r="R35" i="13"/>
  <c r="Y35" i="13"/>
  <c r="D36" i="13"/>
  <c r="F36" i="13"/>
  <c r="G36" i="13"/>
  <c r="H36" i="13"/>
  <c r="J36" i="13"/>
  <c r="K36" i="13"/>
  <c r="L36" i="13"/>
  <c r="M36" i="13"/>
  <c r="N36" i="13"/>
  <c r="R36" i="13"/>
  <c r="Y36" i="13"/>
  <c r="D37" i="13"/>
  <c r="F37" i="13"/>
  <c r="G37" i="13"/>
  <c r="H37" i="13"/>
  <c r="J37" i="13"/>
  <c r="K37" i="13"/>
  <c r="L37" i="13"/>
  <c r="M37" i="13"/>
  <c r="N37" i="13"/>
  <c r="B38" i="13"/>
  <c r="D38" i="13"/>
  <c r="F38" i="13"/>
  <c r="G38" i="13"/>
  <c r="H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D39" i="13"/>
  <c r="F39" i="13"/>
  <c r="G39" i="13"/>
  <c r="H39" i="13"/>
  <c r="J39" i="13"/>
  <c r="K39" i="13"/>
  <c r="L39" i="13"/>
  <c r="M39" i="13"/>
  <c r="N39" i="13"/>
  <c r="U39" i="13"/>
  <c r="V39" i="13"/>
  <c r="W39" i="13"/>
  <c r="AA39" i="13"/>
  <c r="D40" i="13"/>
  <c r="F40" i="13"/>
  <c r="G40" i="13"/>
  <c r="H40" i="13"/>
  <c r="J40" i="13"/>
  <c r="K40" i="13"/>
  <c r="L40" i="13"/>
  <c r="M40" i="13"/>
  <c r="N40" i="13"/>
  <c r="U40" i="13"/>
  <c r="V40" i="13"/>
  <c r="W40" i="13"/>
  <c r="AA40" i="13"/>
  <c r="B42" i="13"/>
  <c r="D42" i="13"/>
  <c r="F42" i="13"/>
  <c r="G42" i="13"/>
  <c r="H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D44" i="13"/>
  <c r="F44" i="13"/>
  <c r="G44" i="13"/>
  <c r="H44" i="13"/>
  <c r="J44" i="13"/>
  <c r="K44" i="13"/>
  <c r="L44" i="13"/>
  <c r="M44" i="13"/>
  <c r="N44" i="13"/>
  <c r="O44" i="13"/>
  <c r="P44" i="13"/>
  <c r="Q44" i="13"/>
  <c r="S44" i="13"/>
  <c r="T44" i="13"/>
  <c r="U44" i="13"/>
  <c r="V44" i="13"/>
  <c r="W44" i="13"/>
  <c r="X44" i="13"/>
  <c r="Y44" i="13"/>
  <c r="Z44" i="13"/>
  <c r="AA44" i="13"/>
  <c r="Y45" i="13"/>
  <c r="O46" i="13"/>
  <c r="P46" i="13"/>
  <c r="Q46" i="13"/>
  <c r="R46" i="13"/>
  <c r="S46" i="13"/>
  <c r="T46" i="13"/>
  <c r="D47" i="13"/>
  <c r="H47" i="13"/>
  <c r="M47" i="13"/>
  <c r="N47" i="13"/>
  <c r="X47" i="13"/>
  <c r="Y47" i="13"/>
  <c r="AA47" i="13"/>
  <c r="L48" i="13"/>
  <c r="M48" i="13"/>
  <c r="N48" i="13"/>
  <c r="P48" i="13"/>
  <c r="D52" i="13"/>
  <c r="E52" i="13"/>
  <c r="D53" i="13"/>
  <c r="E53" i="13"/>
  <c r="D55" i="13"/>
  <c r="E55" i="13"/>
  <c r="K55" i="13"/>
  <c r="L55" i="13"/>
  <c r="D56" i="13"/>
  <c r="F56" i="13"/>
  <c r="K56" i="13"/>
  <c r="L56" i="13"/>
  <c r="K57" i="13"/>
  <c r="L57" i="13"/>
  <c r="E58" i="13"/>
  <c r="K58" i="13"/>
  <c r="L58" i="13"/>
  <c r="K59" i="13"/>
  <c r="L59" i="13"/>
  <c r="F60" i="13"/>
  <c r="F62" i="13"/>
  <c r="D7" i="39"/>
  <c r="A8" i="39"/>
  <c r="D8" i="39"/>
  <c r="A9" i="39"/>
  <c r="D9" i="39"/>
  <c r="A10" i="39"/>
  <c r="D10" i="39"/>
  <c r="A11" i="39"/>
  <c r="D11" i="39"/>
  <c r="A12" i="39"/>
  <c r="D12" i="39"/>
  <c r="A13" i="39"/>
  <c r="D13" i="39"/>
  <c r="A14" i="39"/>
  <c r="D14" i="39"/>
  <c r="A15" i="39"/>
  <c r="D15" i="39"/>
  <c r="A16" i="39"/>
  <c r="D16" i="39"/>
  <c r="A17" i="39"/>
  <c r="D17" i="39"/>
  <c r="A18" i="39"/>
  <c r="D18" i="39"/>
  <c r="A19" i="39"/>
  <c r="D19" i="39"/>
  <c r="A20" i="39"/>
  <c r="D20" i="39"/>
  <c r="A21" i="39"/>
  <c r="D21" i="39"/>
  <c r="A22" i="39"/>
  <c r="D22" i="39"/>
  <c r="A23" i="39"/>
  <c r="D23" i="39"/>
  <c r="A24" i="39"/>
  <c r="D24" i="39"/>
  <c r="A25" i="39"/>
  <c r="D25" i="39"/>
  <c r="A26" i="39"/>
  <c r="D26" i="39"/>
  <c r="A27" i="39"/>
  <c r="D27" i="39"/>
  <c r="A28" i="39"/>
  <c r="D28" i="39"/>
  <c r="A29" i="39"/>
  <c r="D29" i="39"/>
  <c r="A30" i="39"/>
  <c r="D30" i="39"/>
  <c r="A31" i="39"/>
  <c r="D31" i="39"/>
  <c r="A32" i="39"/>
  <c r="D32" i="39"/>
  <c r="A33" i="39"/>
  <c r="D33" i="39"/>
  <c r="A34" i="39"/>
  <c r="D34" i="39"/>
  <c r="A35" i="39"/>
  <c r="D35" i="39"/>
  <c r="A36" i="39"/>
  <c r="D36" i="39"/>
  <c r="A37" i="39"/>
  <c r="D37" i="39"/>
  <c r="G3" i="9"/>
  <c r="A12" i="9"/>
  <c r="E15" i="9"/>
  <c r="F15" i="9"/>
  <c r="E16" i="9"/>
  <c r="F16" i="9"/>
  <c r="E18" i="9"/>
  <c r="A22" i="9"/>
  <c r="C22" i="9"/>
  <c r="D22" i="9"/>
  <c r="E22" i="9"/>
  <c r="F22" i="9"/>
  <c r="G22" i="9"/>
  <c r="A23" i="9"/>
  <c r="C23" i="9"/>
  <c r="D23" i="9"/>
  <c r="E23" i="9"/>
  <c r="F23" i="9"/>
  <c r="G23" i="9"/>
  <c r="A24" i="9"/>
  <c r="C24" i="9"/>
  <c r="D24" i="9"/>
  <c r="E24" i="9"/>
  <c r="F24" i="9"/>
  <c r="G24" i="9"/>
  <c r="A25" i="9"/>
  <c r="C25" i="9"/>
  <c r="D25" i="9"/>
  <c r="E25" i="9"/>
  <c r="F25" i="9"/>
  <c r="G25" i="9"/>
  <c r="A26" i="9"/>
  <c r="C26" i="9"/>
  <c r="D26" i="9"/>
  <c r="E26" i="9"/>
  <c r="F26" i="9"/>
  <c r="G26" i="9"/>
  <c r="A27" i="9"/>
  <c r="C27" i="9"/>
  <c r="D27" i="9"/>
  <c r="E27" i="9"/>
  <c r="F27" i="9"/>
  <c r="G27" i="9"/>
  <c r="A28" i="9"/>
  <c r="C28" i="9"/>
  <c r="D28" i="9"/>
  <c r="E28" i="9"/>
  <c r="F28" i="9"/>
  <c r="G28" i="9"/>
  <c r="A29" i="9"/>
  <c r="C29" i="9"/>
  <c r="D29" i="9"/>
  <c r="E29" i="9"/>
  <c r="F29" i="9"/>
  <c r="G29" i="9"/>
  <c r="A30" i="9"/>
  <c r="C30" i="9"/>
  <c r="D30" i="9"/>
  <c r="E30" i="9"/>
  <c r="F30" i="9"/>
  <c r="G30" i="9"/>
  <c r="A31" i="9"/>
  <c r="C31" i="9"/>
  <c r="D31" i="9"/>
  <c r="E31" i="9"/>
  <c r="F31" i="9"/>
  <c r="G31" i="9"/>
  <c r="A32" i="9"/>
  <c r="E32" i="9"/>
  <c r="F32" i="9"/>
  <c r="A33" i="9"/>
  <c r="E33" i="9"/>
  <c r="F33" i="9"/>
  <c r="E34" i="9"/>
  <c r="F34" i="9"/>
  <c r="G34" i="9"/>
  <c r="G37" i="9"/>
  <c r="L1" i="7"/>
  <c r="A2" i="7"/>
  <c r="B6" i="7"/>
  <c r="A8" i="7"/>
  <c r="B8" i="7"/>
  <c r="D11" i="7"/>
  <c r="G11" i="7"/>
  <c r="H11" i="7"/>
  <c r="D12" i="7"/>
  <c r="G12" i="7"/>
  <c r="H12" i="7"/>
  <c r="A16" i="7"/>
  <c r="B16" i="7"/>
  <c r="C16" i="7"/>
  <c r="D16" i="7"/>
  <c r="E16" i="7"/>
  <c r="F16" i="7"/>
  <c r="H16" i="7"/>
  <c r="I16" i="7"/>
  <c r="J16" i="7"/>
  <c r="K16" i="7"/>
  <c r="L16" i="7"/>
  <c r="A17" i="7"/>
  <c r="B17" i="7"/>
  <c r="C17" i="7"/>
  <c r="D17" i="7"/>
  <c r="E17" i="7"/>
  <c r="F17" i="7"/>
  <c r="H17" i="7"/>
  <c r="I17" i="7"/>
  <c r="J17" i="7"/>
  <c r="K17" i="7"/>
  <c r="L17" i="7"/>
  <c r="A18" i="7"/>
  <c r="B18" i="7"/>
  <c r="C18" i="7"/>
  <c r="D18" i="7"/>
  <c r="E18" i="7"/>
  <c r="F18" i="7"/>
  <c r="H18" i="7"/>
  <c r="I18" i="7"/>
  <c r="J18" i="7"/>
  <c r="K18" i="7"/>
  <c r="L18" i="7"/>
  <c r="A19" i="7"/>
  <c r="B19" i="7"/>
  <c r="C19" i="7"/>
  <c r="D19" i="7"/>
  <c r="E19" i="7"/>
  <c r="F19" i="7"/>
  <c r="H19" i="7"/>
  <c r="I19" i="7"/>
  <c r="J19" i="7"/>
  <c r="K19" i="7"/>
  <c r="L19" i="7"/>
  <c r="A20" i="7"/>
  <c r="B20" i="7"/>
  <c r="C20" i="7"/>
  <c r="D20" i="7"/>
  <c r="E20" i="7"/>
  <c r="F20" i="7"/>
  <c r="H20" i="7"/>
  <c r="I20" i="7"/>
  <c r="J20" i="7"/>
  <c r="K20" i="7"/>
  <c r="L20" i="7"/>
  <c r="A21" i="7"/>
  <c r="B21" i="7"/>
  <c r="C21" i="7"/>
  <c r="D21" i="7"/>
  <c r="E21" i="7"/>
  <c r="F21" i="7"/>
  <c r="H21" i="7"/>
  <c r="I21" i="7"/>
  <c r="J21" i="7"/>
  <c r="K21" i="7"/>
  <c r="L21" i="7"/>
  <c r="A22" i="7"/>
  <c r="B22" i="7"/>
  <c r="C22" i="7"/>
  <c r="D22" i="7"/>
  <c r="E22" i="7"/>
  <c r="F22" i="7"/>
  <c r="H22" i="7"/>
  <c r="I22" i="7"/>
  <c r="J22" i="7"/>
  <c r="K22" i="7"/>
  <c r="L22" i="7"/>
  <c r="A23" i="7"/>
  <c r="B23" i="7"/>
  <c r="C23" i="7"/>
  <c r="D23" i="7"/>
  <c r="E23" i="7"/>
  <c r="F23" i="7"/>
  <c r="H23" i="7"/>
  <c r="I23" i="7"/>
  <c r="J23" i="7"/>
  <c r="K23" i="7"/>
  <c r="L23" i="7"/>
  <c r="A24" i="7"/>
  <c r="B24" i="7"/>
  <c r="C24" i="7"/>
  <c r="D24" i="7"/>
  <c r="E24" i="7"/>
  <c r="F24" i="7"/>
  <c r="H24" i="7"/>
  <c r="I24" i="7"/>
  <c r="J24" i="7"/>
  <c r="K24" i="7"/>
  <c r="L24" i="7"/>
  <c r="A25" i="7"/>
  <c r="B25" i="7"/>
  <c r="C25" i="7"/>
  <c r="D25" i="7"/>
  <c r="E25" i="7"/>
  <c r="F25" i="7"/>
  <c r="H25" i="7"/>
  <c r="I25" i="7"/>
  <c r="J25" i="7"/>
  <c r="K25" i="7"/>
  <c r="L25" i="7"/>
  <c r="A26" i="7"/>
  <c r="B26" i="7"/>
  <c r="C26" i="7"/>
  <c r="D26" i="7"/>
  <c r="E26" i="7"/>
  <c r="F26" i="7"/>
  <c r="H26" i="7"/>
  <c r="I26" i="7"/>
  <c r="J26" i="7"/>
  <c r="K26" i="7"/>
  <c r="L26" i="7"/>
  <c r="A27" i="7"/>
  <c r="B27" i="7"/>
  <c r="C27" i="7"/>
  <c r="D27" i="7"/>
  <c r="E27" i="7"/>
  <c r="F27" i="7"/>
  <c r="H27" i="7"/>
  <c r="I27" i="7"/>
  <c r="J27" i="7"/>
  <c r="K27" i="7"/>
  <c r="L27" i="7"/>
  <c r="A28" i="7"/>
  <c r="B28" i="7"/>
  <c r="C28" i="7"/>
  <c r="D28" i="7"/>
  <c r="E28" i="7"/>
  <c r="F28" i="7"/>
  <c r="H28" i="7"/>
  <c r="I28" i="7"/>
  <c r="J28" i="7"/>
  <c r="K28" i="7"/>
  <c r="L28" i="7"/>
  <c r="A29" i="7"/>
  <c r="B29" i="7"/>
  <c r="C29" i="7"/>
  <c r="D29" i="7"/>
  <c r="E29" i="7"/>
  <c r="F29" i="7"/>
  <c r="H29" i="7"/>
  <c r="I29" i="7"/>
  <c r="J29" i="7"/>
  <c r="K29" i="7"/>
  <c r="L29" i="7"/>
  <c r="A30" i="7"/>
  <c r="B30" i="7"/>
  <c r="C30" i="7"/>
  <c r="D30" i="7"/>
  <c r="E30" i="7"/>
  <c r="F30" i="7"/>
  <c r="H30" i="7"/>
  <c r="I30" i="7"/>
  <c r="J30" i="7"/>
  <c r="K30" i="7"/>
  <c r="L30" i="7"/>
  <c r="A31" i="7"/>
  <c r="B31" i="7"/>
  <c r="C31" i="7"/>
  <c r="D31" i="7"/>
  <c r="E31" i="7"/>
  <c r="F31" i="7"/>
  <c r="H31" i="7"/>
  <c r="I31" i="7"/>
  <c r="J31" i="7"/>
  <c r="K31" i="7"/>
  <c r="L31" i="7"/>
  <c r="A32" i="7"/>
  <c r="B32" i="7"/>
  <c r="C32" i="7"/>
  <c r="D32" i="7"/>
  <c r="E32" i="7"/>
  <c r="F32" i="7"/>
  <c r="H32" i="7"/>
  <c r="I32" i="7"/>
  <c r="J32" i="7"/>
  <c r="K32" i="7"/>
  <c r="L32" i="7"/>
  <c r="A33" i="7"/>
  <c r="B33" i="7"/>
  <c r="C33" i="7"/>
  <c r="D33" i="7"/>
  <c r="E33" i="7"/>
  <c r="F33" i="7"/>
  <c r="H33" i="7"/>
  <c r="I33" i="7"/>
  <c r="J33" i="7"/>
  <c r="K33" i="7"/>
  <c r="L33" i="7"/>
  <c r="A34" i="7"/>
  <c r="B34" i="7"/>
  <c r="C34" i="7"/>
  <c r="D34" i="7"/>
  <c r="E34" i="7"/>
  <c r="F34" i="7"/>
  <c r="H34" i="7"/>
  <c r="I34" i="7"/>
  <c r="J34" i="7"/>
  <c r="K34" i="7"/>
  <c r="L34" i="7"/>
  <c r="A35" i="7"/>
  <c r="B35" i="7"/>
  <c r="C35" i="7"/>
  <c r="D35" i="7"/>
  <c r="E35" i="7"/>
  <c r="F35" i="7"/>
  <c r="H35" i="7"/>
  <c r="I35" i="7"/>
  <c r="J35" i="7"/>
  <c r="K35" i="7"/>
  <c r="L35" i="7"/>
  <c r="A36" i="7"/>
  <c r="B36" i="7"/>
  <c r="C36" i="7"/>
  <c r="D36" i="7"/>
  <c r="E36" i="7"/>
  <c r="F36" i="7"/>
  <c r="H36" i="7"/>
  <c r="I36" i="7"/>
  <c r="J36" i="7"/>
  <c r="K36" i="7"/>
  <c r="L36" i="7"/>
  <c r="A37" i="7"/>
  <c r="B37" i="7"/>
  <c r="C37" i="7"/>
  <c r="D37" i="7"/>
  <c r="E37" i="7"/>
  <c r="F37" i="7"/>
  <c r="H37" i="7"/>
  <c r="I37" i="7"/>
  <c r="J37" i="7"/>
  <c r="K37" i="7"/>
  <c r="L37" i="7"/>
  <c r="A38" i="7"/>
  <c r="B38" i="7"/>
  <c r="C38" i="7"/>
  <c r="D38" i="7"/>
  <c r="E38" i="7"/>
  <c r="F38" i="7"/>
  <c r="H38" i="7"/>
  <c r="I38" i="7"/>
  <c r="J38" i="7"/>
  <c r="K38" i="7"/>
  <c r="L38" i="7"/>
  <c r="A39" i="7"/>
  <c r="B39" i="7"/>
  <c r="C39" i="7"/>
  <c r="D39" i="7"/>
  <c r="E39" i="7"/>
  <c r="F39" i="7"/>
  <c r="H39" i="7"/>
  <c r="I39" i="7"/>
  <c r="J39" i="7"/>
  <c r="K39" i="7"/>
  <c r="L39" i="7"/>
  <c r="A40" i="7"/>
  <c r="B40" i="7"/>
  <c r="C40" i="7"/>
  <c r="D40" i="7"/>
  <c r="E40" i="7"/>
  <c r="F40" i="7"/>
  <c r="H40" i="7"/>
  <c r="I40" i="7"/>
  <c r="J40" i="7"/>
  <c r="K40" i="7"/>
  <c r="L40" i="7"/>
  <c r="A41" i="7"/>
  <c r="B41" i="7"/>
  <c r="C41" i="7"/>
  <c r="D41" i="7"/>
  <c r="E41" i="7"/>
  <c r="F41" i="7"/>
  <c r="H41" i="7"/>
  <c r="I41" i="7"/>
  <c r="J41" i="7"/>
  <c r="K41" i="7"/>
  <c r="L41" i="7"/>
  <c r="A42" i="7"/>
  <c r="B42" i="7"/>
  <c r="C42" i="7"/>
  <c r="D42" i="7"/>
  <c r="E42" i="7"/>
  <c r="F42" i="7"/>
  <c r="H42" i="7"/>
  <c r="I42" i="7"/>
  <c r="J42" i="7"/>
  <c r="K42" i="7"/>
  <c r="L42" i="7"/>
  <c r="A43" i="7"/>
  <c r="B43" i="7"/>
  <c r="C43" i="7"/>
  <c r="D43" i="7"/>
  <c r="E43" i="7"/>
  <c r="F43" i="7"/>
  <c r="H43" i="7"/>
  <c r="I43" i="7"/>
  <c r="J43" i="7"/>
  <c r="K43" i="7"/>
  <c r="L43" i="7"/>
  <c r="A44" i="7"/>
  <c r="B44" i="7"/>
  <c r="C44" i="7"/>
  <c r="D44" i="7"/>
  <c r="E44" i="7"/>
  <c r="F44" i="7"/>
  <c r="H44" i="7"/>
  <c r="I44" i="7"/>
  <c r="J44" i="7"/>
  <c r="K44" i="7"/>
  <c r="L44" i="7"/>
  <c r="A45" i="7"/>
  <c r="B45" i="7"/>
  <c r="C45" i="7"/>
  <c r="D45" i="7"/>
  <c r="E45" i="7"/>
  <c r="F45" i="7"/>
  <c r="H45" i="7"/>
  <c r="I45" i="7"/>
  <c r="J45" i="7"/>
  <c r="K45" i="7"/>
  <c r="L45" i="7"/>
  <c r="F47" i="7"/>
  <c r="D48" i="7"/>
  <c r="F48" i="7"/>
  <c r="H48" i="7"/>
  <c r="I48" i="7"/>
  <c r="J48" i="7"/>
  <c r="K48" i="7"/>
  <c r="L48" i="7"/>
  <c r="N48" i="7"/>
  <c r="O48" i="7"/>
  <c r="H49" i="7"/>
  <c r="L50" i="7"/>
  <c r="H3" i="12"/>
  <c r="A10" i="12"/>
  <c r="A12" i="12"/>
  <c r="A15" i="12"/>
  <c r="C15" i="12"/>
  <c r="D15" i="12"/>
  <c r="E15" i="12"/>
  <c r="F15" i="12"/>
  <c r="H15" i="12"/>
  <c r="A16" i="12"/>
  <c r="C16" i="12"/>
  <c r="E16" i="12"/>
  <c r="F16" i="12"/>
  <c r="H16" i="12"/>
  <c r="A17" i="12"/>
  <c r="E17" i="12"/>
  <c r="F17" i="12"/>
  <c r="A18" i="12"/>
  <c r="E18" i="12"/>
  <c r="F18" i="12"/>
  <c r="H18" i="12"/>
  <c r="H32" i="12"/>
  <c r="H38" i="12"/>
  <c r="M1" i="33"/>
  <c r="A2" i="33"/>
  <c r="B7" i="33"/>
  <c r="B9" i="33"/>
  <c r="D13" i="33"/>
  <c r="E13" i="33"/>
  <c r="F13" i="33"/>
  <c r="A19" i="33"/>
  <c r="B19" i="33"/>
  <c r="C19" i="33"/>
  <c r="D19" i="33"/>
  <c r="F19" i="33"/>
  <c r="G19" i="33"/>
  <c r="H19" i="33"/>
  <c r="I19" i="33"/>
  <c r="A20" i="33"/>
  <c r="B20" i="33"/>
  <c r="C20" i="33"/>
  <c r="D20" i="33"/>
  <c r="F20" i="33"/>
  <c r="G20" i="33"/>
  <c r="H20" i="33"/>
  <c r="I20" i="33"/>
  <c r="A21" i="33"/>
  <c r="B21" i="33"/>
  <c r="C21" i="33"/>
  <c r="D21" i="33"/>
  <c r="F21" i="33"/>
  <c r="G21" i="33"/>
  <c r="H21" i="33"/>
  <c r="I21" i="33"/>
  <c r="A22" i="33"/>
  <c r="B22" i="33"/>
  <c r="C22" i="33"/>
  <c r="D22" i="33"/>
  <c r="F22" i="33"/>
  <c r="G22" i="33"/>
  <c r="H22" i="33"/>
  <c r="I22" i="33"/>
  <c r="A23" i="33"/>
  <c r="B23" i="33"/>
  <c r="C23" i="33"/>
  <c r="D23" i="33"/>
  <c r="F23" i="33"/>
  <c r="G23" i="33"/>
  <c r="H23" i="33"/>
  <c r="I23" i="33"/>
  <c r="A24" i="33"/>
  <c r="B24" i="33"/>
  <c r="C24" i="33"/>
  <c r="D24" i="33"/>
  <c r="F24" i="33"/>
  <c r="G24" i="33"/>
  <c r="H24" i="33"/>
  <c r="I24" i="33"/>
  <c r="A25" i="33"/>
  <c r="B25" i="33"/>
  <c r="C25" i="33"/>
  <c r="D25" i="33"/>
  <c r="F25" i="33"/>
  <c r="G25" i="33"/>
  <c r="H25" i="33"/>
  <c r="I25" i="33"/>
  <c r="A26" i="33"/>
  <c r="B26" i="33"/>
  <c r="C26" i="33"/>
  <c r="D26" i="33"/>
  <c r="F26" i="33"/>
  <c r="G26" i="33"/>
  <c r="H26" i="33"/>
  <c r="I26" i="33"/>
  <c r="A27" i="33"/>
  <c r="B27" i="33"/>
  <c r="C27" i="33"/>
  <c r="D27" i="33"/>
  <c r="F27" i="33"/>
  <c r="G27" i="33"/>
  <c r="H27" i="33"/>
  <c r="I27" i="33"/>
  <c r="A28" i="33"/>
  <c r="B28" i="33"/>
  <c r="C28" i="33"/>
  <c r="D28" i="33"/>
  <c r="F28" i="33"/>
  <c r="G28" i="33"/>
  <c r="H28" i="33"/>
  <c r="I28" i="33"/>
  <c r="A29" i="33"/>
  <c r="B29" i="33"/>
  <c r="C29" i="33"/>
  <c r="D29" i="33"/>
  <c r="F29" i="33"/>
  <c r="G29" i="33"/>
  <c r="H29" i="33"/>
  <c r="I29" i="33"/>
  <c r="A30" i="33"/>
  <c r="B30" i="33"/>
  <c r="C30" i="33"/>
  <c r="D30" i="33"/>
  <c r="F30" i="33"/>
  <c r="G30" i="33"/>
  <c r="H30" i="33"/>
  <c r="I30" i="33"/>
  <c r="A31" i="33"/>
  <c r="B31" i="33"/>
  <c r="C31" i="33"/>
  <c r="D31" i="33"/>
  <c r="F31" i="33"/>
  <c r="G31" i="33"/>
  <c r="H31" i="33"/>
  <c r="I31" i="33"/>
  <c r="A32" i="33"/>
  <c r="B32" i="33"/>
  <c r="C32" i="33"/>
  <c r="D32" i="33"/>
  <c r="F32" i="33"/>
  <c r="G32" i="33"/>
  <c r="H32" i="33"/>
  <c r="I32" i="33"/>
  <c r="A33" i="33"/>
  <c r="B33" i="33"/>
  <c r="C33" i="33"/>
  <c r="D33" i="33"/>
  <c r="F33" i="33"/>
  <c r="G33" i="33"/>
  <c r="H33" i="33"/>
  <c r="I33" i="33"/>
  <c r="A34" i="33"/>
  <c r="B34" i="33"/>
  <c r="C34" i="33"/>
  <c r="D34" i="33"/>
  <c r="F34" i="33"/>
  <c r="G34" i="33"/>
  <c r="H34" i="33"/>
  <c r="I34" i="33"/>
  <c r="A35" i="33"/>
  <c r="B35" i="33"/>
  <c r="C35" i="33"/>
  <c r="D35" i="33"/>
  <c r="F35" i="33"/>
  <c r="G35" i="33"/>
  <c r="H35" i="33"/>
  <c r="I35" i="33"/>
  <c r="A36" i="33"/>
  <c r="B36" i="33"/>
  <c r="C36" i="33"/>
  <c r="D36" i="33"/>
  <c r="F36" i="33"/>
  <c r="G36" i="33"/>
  <c r="H36" i="33"/>
  <c r="I36" i="33"/>
  <c r="A37" i="33"/>
  <c r="B37" i="33"/>
  <c r="C37" i="33"/>
  <c r="D37" i="33"/>
  <c r="F37" i="33"/>
  <c r="G37" i="33"/>
  <c r="H37" i="33"/>
  <c r="I37" i="33"/>
  <c r="A38" i="33"/>
  <c r="B38" i="33"/>
  <c r="C38" i="33"/>
  <c r="D38" i="33"/>
  <c r="F38" i="33"/>
  <c r="G38" i="33"/>
  <c r="H38" i="33"/>
  <c r="I38" i="33"/>
  <c r="A39" i="33"/>
  <c r="B39" i="33"/>
  <c r="C39" i="33"/>
  <c r="D39" i="33"/>
  <c r="F39" i="33"/>
  <c r="G39" i="33"/>
  <c r="H39" i="33"/>
  <c r="I39" i="33"/>
  <c r="A40" i="33"/>
  <c r="B40" i="33"/>
  <c r="C40" i="33"/>
  <c r="D40" i="33"/>
  <c r="F40" i="33"/>
  <c r="G40" i="33"/>
  <c r="H40" i="33"/>
  <c r="I40" i="33"/>
  <c r="A41" i="33"/>
  <c r="B41" i="33"/>
  <c r="C41" i="33"/>
  <c r="D41" i="33"/>
  <c r="F41" i="33"/>
  <c r="G41" i="33"/>
  <c r="H41" i="33"/>
  <c r="I41" i="33"/>
  <c r="A42" i="33"/>
  <c r="B42" i="33"/>
  <c r="C42" i="33"/>
  <c r="D42" i="33"/>
  <c r="F42" i="33"/>
  <c r="G42" i="33"/>
  <c r="H42" i="33"/>
  <c r="I42" i="33"/>
  <c r="A43" i="33"/>
  <c r="B43" i="33"/>
  <c r="C43" i="33"/>
  <c r="D43" i="33"/>
  <c r="F43" i="33"/>
  <c r="G43" i="33"/>
  <c r="H43" i="33"/>
  <c r="I43" i="33"/>
  <c r="A44" i="33"/>
  <c r="B44" i="33"/>
  <c r="C44" i="33"/>
  <c r="D44" i="33"/>
  <c r="F44" i="33"/>
  <c r="G44" i="33"/>
  <c r="H44" i="33"/>
  <c r="I44" i="33"/>
  <c r="A45" i="33"/>
  <c r="B45" i="33"/>
  <c r="C45" i="33"/>
  <c r="D45" i="33"/>
  <c r="F45" i="33"/>
  <c r="G45" i="33"/>
  <c r="H45" i="33"/>
  <c r="I45" i="33"/>
  <c r="A46" i="33"/>
  <c r="B46" i="33"/>
  <c r="C46" i="33"/>
  <c r="D46" i="33"/>
  <c r="F46" i="33"/>
  <c r="G46" i="33"/>
  <c r="H46" i="33"/>
  <c r="I46" i="33"/>
  <c r="A47" i="33"/>
  <c r="B47" i="33"/>
  <c r="C47" i="33"/>
  <c r="D47" i="33"/>
  <c r="F47" i="33"/>
  <c r="G47" i="33"/>
  <c r="H47" i="33"/>
  <c r="I47" i="33"/>
  <c r="A48" i="33"/>
  <c r="B48" i="33"/>
  <c r="C48" i="33"/>
  <c r="D48" i="33"/>
  <c r="F48" i="33"/>
  <c r="G48" i="33"/>
  <c r="H48" i="33"/>
  <c r="I48" i="33"/>
  <c r="D51" i="33"/>
  <c r="F51" i="33"/>
  <c r="G51" i="33"/>
  <c r="H51" i="33"/>
  <c r="I51" i="33"/>
  <c r="F53" i="33"/>
  <c r="H53" i="33"/>
  <c r="I53" i="33"/>
  <c r="G3" i="34"/>
  <c r="A12" i="34"/>
  <c r="A14" i="34"/>
  <c r="A19" i="34"/>
  <c r="C19" i="34"/>
  <c r="D19" i="34"/>
  <c r="E19" i="34"/>
  <c r="F19" i="34"/>
  <c r="G19" i="34"/>
  <c r="A20" i="34"/>
  <c r="E20" i="34"/>
  <c r="F20" i="34"/>
  <c r="E21" i="34"/>
  <c r="F21" i="34"/>
  <c r="G21" i="34"/>
  <c r="G35" i="34"/>
  <c r="P1" i="3"/>
  <c r="A2" i="3"/>
  <c r="B6" i="3"/>
  <c r="D7" i="3"/>
  <c r="A8" i="3"/>
  <c r="B8" i="3"/>
  <c r="A9" i="3"/>
  <c r="B9" i="3"/>
  <c r="F11" i="3"/>
  <c r="D12" i="3"/>
  <c r="I12" i="3"/>
  <c r="J12" i="3"/>
  <c r="D13" i="3"/>
  <c r="E13" i="3"/>
  <c r="F13" i="3"/>
  <c r="I13" i="3"/>
  <c r="J13" i="3"/>
  <c r="D14" i="3"/>
  <c r="E14" i="3"/>
  <c r="F14" i="3"/>
  <c r="I14" i="3"/>
  <c r="J14" i="3"/>
  <c r="A19" i="3"/>
  <c r="B19" i="3"/>
  <c r="C19" i="3"/>
  <c r="D19" i="3"/>
  <c r="E19" i="3"/>
  <c r="F19" i="3"/>
  <c r="G19" i="3"/>
  <c r="H19" i="3"/>
  <c r="J19" i="3"/>
  <c r="K19" i="3"/>
  <c r="L19" i="3"/>
  <c r="M19" i="3"/>
  <c r="N19" i="3"/>
  <c r="O19" i="3"/>
  <c r="A20" i="3"/>
  <c r="B20" i="3"/>
  <c r="C20" i="3"/>
  <c r="D20" i="3"/>
  <c r="E20" i="3"/>
  <c r="F20" i="3"/>
  <c r="G20" i="3"/>
  <c r="H20" i="3"/>
  <c r="J20" i="3"/>
  <c r="K20" i="3"/>
  <c r="L20" i="3"/>
  <c r="M20" i="3"/>
  <c r="N20" i="3"/>
  <c r="O20" i="3"/>
  <c r="A21" i="3"/>
  <c r="B21" i="3"/>
  <c r="C21" i="3"/>
  <c r="D21" i="3"/>
  <c r="E21" i="3"/>
  <c r="F21" i="3"/>
  <c r="G21" i="3"/>
  <c r="H21" i="3"/>
  <c r="J21" i="3"/>
  <c r="K21" i="3"/>
  <c r="L21" i="3"/>
  <c r="M21" i="3"/>
  <c r="N21" i="3"/>
  <c r="O21" i="3"/>
  <c r="A22" i="3"/>
  <c r="B22" i="3"/>
  <c r="C22" i="3"/>
  <c r="D22" i="3"/>
  <c r="E22" i="3"/>
  <c r="F22" i="3"/>
  <c r="G22" i="3"/>
  <c r="H22" i="3"/>
  <c r="J22" i="3"/>
  <c r="K22" i="3"/>
  <c r="L22" i="3"/>
  <c r="M22" i="3"/>
  <c r="N22" i="3"/>
  <c r="O22" i="3"/>
  <c r="A23" i="3"/>
  <c r="B23" i="3"/>
  <c r="C23" i="3"/>
  <c r="D23" i="3"/>
  <c r="E23" i="3"/>
  <c r="F23" i="3"/>
  <c r="G23" i="3"/>
  <c r="H23" i="3"/>
  <c r="J23" i="3"/>
  <c r="K23" i="3"/>
  <c r="L23" i="3"/>
  <c r="M23" i="3"/>
  <c r="N23" i="3"/>
  <c r="O23" i="3"/>
  <c r="A24" i="3"/>
  <c r="B24" i="3"/>
  <c r="C24" i="3"/>
  <c r="D24" i="3"/>
  <c r="E24" i="3"/>
  <c r="F24" i="3"/>
  <c r="G24" i="3"/>
  <c r="H24" i="3"/>
  <c r="J24" i="3"/>
  <c r="K24" i="3"/>
  <c r="L24" i="3"/>
  <c r="M24" i="3"/>
  <c r="N24" i="3"/>
  <c r="O24" i="3"/>
  <c r="A25" i="3"/>
  <c r="B25" i="3"/>
  <c r="C25" i="3"/>
  <c r="D25" i="3"/>
  <c r="E25" i="3"/>
  <c r="F25" i="3"/>
  <c r="G25" i="3"/>
  <c r="H25" i="3"/>
  <c r="J25" i="3"/>
  <c r="K25" i="3"/>
  <c r="L25" i="3"/>
  <c r="M25" i="3"/>
  <c r="N25" i="3"/>
  <c r="O25" i="3"/>
  <c r="A26" i="3"/>
  <c r="B26" i="3"/>
  <c r="C26" i="3"/>
  <c r="D26" i="3"/>
  <c r="E26" i="3"/>
  <c r="F26" i="3"/>
  <c r="G26" i="3"/>
  <c r="H26" i="3"/>
  <c r="J26" i="3"/>
  <c r="K26" i="3"/>
  <c r="L26" i="3"/>
  <c r="M26" i="3"/>
  <c r="N26" i="3"/>
  <c r="O26" i="3"/>
  <c r="A27" i="3"/>
  <c r="B27" i="3"/>
  <c r="C27" i="3"/>
  <c r="D27" i="3"/>
  <c r="E27" i="3"/>
  <c r="F27" i="3"/>
  <c r="G27" i="3"/>
  <c r="H27" i="3"/>
  <c r="J27" i="3"/>
  <c r="K27" i="3"/>
  <c r="L27" i="3"/>
  <c r="M27" i="3"/>
  <c r="N27" i="3"/>
  <c r="O27" i="3"/>
  <c r="A28" i="3"/>
  <c r="B28" i="3"/>
  <c r="C28" i="3"/>
  <c r="D28" i="3"/>
  <c r="E28" i="3"/>
  <c r="F28" i="3"/>
  <c r="G28" i="3"/>
  <c r="H28" i="3"/>
  <c r="J28" i="3"/>
  <c r="K28" i="3"/>
  <c r="L28" i="3"/>
  <c r="M28" i="3"/>
  <c r="N28" i="3"/>
  <c r="O28" i="3"/>
  <c r="A29" i="3"/>
  <c r="B29" i="3"/>
  <c r="C29" i="3"/>
  <c r="D29" i="3"/>
  <c r="E29" i="3"/>
  <c r="F29" i="3"/>
  <c r="G29" i="3"/>
  <c r="H29" i="3"/>
  <c r="J29" i="3"/>
  <c r="K29" i="3"/>
  <c r="L29" i="3"/>
  <c r="M29" i="3"/>
  <c r="N29" i="3"/>
  <c r="O29" i="3"/>
  <c r="A30" i="3"/>
  <c r="B30" i="3"/>
  <c r="C30" i="3"/>
  <c r="D30" i="3"/>
  <c r="E30" i="3"/>
  <c r="F30" i="3"/>
  <c r="G30" i="3"/>
  <c r="H30" i="3"/>
  <c r="J30" i="3"/>
  <c r="K30" i="3"/>
  <c r="L30" i="3"/>
  <c r="M30" i="3"/>
  <c r="N30" i="3"/>
  <c r="O30" i="3"/>
  <c r="A31" i="3"/>
  <c r="B31" i="3"/>
  <c r="C31" i="3"/>
  <c r="D31" i="3"/>
  <c r="E31" i="3"/>
  <c r="F31" i="3"/>
  <c r="G31" i="3"/>
  <c r="H31" i="3"/>
  <c r="J31" i="3"/>
  <c r="K31" i="3"/>
  <c r="L31" i="3"/>
  <c r="M31" i="3"/>
  <c r="N31" i="3"/>
  <c r="O31" i="3"/>
  <c r="A32" i="3"/>
  <c r="B32" i="3"/>
  <c r="C32" i="3"/>
  <c r="D32" i="3"/>
  <c r="E32" i="3"/>
  <c r="F32" i="3"/>
  <c r="G32" i="3"/>
  <c r="H32" i="3"/>
  <c r="J32" i="3"/>
  <c r="K32" i="3"/>
  <c r="L32" i="3"/>
  <c r="M32" i="3"/>
  <c r="N32" i="3"/>
  <c r="O32" i="3"/>
  <c r="A33" i="3"/>
  <c r="B33" i="3"/>
  <c r="C33" i="3"/>
  <c r="D33" i="3"/>
  <c r="E33" i="3"/>
  <c r="F33" i="3"/>
  <c r="G33" i="3"/>
  <c r="H33" i="3"/>
  <c r="J33" i="3"/>
  <c r="K33" i="3"/>
  <c r="L33" i="3"/>
  <c r="M33" i="3"/>
  <c r="N33" i="3"/>
  <c r="O33" i="3"/>
  <c r="A34" i="3"/>
  <c r="B34" i="3"/>
  <c r="C34" i="3"/>
  <c r="D34" i="3"/>
  <c r="E34" i="3"/>
  <c r="F34" i="3"/>
  <c r="G34" i="3"/>
  <c r="H34" i="3"/>
  <c r="J34" i="3"/>
  <c r="K34" i="3"/>
  <c r="L34" i="3"/>
  <c r="M34" i="3"/>
  <c r="N34" i="3"/>
  <c r="O34" i="3"/>
  <c r="A35" i="3"/>
  <c r="B35" i="3"/>
  <c r="C35" i="3"/>
  <c r="D35" i="3"/>
  <c r="E35" i="3"/>
  <c r="F35" i="3"/>
  <c r="G35" i="3"/>
  <c r="H35" i="3"/>
  <c r="J35" i="3"/>
  <c r="K35" i="3"/>
  <c r="L35" i="3"/>
  <c r="M35" i="3"/>
  <c r="N35" i="3"/>
  <c r="O35" i="3"/>
  <c r="A36" i="3"/>
  <c r="B36" i="3"/>
  <c r="C36" i="3"/>
  <c r="D36" i="3"/>
  <c r="E36" i="3"/>
  <c r="F36" i="3"/>
  <c r="G36" i="3"/>
  <c r="H36" i="3"/>
  <c r="J36" i="3"/>
  <c r="K36" i="3"/>
  <c r="L36" i="3"/>
  <c r="M36" i="3"/>
  <c r="N36" i="3"/>
  <c r="O36" i="3"/>
  <c r="A37" i="3"/>
  <c r="B37" i="3"/>
  <c r="C37" i="3"/>
  <c r="D37" i="3"/>
  <c r="E37" i="3"/>
  <c r="F37" i="3"/>
  <c r="G37" i="3"/>
  <c r="H37" i="3"/>
  <c r="J37" i="3"/>
  <c r="K37" i="3"/>
  <c r="L37" i="3"/>
  <c r="M37" i="3"/>
  <c r="N37" i="3"/>
  <c r="O37" i="3"/>
  <c r="A38" i="3"/>
  <c r="B38" i="3"/>
  <c r="C38" i="3"/>
  <c r="D38" i="3"/>
  <c r="E38" i="3"/>
  <c r="F38" i="3"/>
  <c r="G38" i="3"/>
  <c r="H38" i="3"/>
  <c r="J38" i="3"/>
  <c r="K38" i="3"/>
  <c r="L38" i="3"/>
  <c r="M38" i="3"/>
  <c r="N38" i="3"/>
  <c r="O38" i="3"/>
  <c r="A39" i="3"/>
  <c r="B39" i="3"/>
  <c r="C39" i="3"/>
  <c r="D39" i="3"/>
  <c r="E39" i="3"/>
  <c r="F39" i="3"/>
  <c r="G39" i="3"/>
  <c r="H39" i="3"/>
  <c r="J39" i="3"/>
  <c r="K39" i="3"/>
  <c r="L39" i="3"/>
  <c r="M39" i="3"/>
  <c r="N39" i="3"/>
  <c r="O39" i="3"/>
  <c r="A40" i="3"/>
  <c r="B40" i="3"/>
  <c r="C40" i="3"/>
  <c r="D40" i="3"/>
  <c r="E40" i="3"/>
  <c r="F40" i="3"/>
  <c r="G40" i="3"/>
  <c r="H40" i="3"/>
  <c r="J40" i="3"/>
  <c r="K40" i="3"/>
  <c r="L40" i="3"/>
  <c r="M40" i="3"/>
  <c r="N40" i="3"/>
  <c r="O40" i="3"/>
  <c r="A41" i="3"/>
  <c r="B41" i="3"/>
  <c r="C41" i="3"/>
  <c r="D41" i="3"/>
  <c r="E41" i="3"/>
  <c r="F41" i="3"/>
  <c r="G41" i="3"/>
  <c r="H41" i="3"/>
  <c r="J41" i="3"/>
  <c r="K41" i="3"/>
  <c r="L41" i="3"/>
  <c r="M41" i="3"/>
  <c r="N41" i="3"/>
  <c r="O41" i="3"/>
  <c r="A42" i="3"/>
  <c r="B42" i="3"/>
  <c r="C42" i="3"/>
  <c r="D42" i="3"/>
  <c r="E42" i="3"/>
  <c r="F42" i="3"/>
  <c r="G42" i="3"/>
  <c r="H42" i="3"/>
  <c r="J42" i="3"/>
  <c r="K42" i="3"/>
  <c r="L42" i="3"/>
  <c r="M42" i="3"/>
  <c r="N42" i="3"/>
  <c r="O42" i="3"/>
  <c r="A43" i="3"/>
  <c r="B43" i="3"/>
  <c r="C43" i="3"/>
  <c r="D43" i="3"/>
  <c r="E43" i="3"/>
  <c r="F43" i="3"/>
  <c r="G43" i="3"/>
  <c r="H43" i="3"/>
  <c r="J43" i="3"/>
  <c r="K43" i="3"/>
  <c r="L43" i="3"/>
  <c r="M43" i="3"/>
  <c r="N43" i="3"/>
  <c r="O43" i="3"/>
  <c r="A44" i="3"/>
  <c r="B44" i="3"/>
  <c r="C44" i="3"/>
  <c r="D44" i="3"/>
  <c r="E44" i="3"/>
  <c r="F44" i="3"/>
  <c r="G44" i="3"/>
  <c r="H44" i="3"/>
  <c r="J44" i="3"/>
  <c r="K44" i="3"/>
  <c r="L44" i="3"/>
  <c r="M44" i="3"/>
  <c r="N44" i="3"/>
  <c r="O44" i="3"/>
  <c r="A45" i="3"/>
  <c r="B45" i="3"/>
  <c r="C45" i="3"/>
  <c r="D45" i="3"/>
  <c r="E45" i="3"/>
  <c r="F45" i="3"/>
  <c r="G45" i="3"/>
  <c r="H45" i="3"/>
  <c r="J45" i="3"/>
  <c r="K45" i="3"/>
  <c r="L45" i="3"/>
  <c r="M45" i="3"/>
  <c r="N45" i="3"/>
  <c r="O45" i="3"/>
  <c r="A46" i="3"/>
  <c r="B46" i="3"/>
  <c r="C46" i="3"/>
  <c r="D46" i="3"/>
  <c r="E46" i="3"/>
  <c r="F46" i="3"/>
  <c r="G46" i="3"/>
  <c r="H46" i="3"/>
  <c r="J46" i="3"/>
  <c r="K46" i="3"/>
  <c r="L46" i="3"/>
  <c r="M46" i="3"/>
  <c r="N46" i="3"/>
  <c r="O46" i="3"/>
  <c r="A47" i="3"/>
  <c r="B47" i="3"/>
  <c r="C47" i="3"/>
  <c r="D47" i="3"/>
  <c r="E47" i="3"/>
  <c r="F47" i="3"/>
  <c r="G47" i="3"/>
  <c r="J47" i="3"/>
  <c r="K47" i="3"/>
  <c r="L47" i="3"/>
  <c r="M47" i="3"/>
  <c r="N47" i="3"/>
  <c r="O47" i="3"/>
  <c r="A48" i="3"/>
  <c r="B48" i="3"/>
  <c r="C48" i="3"/>
  <c r="D48" i="3"/>
  <c r="E48" i="3"/>
  <c r="F48" i="3"/>
  <c r="G48" i="3"/>
  <c r="J48" i="3"/>
  <c r="K48" i="3"/>
  <c r="L48" i="3"/>
  <c r="M48" i="3"/>
  <c r="N48" i="3"/>
  <c r="O48" i="3"/>
  <c r="L50" i="3"/>
  <c r="M50" i="3"/>
  <c r="N50" i="3"/>
  <c r="O50" i="3"/>
  <c r="D51" i="3"/>
  <c r="F51" i="3"/>
  <c r="J51" i="3"/>
  <c r="K51" i="3"/>
  <c r="L51" i="3"/>
  <c r="M51" i="3"/>
  <c r="N51" i="3"/>
  <c r="O51" i="3"/>
  <c r="J52" i="3"/>
  <c r="L53" i="3"/>
  <c r="M53" i="3"/>
  <c r="G3" i="10"/>
  <c r="A12" i="10"/>
  <c r="A14" i="10"/>
  <c r="A22" i="10"/>
  <c r="C22" i="10"/>
  <c r="D22" i="10"/>
  <c r="F22" i="10"/>
  <c r="G22" i="10"/>
  <c r="A23" i="10"/>
  <c r="C23" i="10"/>
  <c r="D23" i="10"/>
  <c r="F23" i="10"/>
  <c r="G23" i="10"/>
  <c r="A24" i="10"/>
  <c r="C24" i="10"/>
  <c r="F24" i="10"/>
  <c r="G24" i="10"/>
  <c r="A25" i="10"/>
  <c r="F25" i="10"/>
  <c r="A26" i="10"/>
  <c r="F26" i="10"/>
  <c r="G26" i="10"/>
  <c r="G38" i="10"/>
  <c r="M1" i="26"/>
  <c r="A2" i="26"/>
  <c r="B7" i="26"/>
  <c r="A9" i="26"/>
  <c r="B9" i="26"/>
  <c r="A10" i="26"/>
  <c r="B10" i="26"/>
  <c r="F14" i="26"/>
  <c r="D15" i="26"/>
  <c r="G15" i="26"/>
  <c r="I15" i="26"/>
  <c r="D16" i="26"/>
  <c r="E16" i="26"/>
  <c r="F16" i="26"/>
  <c r="G16" i="26"/>
  <c r="I16" i="26"/>
  <c r="D17" i="26"/>
  <c r="G17" i="26"/>
  <c r="I17" i="26"/>
  <c r="F20" i="26"/>
  <c r="A21" i="26"/>
  <c r="B21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A22" i="26"/>
  <c r="B22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A23" i="26"/>
  <c r="B23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A24" i="26"/>
  <c r="B24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A25" i="26"/>
  <c r="B25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A26" i="26"/>
  <c r="B26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A27" i="26"/>
  <c r="B27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A28" i="26"/>
  <c r="B28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A29" i="26"/>
  <c r="B29" i="26"/>
  <c r="C29" i="26"/>
  <c r="D29" i="26"/>
  <c r="E29" i="26"/>
  <c r="F29" i="26"/>
  <c r="G29" i="26"/>
  <c r="H29" i="26"/>
  <c r="I29" i="26"/>
  <c r="J29" i="26"/>
  <c r="K29" i="26"/>
  <c r="L29" i="26"/>
  <c r="M29" i="26"/>
  <c r="N29" i="26"/>
  <c r="A30" i="26"/>
  <c r="B30" i="26"/>
  <c r="C30" i="26"/>
  <c r="D30" i="26"/>
  <c r="E30" i="26"/>
  <c r="F30" i="26"/>
  <c r="G30" i="26"/>
  <c r="H30" i="26"/>
  <c r="I30" i="26"/>
  <c r="J30" i="26"/>
  <c r="K30" i="26"/>
  <c r="L30" i="26"/>
  <c r="M30" i="26"/>
  <c r="N30" i="26"/>
  <c r="A31" i="26"/>
  <c r="B31" i="26"/>
  <c r="C31" i="26"/>
  <c r="D31" i="26"/>
  <c r="E31" i="26"/>
  <c r="F31" i="26"/>
  <c r="G31" i="26"/>
  <c r="H31" i="26"/>
  <c r="I31" i="26"/>
  <c r="J31" i="26"/>
  <c r="K31" i="26"/>
  <c r="L31" i="26"/>
  <c r="M31" i="26"/>
  <c r="N31" i="26"/>
  <c r="A32" i="26"/>
  <c r="B32" i="26"/>
  <c r="C32" i="26"/>
  <c r="D32" i="26"/>
  <c r="E32" i="26"/>
  <c r="F32" i="26"/>
  <c r="G32" i="26"/>
  <c r="H32" i="26"/>
  <c r="I32" i="26"/>
  <c r="J32" i="26"/>
  <c r="K32" i="26"/>
  <c r="L32" i="26"/>
  <c r="M32" i="26"/>
  <c r="N32" i="26"/>
  <c r="A33" i="26"/>
  <c r="B33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A34" i="26"/>
  <c r="B34" i="26"/>
  <c r="C34" i="26"/>
  <c r="D34" i="26"/>
  <c r="E34" i="26"/>
  <c r="F34" i="26"/>
  <c r="G34" i="26"/>
  <c r="H34" i="26"/>
  <c r="I34" i="26"/>
  <c r="J34" i="26"/>
  <c r="K34" i="26"/>
  <c r="L34" i="26"/>
  <c r="M34" i="26"/>
  <c r="N34" i="26"/>
  <c r="A35" i="26"/>
  <c r="B35" i="26"/>
  <c r="C35" i="26"/>
  <c r="D35" i="26"/>
  <c r="E35" i="26"/>
  <c r="F35" i="26"/>
  <c r="G35" i="26"/>
  <c r="H35" i="26"/>
  <c r="I35" i="26"/>
  <c r="J35" i="26"/>
  <c r="K35" i="26"/>
  <c r="L35" i="26"/>
  <c r="M35" i="26"/>
  <c r="N35" i="26"/>
  <c r="A36" i="26"/>
  <c r="B36" i="26"/>
  <c r="C36" i="26"/>
  <c r="D36" i="26"/>
  <c r="E36" i="26"/>
  <c r="F36" i="26"/>
  <c r="G36" i="26"/>
  <c r="H36" i="26"/>
  <c r="I36" i="26"/>
  <c r="J36" i="26"/>
  <c r="K36" i="26"/>
  <c r="L36" i="26"/>
  <c r="M36" i="26"/>
  <c r="N36" i="26"/>
  <c r="A37" i="26"/>
  <c r="B37" i="26"/>
  <c r="C37" i="26"/>
  <c r="D37" i="26"/>
  <c r="E37" i="26"/>
  <c r="F37" i="26"/>
  <c r="G37" i="26"/>
  <c r="H37" i="26"/>
  <c r="I37" i="26"/>
  <c r="J37" i="26"/>
  <c r="K37" i="26"/>
  <c r="L37" i="26"/>
  <c r="M37" i="26"/>
  <c r="N37" i="26"/>
  <c r="A38" i="26"/>
  <c r="B38" i="26"/>
  <c r="C38" i="26"/>
  <c r="D38" i="26"/>
  <c r="E38" i="26"/>
  <c r="F38" i="26"/>
  <c r="G38" i="26"/>
  <c r="H38" i="26"/>
  <c r="I38" i="26"/>
  <c r="J38" i="26"/>
  <c r="K38" i="26"/>
  <c r="L38" i="26"/>
  <c r="M38" i="26"/>
  <c r="N38" i="26"/>
  <c r="A39" i="26"/>
  <c r="B39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A40" i="26"/>
  <c r="B40" i="26"/>
  <c r="C40" i="26"/>
  <c r="D40" i="26"/>
  <c r="E40" i="26"/>
  <c r="F40" i="26"/>
  <c r="G40" i="26"/>
  <c r="H40" i="26"/>
  <c r="I40" i="26"/>
  <c r="J40" i="26"/>
  <c r="K40" i="26"/>
  <c r="L40" i="26"/>
  <c r="M40" i="26"/>
  <c r="N40" i="26"/>
  <c r="A41" i="26"/>
  <c r="B41" i="26"/>
  <c r="C41" i="26"/>
  <c r="D41" i="26"/>
  <c r="E41" i="26"/>
  <c r="F41" i="26"/>
  <c r="G41" i="26"/>
  <c r="H41" i="26"/>
  <c r="I41" i="26"/>
  <c r="J41" i="26"/>
  <c r="K41" i="26"/>
  <c r="L41" i="26"/>
  <c r="M41" i="26"/>
  <c r="N41" i="26"/>
  <c r="A42" i="26"/>
  <c r="B42" i="26"/>
  <c r="C42" i="26"/>
  <c r="D42" i="26"/>
  <c r="E42" i="26"/>
  <c r="F42" i="26"/>
  <c r="G42" i="26"/>
  <c r="H42" i="26"/>
  <c r="I42" i="26"/>
  <c r="J42" i="26"/>
  <c r="K42" i="26"/>
  <c r="L42" i="26"/>
  <c r="M42" i="26"/>
  <c r="N42" i="26"/>
  <c r="A43" i="26"/>
  <c r="B43" i="26"/>
  <c r="C43" i="26"/>
  <c r="D43" i="26"/>
  <c r="E43" i="26"/>
  <c r="F43" i="26"/>
  <c r="G43" i="26"/>
  <c r="H43" i="26"/>
  <c r="I43" i="26"/>
  <c r="J43" i="26"/>
  <c r="K43" i="26"/>
  <c r="L43" i="26"/>
  <c r="M43" i="26"/>
  <c r="N43" i="26"/>
  <c r="A44" i="26"/>
  <c r="B44" i="26"/>
  <c r="C44" i="26"/>
  <c r="D44" i="26"/>
  <c r="E44" i="26"/>
  <c r="F44" i="26"/>
  <c r="G44" i="26"/>
  <c r="H44" i="26"/>
  <c r="I44" i="26"/>
  <c r="J44" i="26"/>
  <c r="K44" i="26"/>
  <c r="L44" i="26"/>
  <c r="M44" i="26"/>
  <c r="N44" i="26"/>
  <c r="A45" i="26"/>
  <c r="B45" i="26"/>
  <c r="C45" i="26"/>
  <c r="D45" i="26"/>
  <c r="E45" i="26"/>
  <c r="F45" i="26"/>
  <c r="G45" i="26"/>
  <c r="H45" i="26"/>
  <c r="I45" i="26"/>
  <c r="J45" i="26"/>
  <c r="K45" i="26"/>
  <c r="L45" i="26"/>
  <c r="M45" i="26"/>
  <c r="N45" i="26"/>
  <c r="A46" i="26"/>
  <c r="B46" i="26"/>
  <c r="C46" i="26"/>
  <c r="D46" i="26"/>
  <c r="E46" i="26"/>
  <c r="F46" i="26"/>
  <c r="G46" i="26"/>
  <c r="H46" i="26"/>
  <c r="I46" i="26"/>
  <c r="J46" i="26"/>
  <c r="K46" i="26"/>
  <c r="L46" i="26"/>
  <c r="M46" i="26"/>
  <c r="N46" i="26"/>
  <c r="A47" i="26"/>
  <c r="B47" i="26"/>
  <c r="C47" i="26"/>
  <c r="D47" i="26"/>
  <c r="E47" i="26"/>
  <c r="F47" i="26"/>
  <c r="G47" i="26"/>
  <c r="H47" i="26"/>
  <c r="I47" i="26"/>
  <c r="J47" i="26"/>
  <c r="K47" i="26"/>
  <c r="L47" i="26"/>
  <c r="M47" i="26"/>
  <c r="N47" i="26"/>
  <c r="A48" i="26"/>
  <c r="B48" i="26"/>
  <c r="C48" i="26"/>
  <c r="D48" i="26"/>
  <c r="E48" i="26"/>
  <c r="F48" i="26"/>
  <c r="G48" i="26"/>
  <c r="H48" i="26"/>
  <c r="I48" i="26"/>
  <c r="J48" i="26"/>
  <c r="K48" i="26"/>
  <c r="L48" i="26"/>
  <c r="M48" i="26"/>
  <c r="N48" i="26"/>
  <c r="A49" i="26"/>
  <c r="B49" i="26"/>
  <c r="C49" i="26"/>
  <c r="D49" i="26"/>
  <c r="E49" i="26"/>
  <c r="F49" i="26"/>
  <c r="G49" i="26"/>
  <c r="H49" i="26"/>
  <c r="I49" i="26"/>
  <c r="J49" i="26"/>
  <c r="K49" i="26"/>
  <c r="L49" i="26"/>
  <c r="M49" i="26"/>
  <c r="N49" i="26"/>
  <c r="A50" i="26"/>
  <c r="B50" i="26"/>
  <c r="C50" i="26"/>
  <c r="D50" i="26"/>
  <c r="E50" i="26"/>
  <c r="F50" i="26"/>
  <c r="G50" i="26"/>
  <c r="H50" i="26"/>
  <c r="I50" i="26"/>
  <c r="J50" i="26"/>
  <c r="K50" i="26"/>
  <c r="L50" i="26"/>
  <c r="M50" i="26"/>
  <c r="N50" i="26"/>
  <c r="D53" i="26"/>
  <c r="F53" i="26"/>
  <c r="H53" i="26"/>
  <c r="I53" i="26"/>
  <c r="J53" i="26"/>
  <c r="K53" i="26"/>
  <c r="L53" i="26"/>
  <c r="M53" i="26"/>
  <c r="N53" i="26"/>
  <c r="K55" i="26"/>
  <c r="L55" i="26"/>
  <c r="M55" i="26"/>
  <c r="H3" i="27"/>
  <c r="A12" i="27"/>
  <c r="A14" i="27"/>
  <c r="A19" i="27"/>
  <c r="B19" i="27"/>
  <c r="C19" i="27"/>
  <c r="D19" i="27"/>
  <c r="E19" i="27"/>
  <c r="F19" i="27"/>
  <c r="H19" i="27"/>
  <c r="A20" i="27"/>
  <c r="B20" i="27"/>
  <c r="C20" i="27"/>
  <c r="D20" i="27"/>
  <c r="E20" i="27"/>
  <c r="F20" i="27"/>
  <c r="H20" i="27"/>
  <c r="A21" i="27"/>
  <c r="B21" i="27"/>
  <c r="C21" i="27"/>
  <c r="D21" i="27"/>
  <c r="E21" i="27"/>
  <c r="F21" i="27"/>
  <c r="H21" i="27"/>
  <c r="A22" i="27"/>
  <c r="E22" i="27"/>
  <c r="F22" i="27"/>
  <c r="H22" i="27"/>
  <c r="E23" i="27"/>
  <c r="F23" i="27"/>
  <c r="I23" i="27"/>
  <c r="H26" i="27"/>
  <c r="I30" i="27"/>
  <c r="I36" i="27"/>
  <c r="S1" i="36"/>
  <c r="A2" i="36"/>
  <c r="C5" i="36"/>
  <c r="C6" i="36"/>
  <c r="C7" i="36"/>
  <c r="C8" i="36"/>
  <c r="B11" i="36"/>
  <c r="C11" i="36"/>
  <c r="D11" i="36"/>
  <c r="B12" i="36"/>
  <c r="C12" i="36"/>
  <c r="D12" i="36"/>
  <c r="F15" i="36"/>
  <c r="D16" i="36"/>
  <c r="I16" i="36"/>
  <c r="K16" i="36"/>
  <c r="D17" i="36"/>
  <c r="E17" i="36"/>
  <c r="F17" i="36"/>
  <c r="I17" i="36"/>
  <c r="K17" i="36"/>
  <c r="D18" i="36"/>
  <c r="I18" i="36"/>
  <c r="K18" i="36"/>
  <c r="D19" i="36"/>
  <c r="I19" i="36"/>
  <c r="K19" i="36"/>
  <c r="D20" i="36"/>
  <c r="F20" i="36"/>
  <c r="I20" i="36"/>
  <c r="K20" i="36"/>
  <c r="F24" i="36"/>
  <c r="A26" i="36"/>
  <c r="B26" i="36"/>
  <c r="C26" i="36"/>
  <c r="D26" i="36"/>
  <c r="E26" i="36"/>
  <c r="F26" i="36"/>
  <c r="G26" i="36"/>
  <c r="H26" i="36"/>
  <c r="I26" i="36"/>
  <c r="J26" i="36"/>
  <c r="K26" i="36"/>
  <c r="L26" i="36"/>
  <c r="M26" i="36"/>
  <c r="N26" i="36"/>
  <c r="O26" i="36"/>
  <c r="P26" i="36"/>
  <c r="Q26" i="36"/>
  <c r="R26" i="36"/>
  <c r="S26" i="36"/>
  <c r="T26" i="36"/>
  <c r="U26" i="36"/>
  <c r="A27" i="36"/>
  <c r="B27" i="36"/>
  <c r="C27" i="36"/>
  <c r="D27" i="36"/>
  <c r="E27" i="36"/>
  <c r="F27" i="36"/>
  <c r="G27" i="36"/>
  <c r="H27" i="36"/>
  <c r="I27" i="36"/>
  <c r="J27" i="36"/>
  <c r="K27" i="36"/>
  <c r="L27" i="36"/>
  <c r="M27" i="36"/>
  <c r="N27" i="36"/>
  <c r="O27" i="36"/>
  <c r="P27" i="36"/>
  <c r="Q27" i="36"/>
  <c r="R27" i="36"/>
  <c r="S27" i="36"/>
  <c r="T27" i="36"/>
  <c r="U27" i="36"/>
  <c r="A28" i="36"/>
  <c r="B28" i="36"/>
  <c r="C28" i="36"/>
  <c r="D28" i="36"/>
  <c r="E28" i="36"/>
  <c r="F28" i="36"/>
  <c r="G28" i="36"/>
  <c r="H28" i="36"/>
  <c r="I28" i="36"/>
  <c r="J28" i="36"/>
  <c r="K28" i="36"/>
  <c r="L28" i="36"/>
  <c r="M28" i="36"/>
  <c r="N28" i="36"/>
  <c r="O28" i="36"/>
  <c r="P28" i="36"/>
  <c r="Q28" i="36"/>
  <c r="R28" i="36"/>
  <c r="S28" i="36"/>
  <c r="T28" i="36"/>
  <c r="U28" i="36"/>
  <c r="A29" i="36"/>
  <c r="B29" i="36"/>
  <c r="C29" i="36"/>
  <c r="D29" i="36"/>
  <c r="E29" i="36"/>
  <c r="F29" i="36"/>
  <c r="G29" i="36"/>
  <c r="H29" i="36"/>
  <c r="I29" i="36"/>
  <c r="J29" i="36"/>
  <c r="K29" i="36"/>
  <c r="L29" i="36"/>
  <c r="M29" i="36"/>
  <c r="N29" i="36"/>
  <c r="O29" i="36"/>
  <c r="P29" i="36"/>
  <c r="Q29" i="36"/>
  <c r="R29" i="36"/>
  <c r="S29" i="36"/>
  <c r="T29" i="36"/>
  <c r="U29" i="36"/>
  <c r="A30" i="36"/>
  <c r="B30" i="36"/>
  <c r="C30" i="36"/>
  <c r="D30" i="36"/>
  <c r="E30" i="36"/>
  <c r="F30" i="36"/>
  <c r="G30" i="36"/>
  <c r="H30" i="36"/>
  <c r="I30" i="36"/>
  <c r="J30" i="36"/>
  <c r="K30" i="36"/>
  <c r="L30" i="36"/>
  <c r="M30" i="36"/>
  <c r="N30" i="36"/>
  <c r="O30" i="36"/>
  <c r="P30" i="36"/>
  <c r="Q30" i="36"/>
  <c r="R30" i="36"/>
  <c r="S30" i="36"/>
  <c r="T30" i="36"/>
  <c r="U30" i="36"/>
  <c r="A31" i="36"/>
  <c r="B31" i="36"/>
  <c r="C31" i="36"/>
  <c r="D31" i="36"/>
  <c r="E31" i="36"/>
  <c r="F31" i="36"/>
  <c r="G31" i="36"/>
  <c r="H31" i="36"/>
  <c r="I31" i="36"/>
  <c r="J31" i="36"/>
  <c r="K31" i="36"/>
  <c r="L31" i="36"/>
  <c r="M31" i="36"/>
  <c r="N31" i="36"/>
  <c r="O31" i="36"/>
  <c r="P31" i="36"/>
  <c r="Q31" i="36"/>
  <c r="R31" i="36"/>
  <c r="S31" i="36"/>
  <c r="T31" i="36"/>
  <c r="U31" i="36"/>
  <c r="A32" i="36"/>
  <c r="B32" i="36"/>
  <c r="C32" i="36"/>
  <c r="D32" i="36"/>
  <c r="E32" i="36"/>
  <c r="F32" i="36"/>
  <c r="G32" i="36"/>
  <c r="H32" i="36"/>
  <c r="I32" i="36"/>
  <c r="J32" i="36"/>
  <c r="K32" i="36"/>
  <c r="L32" i="36"/>
  <c r="M32" i="36"/>
  <c r="N32" i="36"/>
  <c r="O32" i="36"/>
  <c r="P32" i="36"/>
  <c r="Q32" i="36"/>
  <c r="R32" i="36"/>
  <c r="S32" i="36"/>
  <c r="T32" i="36"/>
  <c r="U32" i="36"/>
  <c r="A33" i="36"/>
  <c r="B33" i="36"/>
  <c r="C33" i="36"/>
  <c r="D33" i="36"/>
  <c r="E33" i="36"/>
  <c r="F33" i="36"/>
  <c r="G33" i="36"/>
  <c r="H33" i="36"/>
  <c r="I33" i="36"/>
  <c r="J33" i="36"/>
  <c r="K33" i="36"/>
  <c r="L33" i="36"/>
  <c r="M33" i="36"/>
  <c r="N33" i="36"/>
  <c r="O33" i="36"/>
  <c r="P33" i="36"/>
  <c r="Q33" i="36"/>
  <c r="R33" i="36"/>
  <c r="S33" i="36"/>
  <c r="T33" i="36"/>
  <c r="U33" i="36"/>
  <c r="A34" i="36"/>
  <c r="B34" i="36"/>
  <c r="C34" i="36"/>
  <c r="D34" i="36"/>
  <c r="E34" i="36"/>
  <c r="F34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T34" i="36"/>
  <c r="U34" i="36"/>
  <c r="A35" i="36"/>
  <c r="B35" i="36"/>
  <c r="C35" i="36"/>
  <c r="D35" i="36"/>
  <c r="E35" i="36"/>
  <c r="F35" i="36"/>
  <c r="G35" i="36"/>
  <c r="H35" i="36"/>
  <c r="I35" i="36"/>
  <c r="J35" i="36"/>
  <c r="K35" i="36"/>
  <c r="L35" i="36"/>
  <c r="M35" i="36"/>
  <c r="N35" i="36"/>
  <c r="O35" i="36"/>
  <c r="P35" i="36"/>
  <c r="Q35" i="36"/>
  <c r="R35" i="36"/>
  <c r="S35" i="36"/>
  <c r="T35" i="36"/>
  <c r="U35" i="36"/>
  <c r="A36" i="36"/>
  <c r="B36" i="36"/>
  <c r="C36" i="36"/>
  <c r="D36" i="36"/>
  <c r="E36" i="36"/>
  <c r="F36" i="36"/>
  <c r="G36" i="36"/>
  <c r="H36" i="36"/>
  <c r="I36" i="36"/>
  <c r="J36" i="36"/>
  <c r="K36" i="36"/>
  <c r="L36" i="36"/>
  <c r="M36" i="36"/>
  <c r="N36" i="36"/>
  <c r="O36" i="36"/>
  <c r="P36" i="36"/>
  <c r="Q36" i="36"/>
  <c r="R36" i="36"/>
  <c r="S36" i="36"/>
  <c r="T36" i="36"/>
  <c r="U36" i="36"/>
  <c r="A37" i="36"/>
  <c r="B37" i="36"/>
  <c r="C37" i="36"/>
  <c r="D37" i="36"/>
  <c r="E37" i="36"/>
  <c r="F37" i="36"/>
  <c r="G37" i="36"/>
  <c r="H37" i="36"/>
  <c r="I37" i="36"/>
  <c r="J37" i="36"/>
  <c r="K37" i="36"/>
  <c r="L37" i="36"/>
  <c r="M37" i="36"/>
  <c r="N37" i="36"/>
  <c r="O37" i="36"/>
  <c r="P37" i="36"/>
  <c r="Q37" i="36"/>
  <c r="R37" i="36"/>
  <c r="S37" i="36"/>
  <c r="T37" i="36"/>
  <c r="U37" i="36"/>
  <c r="A38" i="36"/>
  <c r="B38" i="36"/>
  <c r="C38" i="36"/>
  <c r="D38" i="36"/>
  <c r="E38" i="36"/>
  <c r="F38" i="36"/>
  <c r="G38" i="36"/>
  <c r="H38" i="36"/>
  <c r="I38" i="36"/>
  <c r="J38" i="36"/>
  <c r="K38" i="36"/>
  <c r="L38" i="36"/>
  <c r="M38" i="36"/>
  <c r="N38" i="36"/>
  <c r="O38" i="36"/>
  <c r="P38" i="36"/>
  <c r="Q38" i="36"/>
  <c r="R38" i="36"/>
  <c r="S38" i="36"/>
  <c r="T38" i="36"/>
  <c r="U38" i="36"/>
  <c r="A39" i="36"/>
  <c r="B39" i="36"/>
  <c r="C39" i="36"/>
  <c r="D39" i="36"/>
  <c r="E39" i="36"/>
  <c r="F39" i="36"/>
  <c r="G39" i="36"/>
  <c r="H39" i="36"/>
  <c r="I39" i="36"/>
  <c r="J39" i="36"/>
  <c r="K39" i="36"/>
  <c r="L39" i="36"/>
  <c r="M39" i="36"/>
  <c r="N39" i="36"/>
  <c r="O39" i="36"/>
  <c r="P39" i="36"/>
  <c r="Q39" i="36"/>
  <c r="R39" i="36"/>
  <c r="S39" i="36"/>
  <c r="T39" i="36"/>
  <c r="U39" i="36"/>
  <c r="A40" i="36"/>
  <c r="B40" i="36"/>
  <c r="C40" i="36"/>
  <c r="D40" i="36"/>
  <c r="E40" i="36"/>
  <c r="F40" i="36"/>
  <c r="G40" i="36"/>
  <c r="H40" i="36"/>
  <c r="I40" i="36"/>
  <c r="J40" i="36"/>
  <c r="K40" i="36"/>
  <c r="L40" i="36"/>
  <c r="M40" i="36"/>
  <c r="N40" i="36"/>
  <c r="O40" i="36"/>
  <c r="P40" i="36"/>
  <c r="Q40" i="36"/>
  <c r="R40" i="36"/>
  <c r="S40" i="36"/>
  <c r="T40" i="36"/>
  <c r="U40" i="36"/>
  <c r="A41" i="36"/>
  <c r="B41" i="36"/>
  <c r="C41" i="36"/>
  <c r="D41" i="36"/>
  <c r="E41" i="36"/>
  <c r="F41" i="36"/>
  <c r="G41" i="36"/>
  <c r="H41" i="36"/>
  <c r="I41" i="36"/>
  <c r="J41" i="36"/>
  <c r="K41" i="36"/>
  <c r="L41" i="36"/>
  <c r="M41" i="36"/>
  <c r="N41" i="36"/>
  <c r="O41" i="36"/>
  <c r="P41" i="36"/>
  <c r="Q41" i="36"/>
  <c r="R41" i="36"/>
  <c r="S41" i="36"/>
  <c r="T41" i="36"/>
  <c r="U41" i="36"/>
  <c r="A42" i="36"/>
  <c r="B42" i="36"/>
  <c r="C42" i="36"/>
  <c r="D42" i="36"/>
  <c r="E42" i="36"/>
  <c r="F42" i="36"/>
  <c r="G42" i="36"/>
  <c r="H42" i="36"/>
  <c r="I42" i="36"/>
  <c r="J42" i="36"/>
  <c r="K42" i="36"/>
  <c r="L42" i="36"/>
  <c r="M42" i="36"/>
  <c r="N42" i="36"/>
  <c r="O42" i="36"/>
  <c r="P42" i="36"/>
  <c r="Q42" i="36"/>
  <c r="R42" i="36"/>
  <c r="S42" i="36"/>
  <c r="T42" i="36"/>
  <c r="U42" i="36"/>
  <c r="A43" i="36"/>
  <c r="B43" i="36"/>
  <c r="C43" i="36"/>
  <c r="D43" i="36"/>
  <c r="E43" i="36"/>
  <c r="F43" i="36"/>
  <c r="G43" i="36"/>
  <c r="H43" i="36"/>
  <c r="I43" i="36"/>
  <c r="J43" i="36"/>
  <c r="K43" i="36"/>
  <c r="L43" i="36"/>
  <c r="M43" i="36"/>
  <c r="N43" i="36"/>
  <c r="O43" i="36"/>
  <c r="P43" i="36"/>
  <c r="Q43" i="36"/>
  <c r="R43" i="36"/>
  <c r="S43" i="36"/>
  <c r="T43" i="36"/>
  <c r="U43" i="36"/>
  <c r="A44" i="36"/>
  <c r="B44" i="36"/>
  <c r="C44" i="36"/>
  <c r="D44" i="36"/>
  <c r="E44" i="36"/>
  <c r="F44" i="36"/>
  <c r="G44" i="36"/>
  <c r="H44" i="36"/>
  <c r="I44" i="36"/>
  <c r="J44" i="36"/>
  <c r="K44" i="36"/>
  <c r="L44" i="36"/>
  <c r="M44" i="36"/>
  <c r="N44" i="36"/>
  <c r="O44" i="36"/>
  <c r="P44" i="36"/>
  <c r="Q44" i="36"/>
  <c r="R44" i="36"/>
  <c r="S44" i="36"/>
  <c r="T44" i="36"/>
  <c r="U44" i="36"/>
  <c r="A45" i="36"/>
  <c r="B45" i="36"/>
  <c r="C45" i="36"/>
  <c r="D45" i="36"/>
  <c r="E45" i="36"/>
  <c r="F45" i="36"/>
  <c r="G45" i="36"/>
  <c r="H45" i="36"/>
  <c r="I45" i="36"/>
  <c r="J45" i="36"/>
  <c r="K45" i="36"/>
  <c r="L45" i="36"/>
  <c r="M45" i="36"/>
  <c r="N45" i="36"/>
  <c r="O45" i="36"/>
  <c r="P45" i="36"/>
  <c r="Q45" i="36"/>
  <c r="R45" i="36"/>
  <c r="S45" i="36"/>
  <c r="T45" i="36"/>
  <c r="U45" i="36"/>
  <c r="A46" i="36"/>
  <c r="B46" i="36"/>
  <c r="C46" i="36"/>
  <c r="D46" i="36"/>
  <c r="E46" i="36"/>
  <c r="F46" i="36"/>
  <c r="G46" i="36"/>
  <c r="H46" i="36"/>
  <c r="I46" i="36"/>
  <c r="J46" i="36"/>
  <c r="K46" i="36"/>
  <c r="L46" i="36"/>
  <c r="M46" i="36"/>
  <c r="N46" i="36"/>
  <c r="O46" i="36"/>
  <c r="P46" i="36"/>
  <c r="Q46" i="36"/>
  <c r="R46" i="36"/>
  <c r="S46" i="36"/>
  <c r="T46" i="36"/>
  <c r="U46" i="36"/>
  <c r="A47" i="36"/>
  <c r="B47" i="36"/>
  <c r="C47" i="36"/>
  <c r="D47" i="36"/>
  <c r="E47" i="36"/>
  <c r="F47" i="36"/>
  <c r="G47" i="36"/>
  <c r="H47" i="36"/>
  <c r="I47" i="36"/>
  <c r="J47" i="36"/>
  <c r="K47" i="36"/>
  <c r="L47" i="36"/>
  <c r="M47" i="36"/>
  <c r="N47" i="36"/>
  <c r="O47" i="36"/>
  <c r="P47" i="36"/>
  <c r="Q47" i="36"/>
  <c r="R47" i="36"/>
  <c r="S47" i="36"/>
  <c r="T47" i="36"/>
  <c r="U47" i="36"/>
  <c r="A48" i="36"/>
  <c r="B48" i="36"/>
  <c r="C48" i="36"/>
  <c r="D48" i="36"/>
  <c r="E48" i="36"/>
  <c r="F48" i="36"/>
  <c r="G48" i="36"/>
  <c r="H48" i="36"/>
  <c r="I48" i="36"/>
  <c r="J48" i="36"/>
  <c r="K48" i="36"/>
  <c r="L48" i="36"/>
  <c r="M48" i="36"/>
  <c r="N48" i="36"/>
  <c r="O48" i="36"/>
  <c r="P48" i="36"/>
  <c r="Q48" i="36"/>
  <c r="R48" i="36"/>
  <c r="S48" i="36"/>
  <c r="T48" i="36"/>
  <c r="U48" i="36"/>
  <c r="A49" i="36"/>
  <c r="B49" i="36"/>
  <c r="C49" i="36"/>
  <c r="D49" i="36"/>
  <c r="E49" i="36"/>
  <c r="F49" i="36"/>
  <c r="G49" i="36"/>
  <c r="H49" i="36"/>
  <c r="I49" i="36"/>
  <c r="J49" i="36"/>
  <c r="K49" i="36"/>
  <c r="L49" i="36"/>
  <c r="M49" i="36"/>
  <c r="N49" i="36"/>
  <c r="O49" i="36"/>
  <c r="P49" i="36"/>
  <c r="Q49" i="36"/>
  <c r="R49" i="36"/>
  <c r="S49" i="36"/>
  <c r="T49" i="36"/>
  <c r="U49" i="36"/>
  <c r="A50" i="36"/>
  <c r="B50" i="36"/>
  <c r="C50" i="36"/>
  <c r="D50" i="36"/>
  <c r="E50" i="36"/>
  <c r="F50" i="36"/>
  <c r="G50" i="36"/>
  <c r="H50" i="36"/>
  <c r="I50" i="36"/>
  <c r="J50" i="36"/>
  <c r="K50" i="36"/>
  <c r="L50" i="36"/>
  <c r="M50" i="36"/>
  <c r="N50" i="36"/>
  <c r="O50" i="36"/>
  <c r="P50" i="36"/>
  <c r="Q50" i="36"/>
  <c r="R50" i="36"/>
  <c r="S50" i="36"/>
  <c r="T50" i="36"/>
  <c r="U50" i="36"/>
  <c r="A51" i="36"/>
  <c r="B51" i="36"/>
  <c r="C51" i="36"/>
  <c r="D51" i="36"/>
  <c r="E51" i="36"/>
  <c r="F51" i="36"/>
  <c r="G51" i="36"/>
  <c r="H51" i="36"/>
  <c r="I51" i="36"/>
  <c r="J51" i="36"/>
  <c r="K51" i="36"/>
  <c r="L51" i="36"/>
  <c r="M51" i="36"/>
  <c r="N51" i="36"/>
  <c r="O51" i="36"/>
  <c r="P51" i="36"/>
  <c r="Q51" i="36"/>
  <c r="R51" i="36"/>
  <c r="S51" i="36"/>
  <c r="T51" i="36"/>
  <c r="U51" i="36"/>
  <c r="A52" i="36"/>
  <c r="B52" i="36"/>
  <c r="C52" i="36"/>
  <c r="D52" i="36"/>
  <c r="E52" i="36"/>
  <c r="F52" i="36"/>
  <c r="G52" i="36"/>
  <c r="H52" i="36"/>
  <c r="I52" i="36"/>
  <c r="J52" i="36"/>
  <c r="K52" i="36"/>
  <c r="L52" i="36"/>
  <c r="M52" i="36"/>
  <c r="N52" i="36"/>
  <c r="O52" i="36"/>
  <c r="P52" i="36"/>
  <c r="Q52" i="36"/>
  <c r="R52" i="36"/>
  <c r="S52" i="36"/>
  <c r="T52" i="36"/>
  <c r="U52" i="36"/>
  <c r="A53" i="36"/>
  <c r="B53" i="36"/>
  <c r="C53" i="36"/>
  <c r="D53" i="36"/>
  <c r="E53" i="36"/>
  <c r="F53" i="36"/>
  <c r="G53" i="36"/>
  <c r="H53" i="36"/>
  <c r="I53" i="36"/>
  <c r="J53" i="36"/>
  <c r="K53" i="36"/>
  <c r="L53" i="36"/>
  <c r="M53" i="36"/>
  <c r="N53" i="36"/>
  <c r="O53" i="36"/>
  <c r="P53" i="36"/>
  <c r="Q53" i="36"/>
  <c r="R53" i="36"/>
  <c r="S53" i="36"/>
  <c r="T53" i="36"/>
  <c r="U53" i="36"/>
  <c r="A54" i="36"/>
  <c r="B54" i="36"/>
  <c r="C54" i="36"/>
  <c r="D54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R54" i="36"/>
  <c r="S54" i="36"/>
  <c r="T54" i="36"/>
  <c r="U54" i="36"/>
  <c r="A55" i="36"/>
  <c r="B55" i="36"/>
  <c r="C55" i="36"/>
  <c r="E55" i="36"/>
  <c r="G55" i="36"/>
  <c r="I55" i="36"/>
  <c r="K55" i="36"/>
  <c r="M55" i="36"/>
  <c r="N55" i="36"/>
  <c r="O55" i="36"/>
  <c r="P55" i="36"/>
  <c r="Q55" i="36"/>
  <c r="R55" i="36"/>
  <c r="S55" i="36"/>
  <c r="T55" i="36"/>
  <c r="U55" i="36"/>
  <c r="D57" i="36"/>
  <c r="F57" i="36"/>
  <c r="H57" i="36"/>
  <c r="J57" i="36"/>
  <c r="L57" i="36"/>
  <c r="M57" i="36"/>
  <c r="N57" i="36"/>
  <c r="O57" i="36"/>
  <c r="P57" i="36"/>
  <c r="Q57" i="36"/>
  <c r="R57" i="36"/>
  <c r="S57" i="36"/>
  <c r="T57" i="36"/>
  <c r="U57" i="36"/>
  <c r="R59" i="36"/>
  <c r="O1" i="5"/>
  <c r="A2" i="5"/>
  <c r="B7" i="5"/>
  <c r="A9" i="5"/>
  <c r="B9" i="5"/>
  <c r="A10" i="5"/>
  <c r="B10" i="5"/>
  <c r="F14" i="5"/>
  <c r="D15" i="5"/>
  <c r="I15" i="5"/>
  <c r="J15" i="5"/>
  <c r="D16" i="5"/>
  <c r="E16" i="5"/>
  <c r="F16" i="5"/>
  <c r="I16" i="5"/>
  <c r="J16" i="5"/>
  <c r="D17" i="5"/>
  <c r="E17" i="5"/>
  <c r="F17" i="5"/>
  <c r="I17" i="5"/>
  <c r="J17" i="5"/>
  <c r="D18" i="5"/>
  <c r="I18" i="5"/>
  <c r="J18" i="5"/>
  <c r="A22" i="5"/>
  <c r="B22" i="5"/>
  <c r="C22" i="5"/>
  <c r="D22" i="5"/>
  <c r="E22" i="5"/>
  <c r="F22" i="5"/>
  <c r="G22" i="5"/>
  <c r="H22" i="5"/>
  <c r="I22" i="5"/>
  <c r="J22" i="5"/>
  <c r="L22" i="5"/>
  <c r="M22" i="5"/>
  <c r="N22" i="5"/>
  <c r="O22" i="5"/>
  <c r="P22" i="5"/>
  <c r="Q22" i="5"/>
  <c r="R22" i="5"/>
  <c r="A23" i="5"/>
  <c r="B23" i="5"/>
  <c r="C23" i="5"/>
  <c r="D23" i="5"/>
  <c r="E23" i="5"/>
  <c r="F23" i="5"/>
  <c r="G23" i="5"/>
  <c r="H23" i="5"/>
  <c r="I23" i="5"/>
  <c r="J23" i="5"/>
  <c r="L23" i="5"/>
  <c r="M23" i="5"/>
  <c r="N23" i="5"/>
  <c r="O23" i="5"/>
  <c r="P23" i="5"/>
  <c r="Q23" i="5"/>
  <c r="R23" i="5"/>
  <c r="A24" i="5"/>
  <c r="B24" i="5"/>
  <c r="C24" i="5"/>
  <c r="D24" i="5"/>
  <c r="E24" i="5"/>
  <c r="F24" i="5"/>
  <c r="G24" i="5"/>
  <c r="H24" i="5"/>
  <c r="I24" i="5"/>
  <c r="J24" i="5"/>
  <c r="L24" i="5"/>
  <c r="M24" i="5"/>
  <c r="N24" i="5"/>
  <c r="O24" i="5"/>
  <c r="P24" i="5"/>
  <c r="Q24" i="5"/>
  <c r="R24" i="5"/>
  <c r="A25" i="5"/>
  <c r="B25" i="5"/>
  <c r="C25" i="5"/>
  <c r="D25" i="5"/>
  <c r="E25" i="5"/>
  <c r="F25" i="5"/>
  <c r="G25" i="5"/>
  <c r="H25" i="5"/>
  <c r="I25" i="5"/>
  <c r="J25" i="5"/>
  <c r="L25" i="5"/>
  <c r="M25" i="5"/>
  <c r="N25" i="5"/>
  <c r="O25" i="5"/>
  <c r="P25" i="5"/>
  <c r="Q25" i="5"/>
  <c r="R25" i="5"/>
  <c r="A26" i="5"/>
  <c r="B26" i="5"/>
  <c r="C26" i="5"/>
  <c r="D26" i="5"/>
  <c r="E26" i="5"/>
  <c r="F26" i="5"/>
  <c r="G26" i="5"/>
  <c r="H26" i="5"/>
  <c r="I26" i="5"/>
  <c r="J26" i="5"/>
  <c r="L26" i="5"/>
  <c r="M26" i="5"/>
  <c r="N26" i="5"/>
  <c r="O26" i="5"/>
  <c r="P26" i="5"/>
  <c r="Q26" i="5"/>
  <c r="R26" i="5"/>
  <c r="A27" i="5"/>
  <c r="B27" i="5"/>
  <c r="C27" i="5"/>
  <c r="D27" i="5"/>
  <c r="E27" i="5"/>
  <c r="F27" i="5"/>
  <c r="G27" i="5"/>
  <c r="H27" i="5"/>
  <c r="I27" i="5"/>
  <c r="J27" i="5"/>
  <c r="L27" i="5"/>
  <c r="M27" i="5"/>
  <c r="N27" i="5"/>
  <c r="O27" i="5"/>
  <c r="P27" i="5"/>
  <c r="Q27" i="5"/>
  <c r="R27" i="5"/>
  <c r="A28" i="5"/>
  <c r="B28" i="5"/>
  <c r="C28" i="5"/>
  <c r="D28" i="5"/>
  <c r="E28" i="5"/>
  <c r="F28" i="5"/>
  <c r="G28" i="5"/>
  <c r="H28" i="5"/>
  <c r="I28" i="5"/>
  <c r="J28" i="5"/>
  <c r="L28" i="5"/>
  <c r="M28" i="5"/>
  <c r="N28" i="5"/>
  <c r="O28" i="5"/>
  <c r="P28" i="5"/>
  <c r="Q28" i="5"/>
  <c r="R28" i="5"/>
  <c r="A29" i="5"/>
  <c r="B29" i="5"/>
  <c r="C29" i="5"/>
  <c r="D29" i="5"/>
  <c r="E29" i="5"/>
  <c r="F29" i="5"/>
  <c r="G29" i="5"/>
  <c r="H29" i="5"/>
  <c r="I29" i="5"/>
  <c r="J29" i="5"/>
  <c r="L29" i="5"/>
  <c r="M29" i="5"/>
  <c r="N29" i="5"/>
  <c r="O29" i="5"/>
  <c r="P29" i="5"/>
  <c r="Q29" i="5"/>
  <c r="R29" i="5"/>
  <c r="A30" i="5"/>
  <c r="B30" i="5"/>
  <c r="C30" i="5"/>
  <c r="D30" i="5"/>
  <c r="E30" i="5"/>
  <c r="F30" i="5"/>
  <c r="G30" i="5"/>
  <c r="H30" i="5"/>
  <c r="I30" i="5"/>
  <c r="J30" i="5"/>
  <c r="L30" i="5"/>
  <c r="M30" i="5"/>
  <c r="N30" i="5"/>
  <c r="O30" i="5"/>
  <c r="P30" i="5"/>
  <c r="Q30" i="5"/>
  <c r="R30" i="5"/>
  <c r="A31" i="5"/>
  <c r="B31" i="5"/>
  <c r="C31" i="5"/>
  <c r="D31" i="5"/>
  <c r="E31" i="5"/>
  <c r="F31" i="5"/>
  <c r="G31" i="5"/>
  <c r="H31" i="5"/>
  <c r="I31" i="5"/>
  <c r="J31" i="5"/>
  <c r="L31" i="5"/>
  <c r="M31" i="5"/>
  <c r="N31" i="5"/>
  <c r="O31" i="5"/>
  <c r="P31" i="5"/>
  <c r="Q31" i="5"/>
  <c r="R31" i="5"/>
  <c r="A32" i="5"/>
  <c r="B32" i="5"/>
  <c r="C32" i="5"/>
  <c r="D32" i="5"/>
  <c r="E32" i="5"/>
  <c r="F32" i="5"/>
  <c r="G32" i="5"/>
  <c r="H32" i="5"/>
  <c r="I32" i="5"/>
  <c r="J32" i="5"/>
  <c r="L32" i="5"/>
  <c r="M32" i="5"/>
  <c r="N32" i="5"/>
  <c r="O32" i="5"/>
  <c r="P32" i="5"/>
  <c r="Q32" i="5"/>
  <c r="R32" i="5"/>
  <c r="A33" i="5"/>
  <c r="B33" i="5"/>
  <c r="C33" i="5"/>
  <c r="D33" i="5"/>
  <c r="E33" i="5"/>
  <c r="F33" i="5"/>
  <c r="G33" i="5"/>
  <c r="H33" i="5"/>
  <c r="I33" i="5"/>
  <c r="J33" i="5"/>
  <c r="L33" i="5"/>
  <c r="M33" i="5"/>
  <c r="N33" i="5"/>
  <c r="O33" i="5"/>
  <c r="P33" i="5"/>
  <c r="Q33" i="5"/>
  <c r="R33" i="5"/>
  <c r="A34" i="5"/>
  <c r="B34" i="5"/>
  <c r="C34" i="5"/>
  <c r="D34" i="5"/>
  <c r="E34" i="5"/>
  <c r="F34" i="5"/>
  <c r="G34" i="5"/>
  <c r="H34" i="5"/>
  <c r="I34" i="5"/>
  <c r="J34" i="5"/>
  <c r="L34" i="5"/>
  <c r="M34" i="5"/>
  <c r="N34" i="5"/>
  <c r="O34" i="5"/>
  <c r="P34" i="5"/>
  <c r="Q34" i="5"/>
  <c r="R34" i="5"/>
  <c r="A35" i="5"/>
  <c r="B35" i="5"/>
  <c r="C35" i="5"/>
  <c r="D35" i="5"/>
  <c r="E35" i="5"/>
  <c r="F35" i="5"/>
  <c r="G35" i="5"/>
  <c r="H35" i="5"/>
  <c r="I35" i="5"/>
  <c r="J35" i="5"/>
  <c r="L35" i="5"/>
  <c r="M35" i="5"/>
  <c r="N35" i="5"/>
  <c r="O35" i="5"/>
  <c r="P35" i="5"/>
  <c r="Q35" i="5"/>
  <c r="R35" i="5"/>
  <c r="A36" i="5"/>
  <c r="B36" i="5"/>
  <c r="C36" i="5"/>
  <c r="D36" i="5"/>
  <c r="E36" i="5"/>
  <c r="F36" i="5"/>
  <c r="G36" i="5"/>
  <c r="H36" i="5"/>
  <c r="I36" i="5"/>
  <c r="J36" i="5"/>
  <c r="L36" i="5"/>
  <c r="M36" i="5"/>
  <c r="N36" i="5"/>
  <c r="O36" i="5"/>
  <c r="P36" i="5"/>
  <c r="Q36" i="5"/>
  <c r="R36" i="5"/>
  <c r="A37" i="5"/>
  <c r="B37" i="5"/>
  <c r="C37" i="5"/>
  <c r="D37" i="5"/>
  <c r="E37" i="5"/>
  <c r="F37" i="5"/>
  <c r="G37" i="5"/>
  <c r="H37" i="5"/>
  <c r="I37" i="5"/>
  <c r="J37" i="5"/>
  <c r="L37" i="5"/>
  <c r="M37" i="5"/>
  <c r="N37" i="5"/>
  <c r="O37" i="5"/>
  <c r="P37" i="5"/>
  <c r="Q37" i="5"/>
  <c r="R37" i="5"/>
  <c r="A38" i="5"/>
  <c r="B38" i="5"/>
  <c r="C38" i="5"/>
  <c r="D38" i="5"/>
  <c r="E38" i="5"/>
  <c r="F38" i="5"/>
  <c r="G38" i="5"/>
  <c r="H38" i="5"/>
  <c r="I38" i="5"/>
  <c r="J38" i="5"/>
  <c r="L38" i="5"/>
  <c r="M38" i="5"/>
  <c r="N38" i="5"/>
  <c r="O38" i="5"/>
  <c r="P38" i="5"/>
  <c r="Q38" i="5"/>
  <c r="R38" i="5"/>
  <c r="A39" i="5"/>
  <c r="B39" i="5"/>
  <c r="C39" i="5"/>
  <c r="D39" i="5"/>
  <c r="E39" i="5"/>
  <c r="F39" i="5"/>
  <c r="G39" i="5"/>
  <c r="H39" i="5"/>
  <c r="I39" i="5"/>
  <c r="J39" i="5"/>
  <c r="L39" i="5"/>
  <c r="M39" i="5"/>
  <c r="N39" i="5"/>
  <c r="O39" i="5"/>
  <c r="P39" i="5"/>
  <c r="Q39" i="5"/>
  <c r="R39" i="5"/>
  <c r="A40" i="5"/>
  <c r="B40" i="5"/>
  <c r="C40" i="5"/>
  <c r="D40" i="5"/>
  <c r="E40" i="5"/>
  <c r="F40" i="5"/>
  <c r="G40" i="5"/>
  <c r="H40" i="5"/>
  <c r="I40" i="5"/>
  <c r="J40" i="5"/>
  <c r="L40" i="5"/>
  <c r="M40" i="5"/>
  <c r="N40" i="5"/>
  <c r="O40" i="5"/>
  <c r="P40" i="5"/>
  <c r="Q40" i="5"/>
  <c r="R40" i="5"/>
  <c r="A41" i="5"/>
  <c r="B41" i="5"/>
  <c r="C41" i="5"/>
  <c r="D41" i="5"/>
  <c r="E41" i="5"/>
  <c r="F41" i="5"/>
  <c r="G41" i="5"/>
  <c r="H41" i="5"/>
  <c r="I41" i="5"/>
  <c r="J41" i="5"/>
  <c r="L41" i="5"/>
  <c r="M41" i="5"/>
  <c r="N41" i="5"/>
  <c r="O41" i="5"/>
  <c r="P41" i="5"/>
  <c r="Q41" i="5"/>
  <c r="R41" i="5"/>
  <c r="A42" i="5"/>
  <c r="B42" i="5"/>
  <c r="C42" i="5"/>
  <c r="D42" i="5"/>
  <c r="E42" i="5"/>
  <c r="F42" i="5"/>
  <c r="G42" i="5"/>
  <c r="H42" i="5"/>
  <c r="I42" i="5"/>
  <c r="J42" i="5"/>
  <c r="L42" i="5"/>
  <c r="M42" i="5"/>
  <c r="N42" i="5"/>
  <c r="O42" i="5"/>
  <c r="P42" i="5"/>
  <c r="Q42" i="5"/>
  <c r="R42" i="5"/>
  <c r="A43" i="5"/>
  <c r="B43" i="5"/>
  <c r="C43" i="5"/>
  <c r="D43" i="5"/>
  <c r="E43" i="5"/>
  <c r="F43" i="5"/>
  <c r="G43" i="5"/>
  <c r="H43" i="5"/>
  <c r="I43" i="5"/>
  <c r="J43" i="5"/>
  <c r="L43" i="5"/>
  <c r="M43" i="5"/>
  <c r="N43" i="5"/>
  <c r="O43" i="5"/>
  <c r="P43" i="5"/>
  <c r="Q43" i="5"/>
  <c r="R43" i="5"/>
  <c r="A44" i="5"/>
  <c r="B44" i="5"/>
  <c r="C44" i="5"/>
  <c r="D44" i="5"/>
  <c r="E44" i="5"/>
  <c r="F44" i="5"/>
  <c r="G44" i="5"/>
  <c r="H44" i="5"/>
  <c r="I44" i="5"/>
  <c r="J44" i="5"/>
  <c r="L44" i="5"/>
  <c r="M44" i="5"/>
  <c r="N44" i="5"/>
  <c r="O44" i="5"/>
  <c r="P44" i="5"/>
  <c r="Q44" i="5"/>
  <c r="R44" i="5"/>
  <c r="A45" i="5"/>
  <c r="B45" i="5"/>
  <c r="C45" i="5"/>
  <c r="D45" i="5"/>
  <c r="E45" i="5"/>
  <c r="F45" i="5"/>
  <c r="G45" i="5"/>
  <c r="H45" i="5"/>
  <c r="I45" i="5"/>
  <c r="J45" i="5"/>
  <c r="L45" i="5"/>
  <c r="M45" i="5"/>
  <c r="N45" i="5"/>
  <c r="O45" i="5"/>
  <c r="P45" i="5"/>
  <c r="Q45" i="5"/>
  <c r="R45" i="5"/>
  <c r="A46" i="5"/>
  <c r="B46" i="5"/>
  <c r="C46" i="5"/>
  <c r="D46" i="5"/>
  <c r="E46" i="5"/>
  <c r="F46" i="5"/>
  <c r="G46" i="5"/>
  <c r="H46" i="5"/>
  <c r="I46" i="5"/>
  <c r="J46" i="5"/>
  <c r="L46" i="5"/>
  <c r="M46" i="5"/>
  <c r="N46" i="5"/>
  <c r="O46" i="5"/>
  <c r="P46" i="5"/>
  <c r="Q46" i="5"/>
  <c r="R46" i="5"/>
  <c r="A47" i="5"/>
  <c r="B47" i="5"/>
  <c r="C47" i="5"/>
  <c r="D47" i="5"/>
  <c r="E47" i="5"/>
  <c r="F47" i="5"/>
  <c r="G47" i="5"/>
  <c r="H47" i="5"/>
  <c r="I47" i="5"/>
  <c r="J47" i="5"/>
  <c r="L47" i="5"/>
  <c r="M47" i="5"/>
  <c r="N47" i="5"/>
  <c r="O47" i="5"/>
  <c r="P47" i="5"/>
  <c r="Q47" i="5"/>
  <c r="R47" i="5"/>
  <c r="A48" i="5"/>
  <c r="B48" i="5"/>
  <c r="C48" i="5"/>
  <c r="D48" i="5"/>
  <c r="E48" i="5"/>
  <c r="F48" i="5"/>
  <c r="G48" i="5"/>
  <c r="H48" i="5"/>
  <c r="I48" i="5"/>
  <c r="J48" i="5"/>
  <c r="L48" i="5"/>
  <c r="M48" i="5"/>
  <c r="N48" i="5"/>
  <c r="O48" i="5"/>
  <c r="P48" i="5"/>
  <c r="Q48" i="5"/>
  <c r="R48" i="5"/>
  <c r="A49" i="5"/>
  <c r="B49" i="5"/>
  <c r="C49" i="5"/>
  <c r="D49" i="5"/>
  <c r="E49" i="5"/>
  <c r="F49" i="5"/>
  <c r="G49" i="5"/>
  <c r="H49" i="5"/>
  <c r="I49" i="5"/>
  <c r="J49" i="5"/>
  <c r="L49" i="5"/>
  <c r="M49" i="5"/>
  <c r="N49" i="5"/>
  <c r="O49" i="5"/>
  <c r="P49" i="5"/>
  <c r="Q49" i="5"/>
  <c r="R49" i="5"/>
  <c r="A50" i="5"/>
  <c r="B50" i="5"/>
  <c r="C50" i="5"/>
  <c r="D50" i="5"/>
  <c r="E50" i="5"/>
  <c r="F50" i="5"/>
  <c r="G50" i="5"/>
  <c r="H50" i="5"/>
  <c r="I50" i="5"/>
  <c r="J50" i="5"/>
  <c r="L50" i="5"/>
  <c r="M50" i="5"/>
  <c r="N50" i="5"/>
  <c r="O50" i="5"/>
  <c r="P50" i="5"/>
  <c r="Q50" i="5"/>
  <c r="R50" i="5"/>
  <c r="A51" i="5"/>
  <c r="B51" i="5"/>
  <c r="C51" i="5"/>
  <c r="D51" i="5"/>
  <c r="E51" i="5"/>
  <c r="F51" i="5"/>
  <c r="G51" i="5"/>
  <c r="H51" i="5"/>
  <c r="I51" i="5"/>
  <c r="J51" i="5"/>
  <c r="L51" i="5"/>
  <c r="M51" i="5"/>
  <c r="N51" i="5"/>
  <c r="O51" i="5"/>
  <c r="P51" i="5"/>
  <c r="Q51" i="5"/>
  <c r="R51" i="5"/>
  <c r="D54" i="5"/>
  <c r="F54" i="5"/>
  <c r="H54" i="5"/>
  <c r="J54" i="5"/>
  <c r="L54" i="5"/>
  <c r="M54" i="5"/>
  <c r="N54" i="5"/>
  <c r="O54" i="5"/>
  <c r="P54" i="5"/>
  <c r="Q54" i="5"/>
  <c r="R54" i="5"/>
  <c r="L55" i="5"/>
  <c r="N56" i="5"/>
  <c r="O56" i="5"/>
  <c r="P56" i="5"/>
  <c r="Q56" i="5"/>
  <c r="R56" i="5"/>
  <c r="G3" i="11"/>
  <c r="A12" i="11"/>
  <c r="A14" i="11"/>
  <c r="A19" i="11"/>
  <c r="C19" i="11"/>
  <c r="D19" i="11"/>
  <c r="E19" i="11"/>
  <c r="F19" i="11"/>
  <c r="G19" i="11"/>
  <c r="A20" i="11"/>
  <c r="C20" i="11"/>
  <c r="D20" i="11"/>
  <c r="E20" i="11"/>
  <c r="F20" i="11"/>
  <c r="G20" i="11"/>
  <c r="A21" i="11"/>
  <c r="C21" i="11"/>
  <c r="E21" i="11"/>
  <c r="F21" i="11"/>
  <c r="G21" i="11"/>
  <c r="A22" i="11"/>
  <c r="C22" i="11"/>
  <c r="D22" i="11"/>
  <c r="E22" i="11"/>
  <c r="F22" i="11"/>
  <c r="G22" i="11"/>
  <c r="A23" i="11"/>
  <c r="E23" i="11"/>
  <c r="F23" i="11"/>
  <c r="A24" i="11"/>
  <c r="E24" i="11"/>
  <c r="F24" i="11"/>
  <c r="G24" i="11"/>
  <c r="G38" i="11"/>
</calcChain>
</file>

<file path=xl/comments1.xml><?xml version="1.0" encoding="utf-8"?>
<comments xmlns="http://schemas.openxmlformats.org/spreadsheetml/2006/main">
  <authors>
    <author>ssitter</author>
    <author>Scott Sitter</author>
  </authors>
  <commentList>
    <comment ref="Y13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This is the $ amount recovered through netback for Kennedy
FOR PMA</t>
        </r>
      </text>
    </comment>
    <comment ref="Y30" authorId="1" shapeId="0">
      <text>
        <r>
          <rPr>
            <b/>
            <sz val="8"/>
            <color indexed="81"/>
            <rFont val="Tahoma"/>
          </rPr>
          <t>Scott Sitter:</t>
        </r>
        <r>
          <rPr>
            <sz val="8"/>
            <color indexed="81"/>
            <rFont val="Tahoma"/>
          </rPr>
          <t xml:space="preserve">
.14 vs .145
</t>
        </r>
      </text>
    </comment>
  </commentList>
</comments>
</file>

<file path=xl/sharedStrings.xml><?xml version="1.0" encoding="utf-8"?>
<sst xmlns="http://schemas.openxmlformats.org/spreadsheetml/2006/main" count="997" uniqueCount="424">
  <si>
    <t>IF CIG Rockies</t>
  </si>
  <si>
    <t>IF NGPL Midcont.</t>
  </si>
  <si>
    <t>CIG Gas Daily</t>
  </si>
  <si>
    <t>CIG GD Rockies</t>
  </si>
  <si>
    <t>Net Backs:</t>
  </si>
  <si>
    <t>BTU Factor:</t>
  </si>
  <si>
    <t>Gathering/MMBtu</t>
  </si>
  <si>
    <t>Gathering:</t>
  </si>
  <si>
    <t>per Mcf</t>
  </si>
  <si>
    <t>Total Net Back</t>
  </si>
  <si>
    <t>Index</t>
  </si>
  <si>
    <t>CIG GD</t>
  </si>
  <si>
    <t>CIG GD les Netback</t>
  </si>
  <si>
    <t>per Mmbtu</t>
  </si>
  <si>
    <t>Index Discount/Premium</t>
  </si>
  <si>
    <t>WIC Xport</t>
  </si>
  <si>
    <t>Trailblazer Xport</t>
  </si>
  <si>
    <t>Trailblazer Fuel (0%*NGPLindex)</t>
  </si>
  <si>
    <t>NGPL less Netback</t>
  </si>
  <si>
    <t>Kennedy</t>
  </si>
  <si>
    <t>Over 80% of FOM Nom.</t>
  </si>
  <si>
    <t>80% of FOM Nom. Less 12,000/Day</t>
  </si>
  <si>
    <t>CIG less Netback</t>
  </si>
  <si>
    <t>Index (Discount)/Premium</t>
  </si>
  <si>
    <t>80% of FOM Nom. up to 10,000/Day</t>
  </si>
  <si>
    <t>80% of FOM Nom. Less 10,000/Day</t>
  </si>
  <si>
    <t>Total Payment</t>
  </si>
  <si>
    <t>TOTAL</t>
  </si>
  <si>
    <t>Contact:</t>
  </si>
  <si>
    <t>Ph:</t>
  </si>
  <si>
    <t>fax:</t>
  </si>
  <si>
    <t>CIG GD Volume MMBtu</t>
  </si>
  <si>
    <t>NGPL Volume MMBtu</t>
  </si>
  <si>
    <t>CIG Volume MMBtu</t>
  </si>
  <si>
    <t>Total Production MMBtu</t>
  </si>
  <si>
    <t>Allocated Fuel MMBtu</t>
  </si>
  <si>
    <t>PH:</t>
  </si>
  <si>
    <t>FAX:</t>
  </si>
  <si>
    <t>Ruth Reile</t>
  </si>
  <si>
    <t>307-682-8726</t>
  </si>
  <si>
    <t>307-682-6060</t>
  </si>
  <si>
    <t>Theresa Staab</t>
  </si>
  <si>
    <t>303-575-6485</t>
  </si>
  <si>
    <t>Transportation</t>
  </si>
  <si>
    <t>EMS Transport/MMBtu</t>
  </si>
  <si>
    <t>Independent</t>
  </si>
  <si>
    <t>303-595-8829</t>
  </si>
  <si>
    <t>303-595-3653</t>
  </si>
  <si>
    <t>Btu factor:</t>
  </si>
  <si>
    <t>80% of Production up to 10,000/Day</t>
  </si>
  <si>
    <t>80% of Production Less 10,000/Day</t>
  </si>
  <si>
    <t>Allocated Fuel MMBtu (max 6.5%)</t>
  </si>
  <si>
    <t>Wellstar</t>
  </si>
  <si>
    <t>Tim Collins</t>
  </si>
  <si>
    <t>303-659-0676</t>
  </si>
  <si>
    <t>303-659-0680</t>
  </si>
  <si>
    <t>Btu factor</t>
  </si>
  <si>
    <t>80% of FOM Nom. up to 2,000/Day</t>
  </si>
  <si>
    <t>80% of FOM Nom. Less 2,000/Day</t>
  </si>
  <si>
    <t>Allocated Fuel MMBtu (Max. 8%)</t>
  </si>
  <si>
    <t xml:space="preserve">IF CIG </t>
  </si>
  <si>
    <t>CIG GD less Netback</t>
  </si>
  <si>
    <t>avg. $/Mmbtu</t>
  </si>
  <si>
    <t>FOM Nomination</t>
  </si>
  <si>
    <t>actual fuel</t>
  </si>
  <si>
    <t>First of Month Nomination:</t>
  </si>
  <si>
    <t>Actual Fuel</t>
  </si>
  <si>
    <t>Actual Fuel :</t>
  </si>
  <si>
    <t>MTG Operating Company</t>
  </si>
  <si>
    <t>307-684-0966</t>
  </si>
  <si>
    <t>50% of Net Receipt</t>
  </si>
  <si>
    <t>Enron North America Corp.</t>
  </si>
  <si>
    <t>Contract #</t>
  </si>
  <si>
    <t>Meter # / Meter Name</t>
  </si>
  <si>
    <t xml:space="preserve">Bill To:  </t>
  </si>
  <si>
    <t>Remit To:</t>
  </si>
  <si>
    <t>Fax: (303) 534-0552</t>
  </si>
  <si>
    <t>Independent Production Company, Inc.</t>
  </si>
  <si>
    <t>Bank: U.S. Bank National Association</t>
  </si>
  <si>
    <t>ABA:  102000021</t>
  </si>
  <si>
    <t>Acct:  103655778514</t>
  </si>
  <si>
    <t>Fax: (303) 595-3653</t>
  </si>
  <si>
    <t xml:space="preserve">Verification Date: </t>
  </si>
  <si>
    <t>Due Date:</t>
  </si>
  <si>
    <t>Payment Method:</t>
  </si>
  <si>
    <t>Wire</t>
  </si>
  <si>
    <t xml:space="preserve">Delivery Period: </t>
  </si>
  <si>
    <t>MMBtu Quantity</t>
  </si>
  <si>
    <t>Price/MMBtu</t>
  </si>
  <si>
    <t>Amount Due</t>
  </si>
  <si>
    <t>Kennedy Oil</t>
  </si>
  <si>
    <t>Bank:  First Interstate Bank</t>
  </si>
  <si>
    <t>ABA:  102300129</t>
  </si>
  <si>
    <t>Acct:  362170342</t>
  </si>
  <si>
    <t>Contact:  Ruth Reile</t>
  </si>
  <si>
    <t>Tel:  (307) 682-8726</t>
  </si>
  <si>
    <t>Fax: (307) 682-6060</t>
  </si>
  <si>
    <t>Wellstar Corporation</t>
  </si>
  <si>
    <t>Bank:  First National Bank of Longmont</t>
  </si>
  <si>
    <t>ABA:  107000628</t>
  </si>
  <si>
    <t>Acct:  14-9039</t>
  </si>
  <si>
    <t>Contact:  Tim Collins</t>
  </si>
  <si>
    <t>0814005-Wellstar Screw #1 Discharge Mtr</t>
  </si>
  <si>
    <t>0814004-Wellstar Screw #2 Discharge Mtr</t>
  </si>
  <si>
    <t>Bank: Deposit Guaranty National</t>
  </si>
  <si>
    <t>ENA-ACCRUAL</t>
  </si>
  <si>
    <t>Producer</t>
  </si>
  <si>
    <t>MTG</t>
  </si>
  <si>
    <t>Volume</t>
  </si>
  <si>
    <t>$/MMBtu</t>
  </si>
  <si>
    <t>Index Disc./Prem.</t>
  </si>
  <si>
    <t>IF NGPL-Midcont.</t>
  </si>
  <si>
    <t>IF CIG</t>
  </si>
  <si>
    <t>Total $</t>
  </si>
  <si>
    <t>Purchases</t>
  </si>
  <si>
    <t>IF NGPL - Midcont.</t>
  </si>
  <si>
    <t>$ CIG GD</t>
  </si>
  <si>
    <t>$ NGPL</t>
  </si>
  <si>
    <t>$ CIG</t>
  </si>
  <si>
    <t>$ Revenue</t>
  </si>
  <si>
    <t>FT. Union Gathering</t>
  </si>
  <si>
    <t>Net Position</t>
  </si>
  <si>
    <t>Xfer to ENA DENVER</t>
  </si>
  <si>
    <t>Total Purchases</t>
  </si>
  <si>
    <t>$/Mmbtu</t>
  </si>
  <si>
    <t>Resale Volume</t>
  </si>
  <si>
    <t>Gross CIG GD Vol</t>
  </si>
  <si>
    <t>% of Total CIG GD</t>
  </si>
  <si>
    <t>CIG GD-.14</t>
  </si>
  <si>
    <t>Buy/Sell Net :</t>
  </si>
  <si>
    <t>Gathering Net:</t>
  </si>
  <si>
    <t>Net ENA ACCRUAL Activity:</t>
  </si>
  <si>
    <t>Total Production Purchases</t>
  </si>
  <si>
    <t>Total Sales to ENA Denver</t>
  </si>
  <si>
    <t>Total Sales to ENA DENVER</t>
  </si>
  <si>
    <t>Discount / Premium</t>
  </si>
  <si>
    <t>IF CIG - Rockies</t>
  </si>
  <si>
    <t>TOTAL PAYMENT</t>
  </si>
  <si>
    <t>avg. $/MMBtu</t>
  </si>
  <si>
    <t>Terms:</t>
  </si>
  <si>
    <t>Last Business Day</t>
  </si>
  <si>
    <t>xfer price</t>
  </si>
  <si>
    <t>Fuel Loss</t>
  </si>
  <si>
    <t>$             0.00</t>
  </si>
  <si>
    <t>$                                        0.00</t>
  </si>
  <si>
    <t>ABA:  065305436</t>
  </si>
  <si>
    <t>Contact:  Clint Guthrie</t>
  </si>
  <si>
    <t>Tel:  (307) 684-0964</t>
  </si>
  <si>
    <t>Fax:  (307) 684-0966</t>
  </si>
  <si>
    <t>Check</t>
  </si>
  <si>
    <t>0814015-Independent 47N73WSec.9</t>
  </si>
  <si>
    <t>25th of month following production</t>
  </si>
  <si>
    <t>Over 80% of Production</t>
  </si>
  <si>
    <t>Last Day of Month</t>
  </si>
  <si>
    <t>Activity Summary</t>
  </si>
  <si>
    <t>MMBtu</t>
  </si>
  <si>
    <t>allocation</t>
  </si>
  <si>
    <t>Sale</t>
  </si>
  <si>
    <t>Purch</t>
  </si>
  <si>
    <t>Marg</t>
  </si>
  <si>
    <t>Exp</t>
  </si>
  <si>
    <t>diff</t>
  </si>
  <si>
    <t>GD resale</t>
  </si>
  <si>
    <t>Contact:  Theresa Staab</t>
  </si>
  <si>
    <t>Tel:  (303) 575-6485</t>
  </si>
  <si>
    <t>Wire - Last Day of Month</t>
  </si>
  <si>
    <t>Quantum</t>
  </si>
  <si>
    <t>Paul Mysyk</t>
  </si>
  <si>
    <t>800-203-3728</t>
  </si>
  <si>
    <t>216-486-3435</t>
  </si>
  <si>
    <t>80% of FOM Nom.</t>
  </si>
  <si>
    <t>total</t>
  </si>
  <si>
    <t>Quantum Energy, L.L.C.</t>
  </si>
  <si>
    <t>307-684-0964</t>
  </si>
  <si>
    <t>0814038-Quantum #1-2 Discharge</t>
  </si>
  <si>
    <t>0814039-Quantum #3-4 Discharge</t>
  </si>
  <si>
    <t>0814040-Quantum #5 Discharge</t>
  </si>
  <si>
    <t>Gathering</t>
  </si>
  <si>
    <t>Gas Purchase Subtotal</t>
  </si>
  <si>
    <t>Acct: 5002066504</t>
  </si>
  <si>
    <t>Mcf Quantity</t>
  </si>
  <si>
    <t>Wt. Avg. Btu:</t>
  </si>
  <si>
    <t>Contact:  Harry Schumacher</t>
  </si>
  <si>
    <t>Fax: (818) 225-5002</t>
  </si>
  <si>
    <t>Copy To:</t>
  </si>
  <si>
    <t>Copy to:</t>
  </si>
  <si>
    <t>Contact:  Angela Adcock</t>
  </si>
  <si>
    <t>Tel:  (601) 956-9851</t>
  </si>
  <si>
    <t>Fax: (601) 956-9580</t>
  </si>
  <si>
    <t>Attn:  Paul Mysyk</t>
  </si>
  <si>
    <t>Tel:  (800) 203-3728</t>
  </si>
  <si>
    <t>Fax:  (216) 486-3435</t>
  </si>
  <si>
    <t>Sub Total:</t>
  </si>
  <si>
    <t>Current Month Sub Total:</t>
  </si>
  <si>
    <t>TOTAL PAYMENT:</t>
  </si>
  <si>
    <t>Enron North America</t>
  </si>
  <si>
    <t>0814041 - MTG Compressor 48N 72W SEC32</t>
  </si>
  <si>
    <t>should be 0</t>
  </si>
  <si>
    <t>S. Kitty</t>
  </si>
  <si>
    <t>Box Draw</t>
  </si>
  <si>
    <t>Box Draw (Less S. Kitty) 80% of FOM Nom. up to 12,000/Day</t>
  </si>
  <si>
    <t>Avg. $/Mmbtu:</t>
  </si>
  <si>
    <t>PRIOR MONTH ADJUSTMENTS</t>
  </si>
  <si>
    <t xml:space="preserve">Contact:  Theresa Staab </t>
  </si>
  <si>
    <t>Phillips Petroleum Company</t>
  </si>
  <si>
    <t>Bank:  Chase Manhattan Bank, N.Y., N.Y.</t>
  </si>
  <si>
    <t>ABA:  021000021</t>
  </si>
  <si>
    <t>Acct:  144032070</t>
  </si>
  <si>
    <t>Contact:  Donna Hatter</t>
  </si>
  <si>
    <t>Tel:  (713) 669-3493</t>
  </si>
  <si>
    <t>Fax: (713) 669-7358</t>
  </si>
  <si>
    <t>Donna Hatter</t>
  </si>
  <si>
    <t>(713) 669-3493</t>
  </si>
  <si>
    <t>(713) 669-7358</t>
  </si>
  <si>
    <t>Phillips</t>
  </si>
  <si>
    <t>(7% Max to Maverick)</t>
  </si>
  <si>
    <t>Total Receipts Fee Adjustment*</t>
  </si>
  <si>
    <t>*Total Receipts Fee Adjustment is calculated by applying the Field Services Fee to the fuel volume and then dividing that dollar amount(fee times fuel volume) by the volume purchased.</t>
  </si>
  <si>
    <t>0814035-Palomino 1</t>
  </si>
  <si>
    <t>0814036-Palomino 2</t>
  </si>
  <si>
    <t>0814032-Clydesdale 1</t>
  </si>
  <si>
    <t>0814033-Clydesdale 2</t>
  </si>
  <si>
    <t>0814034-Clydesdale 3</t>
  </si>
  <si>
    <t>Bear Paw Delivery into Fort Union Gas Gathering</t>
  </si>
  <si>
    <t>BOX DRAW</t>
  </si>
  <si>
    <t>Nom.</t>
  </si>
  <si>
    <t>Net Volume Mmbtu</t>
  </si>
  <si>
    <t>WT. Average Price</t>
  </si>
  <si>
    <t>Weighted Average</t>
  </si>
  <si>
    <t>Total Weighted Average Netback</t>
  </si>
  <si>
    <t>FOR INTERNAL USE ONLY</t>
  </si>
  <si>
    <t>Purchase from CGS sale to ENA</t>
  </si>
  <si>
    <t>CGS (gain)</t>
  </si>
  <si>
    <t>Sale to CGS</t>
  </si>
  <si>
    <t>CGS (Fuel/Loss)</t>
  </si>
  <si>
    <t>Total Sales to CGS</t>
  </si>
  <si>
    <t>CGS Gathering</t>
  </si>
  <si>
    <t>Contract Price Adjustment:</t>
  </si>
  <si>
    <t>Contract Price Adjustment/MMBtu</t>
  </si>
  <si>
    <t>Total</t>
  </si>
  <si>
    <t>Cheryl Robaker</t>
  </si>
  <si>
    <t>P.O.Box 7370</t>
  </si>
  <si>
    <t>Sheridan, Wyoming, 82801</t>
  </si>
  <si>
    <t>wnicholson@quantumenergyllc.com</t>
  </si>
  <si>
    <t>fax: 307-673-1400</t>
  </si>
  <si>
    <t>Attn : Bill Courtney</t>
  </si>
  <si>
    <t>rosco@cyberhighway.net</t>
  </si>
  <si>
    <t>Prior Month Adjustments</t>
  </si>
  <si>
    <t>Adjustment</t>
  </si>
  <si>
    <t>Pro rata Production</t>
  </si>
  <si>
    <t>Transportation/MMBtu</t>
  </si>
  <si>
    <t>Quest L.L.C</t>
  </si>
  <si>
    <t>PO box 7370</t>
  </si>
  <si>
    <t>Sheridan, Wy   82801</t>
  </si>
  <si>
    <t>Tel:  (307) 673-1500</t>
  </si>
  <si>
    <t>Fax:  (307) 673-1400</t>
  </si>
  <si>
    <t>should = column j</t>
  </si>
  <si>
    <t>Effective Date:</t>
  </si>
  <si>
    <t>Medicine Bow Fuel Rate:</t>
  </si>
  <si>
    <t>Ft. Union Fuel Rate:</t>
  </si>
  <si>
    <t>Trailblazer Fuel (0%*NGPL index)</t>
  </si>
  <si>
    <t>On or before last day of month</t>
  </si>
  <si>
    <t>Inside FERC CIG:</t>
  </si>
  <si>
    <t>Inside FERC NGPL Midcont.:</t>
  </si>
  <si>
    <t>North Finn</t>
  </si>
  <si>
    <t>0814042-Palomino #3 Discharge Mtr</t>
  </si>
  <si>
    <t xml:space="preserve">Allocated Fuel MMBtu </t>
  </si>
  <si>
    <t>--&gt;Dedicated Only</t>
  </si>
  <si>
    <t>Tel:  (303) 595-8829 X27</t>
  </si>
  <si>
    <t>Non Dedicated Bear Paw Receipts</t>
  </si>
  <si>
    <t>CIG -.25-.145</t>
  </si>
  <si>
    <t>SITARA # 640466</t>
  </si>
  <si>
    <t>SITARA #443314</t>
  </si>
  <si>
    <t>SITARA #443300</t>
  </si>
  <si>
    <t>SITARA #443322</t>
  </si>
  <si>
    <t>SITARA # 640458</t>
  </si>
  <si>
    <t>Non Dedicated Clydesdale Receipts</t>
  </si>
  <si>
    <t>North Finn LLC</t>
  </si>
  <si>
    <t>Hilltop National Bank</t>
  </si>
  <si>
    <t>Routing #10230119</t>
  </si>
  <si>
    <t>Account #021674</t>
  </si>
  <si>
    <t>Country Club Rd.</t>
  </si>
  <si>
    <t>Casper, WY  82609</t>
  </si>
  <si>
    <t>Attn:  Larry Linn</t>
  </si>
  <si>
    <t>Phone:  (307) 237-7854</t>
  </si>
  <si>
    <t>E-mail:  sunshin@trib.com</t>
  </si>
  <si>
    <t>On or before 25th of month</t>
  </si>
  <si>
    <t>Larry Linn</t>
  </si>
  <si>
    <t>(307) 237-7854</t>
  </si>
  <si>
    <t>Weighted Average BTU Factor:</t>
  </si>
  <si>
    <t>Additional Purchases:</t>
  </si>
  <si>
    <t>FOM CIG GD Volume MMBtu</t>
  </si>
  <si>
    <t>FOM CIG GD less Netback</t>
  </si>
  <si>
    <t>Over 80% of FOM</t>
  </si>
  <si>
    <t>Add'l CIG GD less Netback</t>
  </si>
  <si>
    <t>Additional Purchases</t>
  </si>
  <si>
    <t>$ FOM CIG GD</t>
  </si>
  <si>
    <t>$ Add'l CIG GD</t>
  </si>
  <si>
    <t>Box Draw net MMBtu</t>
  </si>
  <si>
    <t>South Kitty net MMBtu</t>
  </si>
  <si>
    <t>Total Purchased MMBtu</t>
  </si>
  <si>
    <t>FOM CIG less Netback</t>
  </si>
  <si>
    <t>FOM CIG Volume MMBtu</t>
  </si>
  <si>
    <t>Add'l CIG less Netback</t>
  </si>
  <si>
    <t>Add'l CIG GD MMBtu</t>
  </si>
  <si>
    <t>Add'l CIG MMBtu</t>
  </si>
  <si>
    <t>Pro-Rata Production</t>
  </si>
  <si>
    <t>South Kitty</t>
  </si>
  <si>
    <t>CIG GD Rockies ($/MMBtu)</t>
  </si>
  <si>
    <t>Add'l CIG Volume MMBtu</t>
  </si>
  <si>
    <t>FOM Nom.</t>
  </si>
  <si>
    <t>Add'l Purchases</t>
  </si>
  <si>
    <t xml:space="preserve"> Total Box Draw Allocated Fuel MMBtu</t>
  </si>
  <si>
    <t>$ FOM CIG</t>
  </si>
  <si>
    <t>$ Add'l CIG</t>
  </si>
  <si>
    <t>Box Draw Net Backs:</t>
  </si>
  <si>
    <t xml:space="preserve"> Total South Kitty Allocated Fuel MMBtu</t>
  </si>
  <si>
    <t>Total South Kitty Production MMBtu</t>
  </si>
  <si>
    <t>Total South Kitty Payments by Pricing Package</t>
  </si>
  <si>
    <t>Total Box Draw Payments by Pricing Package</t>
  </si>
  <si>
    <t>Box Draw Wellhead Production MMBtu</t>
  </si>
  <si>
    <t>Total Purchased Production MMBtu</t>
  </si>
  <si>
    <t>Type</t>
  </si>
  <si>
    <t>FOM/Box Draw</t>
  </si>
  <si>
    <t>S. Kitty Net Backs:</t>
  </si>
  <si>
    <t xml:space="preserve">Box Draw </t>
  </si>
  <si>
    <t>FOM CIG GD Box Draw</t>
  </si>
  <si>
    <t>FOM CIG GD South Kitty</t>
  </si>
  <si>
    <t>FOM IF NGPL-Midcont. Box Draw</t>
  </si>
  <si>
    <t>FOM IF NGPL-Midcont. South Kitty</t>
  </si>
  <si>
    <t>FOM IF CIG - Rockies South Kitty</t>
  </si>
  <si>
    <t>FOM IF CIG - Rockies Box Draw</t>
  </si>
  <si>
    <t>FOM CIG GD</t>
  </si>
  <si>
    <t>FOM/S. Kitty</t>
  </si>
  <si>
    <t>Add'l IF CIG</t>
  </si>
  <si>
    <t>FOM IF CIG</t>
  </si>
  <si>
    <t>Net volume</t>
  </si>
  <si>
    <t>Contact:  Cheryl Robacker</t>
  </si>
  <si>
    <t>Tel:  (303) 280-4516</t>
  </si>
  <si>
    <t>Fax: (303) 280-4523</t>
  </si>
  <si>
    <t>Sitara  #</t>
  </si>
  <si>
    <t>WA Prem. (Disc.)</t>
  </si>
  <si>
    <t>WA Gathering Cost</t>
  </si>
  <si>
    <t>FOM NGPL</t>
  </si>
  <si>
    <t>FOM CIG</t>
  </si>
  <si>
    <t>Kennedy Consolidation Summary</t>
  </si>
  <si>
    <t>Box Draw % of Total</t>
  </si>
  <si>
    <t>South Kitty % of Total</t>
  </si>
  <si>
    <t>Citation</t>
  </si>
  <si>
    <t>IF CIG Rockies Volume MMBtu</t>
  </si>
  <si>
    <t>$ IF CIG Rockies</t>
  </si>
  <si>
    <t>FOM IF NGPL Midcont.</t>
  </si>
  <si>
    <t>FOM IF CIG Rockies</t>
  </si>
  <si>
    <t>$ FOM NGPL</t>
  </si>
  <si>
    <t>IF CIG less Netback</t>
  </si>
  <si>
    <t>Crestone Transport /Mmbtu</t>
  </si>
  <si>
    <t>Total Netback</t>
  </si>
  <si>
    <t>FOM</t>
  </si>
  <si>
    <t>Add'l</t>
  </si>
  <si>
    <t>Citation Meserve Pod</t>
  </si>
  <si>
    <t>Electric Power Compressor Fees</t>
  </si>
  <si>
    <t>FOM IF NGPL-Midcont.</t>
  </si>
  <si>
    <t>FOM IF CIG - Rockies</t>
  </si>
  <si>
    <t>Citation 1994 Investment Limited Partnership</t>
  </si>
  <si>
    <t>Bank:  LaSalle Bank N.A.</t>
  </si>
  <si>
    <t>ABA:  071000505</t>
  </si>
  <si>
    <t>Acct:  5800241530</t>
  </si>
  <si>
    <t>Name:  Citation Oil &amp; Gas Corp.</t>
  </si>
  <si>
    <t>Contact:  Alan Koelemay</t>
  </si>
  <si>
    <t>Tel:  (281) 517-7366</t>
  </si>
  <si>
    <t>Fax:  (281) 469-9641</t>
  </si>
  <si>
    <t>Bear Paw Gathering/MMBtu</t>
  </si>
  <si>
    <t>June CIG:</t>
  </si>
  <si>
    <t>June NGPL Midcont.:</t>
  </si>
  <si>
    <t>Add'l CIG GD +.10 MMBtu</t>
  </si>
  <si>
    <t>Additional CIG GD +.10 Purchases</t>
  </si>
  <si>
    <t>Add'l CIG GD + .10 Volume MMBtu</t>
  </si>
  <si>
    <t>$ Add'l CIG GD + .10</t>
  </si>
  <si>
    <t>Crestone Transport/MMBtu</t>
  </si>
  <si>
    <t>Add'l GD +.10 Box Draw</t>
  </si>
  <si>
    <t>Add'l GD + .10 S. Kitty</t>
  </si>
  <si>
    <t>Add'l CIG GD + .10</t>
  </si>
  <si>
    <t>Add'l  CIG GD</t>
  </si>
  <si>
    <t>Add'l CIG GD Volume MMBtu</t>
  </si>
  <si>
    <t>CIG GD Rockies Volume MMBtu</t>
  </si>
  <si>
    <t>CIG GD Rockies less Netback</t>
  </si>
  <si>
    <t>$ CIG GD Rockies</t>
  </si>
  <si>
    <t>Add'l CIG GD +.10 - Box Draw</t>
  </si>
  <si>
    <t>Add'l CIG GD +.10 - South Kitty</t>
  </si>
  <si>
    <t xml:space="preserve"> CIG GD Rockies less Netback</t>
  </si>
  <si>
    <t>6/1/01 - 6/30/01</t>
  </si>
  <si>
    <t>in</t>
  </si>
  <si>
    <t>Contact:  mtgoperating@vcn.com</t>
  </si>
  <si>
    <t xml:space="preserve">Hannover Compression Charges not recovered in netback purchase </t>
  </si>
  <si>
    <t>Hanover Compression Charges</t>
  </si>
  <si>
    <t>Alan Koelemay</t>
  </si>
  <si>
    <t>Gas Daily Pricing for October 2001</t>
  </si>
  <si>
    <t>Add'l CIG GD</t>
  </si>
  <si>
    <t>See GD Pricing Sheet</t>
  </si>
  <si>
    <t>Additional CIG GD - Daily Discount</t>
  </si>
  <si>
    <t>Add'l CIG GD - Daily Discount Volume MMBtu</t>
  </si>
  <si>
    <t>$ Add'l CIG GD - Daily Discount</t>
  </si>
  <si>
    <t>Additional @ CIG GD -Daily Discount</t>
  </si>
  <si>
    <t>Add'l CIG GD - Daily Discount MMBtu</t>
  </si>
  <si>
    <t>Gas Daily Discount on Swing Volumes</t>
  </si>
  <si>
    <t>Add'l GD - discount Box Draw</t>
  </si>
  <si>
    <t>Add'l GD - discount S. Kitty</t>
  </si>
  <si>
    <t>Medicine Bow fuel =</t>
  </si>
  <si>
    <t>Additional Mcf @ CIG GD +.10</t>
  </si>
  <si>
    <t>Medicine Bow expansion volumes @ GD + $0.10</t>
  </si>
  <si>
    <t>@ Glenrock (MMBtu)</t>
  </si>
  <si>
    <t>@ Dull Knife (MMBtu)</t>
  </si>
  <si>
    <t>Add'l CIG GD - Disc.</t>
  </si>
  <si>
    <t>Field Services Fee</t>
  </si>
  <si>
    <t>Add'l CIG GD - Box Draw</t>
  </si>
  <si>
    <t>Add'l CIG GD -South Kitty</t>
  </si>
  <si>
    <t xml:space="preserve"> </t>
  </si>
  <si>
    <t>Ft. Union Btu factor</t>
  </si>
  <si>
    <t>Wellhead Btu factor</t>
  </si>
  <si>
    <t>Bear Paw Transportation</t>
  </si>
  <si>
    <t>Crestone Transportation</t>
  </si>
  <si>
    <t>Crestone Transport   (Ft. Union)</t>
  </si>
  <si>
    <t>11/01/01 - 11/30/01</t>
  </si>
  <si>
    <t>Transport/MMBtu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</si>
</sst>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  <numFmt numFmtId="165" formatCode="_(&quot;$&quot;* #,##0.0000_);_(&quot;$&quot;* \(#,##0.0000\);_(&quot;$&quot;* &quot;-&quot;??_);_(@_)"/>
    <numFmt numFmtId="169" formatCode="0.0000"/>
    <numFmt numFmtId="173" formatCode="_(* #,##0_);_(* \(#,##0\);_(* &quot;-&quot;??_);_(@_)"/>
    <numFmt numFmtId="174" formatCode="_(&quot;$&quot;* #,##0.00000_);_(&quot;$&quot;* \(#,##0.00000\);_(&quot;$&quot;* &quot;-&quot;??_);_(@_)"/>
    <numFmt numFmtId="175" formatCode="_(&quot;$&quot;* #,##0.000000_);_(&quot;$&quot;* \(#,##0.000000\);_(&quot;$&quot;* &quot;-&quot;??_);_(@_)"/>
    <numFmt numFmtId="176" formatCode="_(&quot;$&quot;* #,##0.0000000_);_(&quot;$&quot;* \(#,##0.0000000\);_(&quot;$&quot;* &quot;-&quot;??_);_(@_)"/>
    <numFmt numFmtId="181" formatCode="0.0%"/>
    <numFmt numFmtId="182" formatCode="_(* #,##0.000_);_(* \(#,##0.000\);_(* &quot;-&quot;??_);_(@_)"/>
    <numFmt numFmtId="183" formatCode="_(* #,##0.0000_);_(* \(#,##0.0000\);_(* &quot;-&quot;??_);_(@_)"/>
    <numFmt numFmtId="186" formatCode="mmmm\-yy"/>
    <numFmt numFmtId="187" formatCode="mmmm\ d\,\ yyyy"/>
    <numFmt numFmtId="194" formatCode="dd\-mmm\-yy"/>
    <numFmt numFmtId="195" formatCode="mm/dd/yy"/>
    <numFmt numFmtId="200" formatCode="_(* #,##0.00000_);_(* \(#,##0.00000\);_(* &quot;-&quot;??_);_(@_)"/>
    <numFmt numFmtId="201" formatCode="_(&quot;$&quot;* #,##0.0000_);_(&quot;$&quot;* \(#,##0.0000\);_(&quot;$&quot;* &quot;-&quot;????_);_(@_)"/>
    <numFmt numFmtId="205" formatCode="_(* #,##0.0_);_(* \(#,##0.0\);_(* &quot;-&quot;?_);_(@_)"/>
    <numFmt numFmtId="206" formatCode="0.000%"/>
    <numFmt numFmtId="207" formatCode="0.0000%"/>
  </numFmts>
  <fonts count="2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u/>
      <sz val="6"/>
      <color indexed="12"/>
      <name val="Arial"/>
    </font>
    <font>
      <sz val="10"/>
      <color indexed="14"/>
      <name val="Arial"/>
      <family val="2"/>
    </font>
    <font>
      <u val="singleAccounting"/>
      <sz val="10"/>
      <name val="Arial"/>
      <family val="2"/>
    </font>
    <font>
      <b/>
      <sz val="12"/>
      <color indexed="12"/>
      <name val="Arial"/>
      <family val="2"/>
    </font>
    <font>
      <sz val="14"/>
      <color indexed="9"/>
      <name val="Arial Black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/>
    <xf numFmtId="44" fontId="1" fillId="0" borderId="0"/>
    <xf numFmtId="0" fontId="1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588">
    <xf numFmtId="0" fontId="0" fillId="0" borderId="0" xfId="0"/>
    <xf numFmtId="17" fontId="0" fillId="0" borderId="0" xfId="0" applyNumberFormat="1"/>
    <xf numFmtId="44" fontId="1" fillId="0" borderId="0" xfId="2"/>
    <xf numFmtId="164" fontId="1" fillId="0" borderId="0" xfId="2" applyNumberFormat="1"/>
    <xf numFmtId="165" fontId="1" fillId="0" borderId="0" xfId="2" applyNumberFormat="1"/>
    <xf numFmtId="16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17" fontId="2" fillId="0" borderId="0" xfId="0" applyNumberFormat="1" applyFont="1" applyAlignment="1">
      <alignment horizontal="left"/>
    </xf>
    <xf numFmtId="44" fontId="1" fillId="0" borderId="0" xfId="2" applyAlignment="1">
      <alignment wrapText="1"/>
    </xf>
    <xf numFmtId="44" fontId="2" fillId="0" borderId="0" xfId="2" applyFont="1"/>
    <xf numFmtId="0" fontId="0" fillId="2" borderId="1" xfId="0" applyFill="1" applyBorder="1" applyAlignment="1">
      <alignment wrapText="1"/>
    </xf>
    <xf numFmtId="0" fontId="0" fillId="0" borderId="2" xfId="0" applyBorder="1"/>
    <xf numFmtId="165" fontId="1" fillId="2" borderId="3" xfId="2" applyNumberForma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wrapText="1"/>
    </xf>
    <xf numFmtId="165" fontId="0" fillId="2" borderId="3" xfId="0" applyNumberFormat="1" applyFill="1" applyBorder="1"/>
    <xf numFmtId="1" fontId="4" fillId="0" borderId="0" xfId="0" applyNumberFormat="1" applyFont="1"/>
    <xf numFmtId="0" fontId="0" fillId="2" borderId="8" xfId="0" applyFill="1" applyBorder="1" applyAlignment="1">
      <alignment wrapText="1"/>
    </xf>
    <xf numFmtId="0" fontId="0" fillId="2" borderId="4" xfId="0" applyFill="1" applyBorder="1"/>
    <xf numFmtId="165" fontId="1" fillId="2" borderId="4" xfId="2" applyNumberFormat="1" applyFill="1" applyBorder="1"/>
    <xf numFmtId="165" fontId="0" fillId="2" borderId="4" xfId="0" applyNumberFormat="1" applyFill="1" applyBorder="1"/>
    <xf numFmtId="0" fontId="0" fillId="2" borderId="8" xfId="0" applyFill="1" applyBorder="1"/>
    <xf numFmtId="37" fontId="0" fillId="0" borderId="0" xfId="0" applyNumberFormat="1"/>
    <xf numFmtId="0" fontId="0" fillId="0" borderId="2" xfId="0" applyBorder="1" applyAlignment="1">
      <alignment wrapText="1"/>
    </xf>
    <xf numFmtId="3" fontId="0" fillId="0" borderId="2" xfId="0" applyNumberFormat="1" applyBorder="1"/>
    <xf numFmtId="1" fontId="0" fillId="0" borderId="0" xfId="0" applyNumberFormat="1"/>
    <xf numFmtId="173" fontId="1" fillId="0" borderId="0" xfId="1" applyNumberFormat="1"/>
    <xf numFmtId="0" fontId="0" fillId="0" borderId="0" xfId="0" applyBorder="1"/>
    <xf numFmtId="176" fontId="1" fillId="0" borderId="0" xfId="2" applyNumberFormat="1"/>
    <xf numFmtId="1" fontId="3" fillId="0" borderId="0" xfId="0" applyNumberFormat="1" applyFont="1"/>
    <xf numFmtId="0" fontId="0" fillId="2" borderId="4" xfId="0" applyFill="1" applyBorder="1" applyAlignment="1">
      <alignment wrapText="1"/>
    </xf>
    <xf numFmtId="173" fontId="1" fillId="0" borderId="2" xfId="1" applyNumberFormat="1" applyBorder="1" applyAlignment="1">
      <alignment wrapText="1"/>
    </xf>
    <xf numFmtId="0" fontId="0" fillId="2" borderId="9" xfId="0" applyFill="1" applyBorder="1" applyAlignment="1">
      <alignment wrapText="1"/>
    </xf>
    <xf numFmtId="173" fontId="1" fillId="0" borderId="2" xfId="1" applyNumberFormat="1" applyBorder="1"/>
    <xf numFmtId="173" fontId="1" fillId="0" borderId="6" xfId="1" applyNumberFormat="1" applyBorder="1"/>
    <xf numFmtId="173" fontId="3" fillId="0" borderId="0" xfId="1" applyNumberFormat="1" applyFont="1"/>
    <xf numFmtId="173" fontId="4" fillId="0" borderId="0" xfId="1" applyNumberFormat="1" applyFont="1"/>
    <xf numFmtId="0" fontId="0" fillId="0" borderId="10" xfId="0" applyBorder="1" applyAlignment="1">
      <alignment wrapText="1"/>
    </xf>
    <xf numFmtId="0" fontId="0" fillId="0" borderId="0" xfId="0" applyBorder="1" applyAlignment="1">
      <alignment wrapText="1"/>
    </xf>
    <xf numFmtId="37" fontId="1" fillId="0" borderId="0" xfId="2" applyNumberFormat="1" applyBorder="1"/>
    <xf numFmtId="173" fontId="1" fillId="0" borderId="0" xfId="1" applyNumberFormat="1" applyBorder="1"/>
    <xf numFmtId="10" fontId="0" fillId="0" borderId="0" xfId="4" applyNumberFormat="1" applyFont="1"/>
    <xf numFmtId="173" fontId="0" fillId="0" borderId="0" xfId="0" applyNumberFormat="1"/>
    <xf numFmtId="17" fontId="2" fillId="0" borderId="0" xfId="0" applyNumberFormat="1" applyFont="1"/>
    <xf numFmtId="173" fontId="2" fillId="0" borderId="0" xfId="1" applyNumberFormat="1" applyFont="1"/>
    <xf numFmtId="0" fontId="0" fillId="0" borderId="0" xfId="0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0" fillId="0" borderId="19" xfId="0" applyBorder="1"/>
    <xf numFmtId="0" fontId="2" fillId="0" borderId="19" xfId="0" applyFont="1" applyBorder="1"/>
    <xf numFmtId="0" fontId="0" fillId="0" borderId="20" xfId="0" applyBorder="1" applyAlignment="1">
      <alignment horizontal="center"/>
    </xf>
    <xf numFmtId="0" fontId="0" fillId="0" borderId="20" xfId="0" applyBorder="1"/>
    <xf numFmtId="17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left"/>
    </xf>
    <xf numFmtId="174" fontId="1" fillId="0" borderId="0" xfId="2" applyNumberFormat="1"/>
    <xf numFmtId="175" fontId="1" fillId="0" borderId="0" xfId="2" applyNumberFormat="1"/>
    <xf numFmtId="0" fontId="0" fillId="0" borderId="18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6" fillId="0" borderId="0" xfId="0" applyFont="1"/>
    <xf numFmtId="9" fontId="0" fillId="0" borderId="2" xfId="4" applyFont="1" applyBorder="1" applyAlignment="1">
      <alignment wrapText="1"/>
    </xf>
    <xf numFmtId="0" fontId="0" fillId="0" borderId="8" xfId="0" applyBorder="1"/>
    <xf numFmtId="0" fontId="0" fillId="0" borderId="10" xfId="0" applyBorder="1"/>
    <xf numFmtId="0" fontId="0" fillId="0" borderId="7" xfId="0" applyBorder="1"/>
    <xf numFmtId="44" fontId="1" fillId="0" borderId="0" xfId="2" applyBorder="1"/>
    <xf numFmtId="0" fontId="0" fillId="0" borderId="8" xfId="0" applyBorder="1" applyAlignment="1">
      <alignment wrapText="1"/>
    </xf>
    <xf numFmtId="44" fontId="1" fillId="0" borderId="4" xfId="2" applyBorder="1"/>
    <xf numFmtId="44" fontId="1" fillId="0" borderId="2" xfId="2" applyBorder="1"/>
    <xf numFmtId="44" fontId="2" fillId="0" borderId="5" xfId="2" applyFont="1" applyBorder="1"/>
    <xf numFmtId="44" fontId="2" fillId="0" borderId="11" xfId="2" applyFont="1" applyBorder="1"/>
    <xf numFmtId="44" fontId="2" fillId="0" borderId="6" xfId="2" applyFont="1" applyBorder="1"/>
    <xf numFmtId="44" fontId="0" fillId="0" borderId="2" xfId="0" applyNumberFormat="1" applyBorder="1"/>
    <xf numFmtId="43" fontId="0" fillId="0" borderId="0" xfId="0" applyNumberFormat="1"/>
    <xf numFmtId="44" fontId="0" fillId="0" borderId="0" xfId="0" applyNumberFormat="1"/>
    <xf numFmtId="0" fontId="2" fillId="0" borderId="0" xfId="0" applyFont="1" applyBorder="1"/>
    <xf numFmtId="0" fontId="2" fillId="3" borderId="8" xfId="0" applyFont="1" applyFill="1" applyBorder="1"/>
    <xf numFmtId="0" fontId="2" fillId="3" borderId="7" xfId="0" applyFont="1" applyFill="1" applyBorder="1"/>
    <xf numFmtId="0" fontId="2" fillId="3" borderId="10" xfId="0" applyFont="1" applyFill="1" applyBorder="1"/>
    <xf numFmtId="0" fontId="2" fillId="4" borderId="8" xfId="0" applyFont="1" applyFill="1" applyBorder="1"/>
    <xf numFmtId="44" fontId="0" fillId="0" borderId="0" xfId="0" applyNumberFormat="1" applyBorder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right"/>
    </xf>
    <xf numFmtId="44" fontId="2" fillId="0" borderId="0" xfId="0" applyNumberFormat="1" applyFont="1"/>
    <xf numFmtId="173" fontId="0" fillId="0" borderId="0" xfId="0" applyNumberFormat="1" applyBorder="1"/>
    <xf numFmtId="0" fontId="2" fillId="0" borderId="0" xfId="0" applyFont="1" applyBorder="1" applyAlignment="1">
      <alignment horizontal="right"/>
    </xf>
    <xf numFmtId="44" fontId="2" fillId="0" borderId="0" xfId="0" applyNumberFormat="1" applyFont="1" applyBorder="1"/>
    <xf numFmtId="44" fontId="2" fillId="0" borderId="0" xfId="0" applyNumberFormat="1" applyFont="1" applyBorder="1" applyAlignment="1">
      <alignment horizontal="right"/>
    </xf>
    <xf numFmtId="173" fontId="2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5" fillId="0" borderId="19" xfId="0" applyFont="1" applyBorder="1" applyAlignment="1">
      <alignment horizontal="center"/>
    </xf>
    <xf numFmtId="0" fontId="3" fillId="0" borderId="0" xfId="0" applyFont="1"/>
    <xf numFmtId="44" fontId="0" fillId="0" borderId="0" xfId="2" quotePrefix="1" applyFont="1"/>
    <xf numFmtId="44" fontId="0" fillId="0" borderId="0" xfId="2" quotePrefix="1" applyFont="1" applyAlignment="1">
      <alignment horizontal="right"/>
    </xf>
    <xf numFmtId="0" fontId="0" fillId="0" borderId="21" xfId="0" applyBorder="1"/>
    <xf numFmtId="0" fontId="4" fillId="0" borderId="0" xfId="0" applyFont="1"/>
    <xf numFmtId="0" fontId="0" fillId="0" borderId="4" xfId="0" applyBorder="1" applyAlignment="1">
      <alignment wrapText="1"/>
    </xf>
    <xf numFmtId="165" fontId="1" fillId="2" borderId="9" xfId="2" applyNumberFormat="1" applyFill="1" applyBorder="1"/>
    <xf numFmtId="165" fontId="0" fillId="2" borderId="9" xfId="0" applyNumberFormat="1" applyFill="1" applyBorder="1"/>
    <xf numFmtId="44" fontId="1" fillId="0" borderId="7" xfId="2" applyBorder="1" applyAlignment="1">
      <alignment wrapText="1"/>
    </xf>
    <xf numFmtId="44" fontId="1" fillId="0" borderId="2" xfId="2" applyBorder="1" applyAlignment="1">
      <alignment wrapText="1"/>
    </xf>
    <xf numFmtId="0" fontId="0" fillId="2" borderId="22" xfId="0" applyFill="1" applyBorder="1"/>
    <xf numFmtId="44" fontId="1" fillId="0" borderId="6" xfId="2" applyBorder="1"/>
    <xf numFmtId="186" fontId="2" fillId="0" borderId="0" xfId="0" applyNumberFormat="1" applyFont="1"/>
    <xf numFmtId="0" fontId="0" fillId="4" borderId="10" xfId="0" applyFill="1" applyBorder="1"/>
    <xf numFmtId="44" fontId="0" fillId="4" borderId="7" xfId="2" applyFont="1" applyFill="1" applyBorder="1"/>
    <xf numFmtId="0" fontId="2" fillId="4" borderId="0" xfId="0" applyFont="1" applyFill="1" applyBorder="1" applyAlignment="1">
      <alignment horizontal="center" wrapText="1"/>
    </xf>
    <xf numFmtId="17" fontId="2" fillId="0" borderId="0" xfId="0" quotePrefix="1" applyNumberFormat="1" applyFont="1" applyAlignment="1">
      <alignment horizontal="left"/>
    </xf>
    <xf numFmtId="17" fontId="8" fillId="0" borderId="0" xfId="0" applyNumberFormat="1" applyFont="1"/>
    <xf numFmtId="3" fontId="0" fillId="0" borderId="0" xfId="0" applyNumberFormat="1" applyBorder="1"/>
    <xf numFmtId="165" fontId="1" fillId="2" borderId="8" xfId="2" applyNumberFormat="1" applyFill="1" applyBorder="1"/>
    <xf numFmtId="3" fontId="0" fillId="0" borderId="10" xfId="0" applyNumberFormat="1" applyBorder="1"/>
    <xf numFmtId="165" fontId="0" fillId="2" borderId="8" xfId="0" applyNumberFormat="1" applyFill="1" applyBorder="1"/>
    <xf numFmtId="173" fontId="1" fillId="0" borderId="7" xfId="1" applyNumberFormat="1" applyBorder="1"/>
    <xf numFmtId="15" fontId="3" fillId="0" borderId="19" xfId="0" quotePrefix="1" applyNumberFormat="1" applyFont="1" applyBorder="1" applyAlignment="1">
      <alignment horizontal="center"/>
    </xf>
    <xf numFmtId="187" fontId="3" fillId="0" borderId="19" xfId="0" quotePrefix="1" applyNumberFormat="1" applyFont="1" applyBorder="1" applyAlignment="1">
      <alignment horizontal="center"/>
    </xf>
    <xf numFmtId="174" fontId="0" fillId="0" borderId="0" xfId="0" applyNumberFormat="1"/>
    <xf numFmtId="44" fontId="0" fillId="0" borderId="0" xfId="2" applyFont="1"/>
    <xf numFmtId="14" fontId="0" fillId="0" borderId="0" xfId="0" applyNumberFormat="1"/>
    <xf numFmtId="0" fontId="5" fillId="0" borderId="0" xfId="0" applyFont="1"/>
    <xf numFmtId="165" fontId="4" fillId="0" borderId="0" xfId="2" applyNumberFormat="1" applyFont="1"/>
    <xf numFmtId="169" fontId="0" fillId="0" borderId="0" xfId="0" applyNumberFormat="1"/>
    <xf numFmtId="165" fontId="1" fillId="0" borderId="23" xfId="2" applyNumberFormat="1" applyBorder="1"/>
    <xf numFmtId="165" fontId="1" fillId="0" borderId="24" xfId="2" applyNumberFormat="1" applyBorder="1"/>
    <xf numFmtId="165" fontId="1" fillId="0" borderId="0" xfId="2" applyNumberFormat="1" applyFont="1"/>
    <xf numFmtId="165" fontId="0" fillId="0" borderId="0" xfId="2" quotePrefix="1" applyNumberFormat="1" applyFont="1"/>
    <xf numFmtId="173" fontId="2" fillId="0" borderId="0" xfId="1" applyNumberFormat="1" applyFont="1" applyAlignment="1">
      <alignment horizontal="right"/>
    </xf>
    <xf numFmtId="44" fontId="2" fillId="0" borderId="0" xfId="2" quotePrefix="1" applyFont="1" applyAlignment="1">
      <alignment horizontal="right"/>
    </xf>
    <xf numFmtId="173" fontId="1" fillId="0" borderId="0" xfId="1" applyNumberFormat="1" applyFont="1"/>
    <xf numFmtId="165" fontId="1" fillId="0" borderId="10" xfId="2" applyNumberFormat="1" applyBorder="1"/>
    <xf numFmtId="173" fontId="1" fillId="0" borderId="10" xfId="1" applyNumberFormat="1" applyBorder="1"/>
    <xf numFmtId="44" fontId="0" fillId="0" borderId="7" xfId="0" applyNumberFormat="1" applyBorder="1"/>
    <xf numFmtId="165" fontId="1" fillId="0" borderId="0" xfId="2" applyNumberFormat="1" applyBorder="1"/>
    <xf numFmtId="174" fontId="1" fillId="0" borderId="0" xfId="2" applyNumberFormat="1" applyBorder="1"/>
    <xf numFmtId="44" fontId="0" fillId="0" borderId="11" xfId="2" quotePrefix="1" applyFont="1" applyBorder="1"/>
    <xf numFmtId="173" fontId="1" fillId="0" borderId="11" xfId="1" applyNumberFormat="1" applyBorder="1"/>
    <xf numFmtId="44" fontId="0" fillId="0" borderId="6" xfId="2" quotePrefix="1" applyFont="1" applyBorder="1" applyAlignment="1">
      <alignment horizontal="right"/>
    </xf>
    <xf numFmtId="195" fontId="1" fillId="0" borderId="0" xfId="2" applyNumberFormat="1"/>
    <xf numFmtId="195" fontId="1" fillId="0" borderId="11" xfId="2" applyNumberFormat="1" applyBorder="1"/>
    <xf numFmtId="44" fontId="2" fillId="0" borderId="0" xfId="2" quotePrefix="1" applyFont="1"/>
    <xf numFmtId="164" fontId="3" fillId="0" borderId="0" xfId="2" applyNumberFormat="1" applyFont="1"/>
    <xf numFmtId="44" fontId="9" fillId="0" borderId="0" xfId="2" quotePrefix="1" applyFont="1" applyAlignment="1">
      <alignment horizontal="right"/>
    </xf>
    <xf numFmtId="14" fontId="3" fillId="0" borderId="0" xfId="0" applyNumberFormat="1" applyFont="1"/>
    <xf numFmtId="1" fontId="4" fillId="0" borderId="10" xfId="0" applyNumberFormat="1" applyFont="1" applyBorder="1"/>
    <xf numFmtId="1" fontId="3" fillId="0" borderId="7" xfId="0" applyNumberFormat="1" applyFont="1" applyBorder="1"/>
    <xf numFmtId="1" fontId="4" fillId="0" borderId="0" xfId="0" applyNumberFormat="1" applyFont="1" applyBorder="1"/>
    <xf numFmtId="1" fontId="3" fillId="0" borderId="2" xfId="0" applyNumberFormat="1" applyFont="1" applyBorder="1"/>
    <xf numFmtId="0" fontId="2" fillId="0" borderId="5" xfId="0" applyFont="1" applyBorder="1"/>
    <xf numFmtId="1" fontId="9" fillId="0" borderId="11" xfId="0" applyNumberFormat="1" applyFont="1" applyBorder="1"/>
    <xf numFmtId="173" fontId="2" fillId="0" borderId="6" xfId="1" applyNumberFormat="1" applyFont="1" applyBorder="1"/>
    <xf numFmtId="0" fontId="2" fillId="0" borderId="11" xfId="0" applyFont="1" applyBorder="1"/>
    <xf numFmtId="44" fontId="1" fillId="0" borderId="23" xfId="2" applyBorder="1"/>
    <xf numFmtId="44" fontId="1" fillId="0" borderId="24" xfId="2" applyBorder="1"/>
    <xf numFmtId="44" fontId="2" fillId="0" borderId="25" xfId="2" applyFont="1" applyBorder="1"/>
    <xf numFmtId="0" fontId="0" fillId="0" borderId="10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10" fillId="0" borderId="0" xfId="0" applyFont="1"/>
    <xf numFmtId="173" fontId="10" fillId="0" borderId="0" xfId="1" applyNumberFormat="1" applyFont="1"/>
    <xf numFmtId="165" fontId="0" fillId="0" borderId="0" xfId="0" applyNumberFormat="1"/>
    <xf numFmtId="0" fontId="14" fillId="0" borderId="0" xfId="0" applyFont="1"/>
    <xf numFmtId="165" fontId="14" fillId="4" borderId="0" xfId="2" applyNumberFormat="1" applyFont="1" applyFill="1"/>
    <xf numFmtId="169" fontId="5" fillId="0" borderId="0" xfId="0" applyNumberFormat="1" applyFont="1"/>
    <xf numFmtId="173" fontId="2" fillId="0" borderId="11" xfId="1" applyNumberFormat="1" applyFont="1" applyBorder="1"/>
    <xf numFmtId="186" fontId="0" fillId="0" borderId="0" xfId="0" applyNumberFormat="1"/>
    <xf numFmtId="182" fontId="1" fillId="0" borderId="0" xfId="1" quotePrefix="1" applyNumberFormat="1"/>
    <xf numFmtId="0" fontId="15" fillId="0" borderId="0" xfId="0" applyFont="1"/>
    <xf numFmtId="44" fontId="15" fillId="0" borderId="0" xfId="2" applyFont="1"/>
    <xf numFmtId="173" fontId="15" fillId="0" borderId="0" xfId="1" applyNumberFormat="1" applyFont="1"/>
    <xf numFmtId="173" fontId="1" fillId="0" borderId="0" xfId="1" quotePrefix="1" applyNumberFormat="1"/>
    <xf numFmtId="183" fontId="1" fillId="0" borderId="0" xfId="1" quotePrefix="1" applyNumberFormat="1"/>
    <xf numFmtId="165" fontId="1" fillId="0" borderId="4" xfId="2" applyNumberFormat="1" applyFill="1" applyBorder="1"/>
    <xf numFmtId="165" fontId="0" fillId="0" borderId="0" xfId="2" applyNumberFormat="1" applyFont="1" applyFill="1" applyBorder="1"/>
    <xf numFmtId="165" fontId="1" fillId="0" borderId="0" xfId="2" applyNumberFormat="1" applyFill="1" applyBorder="1"/>
    <xf numFmtId="165" fontId="2" fillId="0" borderId="2" xfId="2" applyNumberFormat="1" applyFont="1" applyFill="1" applyBorder="1"/>
    <xf numFmtId="165" fontId="1" fillId="0" borderId="5" xfId="2" applyNumberFormat="1" applyFill="1" applyBorder="1"/>
    <xf numFmtId="165" fontId="0" fillId="0" borderId="11" xfId="2" applyNumberFormat="1" applyFont="1" applyFill="1" applyBorder="1"/>
    <xf numFmtId="165" fontId="1" fillId="0" borderId="11" xfId="2" applyNumberFormat="1" applyFill="1" applyBorder="1"/>
    <xf numFmtId="165" fontId="2" fillId="0" borderId="6" xfId="2" applyNumberFormat="1" applyFont="1" applyFill="1" applyBorder="1"/>
    <xf numFmtId="165" fontId="1" fillId="0" borderId="26" xfId="2" applyNumberFormat="1" applyFill="1" applyBorder="1"/>
    <xf numFmtId="165" fontId="0" fillId="0" borderId="26" xfId="2" applyNumberFormat="1" applyFont="1" applyFill="1" applyBorder="1"/>
    <xf numFmtId="165" fontId="1" fillId="0" borderId="3" xfId="2" applyNumberFormat="1" applyFill="1" applyBorder="1"/>
    <xf numFmtId="165" fontId="2" fillId="0" borderId="27" xfId="2" applyNumberFormat="1" applyFont="1" applyFill="1" applyBorder="1"/>
    <xf numFmtId="165" fontId="1" fillId="0" borderId="22" xfId="2" applyNumberFormat="1" applyFill="1" applyBorder="1"/>
    <xf numFmtId="165" fontId="0" fillId="0" borderId="28" xfId="2" applyNumberFormat="1" applyFont="1" applyFill="1" applyBorder="1"/>
    <xf numFmtId="165" fontId="1" fillId="0" borderId="28" xfId="2" applyNumberFormat="1" applyFill="1" applyBorder="1"/>
    <xf numFmtId="165" fontId="2" fillId="0" borderId="29" xfId="2" applyNumberFormat="1" applyFont="1" applyFill="1" applyBorder="1"/>
    <xf numFmtId="1" fontId="0" fillId="0" borderId="0" xfId="0" quotePrefix="1" applyNumberFormat="1"/>
    <xf numFmtId="201" fontId="1" fillId="0" borderId="0" xfId="2" applyNumberFormat="1"/>
    <xf numFmtId="1" fontId="0" fillId="0" borderId="30" xfId="0" applyNumberFormat="1" applyBorder="1"/>
    <xf numFmtId="0" fontId="2" fillId="5" borderId="0" xfId="0" applyFont="1" applyFill="1"/>
    <xf numFmtId="165" fontId="2" fillId="5" borderId="0" xfId="2" applyNumberFormat="1" applyFont="1" applyFill="1"/>
    <xf numFmtId="3" fontId="2" fillId="5" borderId="0" xfId="0" applyNumberFormat="1" applyFont="1" applyFill="1"/>
    <xf numFmtId="173" fontId="2" fillId="5" borderId="0" xfId="1" applyNumberFormat="1" applyFont="1" applyFill="1"/>
    <xf numFmtId="182" fontId="1" fillId="0" borderId="0" xfId="1" applyNumberFormat="1"/>
    <xf numFmtId="0" fontId="8" fillId="0" borderId="0" xfId="0" applyFont="1"/>
    <xf numFmtId="174" fontId="2" fillId="5" borderId="0" xfId="2" applyNumberFormat="1" applyFont="1" applyFill="1"/>
    <xf numFmtId="37" fontId="0" fillId="0" borderId="7" xfId="0" applyNumberFormat="1" applyBorder="1"/>
    <xf numFmtId="37" fontId="0" fillId="0" borderId="2" xfId="0" applyNumberFormat="1" applyBorder="1"/>
    <xf numFmtId="0" fontId="0" fillId="0" borderId="31" xfId="0" applyFill="1" applyBorder="1" applyAlignment="1">
      <alignment horizontal="center" wrapText="1"/>
    </xf>
    <xf numFmtId="164" fontId="10" fillId="0" borderId="0" xfId="2" applyNumberFormat="1" applyFont="1"/>
    <xf numFmtId="14" fontId="5" fillId="0" borderId="0" xfId="0" applyNumberFormat="1" applyFont="1"/>
    <xf numFmtId="0" fontId="5" fillId="0" borderId="19" xfId="3" applyFont="1" applyBorder="1" applyAlignment="1" applyProtection="1"/>
    <xf numFmtId="0" fontId="13" fillId="0" borderId="20" xfId="3" applyBorder="1" applyAlignment="1" applyProtection="1"/>
    <xf numFmtId="44" fontId="5" fillId="0" borderId="0" xfId="2" quotePrefix="1" applyFont="1" applyAlignment="1">
      <alignment horizontal="right"/>
    </xf>
    <xf numFmtId="41" fontId="1" fillId="0" borderId="2" xfId="1" applyNumberFormat="1" applyBorder="1"/>
    <xf numFmtId="44" fontId="5" fillId="0" borderId="0" xfId="0" applyNumberFormat="1" applyFont="1" applyBorder="1"/>
    <xf numFmtId="10" fontId="3" fillId="0" borderId="0" xfId="4" applyNumberFormat="1" applyFont="1"/>
    <xf numFmtId="165" fontId="0" fillId="0" borderId="0" xfId="2" applyNumberFormat="1" applyFont="1" applyFill="1" applyBorder="1" applyAlignment="1">
      <alignment horizontal="center"/>
    </xf>
    <xf numFmtId="0" fontId="0" fillId="0" borderId="26" xfId="0" applyFill="1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32" xfId="0" applyFill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44" fontId="1" fillId="0" borderId="0" xfId="2" applyAlignment="1">
      <alignment horizontal="center"/>
    </xf>
    <xf numFmtId="15" fontId="5" fillId="0" borderId="19" xfId="0" quotePrefix="1" applyNumberFormat="1" applyFont="1" applyBorder="1" applyAlignment="1">
      <alignment horizontal="center"/>
    </xf>
    <xf numFmtId="194" fontId="5" fillId="0" borderId="19" xfId="0" quotePrefix="1" applyNumberFormat="1" applyFont="1" applyBorder="1" applyAlignment="1">
      <alignment horizontal="center"/>
    </xf>
    <xf numFmtId="187" fontId="5" fillId="0" borderId="19" xfId="0" quotePrefix="1" applyNumberFormat="1" applyFont="1" applyBorder="1" applyAlignment="1">
      <alignment horizontal="center"/>
    </xf>
    <xf numFmtId="173" fontId="1" fillId="0" borderId="23" xfId="1" applyNumberFormat="1" applyBorder="1"/>
    <xf numFmtId="173" fontId="1" fillId="0" borderId="24" xfId="1" applyNumberFormat="1" applyBorder="1"/>
    <xf numFmtId="173" fontId="1" fillId="0" borderId="25" xfId="1" applyNumberFormat="1" applyBorder="1"/>
    <xf numFmtId="165" fontId="1" fillId="2" borderId="23" xfId="2" applyNumberFormat="1" applyFill="1" applyBorder="1"/>
    <xf numFmtId="165" fontId="1" fillId="2" borderId="24" xfId="2" applyNumberFormat="1" applyFill="1" applyBorder="1"/>
    <xf numFmtId="165" fontId="1" fillId="2" borderId="25" xfId="2" applyNumberFormat="1" applyFill="1" applyBorder="1"/>
    <xf numFmtId="0" fontId="1" fillId="0" borderId="0" xfId="2" applyNumberFormat="1"/>
    <xf numFmtId="44" fontId="1" fillId="0" borderId="8" xfId="2" applyBorder="1"/>
    <xf numFmtId="165" fontId="1" fillId="0" borderId="25" xfId="2" applyNumberFormat="1" applyBorder="1"/>
    <xf numFmtId="44" fontId="1" fillId="0" borderId="0" xfId="2" applyNumberFormat="1"/>
    <xf numFmtId="165" fontId="0" fillId="2" borderId="5" xfId="0" applyNumberFormat="1" applyFill="1" applyBorder="1"/>
    <xf numFmtId="165" fontId="3" fillId="0" borderId="0" xfId="2" applyNumberFormat="1" applyFont="1" applyFill="1" applyBorder="1"/>
    <xf numFmtId="165" fontId="3" fillId="0" borderId="28" xfId="2" applyNumberFormat="1" applyFont="1" applyFill="1" applyBorder="1"/>
    <xf numFmtId="165" fontId="3" fillId="0" borderId="26" xfId="2" applyNumberFormat="1" applyFont="1" applyFill="1" applyBorder="1"/>
    <xf numFmtId="0" fontId="0" fillId="0" borderId="5" xfId="0" applyBorder="1" applyAlignment="1">
      <alignment wrapText="1"/>
    </xf>
    <xf numFmtId="0" fontId="0" fillId="2" borderId="8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44" fontId="1" fillId="0" borderId="7" xfId="2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" fontId="0" fillId="0" borderId="0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44" fontId="1" fillId="0" borderId="6" xfId="2" applyBorder="1" applyAlignment="1">
      <alignment horizontal="center" wrapText="1"/>
    </xf>
    <xf numFmtId="173" fontId="1" fillId="0" borderId="30" xfId="1" applyNumberFormat="1" applyBorder="1"/>
    <xf numFmtId="0" fontId="0" fillId="5" borderId="0" xfId="0" applyFill="1"/>
    <xf numFmtId="173" fontId="1" fillId="5" borderId="0" xfId="1" applyNumberFormat="1" applyFill="1"/>
    <xf numFmtId="0" fontId="0" fillId="5" borderId="4" xfId="0" applyFill="1" applyBorder="1"/>
    <xf numFmtId="174" fontId="1" fillId="5" borderId="2" xfId="2" applyNumberFormat="1" applyFill="1" applyBorder="1"/>
    <xf numFmtId="174" fontId="1" fillId="5" borderId="0" xfId="2" applyNumberFormat="1" applyFill="1" applyBorder="1"/>
    <xf numFmtId="44" fontId="1" fillId="5" borderId="0" xfId="2" applyFill="1" applyBorder="1"/>
    <xf numFmtId="165" fontId="1" fillId="5" borderId="0" xfId="2" applyNumberFormat="1" applyFill="1" applyBorder="1"/>
    <xf numFmtId="173" fontId="4" fillId="5" borderId="0" xfId="1" applyNumberFormat="1" applyFont="1" applyFill="1" applyBorder="1"/>
    <xf numFmtId="44" fontId="1" fillId="5" borderId="2" xfId="2" applyFill="1" applyBorder="1"/>
    <xf numFmtId="173" fontId="0" fillId="5" borderId="0" xfId="0" applyNumberFormat="1" applyFill="1"/>
    <xf numFmtId="10" fontId="0" fillId="5" borderId="0" xfId="4" applyNumberFormat="1" applyFont="1" applyFill="1"/>
    <xf numFmtId="43" fontId="0" fillId="5" borderId="0" xfId="0" applyNumberFormat="1" applyFill="1"/>
    <xf numFmtId="44" fontId="0" fillId="5" borderId="0" xfId="0" applyNumberFormat="1" applyFill="1"/>
    <xf numFmtId="165" fontId="1" fillId="5" borderId="0" xfId="2" applyNumberFormat="1" applyFill="1"/>
    <xf numFmtId="173" fontId="1" fillId="5" borderId="0" xfId="1" applyNumberFormat="1" applyFill="1" applyBorder="1"/>
    <xf numFmtId="174" fontId="5" fillId="5" borderId="0" xfId="2" applyNumberFormat="1" applyFont="1" applyFill="1" applyBorder="1"/>
    <xf numFmtId="0" fontId="0" fillId="0" borderId="0" xfId="0" applyFill="1"/>
    <xf numFmtId="173" fontId="1" fillId="0" borderId="0" xfId="1" applyNumberFormat="1" applyFill="1"/>
    <xf numFmtId="0" fontId="0" fillId="0" borderId="4" xfId="0" applyFill="1" applyBorder="1"/>
    <xf numFmtId="174" fontId="1" fillId="0" borderId="2" xfId="2" applyNumberFormat="1" applyFill="1" applyBorder="1"/>
    <xf numFmtId="174" fontId="1" fillId="0" borderId="0" xfId="2" applyNumberFormat="1" applyFill="1" applyBorder="1"/>
    <xf numFmtId="44" fontId="1" fillId="0" borderId="0" xfId="2" applyFill="1" applyBorder="1"/>
    <xf numFmtId="173" fontId="4" fillId="0" borderId="0" xfId="1" applyNumberFormat="1" applyFont="1" applyFill="1" applyBorder="1"/>
    <xf numFmtId="44" fontId="1" fillId="0" borderId="2" xfId="2" applyFill="1" applyBorder="1"/>
    <xf numFmtId="173" fontId="0" fillId="0" borderId="0" xfId="0" applyNumberFormat="1" applyFill="1"/>
    <xf numFmtId="10" fontId="0" fillId="0" borderId="0" xfId="4" applyNumberFormat="1" applyFont="1" applyFill="1"/>
    <xf numFmtId="43" fontId="0" fillId="0" borderId="0" xfId="0" applyNumberFormat="1" applyFill="1"/>
    <xf numFmtId="44" fontId="0" fillId="0" borderId="0" xfId="0" applyNumberFormat="1" applyFill="1"/>
    <xf numFmtId="165" fontId="1" fillId="0" borderId="0" xfId="2" applyNumberFormat="1" applyFill="1"/>
    <xf numFmtId="173" fontId="1" fillId="0" borderId="0" xfId="1" applyNumberFormat="1" applyFill="1" applyBorder="1"/>
    <xf numFmtId="174" fontId="5" fillId="0" borderId="0" xfId="2" applyNumberFormat="1" applyFont="1" applyFill="1" applyBorder="1"/>
    <xf numFmtId="174" fontId="1" fillId="5" borderId="2" xfId="2" applyNumberFormat="1" applyFont="1" applyFill="1" applyBorder="1"/>
    <xf numFmtId="44" fontId="1" fillId="0" borderId="0" xfId="2" applyFill="1"/>
    <xf numFmtId="200" fontId="0" fillId="0" borderId="0" xfId="0" applyNumberFormat="1" applyFill="1"/>
    <xf numFmtId="0" fontId="4" fillId="0" borderId="0" xfId="0" applyFont="1" applyFill="1"/>
    <xf numFmtId="0" fontId="0" fillId="0" borderId="5" xfId="0" applyFill="1" applyBorder="1"/>
    <xf numFmtId="0" fontId="0" fillId="0" borderId="6" xfId="0" applyFill="1" applyBorder="1"/>
    <xf numFmtId="174" fontId="4" fillId="0" borderId="11" xfId="2" applyNumberFormat="1" applyFont="1" applyFill="1" applyBorder="1"/>
    <xf numFmtId="44" fontId="1" fillId="0" borderId="11" xfId="2" applyFill="1" applyBorder="1"/>
    <xf numFmtId="174" fontId="1" fillId="0" borderId="11" xfId="2" applyNumberFormat="1" applyFill="1" applyBorder="1"/>
    <xf numFmtId="0" fontId="0" fillId="0" borderId="11" xfId="0" applyFill="1" applyBorder="1"/>
    <xf numFmtId="173" fontId="0" fillId="0" borderId="11" xfId="0" applyNumberFormat="1" applyFill="1" applyBorder="1"/>
    <xf numFmtId="44" fontId="0" fillId="0" borderId="6" xfId="0" applyNumberFormat="1" applyFill="1" applyBorder="1"/>
    <xf numFmtId="165" fontId="16" fillId="0" borderId="0" xfId="2" applyNumberFormat="1" applyFont="1" applyFill="1"/>
    <xf numFmtId="173" fontId="4" fillId="0" borderId="0" xfId="1" applyNumberFormat="1" applyFont="1" applyFill="1"/>
    <xf numFmtId="0" fontId="2" fillId="0" borderId="0" xfId="0" applyFont="1" applyFill="1"/>
    <xf numFmtId="0" fontId="0" fillId="0" borderId="8" xfId="0" applyFill="1" applyBorder="1"/>
    <xf numFmtId="0" fontId="2" fillId="0" borderId="11" xfId="0" applyFont="1" applyBorder="1" applyAlignment="1">
      <alignment horizontal="center"/>
    </xf>
    <xf numFmtId="0" fontId="0" fillId="2" borderId="5" xfId="0" applyFill="1" applyBorder="1" applyAlignment="1">
      <alignment horizontal="center" wrapText="1"/>
    </xf>
    <xf numFmtId="182" fontId="0" fillId="0" borderId="6" xfId="0" applyNumberFormat="1" applyBorder="1" applyAlignment="1">
      <alignment horizontal="center" wrapText="1"/>
    </xf>
    <xf numFmtId="0" fontId="0" fillId="6" borderId="0" xfId="0" applyFill="1"/>
    <xf numFmtId="0" fontId="0" fillId="6" borderId="24" xfId="0" applyFill="1" applyBorder="1"/>
    <xf numFmtId="0" fontId="0" fillId="6" borderId="25" xfId="0" applyFill="1" applyBorder="1" applyAlignment="1">
      <alignment horizontal="center" wrapText="1"/>
    </xf>
    <xf numFmtId="0" fontId="0" fillId="5" borderId="2" xfId="0" applyFill="1" applyBorder="1"/>
    <xf numFmtId="0" fontId="0" fillId="5" borderId="5" xfId="0" applyFill="1" applyBorder="1" applyAlignment="1">
      <alignment horizontal="center" wrapText="1"/>
    </xf>
    <xf numFmtId="0" fontId="0" fillId="5" borderId="6" xfId="0" applyFill="1" applyBorder="1" applyAlignment="1">
      <alignment horizontal="center" wrapText="1"/>
    </xf>
    <xf numFmtId="181" fontId="0" fillId="0" borderId="13" xfId="4" applyNumberFormat="1" applyFont="1" applyBorder="1" applyAlignment="1">
      <alignment horizontal="left"/>
    </xf>
    <xf numFmtId="181" fontId="0" fillId="0" borderId="15" xfId="4" applyNumberFormat="1" applyFont="1" applyBorder="1" applyAlignment="1">
      <alignment horizontal="left"/>
    </xf>
    <xf numFmtId="173" fontId="2" fillId="5" borderId="0" xfId="0" applyNumberFormat="1" applyFont="1" applyFill="1"/>
    <xf numFmtId="173" fontId="2" fillId="6" borderId="0" xfId="0" applyNumberFormat="1" applyFont="1" applyFill="1"/>
    <xf numFmtId="165" fontId="1" fillId="0" borderId="8" xfId="2" applyNumberFormat="1" applyBorder="1"/>
    <xf numFmtId="165" fontId="1" fillId="0" borderId="4" xfId="2" applyNumberFormat="1" applyBorder="1"/>
    <xf numFmtId="165" fontId="5" fillId="0" borderId="4" xfId="2" applyNumberFormat="1" applyFont="1" applyBorder="1"/>
    <xf numFmtId="165" fontId="1" fillId="2" borderId="5" xfId="2" applyNumberFormat="1" applyFill="1" applyBorder="1"/>
    <xf numFmtId="3" fontId="0" fillId="0" borderId="11" xfId="0" applyNumberFormat="1" applyBorder="1"/>
    <xf numFmtId="181" fontId="0" fillId="0" borderId="0" xfId="4" applyNumberFormat="1" applyFont="1" applyBorder="1"/>
    <xf numFmtId="0" fontId="0" fillId="6" borderId="23" xfId="0" applyFill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wrapText="1"/>
    </xf>
    <xf numFmtId="181" fontId="0" fillId="0" borderId="4" xfId="4" applyNumberFormat="1" applyFont="1" applyBorder="1"/>
    <xf numFmtId="181" fontId="0" fillId="0" borderId="5" xfId="4" applyNumberFormat="1" applyFont="1" applyBorder="1"/>
    <xf numFmtId="181" fontId="0" fillId="0" borderId="11" xfId="4" applyNumberFormat="1" applyFont="1" applyBorder="1"/>
    <xf numFmtId="0" fontId="0" fillId="0" borderId="25" xfId="0" applyBorder="1" applyAlignment="1">
      <alignment horizontal="center" wrapText="1"/>
    </xf>
    <xf numFmtId="0" fontId="0" fillId="5" borderId="10" xfId="0" applyFill="1" applyBorder="1" applyAlignment="1">
      <alignment horizontal="center" wrapText="1"/>
    </xf>
    <xf numFmtId="0" fontId="0" fillId="5" borderId="0" xfId="0" applyFill="1" applyBorder="1" applyAlignment="1">
      <alignment wrapText="1"/>
    </xf>
    <xf numFmtId="0" fontId="5" fillId="0" borderId="5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165" fontId="2" fillId="0" borderId="1" xfId="2" applyNumberFormat="1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0" fillId="5" borderId="8" xfId="0" applyFill="1" applyBorder="1" applyAlignment="1">
      <alignment horizontal="center" wrapText="1"/>
    </xf>
    <xf numFmtId="0" fontId="0" fillId="5" borderId="7" xfId="0" applyFill="1" applyBorder="1" applyAlignment="1">
      <alignment horizontal="center" wrapText="1"/>
    </xf>
    <xf numFmtId="0" fontId="2" fillId="5" borderId="10" xfId="0" applyFont="1" applyFill="1" applyBorder="1" applyAlignment="1">
      <alignment horizontal="center" wrapText="1"/>
    </xf>
    <xf numFmtId="0" fontId="2" fillId="5" borderId="0" xfId="0" applyFont="1" applyFill="1" applyBorder="1" applyAlignment="1">
      <alignment wrapText="1"/>
    </xf>
    <xf numFmtId="0" fontId="5" fillId="5" borderId="0" xfId="0" applyFont="1" applyFill="1"/>
    <xf numFmtId="0" fontId="4" fillId="0" borderId="10" xfId="0" applyFont="1" applyBorder="1" applyAlignment="1">
      <alignment horizontal="center" wrapText="1"/>
    </xf>
    <xf numFmtId="181" fontId="0" fillId="6" borderId="24" xfId="4" applyNumberFormat="1" applyFont="1" applyFill="1" applyBorder="1"/>
    <xf numFmtId="181" fontId="0" fillId="6" borderId="25" xfId="4" applyNumberFormat="1" applyFont="1" applyFill="1" applyBorder="1"/>
    <xf numFmtId="201" fontId="4" fillId="0" borderId="0" xfId="2" applyNumberFormat="1" applyFont="1"/>
    <xf numFmtId="1" fontId="0" fillId="0" borderId="2" xfId="0" applyNumberFormat="1" applyBorder="1"/>
    <xf numFmtId="173" fontId="2" fillId="0" borderId="0" xfId="0" applyNumberFormat="1" applyFont="1" applyFill="1"/>
    <xf numFmtId="10" fontId="2" fillId="0" borderId="0" xfId="4" applyNumberFormat="1" applyFont="1" applyFill="1"/>
    <xf numFmtId="44" fontId="1" fillId="5" borderId="0" xfId="2" applyFill="1"/>
    <xf numFmtId="0" fontId="17" fillId="7" borderId="21" xfId="0" applyFont="1" applyFill="1" applyBorder="1" applyAlignment="1">
      <alignment horizontal="centerContinuous"/>
    </xf>
    <xf numFmtId="0" fontId="17" fillId="7" borderId="33" xfId="0" applyFont="1" applyFill="1" applyBorder="1" applyAlignment="1">
      <alignment horizontal="centerContinuous"/>
    </xf>
    <xf numFmtId="0" fontId="17" fillId="7" borderId="34" xfId="0" applyFont="1" applyFill="1" applyBorder="1" applyAlignment="1">
      <alignment horizontal="centerContinuous"/>
    </xf>
    <xf numFmtId="0" fontId="2" fillId="0" borderId="0" xfId="0" applyFont="1" applyAlignment="1"/>
    <xf numFmtId="0" fontId="0" fillId="0" borderId="0" xfId="0" applyAlignment="1"/>
    <xf numFmtId="195" fontId="1" fillId="0" borderId="0" xfId="2" applyNumberFormat="1" applyAlignment="1"/>
    <xf numFmtId="44" fontId="1" fillId="0" borderId="0" xfId="2" applyAlignment="1"/>
    <xf numFmtId="17" fontId="2" fillId="0" borderId="0" xfId="0" applyNumberFormat="1" applyFont="1" applyAlignment="1"/>
    <xf numFmtId="173" fontId="18" fillId="0" borderId="0" xfId="1" applyNumberFormat="1" applyFont="1" applyAlignment="1"/>
    <xf numFmtId="173" fontId="10" fillId="0" borderId="0" xfId="1" applyNumberFormat="1" applyFont="1" applyAlignment="1"/>
    <xf numFmtId="17" fontId="2" fillId="0" borderId="1" xfId="0" applyNumberFormat="1" applyFont="1" applyBorder="1" applyAlignment="1"/>
    <xf numFmtId="17" fontId="2" fillId="0" borderId="31" xfId="0" applyNumberFormat="1" applyFont="1" applyBorder="1" applyAlignment="1"/>
    <xf numFmtId="0" fontId="0" fillId="0" borderId="31" xfId="0" applyBorder="1" applyAlignment="1"/>
    <xf numFmtId="0" fontId="0" fillId="0" borderId="32" xfId="0" applyBorder="1" applyAlignment="1"/>
    <xf numFmtId="0" fontId="0" fillId="0" borderId="3" xfId="0" applyBorder="1" applyAlignment="1"/>
    <xf numFmtId="169" fontId="5" fillId="0" borderId="26" xfId="0" applyNumberFormat="1" applyFont="1" applyBorder="1" applyAlignment="1"/>
    <xf numFmtId="41" fontId="1" fillId="0" borderId="26" xfId="1" applyNumberFormat="1" applyBorder="1" applyAlignment="1"/>
    <xf numFmtId="181" fontId="1" fillId="0" borderId="26" xfId="4" applyNumberFormat="1" applyBorder="1" applyAlignment="1"/>
    <xf numFmtId="44" fontId="3" fillId="0" borderId="27" xfId="2" applyFont="1" applyBorder="1" applyAlignment="1"/>
    <xf numFmtId="0" fontId="0" fillId="0" borderId="22" xfId="0" applyBorder="1" applyAlignment="1"/>
    <xf numFmtId="169" fontId="5" fillId="0" borderId="28" xfId="0" applyNumberFormat="1" applyFont="1" applyBorder="1" applyAlignment="1"/>
    <xf numFmtId="173" fontId="0" fillId="0" borderId="28" xfId="0" applyNumberFormat="1" applyBorder="1" applyAlignment="1"/>
    <xf numFmtId="181" fontId="1" fillId="0" borderId="28" xfId="4" applyNumberFormat="1" applyBorder="1" applyAlignment="1"/>
    <xf numFmtId="44" fontId="3" fillId="0" borderId="29" xfId="2" applyFont="1" applyBorder="1" applyAlignment="1"/>
    <xf numFmtId="17" fontId="0" fillId="0" borderId="0" xfId="0" applyNumberFormat="1" applyAlignment="1"/>
    <xf numFmtId="173" fontId="0" fillId="0" borderId="0" xfId="0" applyNumberFormat="1" applyAlignment="1"/>
    <xf numFmtId="165" fontId="1" fillId="0" borderId="3" xfId="2" applyNumberFormat="1" applyFont="1" applyFill="1" applyBorder="1" applyAlignment="1"/>
    <xf numFmtId="165" fontId="1" fillId="0" borderId="26" xfId="2" applyNumberFormat="1" applyFont="1" applyFill="1" applyBorder="1" applyAlignment="1"/>
    <xf numFmtId="165" fontId="1" fillId="0" borderId="26" xfId="2" applyNumberFormat="1" applyFill="1" applyBorder="1" applyAlignment="1"/>
    <xf numFmtId="183" fontId="0" fillId="0" borderId="26" xfId="0" applyNumberFormat="1" applyBorder="1" applyAlignment="1"/>
    <xf numFmtId="165" fontId="2" fillId="0" borderId="27" xfId="2" applyNumberFormat="1" applyFont="1" applyFill="1" applyBorder="1" applyAlignment="1"/>
    <xf numFmtId="165" fontId="0" fillId="0" borderId="0" xfId="0" applyNumberFormat="1" applyAlignment="1"/>
    <xf numFmtId="0" fontId="0" fillId="0" borderId="2" xfId="0" applyBorder="1" applyAlignment="1"/>
    <xf numFmtId="0" fontId="0" fillId="2" borderId="4" xfId="0" applyFill="1" applyBorder="1" applyAlignment="1"/>
    <xf numFmtId="173" fontId="1" fillId="0" borderId="2" xfId="1" applyNumberFormat="1" applyBorder="1" applyAlignment="1"/>
    <xf numFmtId="0" fontId="0" fillId="5" borderId="0" xfId="0" applyFill="1" applyBorder="1" applyAlignment="1"/>
    <xf numFmtId="0" fontId="2" fillId="5" borderId="0" xfId="0" applyFont="1" applyFill="1" applyBorder="1" applyAlignment="1"/>
    <xf numFmtId="0" fontId="0" fillId="0" borderId="4" xfId="0" applyBorder="1" applyAlignment="1"/>
    <xf numFmtId="0" fontId="0" fillId="0" borderId="0" xfId="0" applyBorder="1" applyAlignment="1"/>
    <xf numFmtId="16" fontId="0" fillId="0" borderId="0" xfId="0" applyNumberFormat="1" applyAlignment="1"/>
    <xf numFmtId="165" fontId="1" fillId="0" borderId="0" xfId="2" applyNumberFormat="1" applyAlignment="1"/>
    <xf numFmtId="165" fontId="1" fillId="2" borderId="8" xfId="2" applyNumberFormat="1" applyFill="1" applyBorder="1" applyAlignment="1"/>
    <xf numFmtId="3" fontId="0" fillId="0" borderId="7" xfId="0" applyNumberFormat="1" applyBorder="1" applyAlignment="1"/>
    <xf numFmtId="165" fontId="0" fillId="2" borderId="8" xfId="0" applyNumberFormat="1" applyFill="1" applyBorder="1" applyAlignment="1"/>
    <xf numFmtId="173" fontId="1" fillId="0" borderId="7" xfId="1" applyNumberFormat="1" applyBorder="1" applyAlignment="1"/>
    <xf numFmtId="41" fontId="1" fillId="0" borderId="7" xfId="1" applyNumberFormat="1" applyBorder="1" applyAlignment="1"/>
    <xf numFmtId="41" fontId="1" fillId="0" borderId="10" xfId="1" applyNumberFormat="1" applyFill="1" applyBorder="1" applyAlignment="1"/>
    <xf numFmtId="3" fontId="4" fillId="5" borderId="8" xfId="0" applyNumberFormat="1" applyFont="1" applyFill="1" applyBorder="1" applyAlignment="1"/>
    <xf numFmtId="173" fontId="1" fillId="5" borderId="10" xfId="1" applyNumberFormat="1" applyFill="1" applyBorder="1" applyAlignment="1"/>
    <xf numFmtId="165" fontId="1" fillId="2" borderId="4" xfId="2" applyNumberFormat="1" applyFill="1" applyBorder="1" applyAlignment="1"/>
    <xf numFmtId="3" fontId="0" fillId="0" borderId="2" xfId="0" applyNumberFormat="1" applyBorder="1" applyAlignment="1"/>
    <xf numFmtId="165" fontId="0" fillId="2" borderId="4" xfId="0" applyNumberFormat="1" applyFill="1" applyBorder="1" applyAlignment="1"/>
    <xf numFmtId="41" fontId="1" fillId="0" borderId="2" xfId="1" applyNumberFormat="1" applyBorder="1" applyAlignment="1"/>
    <xf numFmtId="41" fontId="1" fillId="0" borderId="0" xfId="1" applyNumberFormat="1" applyFill="1" applyBorder="1" applyAlignment="1"/>
    <xf numFmtId="3" fontId="4" fillId="5" borderId="4" xfId="0" applyNumberFormat="1" applyFont="1" applyFill="1" applyBorder="1" applyAlignment="1"/>
    <xf numFmtId="173" fontId="1" fillId="5" borderId="0" xfId="1" applyNumberFormat="1" applyFill="1" applyBorder="1" applyAlignment="1"/>
    <xf numFmtId="44" fontId="1" fillId="0" borderId="0" xfId="2" applyBorder="1" applyAlignment="1"/>
    <xf numFmtId="44" fontId="1" fillId="0" borderId="2" xfId="2" applyBorder="1" applyAlignment="1"/>
    <xf numFmtId="165" fontId="5" fillId="0" borderId="0" xfId="2" applyNumberFormat="1" applyFont="1" applyAlignment="1"/>
    <xf numFmtId="165" fontId="1" fillId="2" borderId="5" xfId="2" applyNumberFormat="1" applyFill="1" applyBorder="1" applyAlignment="1"/>
    <xf numFmtId="3" fontId="0" fillId="0" borderId="6" xfId="0" applyNumberFormat="1" applyBorder="1" applyAlignment="1"/>
    <xf numFmtId="165" fontId="0" fillId="2" borderId="5" xfId="0" applyNumberFormat="1" applyFill="1" applyBorder="1" applyAlignment="1"/>
    <xf numFmtId="173" fontId="1" fillId="0" borderId="6" xfId="1" applyNumberFormat="1" applyBorder="1" applyAlignment="1"/>
    <xf numFmtId="41" fontId="1" fillId="0" borderId="6" xfId="1" applyNumberFormat="1" applyBorder="1" applyAlignment="1"/>
    <xf numFmtId="165" fontId="0" fillId="0" borderId="5" xfId="0" applyNumberFormat="1" applyFill="1" applyBorder="1" applyAlignment="1"/>
    <xf numFmtId="41" fontId="1" fillId="0" borderId="11" xfId="1" applyNumberFormat="1" applyFill="1" applyBorder="1" applyAlignment="1"/>
    <xf numFmtId="3" fontId="4" fillId="5" borderId="5" xfId="0" applyNumberFormat="1" applyFont="1" applyFill="1" applyBorder="1" applyAlignment="1"/>
    <xf numFmtId="173" fontId="1" fillId="5" borderId="11" xfId="1" applyNumberFormat="1" applyFill="1" applyBorder="1" applyAlignment="1"/>
    <xf numFmtId="44" fontId="1" fillId="0" borderId="11" xfId="2" applyBorder="1" applyAlignment="1"/>
    <xf numFmtId="44" fontId="1" fillId="0" borderId="6" xfId="2" applyBorder="1" applyAlignment="1"/>
    <xf numFmtId="3" fontId="2" fillId="0" borderId="0" xfId="0" applyNumberFormat="1" applyFont="1" applyAlignment="1"/>
    <xf numFmtId="173" fontId="2" fillId="0" borderId="0" xfId="1" applyNumberFormat="1" applyFont="1" applyAlignment="1"/>
    <xf numFmtId="173" fontId="1" fillId="0" borderId="0" xfId="1" applyNumberFormat="1" applyAlignment="1"/>
    <xf numFmtId="3" fontId="2" fillId="0" borderId="0" xfId="0" applyNumberFormat="1" applyFont="1" applyBorder="1" applyAlignment="1"/>
    <xf numFmtId="3" fontId="9" fillId="5" borderId="0" xfId="0" applyNumberFormat="1" applyFont="1" applyFill="1" applyBorder="1" applyAlignment="1"/>
    <xf numFmtId="173" fontId="2" fillId="5" borderId="0" xfId="1" applyNumberFormat="1" applyFont="1" applyFill="1" applyBorder="1" applyAlignment="1"/>
    <xf numFmtId="44" fontId="2" fillId="0" borderId="0" xfId="2" applyFont="1" applyBorder="1" applyAlignment="1"/>
    <xf numFmtId="44" fontId="2" fillId="5" borderId="0" xfId="0" applyNumberFormat="1" applyFont="1" applyFill="1" applyBorder="1" applyAlignment="1"/>
    <xf numFmtId="43" fontId="0" fillId="0" borderId="0" xfId="0" applyNumberFormat="1" applyAlignment="1"/>
    <xf numFmtId="10" fontId="1" fillId="0" borderId="0" xfId="4" applyNumberFormat="1" applyAlignment="1"/>
    <xf numFmtId="165" fontId="2" fillId="0" borderId="0" xfId="2" applyNumberFormat="1" applyFont="1" applyAlignment="1"/>
    <xf numFmtId="3" fontId="0" fillId="0" borderId="0" xfId="0" applyNumberFormat="1" applyAlignment="1"/>
    <xf numFmtId="1" fontId="0" fillId="0" borderId="0" xfId="0" applyNumberFormat="1" applyAlignment="1"/>
    <xf numFmtId="41" fontId="1" fillId="0" borderId="0" xfId="1" applyNumberFormat="1" applyAlignment="1"/>
    <xf numFmtId="181" fontId="0" fillId="0" borderId="26" xfId="4" applyNumberFormat="1" applyFont="1" applyBorder="1" applyAlignment="1"/>
    <xf numFmtId="181" fontId="0" fillId="0" borderId="28" xfId="4" applyNumberFormat="1" applyFont="1" applyBorder="1" applyAlignment="1"/>
    <xf numFmtId="165" fontId="0" fillId="0" borderId="26" xfId="2" applyNumberFormat="1" applyFont="1" applyFill="1" applyBorder="1" applyAlignment="1"/>
    <xf numFmtId="10" fontId="0" fillId="0" borderId="0" xfId="4" applyNumberFormat="1" applyFont="1" applyAlignment="1"/>
    <xf numFmtId="164" fontId="0" fillId="2" borderId="4" xfId="0" applyNumberFormat="1" applyFill="1" applyBorder="1"/>
    <xf numFmtId="0" fontId="0" fillId="0" borderId="4" xfId="0" applyFill="1" applyBorder="1" applyAlignment="1">
      <alignment wrapText="1"/>
    </xf>
    <xf numFmtId="173" fontId="1" fillId="0" borderId="0" xfId="1" applyNumberFormat="1" applyBorder="1" applyAlignment="1">
      <alignment wrapText="1"/>
    </xf>
    <xf numFmtId="44" fontId="0" fillId="0" borderId="0" xfId="0" applyNumberFormat="1" applyBorder="1" applyAlignment="1">
      <alignment wrapText="1"/>
    </xf>
    <xf numFmtId="44" fontId="0" fillId="0" borderId="2" xfId="0" applyNumberFormat="1" applyBorder="1" applyAlignment="1">
      <alignment wrapText="1"/>
    </xf>
    <xf numFmtId="44" fontId="0" fillId="0" borderId="0" xfId="0" applyNumberFormat="1" applyAlignment="1">
      <alignment wrapText="1"/>
    </xf>
    <xf numFmtId="173" fontId="1" fillId="0" borderId="0" xfId="1" applyNumberFormat="1" applyAlignment="1">
      <alignment wrapText="1"/>
    </xf>
    <xf numFmtId="200" fontId="1" fillId="0" borderId="0" xfId="1" applyNumberFormat="1"/>
    <xf numFmtId="44" fontId="2" fillId="4" borderId="2" xfId="2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44" fontId="1" fillId="0" borderId="0" xfId="2" applyAlignment="1">
      <alignment horizontal="center" wrapText="1"/>
    </xf>
    <xf numFmtId="173" fontId="1" fillId="0" borderId="0" xfId="1" applyNumberFormat="1" applyAlignment="1">
      <alignment horizontal="center" wrapText="1"/>
    </xf>
    <xf numFmtId="0" fontId="0" fillId="0" borderId="35" xfId="0" applyBorder="1"/>
    <xf numFmtId="0" fontId="0" fillId="0" borderId="17" xfId="0" applyBorder="1"/>
    <xf numFmtId="0" fontId="0" fillId="0" borderId="12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44" fontId="0" fillId="0" borderId="12" xfId="0" applyNumberFormat="1" applyBorder="1"/>
    <xf numFmtId="0" fontId="0" fillId="0" borderId="0" xfId="0" applyBorder="1" applyAlignment="1">
      <alignment horizontal="center"/>
    </xf>
    <xf numFmtId="200" fontId="1" fillId="0" borderId="0" xfId="1" applyNumberFormat="1" applyBorder="1"/>
    <xf numFmtId="200" fontId="1" fillId="0" borderId="13" xfId="1" applyNumberFormat="1" applyBorder="1"/>
    <xf numFmtId="44" fontId="0" fillId="0" borderId="14" xfId="0" applyNumberFormat="1" applyBorder="1"/>
    <xf numFmtId="181" fontId="1" fillId="5" borderId="4" xfId="4" applyNumberFormat="1" applyFill="1" applyBorder="1" applyAlignment="1">
      <alignment horizontal="center"/>
    </xf>
    <xf numFmtId="181" fontId="1" fillId="5" borderId="2" xfId="4" applyNumberFormat="1" applyFill="1" applyBorder="1" applyAlignment="1">
      <alignment horizontal="center"/>
    </xf>
    <xf numFmtId="207" fontId="0" fillId="0" borderId="0" xfId="4" applyNumberFormat="1" applyFont="1" applyFill="1"/>
    <xf numFmtId="3" fontId="0" fillId="0" borderId="7" xfId="0" applyNumberFormat="1" applyBorder="1"/>
    <xf numFmtId="37" fontId="0" fillId="0" borderId="6" xfId="0" applyNumberFormat="1" applyBorder="1"/>
    <xf numFmtId="165" fontId="1" fillId="2" borderId="10" xfId="2" applyNumberFormat="1" applyFill="1" applyBorder="1"/>
    <xf numFmtId="165" fontId="1" fillId="2" borderId="0" xfId="2" applyNumberFormat="1" applyFill="1" applyBorder="1"/>
    <xf numFmtId="44" fontId="1" fillId="0" borderId="0" xfId="2" quotePrefix="1" applyFont="1"/>
    <xf numFmtId="44" fontId="1" fillId="0" borderId="0" xfId="2" quotePrefix="1" applyFont="1" applyAlignment="1">
      <alignment horizontal="right"/>
    </xf>
    <xf numFmtId="165" fontId="1" fillId="0" borderId="0" xfId="2" applyNumberFormat="1" applyFont="1" applyFill="1" applyBorder="1"/>
    <xf numFmtId="165" fontId="1" fillId="0" borderId="11" xfId="2" applyNumberFormat="1" applyFont="1" applyFill="1" applyBorder="1"/>
    <xf numFmtId="10" fontId="1" fillId="0" borderId="0" xfId="4" applyNumberFormat="1"/>
    <xf numFmtId="173" fontId="1" fillId="0" borderId="7" xfId="1" applyNumberFormat="1" applyFill="1" applyBorder="1"/>
    <xf numFmtId="173" fontId="1" fillId="0" borderId="2" xfId="1" applyNumberFormat="1" applyFill="1" applyBorder="1"/>
    <xf numFmtId="165" fontId="1" fillId="2" borderId="0" xfId="2" applyNumberFormat="1" applyFill="1" applyBorder="1" applyAlignment="1"/>
    <xf numFmtId="44" fontId="1" fillId="0" borderId="23" xfId="2" applyBorder="1" applyAlignment="1">
      <alignment wrapText="1"/>
    </xf>
    <xf numFmtId="44" fontId="1" fillId="0" borderId="25" xfId="2" applyBorder="1"/>
    <xf numFmtId="1" fontId="4" fillId="0" borderId="11" xfId="0" applyNumberFormat="1" applyFont="1" applyBorder="1"/>
    <xf numFmtId="0" fontId="0" fillId="2" borderId="10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165" fontId="0" fillId="2" borderId="10" xfId="0" applyNumberFormat="1" applyFill="1" applyBorder="1" applyAlignment="1"/>
    <xf numFmtId="0" fontId="0" fillId="2" borderId="0" xfId="0" applyFill="1" applyBorder="1"/>
    <xf numFmtId="165" fontId="0" fillId="2" borderId="0" xfId="0" applyNumberFormat="1" applyFill="1" applyBorder="1"/>
    <xf numFmtId="1" fontId="0" fillId="0" borderId="6" xfId="0" applyNumberFormat="1" applyBorder="1"/>
    <xf numFmtId="3" fontId="0" fillId="0" borderId="7" xfId="0" applyNumberFormat="1" applyFill="1" applyBorder="1"/>
    <xf numFmtId="3" fontId="0" fillId="0" borderId="2" xfId="0" applyNumberFormat="1" applyFill="1" applyBorder="1"/>
    <xf numFmtId="0" fontId="0" fillId="2" borderId="10" xfId="0" applyFill="1" applyBorder="1" applyAlignment="1">
      <alignment wrapText="1"/>
    </xf>
    <xf numFmtId="0" fontId="0" fillId="0" borderId="23" xfId="0" applyBorder="1" applyAlignment="1">
      <alignment wrapText="1"/>
    </xf>
    <xf numFmtId="0" fontId="0" fillId="0" borderId="25" xfId="0" applyBorder="1"/>
    <xf numFmtId="165" fontId="0" fillId="2" borderId="10" xfId="0" applyNumberFormat="1" applyFill="1" applyBorder="1"/>
    <xf numFmtId="0" fontId="0" fillId="2" borderId="5" xfId="0" applyFill="1" applyBorder="1"/>
    <xf numFmtId="200" fontId="1" fillId="0" borderId="15" xfId="1" applyNumberFormat="1" applyBorder="1" applyAlignment="1">
      <alignment horizontal="right"/>
    </xf>
    <xf numFmtId="200" fontId="1" fillId="0" borderId="30" xfId="1" applyNumberFormat="1" applyBorder="1" applyAlignment="1">
      <alignment horizontal="right"/>
    </xf>
    <xf numFmtId="3" fontId="0" fillId="0" borderId="6" xfId="0" applyNumberFormat="1" applyBorder="1"/>
    <xf numFmtId="173" fontId="19" fillId="8" borderId="0" xfId="1" applyNumberFormat="1" applyFont="1" applyFill="1"/>
    <xf numFmtId="0" fontId="5" fillId="0" borderId="0" xfId="0" applyFont="1" applyFill="1"/>
    <xf numFmtId="169" fontId="0" fillId="0" borderId="0" xfId="0" applyNumberFormat="1" applyFill="1"/>
    <xf numFmtId="1" fontId="4" fillId="0" borderId="0" xfId="0" applyNumberFormat="1" applyFont="1" applyFill="1" applyBorder="1"/>
    <xf numFmtId="1" fontId="20" fillId="0" borderId="0" xfId="0" applyNumberFormat="1" applyFont="1" applyFill="1" applyBorder="1"/>
    <xf numFmtId="44" fontId="1" fillId="0" borderId="2" xfId="2" applyNumberFormat="1" applyBorder="1"/>
    <xf numFmtId="1" fontId="3" fillId="0" borderId="11" xfId="0" applyNumberFormat="1" applyFont="1" applyBorder="1"/>
    <xf numFmtId="44" fontId="1" fillId="0" borderId="5" xfId="2" applyBorder="1"/>
    <xf numFmtId="44" fontId="1" fillId="0" borderId="6" xfId="2" applyNumberFormat="1" applyBorder="1"/>
    <xf numFmtId="0" fontId="0" fillId="0" borderId="19" xfId="0" applyFill="1" applyBorder="1"/>
    <xf numFmtId="0" fontId="0" fillId="0" borderId="20" xfId="0" applyFill="1" applyBorder="1"/>
    <xf numFmtId="165" fontId="5" fillId="0" borderId="2" xfId="2" applyNumberFormat="1" applyFont="1" applyFill="1" applyBorder="1"/>
    <xf numFmtId="41" fontId="0" fillId="0" borderId="0" xfId="0" applyNumberFormat="1"/>
    <xf numFmtId="165" fontId="1" fillId="0" borderId="0" xfId="2" applyNumberFormat="1" applyFont="1" applyFill="1" applyBorder="1" applyAlignment="1"/>
    <xf numFmtId="165" fontId="1" fillId="0" borderId="0" xfId="2" applyNumberFormat="1" applyFill="1" applyBorder="1" applyAlignment="1"/>
    <xf numFmtId="183" fontId="0" fillId="0" borderId="0" xfId="0" applyNumberFormat="1" applyBorder="1" applyAlignment="1"/>
    <xf numFmtId="165" fontId="2" fillId="0" borderId="0" xfId="2" applyNumberFormat="1" applyFont="1" applyFill="1" applyBorder="1" applyAlignment="1"/>
    <xf numFmtId="0" fontId="4" fillId="0" borderId="23" xfId="0" applyFont="1" applyBorder="1" applyAlignment="1">
      <alignment horizontal="center" wrapText="1"/>
    </xf>
    <xf numFmtId="0" fontId="0" fillId="5" borderId="2" xfId="0" applyFill="1" applyBorder="1" applyAlignment="1">
      <alignment wrapText="1"/>
    </xf>
    <xf numFmtId="0" fontId="2" fillId="5" borderId="6" xfId="0" applyFont="1" applyFill="1" applyBorder="1" applyAlignment="1">
      <alignment horizontal="center" wrapText="1"/>
    </xf>
    <xf numFmtId="44" fontId="0" fillId="5" borderId="7" xfId="0" applyNumberFormat="1" applyFill="1" applyBorder="1" applyAlignment="1"/>
    <xf numFmtId="44" fontId="0" fillId="5" borderId="2" xfId="0" applyNumberFormat="1" applyFill="1" applyBorder="1" applyAlignment="1"/>
    <xf numFmtId="44" fontId="0" fillId="5" borderId="6" xfId="0" applyNumberFormat="1" applyFill="1" applyBorder="1" applyAlignment="1"/>
    <xf numFmtId="0" fontId="17" fillId="7" borderId="10" xfId="0" applyFont="1" applyFill="1" applyBorder="1" applyAlignment="1">
      <alignment horizontal="centerContinuous"/>
    </xf>
    <xf numFmtId="0" fontId="0" fillId="5" borderId="2" xfId="0" applyFill="1" applyBorder="1" applyAlignment="1"/>
    <xf numFmtId="44" fontId="9" fillId="5" borderId="0" xfId="0" applyNumberFormat="1" applyFont="1" applyFill="1"/>
    <xf numFmtId="44" fontId="2" fillId="5" borderId="0" xfId="0" applyNumberFormat="1" applyFont="1" applyFill="1"/>
    <xf numFmtId="44" fontId="2" fillId="0" borderId="0" xfId="0" applyNumberFormat="1" applyFont="1" applyFill="1"/>
    <xf numFmtId="200" fontId="1" fillId="0" borderId="0" xfId="1" applyNumberFormat="1" applyBorder="1" applyAlignment="1">
      <alignment horizontal="right"/>
    </xf>
    <xf numFmtId="200" fontId="1" fillId="0" borderId="13" xfId="1" applyNumberFormat="1" applyBorder="1" applyAlignment="1">
      <alignment horizontal="right"/>
    </xf>
    <xf numFmtId="181" fontId="0" fillId="0" borderId="0" xfId="4" applyNumberFormat="1" applyFont="1"/>
    <xf numFmtId="205" fontId="0" fillId="0" borderId="0" xfId="0" applyNumberFormat="1"/>
    <xf numFmtId="3" fontId="0" fillId="0" borderId="0" xfId="0" applyNumberFormat="1"/>
    <xf numFmtId="181" fontId="0" fillId="0" borderId="0" xfId="0" applyNumberFormat="1"/>
    <xf numFmtId="183" fontId="0" fillId="0" borderId="0" xfId="0" applyNumberFormat="1"/>
    <xf numFmtId="175" fontId="0" fillId="0" borderId="0" xfId="0" applyNumberFormat="1"/>
    <xf numFmtId="4" fontId="0" fillId="0" borderId="0" xfId="0" applyNumberFormat="1" applyAlignment="1"/>
    <xf numFmtId="44" fontId="0" fillId="0" borderId="0" xfId="0" applyNumberFormat="1" applyAlignment="1"/>
    <xf numFmtId="15" fontId="3" fillId="0" borderId="19" xfId="0" applyNumberFormat="1" applyFont="1" applyBorder="1" applyAlignment="1">
      <alignment horizontal="center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165" fontId="0" fillId="2" borderId="24" xfId="0" applyNumberFormat="1" applyFill="1" applyBorder="1"/>
    <xf numFmtId="0" fontId="0" fillId="2" borderId="25" xfId="0" applyFill="1" applyBorder="1"/>
    <xf numFmtId="187" fontId="3" fillId="0" borderId="19" xfId="0" applyNumberFormat="1" applyFont="1" applyBorder="1" applyAlignment="1">
      <alignment horizontal="center"/>
    </xf>
    <xf numFmtId="165" fontId="1" fillId="0" borderId="5" xfId="2" applyNumberFormat="1" applyBorder="1"/>
    <xf numFmtId="181" fontId="1" fillId="5" borderId="5" xfId="4" applyNumberFormat="1" applyFill="1" applyBorder="1" applyAlignment="1">
      <alignment horizontal="center"/>
    </xf>
    <xf numFmtId="181" fontId="1" fillId="5" borderId="6" xfId="4" applyNumberFormat="1" applyFill="1" applyBorder="1" applyAlignment="1">
      <alignment horizontal="center"/>
    </xf>
    <xf numFmtId="164" fontId="3" fillId="0" borderId="0" xfId="2" applyNumberFormat="1" applyFont="1" applyFill="1"/>
    <xf numFmtId="200" fontId="0" fillId="5" borderId="0" xfId="0" applyNumberFormat="1" applyFill="1"/>
    <xf numFmtId="165" fontId="21" fillId="0" borderId="26" xfId="2" applyNumberFormat="1" applyFont="1" applyFill="1" applyBorder="1" applyAlignment="1"/>
    <xf numFmtId="174" fontId="1" fillId="8" borderId="0" xfId="2" applyNumberFormat="1" applyFill="1" applyBorder="1"/>
    <xf numFmtId="174" fontId="1" fillId="8" borderId="2" xfId="2" applyNumberFormat="1" applyFill="1" applyBorder="1"/>
    <xf numFmtId="165" fontId="1" fillId="8" borderId="0" xfId="2" applyNumberFormat="1" applyFill="1" applyBorder="1"/>
    <xf numFmtId="173" fontId="1" fillId="9" borderId="0" xfId="1" applyNumberFormat="1" applyFill="1"/>
    <xf numFmtId="44" fontId="0" fillId="9" borderId="0" xfId="0" applyNumberFormat="1" applyFill="1"/>
    <xf numFmtId="0" fontId="0" fillId="0" borderId="11" xfId="0" quotePrefix="1" applyBorder="1" applyAlignment="1">
      <alignment horizontal="right"/>
    </xf>
    <xf numFmtId="206" fontId="3" fillId="0" borderId="0" xfId="4" applyNumberFormat="1" applyFont="1" applyAlignment="1">
      <alignment horizontal="left"/>
    </xf>
    <xf numFmtId="0" fontId="0" fillId="9" borderId="0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0" borderId="30" xfId="0" applyBorder="1"/>
    <xf numFmtId="0" fontId="5" fillId="0" borderId="30" xfId="0" applyFont="1" applyBorder="1"/>
    <xf numFmtId="165" fontId="5" fillId="0" borderId="30" xfId="2" applyNumberFormat="1" applyFont="1" applyBorder="1"/>
    <xf numFmtId="175" fontId="5" fillId="0" borderId="30" xfId="2" applyNumberFormat="1" applyFont="1" applyBorder="1"/>
    <xf numFmtId="173" fontId="5" fillId="0" borderId="30" xfId="1" applyNumberFormat="1" applyFont="1" applyBorder="1"/>
    <xf numFmtId="44" fontId="5" fillId="0" borderId="30" xfId="0" applyNumberFormat="1" applyFont="1" applyBorder="1"/>
    <xf numFmtId="174" fontId="2" fillId="0" borderId="0" xfId="0" applyNumberFormat="1" applyFont="1" applyFill="1"/>
    <xf numFmtId="173" fontId="10" fillId="9" borderId="0" xfId="1" applyNumberFormat="1" applyFont="1" applyFill="1"/>
    <xf numFmtId="173" fontId="1" fillId="5" borderId="4" xfId="1" applyNumberFormat="1" applyFill="1" applyBorder="1"/>
    <xf numFmtId="173" fontId="1" fillId="5" borderId="2" xfId="1" applyNumberFormat="1" applyFill="1" applyBorder="1"/>
    <xf numFmtId="164" fontId="1" fillId="0" borderId="0" xfId="2" applyNumberFormat="1" applyFill="1"/>
    <xf numFmtId="0" fontId="0" fillId="5" borderId="0" xfId="0" applyFill="1" applyBorder="1" applyAlignment="1">
      <alignment horizontal="center" wrapText="1"/>
    </xf>
    <xf numFmtId="0" fontId="2" fillId="5" borderId="0" xfId="0" applyFont="1" applyFill="1" applyBorder="1" applyAlignment="1">
      <alignment horizontal="center" wrapText="1"/>
    </xf>
    <xf numFmtId="173" fontId="2" fillId="5" borderId="7" xfId="1" applyNumberFormat="1" applyFont="1" applyFill="1" applyBorder="1" applyAlignment="1"/>
    <xf numFmtId="173" fontId="2" fillId="5" borderId="2" xfId="1" applyNumberFormat="1" applyFont="1" applyFill="1" applyBorder="1" applyAlignment="1"/>
    <xf numFmtId="173" fontId="1" fillId="5" borderId="6" xfId="1" applyNumberFormat="1" applyFill="1" applyBorder="1" applyAlignment="1"/>
    <xf numFmtId="173" fontId="0" fillId="5" borderId="24" xfId="0" applyNumberFormat="1" applyFill="1" applyBorder="1"/>
    <xf numFmtId="173" fontId="0" fillId="5" borderId="25" xfId="0" applyNumberFormat="1" applyFill="1" applyBorder="1"/>
    <xf numFmtId="173" fontId="1" fillId="5" borderId="5" xfId="1" applyNumberFormat="1" applyFill="1" applyBorder="1"/>
    <xf numFmtId="173" fontId="1" fillId="5" borderId="6" xfId="1" applyNumberFormat="1" applyFill="1" applyBorder="1"/>
    <xf numFmtId="44" fontId="3" fillId="0" borderId="27" xfId="2" applyFont="1" applyFill="1" applyBorder="1" applyAlignment="1"/>
    <xf numFmtId="44" fontId="3" fillId="0" borderId="29" xfId="2" applyFont="1" applyFill="1" applyBorder="1" applyAlignment="1"/>
    <xf numFmtId="0" fontId="2" fillId="0" borderId="8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17" fillId="7" borderId="21" xfId="0" applyFont="1" applyFill="1" applyBorder="1" applyAlignment="1">
      <alignment horizontal="center"/>
    </xf>
    <xf numFmtId="0" fontId="17" fillId="7" borderId="33" xfId="0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175260</xdr:colOff>
          <xdr:row>6</xdr:row>
          <xdr:rowOff>22860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411480</xdr:colOff>
          <xdr:row>0</xdr:row>
          <xdr:rowOff>22860</xdr:rowOff>
        </xdr:from>
        <xdr:to>
          <xdr:col>6</xdr:col>
          <xdr:colOff>1013460</xdr:colOff>
          <xdr:row>3</xdr:row>
          <xdr:rowOff>68580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411480</xdr:colOff>
          <xdr:row>0</xdr:row>
          <xdr:rowOff>15240</xdr:rowOff>
        </xdr:from>
        <xdr:to>
          <xdr:col>6</xdr:col>
          <xdr:colOff>1013460</xdr:colOff>
          <xdr:row>3</xdr:row>
          <xdr:rowOff>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175260</xdr:colOff>
          <xdr:row>6</xdr:row>
          <xdr:rowOff>22860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601980</xdr:colOff>
          <xdr:row>0</xdr:row>
          <xdr:rowOff>22860</xdr:rowOff>
        </xdr:from>
        <xdr:to>
          <xdr:col>5</xdr:col>
          <xdr:colOff>7620</xdr:colOff>
          <xdr:row>3</xdr:row>
          <xdr:rowOff>68580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175260</xdr:colOff>
          <xdr:row>6</xdr:row>
          <xdr:rowOff>22860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601980</xdr:colOff>
          <xdr:row>0</xdr:row>
          <xdr:rowOff>22860</xdr:rowOff>
        </xdr:from>
        <xdr:to>
          <xdr:col>5</xdr:col>
          <xdr:colOff>7620</xdr:colOff>
          <xdr:row>3</xdr:row>
          <xdr:rowOff>68580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175260</xdr:colOff>
          <xdr:row>6</xdr:row>
          <xdr:rowOff>22860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601980</xdr:colOff>
          <xdr:row>0</xdr:row>
          <xdr:rowOff>22860</xdr:rowOff>
        </xdr:from>
        <xdr:to>
          <xdr:col>5</xdr:col>
          <xdr:colOff>7620</xdr:colOff>
          <xdr:row>3</xdr:row>
          <xdr:rowOff>68580</xdr:rowOff>
        </xdr:to>
        <xdr:sp macro="" textlink="">
          <xdr:nvSpPr>
            <xdr:cNvPr id="28673" name="Object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175260</xdr:colOff>
          <xdr:row>6</xdr:row>
          <xdr:rowOff>22860</xdr:rowOff>
        </xdr:to>
        <xdr:sp macro="" textlink="">
          <xdr:nvSpPr>
            <xdr:cNvPr id="31745" name="Object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601980</xdr:colOff>
          <xdr:row>0</xdr:row>
          <xdr:rowOff>22860</xdr:rowOff>
        </xdr:from>
        <xdr:to>
          <xdr:col>5</xdr:col>
          <xdr:colOff>7620</xdr:colOff>
          <xdr:row>3</xdr:row>
          <xdr:rowOff>68580</xdr:rowOff>
        </xdr:to>
        <xdr:sp macro="" textlink="">
          <xdr:nvSpPr>
            <xdr:cNvPr id="32769" name="Object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601980</xdr:colOff>
          <xdr:row>0</xdr:row>
          <xdr:rowOff>22860</xdr:rowOff>
        </xdr:from>
        <xdr:to>
          <xdr:col>5</xdr:col>
          <xdr:colOff>7620</xdr:colOff>
          <xdr:row>3</xdr:row>
          <xdr:rowOff>68580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182880</xdr:colOff>
          <xdr:row>6</xdr:row>
          <xdr:rowOff>30480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182880</xdr:colOff>
          <xdr:row>6</xdr:row>
          <xdr:rowOff>30480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182880</xdr:colOff>
          <xdr:row>6</xdr:row>
          <xdr:rowOff>30480</xdr:rowOff>
        </xdr:to>
        <xdr:sp macro="" textlink="">
          <xdr:nvSpPr>
            <xdr:cNvPr id="8196" name="Object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182880</xdr:colOff>
          <xdr:row>6</xdr:row>
          <xdr:rowOff>30480</xdr:rowOff>
        </xdr:to>
        <xdr:sp macro="" textlink="">
          <xdr:nvSpPr>
            <xdr:cNvPr id="8197" name="Object 5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594360</xdr:colOff>
          <xdr:row>0</xdr:row>
          <xdr:rowOff>22860</xdr:rowOff>
        </xdr:from>
        <xdr:to>
          <xdr:col>4</xdr:col>
          <xdr:colOff>1203960</xdr:colOff>
          <xdr:row>3</xdr:row>
          <xdr:rowOff>68580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594360</xdr:colOff>
          <xdr:row>0</xdr:row>
          <xdr:rowOff>22860</xdr:rowOff>
        </xdr:from>
        <xdr:to>
          <xdr:col>4</xdr:col>
          <xdr:colOff>1203960</xdr:colOff>
          <xdr:row>3</xdr:row>
          <xdr:rowOff>68580</xdr:rowOff>
        </xdr:to>
        <xdr:sp macro="" textlink="">
          <xdr:nvSpPr>
            <xdr:cNvPr id="1098" name="Object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594360</xdr:colOff>
          <xdr:row>0</xdr:row>
          <xdr:rowOff>22860</xdr:rowOff>
        </xdr:from>
        <xdr:to>
          <xdr:col>4</xdr:col>
          <xdr:colOff>1203960</xdr:colOff>
          <xdr:row>3</xdr:row>
          <xdr:rowOff>68580</xdr:rowOff>
        </xdr:to>
        <xdr:sp macro="" textlink="">
          <xdr:nvSpPr>
            <xdr:cNvPr id="30721" name="Object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594360</xdr:colOff>
          <xdr:row>0</xdr:row>
          <xdr:rowOff>22860</xdr:rowOff>
        </xdr:from>
        <xdr:to>
          <xdr:col>4</xdr:col>
          <xdr:colOff>1203960</xdr:colOff>
          <xdr:row>3</xdr:row>
          <xdr:rowOff>68580</xdr:rowOff>
        </xdr:to>
        <xdr:sp macro="" textlink="">
          <xdr:nvSpPr>
            <xdr:cNvPr id="30732" name="Object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594360</xdr:colOff>
          <xdr:row>0</xdr:row>
          <xdr:rowOff>15240</xdr:rowOff>
        </xdr:from>
        <xdr:to>
          <xdr:col>4</xdr:col>
          <xdr:colOff>1203960</xdr:colOff>
          <xdr:row>3</xdr:row>
          <xdr:rowOff>0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594360</xdr:colOff>
          <xdr:row>0</xdr:row>
          <xdr:rowOff>15240</xdr:rowOff>
        </xdr:from>
        <xdr:to>
          <xdr:col>4</xdr:col>
          <xdr:colOff>1203960</xdr:colOff>
          <xdr:row>3</xdr:row>
          <xdr:rowOff>0</xdr:rowOff>
        </xdr:to>
        <xdr:sp macro="" textlink="">
          <xdr:nvSpPr>
            <xdr:cNvPr id="29988" name="Object 292" hidden="1">
              <a:extLst>
                <a:ext uri="{63B3BB69-23CF-44E3-9099-C40C66FF867C}">
                  <a14:compatExt spid="_x0000_s29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175260</xdr:colOff>
          <xdr:row>6</xdr:row>
          <xdr:rowOff>22860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647700</xdr:colOff>
          <xdr:row>0</xdr:row>
          <xdr:rowOff>22860</xdr:rowOff>
        </xdr:from>
        <xdr:to>
          <xdr:col>4</xdr:col>
          <xdr:colOff>1257300</xdr:colOff>
          <xdr:row>3</xdr:row>
          <xdr:rowOff>68580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563880</xdr:colOff>
          <xdr:row>0</xdr:row>
          <xdr:rowOff>0</xdr:rowOff>
        </xdr:from>
        <xdr:to>
          <xdr:col>1</xdr:col>
          <xdr:colOff>175260</xdr:colOff>
          <xdr:row>6</xdr:row>
          <xdr:rowOff>22860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nron%20Statement_11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ron Detail"/>
      <sheetName val="Enron Summary"/>
      <sheetName val="Enron Imbalance"/>
      <sheetName val="Enron Fuel Sale"/>
    </sheetNames>
    <sheetDataSet>
      <sheetData sheetId="0">
        <row r="9">
          <cell r="C9">
            <v>0.955685419466065</v>
          </cell>
          <cell r="F9">
            <v>1.1033715353239051</v>
          </cell>
          <cell r="I9">
            <v>0.92798690671031092</v>
          </cell>
          <cell r="L9">
            <v>0.9369968710343024</v>
          </cell>
          <cell r="O9">
            <v>0.94377469850313445</v>
          </cell>
          <cell r="R9">
            <v>0.96699804432855285</v>
          </cell>
          <cell r="U9">
            <v>0.92816515694122603</v>
          </cell>
          <cell r="X9">
            <v>0.93805420779655346</v>
          </cell>
        </row>
        <row r="14">
          <cell r="C14">
            <v>13994</v>
          </cell>
          <cell r="D14">
            <v>-1199</v>
          </cell>
          <cell r="F14">
            <v>29093</v>
          </cell>
          <cell r="G14">
            <v>-2211</v>
          </cell>
          <cell r="I14">
            <v>498</v>
          </cell>
          <cell r="J14">
            <v>-1</v>
          </cell>
          <cell r="L14">
            <v>13631</v>
          </cell>
          <cell r="M14">
            <v>-600</v>
          </cell>
          <cell r="O14">
            <v>11336</v>
          </cell>
          <cell r="P14">
            <v>-751</v>
          </cell>
          <cell r="R14">
            <v>669</v>
          </cell>
          <cell r="S14">
            <v>-75</v>
          </cell>
          <cell r="U14">
            <v>1804</v>
          </cell>
          <cell r="V14">
            <v>-133</v>
          </cell>
          <cell r="X14">
            <v>864</v>
          </cell>
          <cell r="Y14">
            <v>-74</v>
          </cell>
        </row>
        <row r="15">
          <cell r="C15">
            <v>13744</v>
          </cell>
          <cell r="D15">
            <v>-1219</v>
          </cell>
          <cell r="F15">
            <v>31608</v>
          </cell>
          <cell r="G15">
            <v>-2525</v>
          </cell>
          <cell r="I15">
            <v>463</v>
          </cell>
          <cell r="J15">
            <v>-1</v>
          </cell>
          <cell r="L15">
            <v>13344</v>
          </cell>
          <cell r="M15">
            <v>-603</v>
          </cell>
          <cell r="O15">
            <v>11336</v>
          </cell>
          <cell r="P15">
            <v>-749</v>
          </cell>
          <cell r="R15">
            <v>791</v>
          </cell>
          <cell r="S15">
            <v>-92</v>
          </cell>
          <cell r="U15">
            <v>1854</v>
          </cell>
          <cell r="V15">
            <v>-140</v>
          </cell>
          <cell r="X15">
            <v>624</v>
          </cell>
          <cell r="Y15">
            <v>-59</v>
          </cell>
        </row>
        <row r="16">
          <cell r="C16">
            <v>13567</v>
          </cell>
          <cell r="D16">
            <v>-1098</v>
          </cell>
          <cell r="F16">
            <v>32748</v>
          </cell>
          <cell r="G16">
            <v>-2192</v>
          </cell>
          <cell r="I16">
            <v>455</v>
          </cell>
          <cell r="J16">
            <v>-1</v>
          </cell>
          <cell r="L16">
            <v>13007</v>
          </cell>
          <cell r="M16">
            <v>-589</v>
          </cell>
          <cell r="O16">
            <v>11336</v>
          </cell>
          <cell r="P16">
            <v>-756</v>
          </cell>
          <cell r="R16">
            <v>888</v>
          </cell>
          <cell r="S16">
            <v>-102</v>
          </cell>
          <cell r="U16">
            <v>1794</v>
          </cell>
          <cell r="V16">
            <v>-121</v>
          </cell>
          <cell r="X16">
            <v>848</v>
          </cell>
          <cell r="Y16">
            <v>-73</v>
          </cell>
        </row>
        <row r="17">
          <cell r="C17">
            <v>13617</v>
          </cell>
          <cell r="D17">
            <v>-1167</v>
          </cell>
          <cell r="F17">
            <v>30388</v>
          </cell>
          <cell r="G17">
            <v>-541</v>
          </cell>
          <cell r="I17">
            <v>17</v>
          </cell>
          <cell r="J17">
            <v>0</v>
          </cell>
          <cell r="L17">
            <v>13594</v>
          </cell>
          <cell r="M17">
            <v>-616</v>
          </cell>
          <cell r="O17">
            <v>11336</v>
          </cell>
          <cell r="P17">
            <v>-753</v>
          </cell>
          <cell r="R17">
            <v>814</v>
          </cell>
          <cell r="S17">
            <v>-97</v>
          </cell>
          <cell r="U17">
            <v>1797</v>
          </cell>
          <cell r="V17">
            <v>-129</v>
          </cell>
          <cell r="X17">
            <v>151</v>
          </cell>
          <cell r="Y17">
            <v>-13</v>
          </cell>
        </row>
        <row r="18">
          <cell r="C18">
            <v>13497</v>
          </cell>
          <cell r="D18">
            <v>-1199</v>
          </cell>
          <cell r="F18">
            <v>32769</v>
          </cell>
          <cell r="G18">
            <v>-2213</v>
          </cell>
          <cell r="I18">
            <v>1</v>
          </cell>
          <cell r="J18">
            <v>0</v>
          </cell>
          <cell r="L18">
            <v>13311</v>
          </cell>
          <cell r="M18">
            <v>-601</v>
          </cell>
          <cell r="O18">
            <v>11336</v>
          </cell>
          <cell r="P18">
            <v>-752</v>
          </cell>
          <cell r="R18">
            <v>801</v>
          </cell>
          <cell r="S18">
            <v>-94</v>
          </cell>
          <cell r="U18">
            <v>1788</v>
          </cell>
          <cell r="V18">
            <v>-132</v>
          </cell>
          <cell r="X18">
            <v>776</v>
          </cell>
          <cell r="Y18">
            <v>-64</v>
          </cell>
        </row>
        <row r="19">
          <cell r="C19">
            <v>13822</v>
          </cell>
          <cell r="D19">
            <v>-1207</v>
          </cell>
          <cell r="F19">
            <v>31689</v>
          </cell>
          <cell r="G19">
            <v>-2109</v>
          </cell>
          <cell r="I19">
            <v>391</v>
          </cell>
          <cell r="J19">
            <v>-1</v>
          </cell>
          <cell r="L19">
            <v>13090</v>
          </cell>
          <cell r="M19">
            <v>-624</v>
          </cell>
          <cell r="O19">
            <v>11336</v>
          </cell>
          <cell r="P19">
            <v>-739</v>
          </cell>
          <cell r="R19">
            <v>925</v>
          </cell>
          <cell r="S19">
            <v>-103</v>
          </cell>
          <cell r="U19">
            <v>1822</v>
          </cell>
          <cell r="V19">
            <v>-128</v>
          </cell>
          <cell r="X19">
            <v>847</v>
          </cell>
          <cell r="Y19">
            <v>-73</v>
          </cell>
        </row>
        <row r="20">
          <cell r="C20">
            <v>13587</v>
          </cell>
          <cell r="D20">
            <v>-1182</v>
          </cell>
          <cell r="F20">
            <v>32716</v>
          </cell>
          <cell r="G20">
            <v>-2146</v>
          </cell>
          <cell r="I20">
            <v>711</v>
          </cell>
          <cell r="J20">
            <v>-1</v>
          </cell>
          <cell r="L20">
            <v>13214</v>
          </cell>
          <cell r="M20">
            <v>-615</v>
          </cell>
          <cell r="O20">
            <v>11336</v>
          </cell>
          <cell r="P20">
            <v>-737</v>
          </cell>
          <cell r="R20">
            <v>899</v>
          </cell>
          <cell r="S20">
            <v>-103</v>
          </cell>
          <cell r="U20">
            <v>1762</v>
          </cell>
          <cell r="V20">
            <v>-128</v>
          </cell>
          <cell r="X20">
            <v>884</v>
          </cell>
          <cell r="Y20">
            <v>-75</v>
          </cell>
        </row>
        <row r="21">
          <cell r="C21">
            <v>13012</v>
          </cell>
          <cell r="D21">
            <v>-1061</v>
          </cell>
          <cell r="F21">
            <v>32916</v>
          </cell>
          <cell r="G21">
            <v>-1970</v>
          </cell>
          <cell r="I21">
            <v>620</v>
          </cell>
          <cell r="J21">
            <v>-1</v>
          </cell>
          <cell r="L21">
            <v>13500</v>
          </cell>
          <cell r="M21">
            <v>-617</v>
          </cell>
          <cell r="O21">
            <v>11336</v>
          </cell>
          <cell r="P21">
            <v>-739</v>
          </cell>
          <cell r="R21">
            <v>863</v>
          </cell>
          <cell r="S21">
            <v>-103</v>
          </cell>
          <cell r="U21">
            <v>1807</v>
          </cell>
          <cell r="V21">
            <v>-119</v>
          </cell>
          <cell r="X21">
            <v>898</v>
          </cell>
          <cell r="Y21">
            <v>-74</v>
          </cell>
        </row>
        <row r="22">
          <cell r="C22">
            <v>13664</v>
          </cell>
          <cell r="D22">
            <v>-1078</v>
          </cell>
          <cell r="F22">
            <v>31287</v>
          </cell>
          <cell r="G22">
            <v>-1865</v>
          </cell>
          <cell r="I22">
            <v>101</v>
          </cell>
          <cell r="J22">
            <v>0</v>
          </cell>
          <cell r="L22">
            <v>13649</v>
          </cell>
          <cell r="M22">
            <v>-624</v>
          </cell>
          <cell r="O22">
            <v>11336</v>
          </cell>
          <cell r="P22">
            <v>-739</v>
          </cell>
          <cell r="R22">
            <v>855</v>
          </cell>
          <cell r="S22">
            <v>-104</v>
          </cell>
          <cell r="U22">
            <v>1778</v>
          </cell>
          <cell r="V22">
            <v>-117</v>
          </cell>
          <cell r="X22">
            <v>250</v>
          </cell>
          <cell r="Y22">
            <v>-22</v>
          </cell>
        </row>
        <row r="23">
          <cell r="C23">
            <v>13606</v>
          </cell>
          <cell r="D23">
            <v>-1138</v>
          </cell>
          <cell r="F23">
            <v>27648</v>
          </cell>
          <cell r="G23">
            <v>-1889</v>
          </cell>
          <cell r="I23">
            <v>0</v>
          </cell>
          <cell r="J23">
            <v>0</v>
          </cell>
          <cell r="L23">
            <v>13557</v>
          </cell>
          <cell r="M23">
            <v>-624</v>
          </cell>
          <cell r="O23">
            <v>11336</v>
          </cell>
          <cell r="P23">
            <v>-742</v>
          </cell>
          <cell r="R23">
            <v>866</v>
          </cell>
          <cell r="S23">
            <v>-105</v>
          </cell>
          <cell r="U23">
            <v>1772</v>
          </cell>
          <cell r="V23">
            <v>-123</v>
          </cell>
          <cell r="X23">
            <v>840</v>
          </cell>
          <cell r="Y23">
            <v>-69</v>
          </cell>
        </row>
        <row r="24">
          <cell r="C24">
            <v>13446</v>
          </cell>
          <cell r="D24">
            <v>-1118</v>
          </cell>
          <cell r="F24">
            <v>27029</v>
          </cell>
          <cell r="G24">
            <v>-1847</v>
          </cell>
          <cell r="I24">
            <v>0</v>
          </cell>
          <cell r="J24">
            <v>0</v>
          </cell>
          <cell r="L24">
            <v>13721</v>
          </cell>
          <cell r="M24">
            <v>-647</v>
          </cell>
          <cell r="O24">
            <v>11336</v>
          </cell>
          <cell r="P24">
            <v>-742</v>
          </cell>
          <cell r="R24">
            <v>867</v>
          </cell>
          <cell r="S24">
            <v>-106</v>
          </cell>
          <cell r="U24">
            <v>1760</v>
          </cell>
          <cell r="V24">
            <v>-122</v>
          </cell>
          <cell r="X24">
            <v>896</v>
          </cell>
          <cell r="Y24">
            <v>-75</v>
          </cell>
        </row>
        <row r="25">
          <cell r="C25">
            <v>13265</v>
          </cell>
          <cell r="D25">
            <v>-1165</v>
          </cell>
          <cell r="F25">
            <v>27711</v>
          </cell>
          <cell r="G25">
            <v>-1963</v>
          </cell>
          <cell r="I25">
            <v>0</v>
          </cell>
          <cell r="J25">
            <v>0</v>
          </cell>
          <cell r="L25">
            <v>13632</v>
          </cell>
          <cell r="M25">
            <v>-625</v>
          </cell>
          <cell r="O25">
            <v>11336</v>
          </cell>
          <cell r="P25">
            <v>-744</v>
          </cell>
          <cell r="R25">
            <v>866</v>
          </cell>
          <cell r="S25">
            <v>-109</v>
          </cell>
          <cell r="U25">
            <v>1758</v>
          </cell>
          <cell r="V25">
            <v>-120</v>
          </cell>
          <cell r="X25">
            <v>794</v>
          </cell>
          <cell r="Y25">
            <v>-69</v>
          </cell>
        </row>
        <row r="26">
          <cell r="C26">
            <v>12171</v>
          </cell>
          <cell r="D26">
            <v>-1179</v>
          </cell>
          <cell r="F26">
            <v>22737</v>
          </cell>
          <cell r="G26">
            <v>-1690</v>
          </cell>
          <cell r="I26">
            <v>56</v>
          </cell>
          <cell r="J26">
            <v>0</v>
          </cell>
          <cell r="L26">
            <v>13649</v>
          </cell>
          <cell r="M26">
            <v>-624</v>
          </cell>
          <cell r="O26">
            <v>11336</v>
          </cell>
          <cell r="P26">
            <v>-742</v>
          </cell>
          <cell r="R26">
            <v>85</v>
          </cell>
          <cell r="S26">
            <v>-20</v>
          </cell>
          <cell r="U26">
            <v>414</v>
          </cell>
          <cell r="V26">
            <v>-29</v>
          </cell>
          <cell r="X26">
            <v>876</v>
          </cell>
          <cell r="Y26">
            <v>-74</v>
          </cell>
        </row>
        <row r="27">
          <cell r="C27">
            <v>13008</v>
          </cell>
          <cell r="D27">
            <v>-1214</v>
          </cell>
          <cell r="F27">
            <v>26303</v>
          </cell>
          <cell r="G27">
            <v>-2623</v>
          </cell>
          <cell r="I27">
            <v>0</v>
          </cell>
          <cell r="J27">
            <v>0</v>
          </cell>
          <cell r="L27">
            <v>13486</v>
          </cell>
          <cell r="M27">
            <v>-612</v>
          </cell>
          <cell r="O27">
            <v>11336</v>
          </cell>
          <cell r="P27">
            <v>-747</v>
          </cell>
          <cell r="R27">
            <v>860</v>
          </cell>
          <cell r="S27">
            <v>-97</v>
          </cell>
          <cell r="U27">
            <v>1759</v>
          </cell>
          <cell r="V27">
            <v>-113</v>
          </cell>
          <cell r="X27">
            <v>923</v>
          </cell>
          <cell r="Y27">
            <v>-76</v>
          </cell>
        </row>
        <row r="28">
          <cell r="C28">
            <v>13200</v>
          </cell>
          <cell r="D28">
            <v>-1370</v>
          </cell>
          <cell r="F28">
            <v>28057</v>
          </cell>
          <cell r="G28">
            <v>-2434</v>
          </cell>
          <cell r="I28">
            <v>633</v>
          </cell>
          <cell r="J28">
            <v>-2</v>
          </cell>
          <cell r="L28">
            <v>13928</v>
          </cell>
          <cell r="M28">
            <v>-666</v>
          </cell>
          <cell r="O28">
            <v>11336</v>
          </cell>
          <cell r="P28">
            <v>-751</v>
          </cell>
          <cell r="R28">
            <v>810</v>
          </cell>
          <cell r="S28">
            <v>-106</v>
          </cell>
          <cell r="U28">
            <v>1827</v>
          </cell>
          <cell r="V28">
            <v>-132</v>
          </cell>
          <cell r="X28">
            <v>925</v>
          </cell>
          <cell r="Y28">
            <v>-78</v>
          </cell>
        </row>
        <row r="29">
          <cell r="C29">
            <v>13000</v>
          </cell>
          <cell r="D29">
            <v>-979</v>
          </cell>
          <cell r="F29">
            <v>27615</v>
          </cell>
          <cell r="G29">
            <v>-1902</v>
          </cell>
          <cell r="I29">
            <v>610</v>
          </cell>
          <cell r="J29">
            <v>-1</v>
          </cell>
          <cell r="L29">
            <v>14024</v>
          </cell>
          <cell r="M29">
            <v>-636</v>
          </cell>
          <cell r="O29">
            <v>11336</v>
          </cell>
          <cell r="P29">
            <v>-747</v>
          </cell>
          <cell r="R29">
            <v>848</v>
          </cell>
          <cell r="S29">
            <v>-106</v>
          </cell>
          <cell r="U29">
            <v>1876</v>
          </cell>
          <cell r="V29">
            <v>-110</v>
          </cell>
          <cell r="X29">
            <v>912</v>
          </cell>
          <cell r="Y29">
            <v>-77</v>
          </cell>
        </row>
        <row r="30">
          <cell r="C30">
            <v>13212</v>
          </cell>
          <cell r="D30">
            <v>-1065</v>
          </cell>
          <cell r="F30">
            <v>26398</v>
          </cell>
          <cell r="G30">
            <v>-1799</v>
          </cell>
          <cell r="I30">
            <v>641</v>
          </cell>
          <cell r="J30">
            <v>-1</v>
          </cell>
          <cell r="L30">
            <v>14207</v>
          </cell>
          <cell r="M30">
            <v>-647</v>
          </cell>
          <cell r="O30">
            <v>11336</v>
          </cell>
          <cell r="P30">
            <v>-740</v>
          </cell>
          <cell r="R30">
            <v>757</v>
          </cell>
          <cell r="S30">
            <v>-98</v>
          </cell>
          <cell r="U30">
            <v>1880</v>
          </cell>
          <cell r="V30">
            <v>-117</v>
          </cell>
          <cell r="X30">
            <v>921</v>
          </cell>
          <cell r="Y30">
            <v>-76</v>
          </cell>
        </row>
        <row r="31">
          <cell r="C31">
            <v>12781</v>
          </cell>
          <cell r="D31">
            <v>-931</v>
          </cell>
          <cell r="F31">
            <v>23792</v>
          </cell>
          <cell r="G31">
            <v>-1464</v>
          </cell>
          <cell r="I31">
            <v>690</v>
          </cell>
          <cell r="J31">
            <v>-1</v>
          </cell>
          <cell r="L31">
            <v>13869</v>
          </cell>
          <cell r="M31">
            <v>-626</v>
          </cell>
          <cell r="O31">
            <v>11336</v>
          </cell>
          <cell r="P31">
            <v>-746</v>
          </cell>
          <cell r="R31">
            <v>648</v>
          </cell>
          <cell r="S31">
            <v>-86</v>
          </cell>
          <cell r="U31">
            <v>1857</v>
          </cell>
          <cell r="V31">
            <v>-104</v>
          </cell>
          <cell r="X31">
            <v>749</v>
          </cell>
          <cell r="Y31">
            <v>-68</v>
          </cell>
        </row>
        <row r="32">
          <cell r="C32">
            <v>12729</v>
          </cell>
          <cell r="D32">
            <v>-1105</v>
          </cell>
          <cell r="F32">
            <v>27597</v>
          </cell>
          <cell r="G32">
            <v>-1961</v>
          </cell>
          <cell r="I32">
            <v>634</v>
          </cell>
          <cell r="J32">
            <v>-1</v>
          </cell>
          <cell r="L32">
            <v>14242</v>
          </cell>
          <cell r="M32">
            <v>-635</v>
          </cell>
          <cell r="O32">
            <v>11336</v>
          </cell>
          <cell r="P32">
            <v>-741</v>
          </cell>
          <cell r="R32">
            <v>883</v>
          </cell>
          <cell r="S32">
            <v>-107</v>
          </cell>
          <cell r="U32">
            <v>1945</v>
          </cell>
          <cell r="V32">
            <v>-125</v>
          </cell>
          <cell r="X32">
            <v>852</v>
          </cell>
          <cell r="Y32">
            <v>-70</v>
          </cell>
        </row>
        <row r="33">
          <cell r="C33">
            <v>13016</v>
          </cell>
          <cell r="D33">
            <v>-1177</v>
          </cell>
          <cell r="F33">
            <v>30425</v>
          </cell>
          <cell r="G33">
            <v>-2229</v>
          </cell>
          <cell r="I33">
            <v>626</v>
          </cell>
          <cell r="J33">
            <v>-1</v>
          </cell>
          <cell r="L33">
            <v>14306</v>
          </cell>
          <cell r="M33">
            <v>-636</v>
          </cell>
          <cell r="O33">
            <v>11336</v>
          </cell>
          <cell r="P33">
            <v>-739</v>
          </cell>
          <cell r="R33">
            <v>920</v>
          </cell>
          <cell r="S33">
            <v>-108</v>
          </cell>
          <cell r="U33">
            <v>1832</v>
          </cell>
          <cell r="V33">
            <v>-128</v>
          </cell>
          <cell r="X33">
            <v>810</v>
          </cell>
          <cell r="Y33">
            <v>-70</v>
          </cell>
        </row>
        <row r="34">
          <cell r="C34">
            <v>13407</v>
          </cell>
          <cell r="D34">
            <v>-1205</v>
          </cell>
          <cell r="F34">
            <v>31840</v>
          </cell>
          <cell r="G34">
            <v>-2158</v>
          </cell>
          <cell r="I34">
            <v>596</v>
          </cell>
          <cell r="J34">
            <v>-1</v>
          </cell>
          <cell r="L34">
            <v>14624</v>
          </cell>
          <cell r="M34">
            <v>-659</v>
          </cell>
          <cell r="O34">
            <v>11336</v>
          </cell>
          <cell r="P34">
            <v>-751</v>
          </cell>
          <cell r="R34">
            <v>927</v>
          </cell>
          <cell r="S34">
            <v>-109</v>
          </cell>
          <cell r="U34">
            <v>1841</v>
          </cell>
          <cell r="V34">
            <v>-131</v>
          </cell>
          <cell r="X34">
            <v>839</v>
          </cell>
          <cell r="Y34">
            <v>-69</v>
          </cell>
        </row>
        <row r="35">
          <cell r="C35">
            <v>13311</v>
          </cell>
          <cell r="D35">
            <v>-1098</v>
          </cell>
          <cell r="F35">
            <v>32461</v>
          </cell>
          <cell r="G35">
            <v>-1937</v>
          </cell>
          <cell r="I35">
            <v>607</v>
          </cell>
          <cell r="J35">
            <v>-1</v>
          </cell>
          <cell r="L35">
            <v>14672</v>
          </cell>
          <cell r="M35">
            <v>-656</v>
          </cell>
          <cell r="O35">
            <v>11336</v>
          </cell>
          <cell r="P35">
            <v>-753</v>
          </cell>
          <cell r="R35">
            <v>923</v>
          </cell>
          <cell r="S35">
            <v>-109</v>
          </cell>
          <cell r="U35">
            <v>1815</v>
          </cell>
          <cell r="V35">
            <v>-123</v>
          </cell>
          <cell r="X35">
            <v>850</v>
          </cell>
          <cell r="Y35">
            <v>-71</v>
          </cell>
        </row>
        <row r="36">
          <cell r="C36">
            <v>13302</v>
          </cell>
          <cell r="D36">
            <v>-1057</v>
          </cell>
          <cell r="F36">
            <v>32455</v>
          </cell>
          <cell r="G36">
            <v>-1800</v>
          </cell>
          <cell r="I36">
            <v>631</v>
          </cell>
          <cell r="J36">
            <v>-1</v>
          </cell>
          <cell r="L36">
            <v>14601</v>
          </cell>
          <cell r="M36">
            <v>-657</v>
          </cell>
          <cell r="O36">
            <v>11336</v>
          </cell>
          <cell r="P36">
            <v>-751</v>
          </cell>
          <cell r="R36">
            <v>852</v>
          </cell>
          <cell r="S36">
            <v>-103</v>
          </cell>
          <cell r="U36">
            <v>1799</v>
          </cell>
          <cell r="V36">
            <v>-121</v>
          </cell>
          <cell r="X36">
            <v>350</v>
          </cell>
          <cell r="Y36">
            <v>-29</v>
          </cell>
        </row>
        <row r="37">
          <cell r="C37">
            <v>13407</v>
          </cell>
          <cell r="D37">
            <v>-870</v>
          </cell>
          <cell r="F37">
            <v>30599</v>
          </cell>
          <cell r="G37">
            <v>-2225</v>
          </cell>
          <cell r="I37">
            <v>619</v>
          </cell>
          <cell r="J37">
            <v>-1</v>
          </cell>
          <cell r="L37">
            <v>14535</v>
          </cell>
          <cell r="M37">
            <v>-656</v>
          </cell>
          <cell r="O37">
            <v>11336</v>
          </cell>
          <cell r="P37">
            <v>-751</v>
          </cell>
          <cell r="R37">
            <v>861</v>
          </cell>
          <cell r="S37">
            <v>-106</v>
          </cell>
          <cell r="U37">
            <v>1794</v>
          </cell>
          <cell r="V37">
            <v>-93</v>
          </cell>
          <cell r="X37">
            <v>684</v>
          </cell>
          <cell r="Y37">
            <v>-62</v>
          </cell>
        </row>
        <row r="38">
          <cell r="C38">
            <v>13302</v>
          </cell>
          <cell r="D38">
            <v>-1235</v>
          </cell>
          <cell r="F38">
            <v>22410</v>
          </cell>
          <cell r="G38">
            <v>-1772</v>
          </cell>
          <cell r="I38">
            <v>630</v>
          </cell>
          <cell r="J38">
            <v>-1</v>
          </cell>
          <cell r="L38">
            <v>14452</v>
          </cell>
          <cell r="M38">
            <v>-650</v>
          </cell>
          <cell r="O38">
            <v>11336</v>
          </cell>
          <cell r="P38">
            <v>-749</v>
          </cell>
          <cell r="R38">
            <v>814</v>
          </cell>
          <cell r="S38">
            <v>-102</v>
          </cell>
          <cell r="U38">
            <v>1810</v>
          </cell>
          <cell r="V38">
            <v>-133</v>
          </cell>
          <cell r="X38">
            <v>734</v>
          </cell>
          <cell r="Y38">
            <v>-65</v>
          </cell>
        </row>
        <row r="39">
          <cell r="C39">
            <v>12820</v>
          </cell>
          <cell r="D39">
            <v>-1058</v>
          </cell>
          <cell r="F39">
            <v>28703</v>
          </cell>
          <cell r="G39">
            <v>-2004</v>
          </cell>
          <cell r="I39">
            <v>616</v>
          </cell>
          <cell r="J39">
            <v>-2</v>
          </cell>
          <cell r="L39">
            <v>14269</v>
          </cell>
          <cell r="M39">
            <v>-667</v>
          </cell>
          <cell r="O39">
            <v>11336</v>
          </cell>
          <cell r="P39">
            <v>-746</v>
          </cell>
          <cell r="R39">
            <v>748</v>
          </cell>
          <cell r="S39">
            <v>-93</v>
          </cell>
          <cell r="U39">
            <v>1785</v>
          </cell>
          <cell r="V39">
            <v>-114</v>
          </cell>
          <cell r="X39">
            <v>306</v>
          </cell>
          <cell r="Y39">
            <v>-33</v>
          </cell>
        </row>
        <row r="40">
          <cell r="C40">
            <v>12733</v>
          </cell>
          <cell r="D40">
            <v>-1075</v>
          </cell>
          <cell r="F40">
            <v>28198</v>
          </cell>
          <cell r="G40">
            <v>-2215</v>
          </cell>
          <cell r="I40">
            <v>204</v>
          </cell>
          <cell r="J40">
            <v>0</v>
          </cell>
          <cell r="L40">
            <v>13915</v>
          </cell>
          <cell r="M40">
            <v>-654</v>
          </cell>
          <cell r="O40">
            <v>11336</v>
          </cell>
          <cell r="P40">
            <v>-758</v>
          </cell>
          <cell r="R40">
            <v>354</v>
          </cell>
          <cell r="S40">
            <v>-75</v>
          </cell>
          <cell r="U40">
            <v>1785</v>
          </cell>
          <cell r="V40">
            <v>-116</v>
          </cell>
          <cell r="X40">
            <v>598</v>
          </cell>
          <cell r="Y40">
            <v>-67</v>
          </cell>
        </row>
        <row r="41">
          <cell r="C41">
            <v>13216</v>
          </cell>
          <cell r="D41">
            <v>-858</v>
          </cell>
          <cell r="F41">
            <v>25473</v>
          </cell>
          <cell r="G41">
            <v>-1642</v>
          </cell>
          <cell r="I41">
            <v>3</v>
          </cell>
          <cell r="J41">
            <v>0</v>
          </cell>
          <cell r="L41">
            <v>12872</v>
          </cell>
          <cell r="M41">
            <v>-658</v>
          </cell>
          <cell r="O41">
            <v>11336</v>
          </cell>
          <cell r="P41">
            <v>-764</v>
          </cell>
          <cell r="R41">
            <v>853</v>
          </cell>
          <cell r="S41">
            <v>-102</v>
          </cell>
          <cell r="U41">
            <v>1777</v>
          </cell>
          <cell r="V41">
            <v>-93</v>
          </cell>
          <cell r="X41">
            <v>784</v>
          </cell>
          <cell r="Y41">
            <v>-76</v>
          </cell>
        </row>
        <row r="42">
          <cell r="C42">
            <v>5514.5</v>
          </cell>
          <cell r="D42">
            <v>-544.5</v>
          </cell>
          <cell r="F42">
            <v>11835.5</v>
          </cell>
          <cell r="G42">
            <v>-1163.5</v>
          </cell>
          <cell r="I42">
            <v>419</v>
          </cell>
          <cell r="J42">
            <v>-1</v>
          </cell>
          <cell r="L42">
            <v>0</v>
          </cell>
          <cell r="M42">
            <v>0</v>
          </cell>
          <cell r="O42">
            <v>3773</v>
          </cell>
          <cell r="P42">
            <v>-255</v>
          </cell>
          <cell r="R42">
            <v>717</v>
          </cell>
          <cell r="S42">
            <v>-88</v>
          </cell>
          <cell r="U42">
            <v>1812</v>
          </cell>
          <cell r="V42">
            <v>-130</v>
          </cell>
          <cell r="X42">
            <v>863</v>
          </cell>
          <cell r="Y42">
            <v>-76</v>
          </cell>
        </row>
        <row r="43">
          <cell r="C43">
            <v>0</v>
          </cell>
          <cell r="D43">
            <v>0</v>
          </cell>
          <cell r="F43">
            <v>0</v>
          </cell>
          <cell r="G43">
            <v>0</v>
          </cell>
          <cell r="I43">
            <v>435</v>
          </cell>
          <cell r="J43">
            <v>-3</v>
          </cell>
          <cell r="L43">
            <v>0</v>
          </cell>
          <cell r="M43">
            <v>0</v>
          </cell>
          <cell r="O43">
            <v>0</v>
          </cell>
          <cell r="P43">
            <v>0</v>
          </cell>
          <cell r="R43">
            <v>770</v>
          </cell>
          <cell r="S43">
            <v>-93</v>
          </cell>
          <cell r="U43">
            <v>1768</v>
          </cell>
          <cell r="V43">
            <v>-123</v>
          </cell>
          <cell r="X43">
            <v>779</v>
          </cell>
          <cell r="Y43">
            <v>-73</v>
          </cell>
        </row>
      </sheetData>
      <sheetData sheetId="1">
        <row r="17">
          <cell r="C17">
            <v>376951</v>
          </cell>
          <cell r="G17">
            <v>177166.97</v>
          </cell>
        </row>
        <row r="18">
          <cell r="C18">
            <v>824501</v>
          </cell>
          <cell r="G18">
            <v>502945.61</v>
          </cell>
        </row>
        <row r="19">
          <cell r="C19">
            <v>11907</v>
          </cell>
          <cell r="G19">
            <v>5709.7950000000001</v>
          </cell>
        </row>
        <row r="20">
          <cell r="G20">
            <v>0</v>
          </cell>
        </row>
        <row r="21">
          <cell r="C21">
            <v>386901</v>
          </cell>
          <cell r="G21">
            <v>144520.6</v>
          </cell>
        </row>
        <row r="23">
          <cell r="B23" t="str">
            <v>Facility Fee</v>
          </cell>
          <cell r="G23">
            <v>0</v>
          </cell>
        </row>
        <row r="25">
          <cell r="C25">
            <v>321181</v>
          </cell>
          <cell r="G25">
            <v>153137.70000000001</v>
          </cell>
        </row>
        <row r="26">
          <cell r="C26">
            <v>23734</v>
          </cell>
          <cell r="G26">
            <v>13867.36</v>
          </cell>
        </row>
        <row r="27">
          <cell r="C27">
            <v>52872</v>
          </cell>
          <cell r="G27">
            <v>22215.96</v>
          </cell>
        </row>
        <row r="28">
          <cell r="C28">
            <v>22427</v>
          </cell>
          <cell r="G28">
            <v>11595.38</v>
          </cell>
        </row>
        <row r="30">
          <cell r="C30">
            <v>20020</v>
          </cell>
          <cell r="G30">
            <v>2839.2</v>
          </cell>
        </row>
        <row r="31">
          <cell r="G31">
            <v>10193.82</v>
          </cell>
        </row>
        <row r="32">
          <cell r="G32">
            <v>1010.68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7" Type="http://schemas.openxmlformats.org/officeDocument/2006/relationships/image" Target="../media/image1.emf"/><Relationship Id="rId2" Type="http://schemas.openxmlformats.org/officeDocument/2006/relationships/hyperlink" Target="mailto:rosco@cyberhighway.net" TargetMode="External"/><Relationship Id="rId1" Type="http://schemas.openxmlformats.org/officeDocument/2006/relationships/hyperlink" Target="mailto:wnicholson@quantumenergyllc.com" TargetMode="External"/><Relationship Id="rId6" Type="http://schemas.openxmlformats.org/officeDocument/2006/relationships/oleObject" Target="../embeddings/oleObject18.bin"/><Relationship Id="rId5" Type="http://schemas.openxmlformats.org/officeDocument/2006/relationships/vmlDrawing" Target="../drawings/vmlDrawing12.vml"/><Relationship Id="rId4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0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4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5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5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1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1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38"/>
  <sheetViews>
    <sheetView showGridLines="0" zoomScale="75" workbookViewId="0">
      <selection activeCell="I41" sqref="I41"/>
    </sheetView>
  </sheetViews>
  <sheetFormatPr defaultRowHeight="13.2" x14ac:dyDescent="0.25"/>
  <cols>
    <col min="1" max="1" width="15.88671875" bestFit="1" customWidth="1"/>
    <col min="2" max="2" width="12.33203125" style="3" bestFit="1" customWidth="1"/>
    <col min="5" max="5" width="22.109375" bestFit="1" customWidth="1"/>
    <col min="8" max="8" width="18" bestFit="1" customWidth="1"/>
  </cols>
  <sheetData>
    <row r="1" spans="1:16" ht="17.399999999999999" x14ac:dyDescent="0.3">
      <c r="A1" s="120">
        <v>37196</v>
      </c>
      <c r="B1" s="149">
        <f ca="1">NOW()</f>
        <v>37238.587624189815</v>
      </c>
    </row>
    <row r="3" spans="1:16" x14ac:dyDescent="0.25">
      <c r="A3" t="s">
        <v>0</v>
      </c>
      <c r="B3" s="211">
        <v>2.54</v>
      </c>
      <c r="E3" s="48" t="s">
        <v>258</v>
      </c>
      <c r="F3" s="218">
        <v>6.7999999999999996E-3</v>
      </c>
      <c r="H3" s="48" t="s">
        <v>259</v>
      </c>
      <c r="I3" s="218">
        <v>1E-3</v>
      </c>
    </row>
    <row r="4" spans="1:16" x14ac:dyDescent="0.25">
      <c r="A4" t="s">
        <v>1</v>
      </c>
      <c r="B4" s="211">
        <v>3.04</v>
      </c>
      <c r="E4" s="48" t="s">
        <v>257</v>
      </c>
      <c r="F4" s="154">
        <v>36861</v>
      </c>
      <c r="H4" s="48" t="s">
        <v>257</v>
      </c>
      <c r="I4" s="154">
        <v>36982</v>
      </c>
    </row>
    <row r="6" spans="1:16" x14ac:dyDescent="0.25">
      <c r="A6" t="s">
        <v>2</v>
      </c>
    </row>
    <row r="7" spans="1:16" x14ac:dyDescent="0.25">
      <c r="A7" s="5">
        <f>+A1</f>
        <v>37196</v>
      </c>
      <c r="B7" s="152">
        <v>2.67</v>
      </c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</row>
    <row r="8" spans="1:16" x14ac:dyDescent="0.25">
      <c r="A8" s="5">
        <f>+A7+1</f>
        <v>37197</v>
      </c>
      <c r="B8" s="152">
        <v>2.36</v>
      </c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</row>
    <row r="9" spans="1:16" x14ac:dyDescent="0.25">
      <c r="A9" s="5">
        <f t="shared" ref="A9:A34" si="0">+A8+1</f>
        <v>37198</v>
      </c>
      <c r="B9" s="152">
        <v>2.0150000000000001</v>
      </c>
      <c r="D9" s="152"/>
      <c r="E9" s="152"/>
      <c r="F9" s="152"/>
      <c r="G9" s="152"/>
    </row>
    <row r="10" spans="1:16" x14ac:dyDescent="0.25">
      <c r="A10" s="5">
        <f t="shared" si="0"/>
        <v>37199</v>
      </c>
      <c r="B10" s="152">
        <v>2.0150000000000001</v>
      </c>
    </row>
    <row r="11" spans="1:16" x14ac:dyDescent="0.25">
      <c r="A11" s="5">
        <f t="shared" si="0"/>
        <v>37200</v>
      </c>
      <c r="B11" s="152">
        <v>2.0150000000000001</v>
      </c>
    </row>
    <row r="12" spans="1:16" x14ac:dyDescent="0.25">
      <c r="A12" s="5">
        <f t="shared" si="0"/>
        <v>37201</v>
      </c>
      <c r="B12" s="152">
        <v>2.16</v>
      </c>
    </row>
    <row r="13" spans="1:16" x14ac:dyDescent="0.25">
      <c r="A13" s="5">
        <f t="shared" si="0"/>
        <v>37202</v>
      </c>
      <c r="B13" s="152">
        <v>2.1349999999999998</v>
      </c>
    </row>
    <row r="14" spans="1:16" x14ac:dyDescent="0.25">
      <c r="A14" s="5">
        <f t="shared" si="0"/>
        <v>37203</v>
      </c>
      <c r="B14" s="152">
        <v>2.13</v>
      </c>
    </row>
    <row r="15" spans="1:16" x14ac:dyDescent="0.25">
      <c r="A15" s="5">
        <f t="shared" si="0"/>
        <v>37204</v>
      </c>
      <c r="B15" s="152">
        <v>1.9350000000000001</v>
      </c>
    </row>
    <row r="16" spans="1:16" x14ac:dyDescent="0.25">
      <c r="A16" s="5">
        <f t="shared" si="0"/>
        <v>37205</v>
      </c>
      <c r="B16" s="152">
        <v>1.7</v>
      </c>
    </row>
    <row r="17" spans="1:2" x14ac:dyDescent="0.25">
      <c r="A17" s="5">
        <f t="shared" si="0"/>
        <v>37206</v>
      </c>
      <c r="B17" s="152">
        <v>1.7</v>
      </c>
    </row>
    <row r="18" spans="1:2" x14ac:dyDescent="0.25">
      <c r="A18" s="5">
        <f t="shared" si="0"/>
        <v>37207</v>
      </c>
      <c r="B18" s="152">
        <v>1.7</v>
      </c>
    </row>
    <row r="19" spans="1:2" x14ac:dyDescent="0.25">
      <c r="A19" s="5">
        <f t="shared" si="0"/>
        <v>37208</v>
      </c>
      <c r="B19" s="152">
        <v>1.52</v>
      </c>
    </row>
    <row r="20" spans="1:2" x14ac:dyDescent="0.25">
      <c r="A20" s="5">
        <f t="shared" si="0"/>
        <v>37209</v>
      </c>
      <c r="B20" s="152">
        <v>1.595</v>
      </c>
    </row>
    <row r="21" spans="1:2" x14ac:dyDescent="0.25">
      <c r="A21" s="5">
        <f t="shared" si="0"/>
        <v>37210</v>
      </c>
      <c r="B21" s="152">
        <v>1.84</v>
      </c>
    </row>
    <row r="22" spans="1:2" x14ac:dyDescent="0.25">
      <c r="A22" s="5">
        <f t="shared" si="0"/>
        <v>37211</v>
      </c>
      <c r="B22" s="152">
        <v>1.4350000000000001</v>
      </c>
    </row>
    <row r="23" spans="1:2" x14ac:dyDescent="0.25">
      <c r="A23" s="5">
        <f t="shared" si="0"/>
        <v>37212</v>
      </c>
      <c r="B23" s="152">
        <v>1.135</v>
      </c>
    </row>
    <row r="24" spans="1:2" x14ac:dyDescent="0.25">
      <c r="A24" s="5">
        <f t="shared" si="0"/>
        <v>37213</v>
      </c>
      <c r="B24" s="152">
        <v>1.135</v>
      </c>
    </row>
    <row r="25" spans="1:2" x14ac:dyDescent="0.25">
      <c r="A25" s="5">
        <f t="shared" si="0"/>
        <v>37214</v>
      </c>
      <c r="B25" s="152">
        <v>1.135</v>
      </c>
    </row>
    <row r="26" spans="1:2" x14ac:dyDescent="0.25">
      <c r="A26" s="5">
        <f t="shared" si="0"/>
        <v>37215</v>
      </c>
      <c r="B26" s="152">
        <v>1.5349999999999999</v>
      </c>
    </row>
    <row r="27" spans="1:2" x14ac:dyDescent="0.25">
      <c r="A27" s="5">
        <f t="shared" si="0"/>
        <v>37216</v>
      </c>
      <c r="B27" s="152">
        <v>2.2050000000000001</v>
      </c>
    </row>
    <row r="28" spans="1:2" x14ac:dyDescent="0.25">
      <c r="A28" s="5">
        <f t="shared" si="0"/>
        <v>37217</v>
      </c>
      <c r="B28" s="152">
        <v>1.43</v>
      </c>
    </row>
    <row r="29" spans="1:2" x14ac:dyDescent="0.25">
      <c r="A29" s="5">
        <f t="shared" si="0"/>
        <v>37218</v>
      </c>
      <c r="B29" s="152">
        <v>1.43</v>
      </c>
    </row>
    <row r="30" spans="1:2" x14ac:dyDescent="0.25">
      <c r="A30" s="5">
        <f t="shared" si="0"/>
        <v>37219</v>
      </c>
      <c r="B30" s="152">
        <v>1.43</v>
      </c>
    </row>
    <row r="31" spans="1:2" x14ac:dyDescent="0.25">
      <c r="A31" s="5">
        <f t="shared" si="0"/>
        <v>37220</v>
      </c>
      <c r="B31" s="152">
        <v>1.43</v>
      </c>
    </row>
    <row r="32" spans="1:2" x14ac:dyDescent="0.25">
      <c r="A32" s="5">
        <f t="shared" si="0"/>
        <v>37221</v>
      </c>
      <c r="B32" s="152">
        <v>1.43</v>
      </c>
    </row>
    <row r="33" spans="1:2" x14ac:dyDescent="0.25">
      <c r="A33" s="5">
        <f t="shared" si="0"/>
        <v>37222</v>
      </c>
      <c r="B33" s="152">
        <v>1.88</v>
      </c>
    </row>
    <row r="34" spans="1:2" x14ac:dyDescent="0.25">
      <c r="A34" s="5">
        <f t="shared" si="0"/>
        <v>37223</v>
      </c>
      <c r="B34" s="152">
        <v>2.16</v>
      </c>
    </row>
    <row r="35" spans="1:2" x14ac:dyDescent="0.25">
      <c r="A35" s="5">
        <f>+A34+1</f>
        <v>37224</v>
      </c>
      <c r="B35" s="548">
        <v>2.38</v>
      </c>
    </row>
    <row r="36" spans="1:2" x14ac:dyDescent="0.25">
      <c r="A36" s="5">
        <f>+A35+1</f>
        <v>37225</v>
      </c>
      <c r="B36" s="548">
        <v>2.0249999999999999</v>
      </c>
    </row>
    <row r="37" spans="1:2" x14ac:dyDescent="0.25">
      <c r="A37" s="5"/>
      <c r="B37" s="548"/>
    </row>
    <row r="38" spans="1:2" x14ac:dyDescent="0.25">
      <c r="B38" s="570">
        <f>SUM(B7:B37)/30</f>
        <v>1.7888333333333331</v>
      </c>
    </row>
  </sheetData>
  <phoneticPr fontId="0" type="noConversion"/>
  <pageMargins left="0.75" right="0.75" top="1" bottom="1" header="0.5" footer="0.5"/>
  <pageSetup scale="98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R52"/>
  <sheetViews>
    <sheetView showGridLines="0" zoomScale="75" workbookViewId="0">
      <selection activeCell="J10" sqref="J10"/>
    </sheetView>
  </sheetViews>
  <sheetFormatPr defaultRowHeight="13.2" x14ac:dyDescent="0.25"/>
  <cols>
    <col min="1" max="1" width="24.88671875" bestFit="1" customWidth="1"/>
    <col min="2" max="2" width="15.5546875" bestFit="1" customWidth="1"/>
    <col min="3" max="3" width="19.6640625" bestFit="1" customWidth="1"/>
    <col min="4" max="4" width="17.5546875" customWidth="1"/>
    <col min="5" max="5" width="20.44140625" customWidth="1"/>
    <col min="6" max="6" width="9.88671875" customWidth="1"/>
    <col min="7" max="7" width="15.5546875" bestFit="1" customWidth="1"/>
    <col min="8" max="8" width="21.88671875" bestFit="1" customWidth="1"/>
    <col min="9" max="9" width="12.109375" bestFit="1" customWidth="1"/>
    <col min="10" max="10" width="19" bestFit="1" customWidth="1"/>
    <col min="11" max="11" width="17" bestFit="1" customWidth="1"/>
    <col min="12" max="12" width="19" bestFit="1" customWidth="1"/>
  </cols>
  <sheetData>
    <row r="1" spans="1:18" x14ac:dyDescent="0.25">
      <c r="A1" s="7" t="s">
        <v>68</v>
      </c>
      <c r="B1" s="7" t="s">
        <v>392</v>
      </c>
      <c r="C1" s="7"/>
      <c r="F1" t="s">
        <v>195</v>
      </c>
      <c r="L1" s="149">
        <f ca="1">NOW()</f>
        <v>37238.587624189815</v>
      </c>
    </row>
    <row r="2" spans="1:18" x14ac:dyDescent="0.25">
      <c r="A2" s="8">
        <f>+'Index Pricing'!A1</f>
        <v>37196</v>
      </c>
      <c r="B2" s="7" t="s">
        <v>36</v>
      </c>
      <c r="C2" s="7" t="s">
        <v>173</v>
      </c>
    </row>
    <row r="3" spans="1:18" x14ac:dyDescent="0.25">
      <c r="A3" s="1"/>
      <c r="B3" s="7" t="s">
        <v>37</v>
      </c>
      <c r="C3" s="7" t="s">
        <v>69</v>
      </c>
      <c r="F3" t="s">
        <v>41</v>
      </c>
      <c r="I3" t="s">
        <v>42</v>
      </c>
    </row>
    <row r="4" spans="1:18" x14ac:dyDescent="0.25">
      <c r="A4" s="1"/>
      <c r="F4" s="7"/>
      <c r="G4" s="7"/>
      <c r="H4" s="7"/>
    </row>
    <row r="5" spans="1:18" x14ac:dyDescent="0.25">
      <c r="A5" s="1" t="s">
        <v>63</v>
      </c>
      <c r="B5" s="169">
        <v>662</v>
      </c>
      <c r="F5" s="7"/>
      <c r="G5" s="7"/>
      <c r="H5" s="7"/>
    </row>
    <row r="6" spans="1:18" x14ac:dyDescent="0.25">
      <c r="A6" s="1" t="s">
        <v>5</v>
      </c>
      <c r="B6">
        <f>'[1]Enron Detail'!$I$9</f>
        <v>0.92798690671031092</v>
      </c>
    </row>
    <row r="7" spans="1:18" x14ac:dyDescent="0.25">
      <c r="A7" s="1" t="s">
        <v>237</v>
      </c>
      <c r="B7" s="4">
        <v>0.44500000000000001</v>
      </c>
      <c r="C7" t="s">
        <v>8</v>
      </c>
    </row>
    <row r="8" spans="1:18" x14ac:dyDescent="0.25">
      <c r="A8" s="1" t="str">
        <f>+'Index Pricing'!A3</f>
        <v>IF CIG Rockies</v>
      </c>
      <c r="B8" s="2">
        <f>+'Index Pricing'!B3</f>
        <v>2.54</v>
      </c>
    </row>
    <row r="9" spans="1:18" ht="13.8" thickBot="1" x14ac:dyDescent="0.3">
      <c r="A9" s="1"/>
    </row>
    <row r="10" spans="1:18" s="67" customFormat="1" ht="26.4" x14ac:dyDescent="0.25">
      <c r="A10" s="225"/>
      <c r="B10" s="226"/>
      <c r="C10" s="226"/>
      <c r="D10" s="210" t="s">
        <v>238</v>
      </c>
      <c r="E10" s="226"/>
      <c r="F10" s="226"/>
      <c r="G10" s="210" t="s">
        <v>216</v>
      </c>
      <c r="H10" s="227" t="s">
        <v>9</v>
      </c>
    </row>
    <row r="11" spans="1:18" x14ac:dyDescent="0.25">
      <c r="A11" s="192" t="s">
        <v>4</v>
      </c>
      <c r="B11" s="191" t="s">
        <v>11</v>
      </c>
      <c r="C11" s="190"/>
      <c r="D11" s="191">
        <f>-B7/B6</f>
        <v>-0.47953262786596124</v>
      </c>
      <c r="E11" s="191"/>
      <c r="F11" s="191"/>
      <c r="G11" s="191">
        <f>-H48*D11/(D48+F48)</f>
        <v>-9.6850821078709663E-4</v>
      </c>
      <c r="H11" s="193">
        <f>ROUND(SUM(C11:G11),4)</f>
        <v>-0.48049999999999998</v>
      </c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ht="13.8" thickBot="1" x14ac:dyDescent="0.3">
      <c r="A12" s="194"/>
      <c r="B12" s="195" t="s">
        <v>60</v>
      </c>
      <c r="C12" s="196"/>
      <c r="D12" s="195">
        <f>-B7/B6</f>
        <v>-0.47953262786596124</v>
      </c>
      <c r="E12" s="195"/>
      <c r="F12" s="195"/>
      <c r="G12" s="195">
        <f>+G11</f>
        <v>-9.6850821078709663E-4</v>
      </c>
      <c r="H12" s="197">
        <f>ROUND(SUM(C12:G12),4)</f>
        <v>-0.48049999999999998</v>
      </c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ht="13.8" thickBot="1" x14ac:dyDescent="0.3"/>
    <row r="14" spans="1:18" ht="39.6" x14ac:dyDescent="0.25">
      <c r="A14" t="s">
        <v>10</v>
      </c>
      <c r="B14" t="s">
        <v>3</v>
      </c>
      <c r="C14" s="24" t="s">
        <v>61</v>
      </c>
      <c r="D14" s="40" t="s">
        <v>31</v>
      </c>
      <c r="E14" s="20" t="s">
        <v>70</v>
      </c>
      <c r="F14" s="17" t="s">
        <v>33</v>
      </c>
      <c r="G14" s="41"/>
      <c r="H14" s="6" t="s">
        <v>35</v>
      </c>
      <c r="I14" s="6" t="s">
        <v>34</v>
      </c>
      <c r="J14" s="75" t="s">
        <v>116</v>
      </c>
      <c r="K14" s="17" t="s">
        <v>118</v>
      </c>
      <c r="L14" s="9" t="s">
        <v>26</v>
      </c>
    </row>
    <row r="15" spans="1:18" x14ac:dyDescent="0.25">
      <c r="C15" s="21"/>
      <c r="D15" s="41"/>
      <c r="E15" s="21" t="s">
        <v>22</v>
      </c>
      <c r="F15" s="70">
        <v>0.5</v>
      </c>
      <c r="G15" s="41"/>
      <c r="H15" s="6"/>
      <c r="I15" s="6"/>
      <c r="J15" s="14"/>
      <c r="K15" s="12"/>
      <c r="L15" s="9"/>
    </row>
    <row r="16" spans="1:18" x14ac:dyDescent="0.25">
      <c r="A16" s="5">
        <f>+'Index Pricing'!A7</f>
        <v>37196</v>
      </c>
      <c r="B16" s="4">
        <f>+'Index Pricing'!B7</f>
        <v>2.67</v>
      </c>
      <c r="C16" s="22">
        <f t="shared" ref="C16:C45" si="0">+B16+$H$11</f>
        <v>2.1894999999999998</v>
      </c>
      <c r="D16" s="42">
        <f>+I16+H16-F16</f>
        <v>166</v>
      </c>
      <c r="E16" s="22">
        <f t="shared" ref="E16:E45" si="1">+$B$8+$H$12</f>
        <v>2.0594999999999999</v>
      </c>
      <c r="F16" s="27">
        <f>ROUND(IF(I16+H16&gt;$F$15*$B$5,$F$15*$B$5,I16+H16),0)</f>
        <v>331</v>
      </c>
      <c r="G16" s="43"/>
      <c r="H16" s="19">
        <f>'[1]Enron Detail'!J14</f>
        <v>-1</v>
      </c>
      <c r="I16" s="38">
        <f>'[1]Enron Detail'!I14</f>
        <v>498</v>
      </c>
      <c r="J16" s="76">
        <f>+C16*D16</f>
        <v>363.45699999999994</v>
      </c>
      <c r="K16" s="77">
        <f>+E16*F16</f>
        <v>681.69449999999995</v>
      </c>
      <c r="L16" s="2">
        <f>+D16*C16+E16*F16</f>
        <v>1045.1514999999999</v>
      </c>
    </row>
    <row r="17" spans="1:12" x14ac:dyDescent="0.25">
      <c r="A17" s="5">
        <f>+'Index Pricing'!A8</f>
        <v>37197</v>
      </c>
      <c r="B17" s="4">
        <f>+'Index Pricing'!B8</f>
        <v>2.36</v>
      </c>
      <c r="C17" s="22">
        <f t="shared" si="0"/>
        <v>1.8794999999999999</v>
      </c>
      <c r="D17" s="42">
        <f t="shared" ref="D17:D43" si="2">+I17+H17-F17</f>
        <v>131</v>
      </c>
      <c r="E17" s="22">
        <f t="shared" si="1"/>
        <v>2.0594999999999999</v>
      </c>
      <c r="F17" s="27">
        <f t="shared" ref="F17:F47" si="3">ROUND(IF(I17+H17&gt;$F$15*$B$5,$F$15*$B$5,I17+H17),0)</f>
        <v>331</v>
      </c>
      <c r="G17" s="43"/>
      <c r="H17" s="19">
        <f>'[1]Enron Detail'!J15</f>
        <v>-1</v>
      </c>
      <c r="I17" s="38">
        <f>'[1]Enron Detail'!I15</f>
        <v>463</v>
      </c>
      <c r="J17" s="76">
        <f t="shared" ref="J17:J43" si="4">+C17*D17</f>
        <v>246.21449999999999</v>
      </c>
      <c r="K17" s="77">
        <f t="shared" ref="K17:K43" si="5">+E17*F17</f>
        <v>681.69449999999995</v>
      </c>
      <c r="L17" s="2">
        <f t="shared" ref="L17:L43" si="6">+D17*C17+E17*F17</f>
        <v>927.90899999999988</v>
      </c>
    </row>
    <row r="18" spans="1:12" x14ac:dyDescent="0.25">
      <c r="A18" s="5">
        <f>+'Index Pricing'!A9</f>
        <v>37198</v>
      </c>
      <c r="B18" s="4">
        <f>+'Index Pricing'!B9</f>
        <v>2.0150000000000001</v>
      </c>
      <c r="C18" s="22">
        <f t="shared" si="0"/>
        <v>1.5345000000000002</v>
      </c>
      <c r="D18" s="42">
        <f t="shared" si="2"/>
        <v>123</v>
      </c>
      <c r="E18" s="22">
        <f t="shared" si="1"/>
        <v>2.0594999999999999</v>
      </c>
      <c r="F18" s="27">
        <f t="shared" si="3"/>
        <v>331</v>
      </c>
      <c r="G18" s="43"/>
      <c r="H18" s="19">
        <f>'[1]Enron Detail'!J16</f>
        <v>-1</v>
      </c>
      <c r="I18" s="38">
        <f>'[1]Enron Detail'!I16</f>
        <v>455</v>
      </c>
      <c r="J18" s="76">
        <f t="shared" si="4"/>
        <v>188.74350000000001</v>
      </c>
      <c r="K18" s="77">
        <f t="shared" si="5"/>
        <v>681.69449999999995</v>
      </c>
      <c r="L18" s="2">
        <f t="shared" si="6"/>
        <v>870.43799999999999</v>
      </c>
    </row>
    <row r="19" spans="1:12" x14ac:dyDescent="0.25">
      <c r="A19" s="5">
        <f>+'Index Pricing'!A10</f>
        <v>37199</v>
      </c>
      <c r="B19" s="4">
        <f>+'Index Pricing'!B10</f>
        <v>2.0150000000000001</v>
      </c>
      <c r="C19" s="22">
        <f t="shared" si="0"/>
        <v>1.5345000000000002</v>
      </c>
      <c r="D19" s="42">
        <f t="shared" si="2"/>
        <v>0</v>
      </c>
      <c r="E19" s="22">
        <f t="shared" si="1"/>
        <v>2.0594999999999999</v>
      </c>
      <c r="F19" s="27">
        <f t="shared" si="3"/>
        <v>17</v>
      </c>
      <c r="G19" s="43"/>
      <c r="H19" s="19">
        <f>'[1]Enron Detail'!J17</f>
        <v>0</v>
      </c>
      <c r="I19" s="38">
        <f>'[1]Enron Detail'!I17</f>
        <v>17</v>
      </c>
      <c r="J19" s="76">
        <f t="shared" si="4"/>
        <v>0</v>
      </c>
      <c r="K19" s="77">
        <f t="shared" si="5"/>
        <v>35.011499999999998</v>
      </c>
      <c r="L19" s="2">
        <f t="shared" si="6"/>
        <v>35.011499999999998</v>
      </c>
    </row>
    <row r="20" spans="1:12" x14ac:dyDescent="0.25">
      <c r="A20" s="5">
        <f>+'Index Pricing'!A11</f>
        <v>37200</v>
      </c>
      <c r="B20" s="4">
        <f>+'Index Pricing'!B11</f>
        <v>2.0150000000000001</v>
      </c>
      <c r="C20" s="22">
        <f t="shared" si="0"/>
        <v>1.5345000000000002</v>
      </c>
      <c r="D20" s="42">
        <f t="shared" si="2"/>
        <v>0</v>
      </c>
      <c r="E20" s="22">
        <f t="shared" si="1"/>
        <v>2.0594999999999999</v>
      </c>
      <c r="F20" s="27">
        <f t="shared" si="3"/>
        <v>1</v>
      </c>
      <c r="G20" s="43"/>
      <c r="H20" s="19">
        <f>'[1]Enron Detail'!J18</f>
        <v>0</v>
      </c>
      <c r="I20" s="38">
        <f>'[1]Enron Detail'!I18</f>
        <v>1</v>
      </c>
      <c r="J20" s="76">
        <f t="shared" si="4"/>
        <v>0</v>
      </c>
      <c r="K20" s="77">
        <f t="shared" si="5"/>
        <v>2.0594999999999999</v>
      </c>
      <c r="L20" s="2">
        <f t="shared" si="6"/>
        <v>2.0594999999999999</v>
      </c>
    </row>
    <row r="21" spans="1:12" x14ac:dyDescent="0.25">
      <c r="A21" s="5">
        <f>+'Index Pricing'!A12</f>
        <v>37201</v>
      </c>
      <c r="B21" s="4">
        <f>+'Index Pricing'!B12</f>
        <v>2.16</v>
      </c>
      <c r="C21" s="22">
        <f t="shared" si="0"/>
        <v>1.6795000000000002</v>
      </c>
      <c r="D21" s="42">
        <f t="shared" si="2"/>
        <v>59</v>
      </c>
      <c r="E21" s="22">
        <f t="shared" si="1"/>
        <v>2.0594999999999999</v>
      </c>
      <c r="F21" s="27">
        <f t="shared" si="3"/>
        <v>331</v>
      </c>
      <c r="G21" s="43"/>
      <c r="H21" s="19">
        <f>'[1]Enron Detail'!J19</f>
        <v>-1</v>
      </c>
      <c r="I21" s="38">
        <f>'[1]Enron Detail'!I19</f>
        <v>391</v>
      </c>
      <c r="J21" s="76">
        <f t="shared" si="4"/>
        <v>99.090500000000006</v>
      </c>
      <c r="K21" s="77">
        <f t="shared" si="5"/>
        <v>681.69449999999995</v>
      </c>
      <c r="L21" s="2">
        <f t="shared" si="6"/>
        <v>780.78499999999997</v>
      </c>
    </row>
    <row r="22" spans="1:12" x14ac:dyDescent="0.25">
      <c r="A22" s="5">
        <f>+'Index Pricing'!A13</f>
        <v>37202</v>
      </c>
      <c r="B22" s="4">
        <f>+'Index Pricing'!B13</f>
        <v>2.1349999999999998</v>
      </c>
      <c r="C22" s="22">
        <f t="shared" si="0"/>
        <v>1.6544999999999999</v>
      </c>
      <c r="D22" s="42">
        <f t="shared" si="2"/>
        <v>379</v>
      </c>
      <c r="E22" s="22">
        <f t="shared" si="1"/>
        <v>2.0594999999999999</v>
      </c>
      <c r="F22" s="27">
        <f t="shared" si="3"/>
        <v>331</v>
      </c>
      <c r="G22" s="43"/>
      <c r="H22" s="19">
        <f>'[1]Enron Detail'!J20</f>
        <v>-1</v>
      </c>
      <c r="I22" s="38">
        <f>'[1]Enron Detail'!I20</f>
        <v>711</v>
      </c>
      <c r="J22" s="76">
        <f t="shared" si="4"/>
        <v>627.05549999999994</v>
      </c>
      <c r="K22" s="77">
        <f t="shared" si="5"/>
        <v>681.69449999999995</v>
      </c>
      <c r="L22" s="2">
        <f t="shared" si="6"/>
        <v>1308.75</v>
      </c>
    </row>
    <row r="23" spans="1:12" x14ac:dyDescent="0.25">
      <c r="A23" s="5">
        <f>+'Index Pricing'!A14</f>
        <v>37203</v>
      </c>
      <c r="B23" s="4">
        <f>+'Index Pricing'!B14</f>
        <v>2.13</v>
      </c>
      <c r="C23" s="22">
        <f t="shared" si="0"/>
        <v>1.6495</v>
      </c>
      <c r="D23" s="42">
        <f t="shared" si="2"/>
        <v>288</v>
      </c>
      <c r="E23" s="22">
        <f t="shared" si="1"/>
        <v>2.0594999999999999</v>
      </c>
      <c r="F23" s="27">
        <f t="shared" si="3"/>
        <v>331</v>
      </c>
      <c r="G23" s="43"/>
      <c r="H23" s="19">
        <f>'[1]Enron Detail'!J21</f>
        <v>-1</v>
      </c>
      <c r="I23" s="38">
        <f>'[1]Enron Detail'!I21</f>
        <v>620</v>
      </c>
      <c r="J23" s="76">
        <f t="shared" si="4"/>
        <v>475.05599999999998</v>
      </c>
      <c r="K23" s="77">
        <f t="shared" si="5"/>
        <v>681.69449999999995</v>
      </c>
      <c r="L23" s="2">
        <f t="shared" si="6"/>
        <v>1156.7504999999999</v>
      </c>
    </row>
    <row r="24" spans="1:12" x14ac:dyDescent="0.25">
      <c r="A24" s="5">
        <f>+'Index Pricing'!A15</f>
        <v>37204</v>
      </c>
      <c r="B24" s="4">
        <f>+'Index Pricing'!B15</f>
        <v>1.9350000000000001</v>
      </c>
      <c r="C24" s="22">
        <f t="shared" si="0"/>
        <v>1.4545000000000001</v>
      </c>
      <c r="D24" s="42">
        <f t="shared" si="2"/>
        <v>0</v>
      </c>
      <c r="E24" s="22">
        <f t="shared" si="1"/>
        <v>2.0594999999999999</v>
      </c>
      <c r="F24" s="27">
        <f t="shared" si="3"/>
        <v>101</v>
      </c>
      <c r="G24" s="43"/>
      <c r="H24" s="19">
        <f>'[1]Enron Detail'!J22</f>
        <v>0</v>
      </c>
      <c r="I24" s="38">
        <f>'[1]Enron Detail'!I22</f>
        <v>101</v>
      </c>
      <c r="J24" s="76">
        <f t="shared" si="4"/>
        <v>0</v>
      </c>
      <c r="K24" s="77">
        <f t="shared" si="5"/>
        <v>208.0095</v>
      </c>
      <c r="L24" s="2">
        <f t="shared" si="6"/>
        <v>208.0095</v>
      </c>
    </row>
    <row r="25" spans="1:12" x14ac:dyDescent="0.25">
      <c r="A25" s="5">
        <f>+'Index Pricing'!A16</f>
        <v>37205</v>
      </c>
      <c r="B25" s="4">
        <f>+'Index Pricing'!B16</f>
        <v>1.7</v>
      </c>
      <c r="C25" s="22">
        <f t="shared" si="0"/>
        <v>1.2195</v>
      </c>
      <c r="D25" s="42">
        <f t="shared" si="2"/>
        <v>0</v>
      </c>
      <c r="E25" s="22">
        <f t="shared" si="1"/>
        <v>2.0594999999999999</v>
      </c>
      <c r="F25" s="27">
        <f t="shared" si="3"/>
        <v>0</v>
      </c>
      <c r="G25" s="43"/>
      <c r="H25" s="19">
        <f>'[1]Enron Detail'!J23</f>
        <v>0</v>
      </c>
      <c r="I25" s="38">
        <f>'[1]Enron Detail'!I23</f>
        <v>0</v>
      </c>
      <c r="J25" s="76">
        <f t="shared" si="4"/>
        <v>0</v>
      </c>
      <c r="K25" s="77">
        <f t="shared" si="5"/>
        <v>0</v>
      </c>
      <c r="L25" s="2">
        <f t="shared" si="6"/>
        <v>0</v>
      </c>
    </row>
    <row r="26" spans="1:12" x14ac:dyDescent="0.25">
      <c r="A26" s="5">
        <f>+'Index Pricing'!A17</f>
        <v>37206</v>
      </c>
      <c r="B26" s="4">
        <f>+'Index Pricing'!B17</f>
        <v>1.7</v>
      </c>
      <c r="C26" s="22">
        <f t="shared" si="0"/>
        <v>1.2195</v>
      </c>
      <c r="D26" s="42">
        <f t="shared" si="2"/>
        <v>0</v>
      </c>
      <c r="E26" s="22">
        <f t="shared" si="1"/>
        <v>2.0594999999999999</v>
      </c>
      <c r="F26" s="27">
        <f t="shared" si="3"/>
        <v>0</v>
      </c>
      <c r="G26" s="43"/>
      <c r="H26" s="19">
        <f>'[1]Enron Detail'!J24</f>
        <v>0</v>
      </c>
      <c r="I26" s="38">
        <f>'[1]Enron Detail'!I24</f>
        <v>0</v>
      </c>
      <c r="J26" s="76">
        <f t="shared" si="4"/>
        <v>0</v>
      </c>
      <c r="K26" s="77">
        <f t="shared" si="5"/>
        <v>0</v>
      </c>
      <c r="L26" s="2">
        <f t="shared" si="6"/>
        <v>0</v>
      </c>
    </row>
    <row r="27" spans="1:12" x14ac:dyDescent="0.25">
      <c r="A27" s="5">
        <f>+'Index Pricing'!A18</f>
        <v>37207</v>
      </c>
      <c r="B27" s="4">
        <f>+'Index Pricing'!B18</f>
        <v>1.7</v>
      </c>
      <c r="C27" s="22">
        <f t="shared" si="0"/>
        <v>1.2195</v>
      </c>
      <c r="D27" s="42">
        <f t="shared" si="2"/>
        <v>0</v>
      </c>
      <c r="E27" s="22">
        <f t="shared" si="1"/>
        <v>2.0594999999999999</v>
      </c>
      <c r="F27" s="27">
        <f t="shared" si="3"/>
        <v>0</v>
      </c>
      <c r="G27" s="43"/>
      <c r="H27" s="19">
        <f>'[1]Enron Detail'!J25</f>
        <v>0</v>
      </c>
      <c r="I27" s="38">
        <f>'[1]Enron Detail'!I25</f>
        <v>0</v>
      </c>
      <c r="J27" s="76">
        <f t="shared" si="4"/>
        <v>0</v>
      </c>
      <c r="K27" s="77">
        <f t="shared" si="5"/>
        <v>0</v>
      </c>
      <c r="L27" s="2">
        <f t="shared" si="6"/>
        <v>0</v>
      </c>
    </row>
    <row r="28" spans="1:12" x14ac:dyDescent="0.25">
      <c r="A28" s="5">
        <f>+'Index Pricing'!A19</f>
        <v>37208</v>
      </c>
      <c r="B28" s="4">
        <f>+'Index Pricing'!B19</f>
        <v>1.52</v>
      </c>
      <c r="C28" s="22">
        <f t="shared" si="0"/>
        <v>1.0395000000000001</v>
      </c>
      <c r="D28" s="42">
        <f t="shared" si="2"/>
        <v>0</v>
      </c>
      <c r="E28" s="22">
        <f t="shared" si="1"/>
        <v>2.0594999999999999</v>
      </c>
      <c r="F28" s="27">
        <f t="shared" si="3"/>
        <v>56</v>
      </c>
      <c r="G28" s="43"/>
      <c r="H28" s="19">
        <f>'[1]Enron Detail'!J26</f>
        <v>0</v>
      </c>
      <c r="I28" s="38">
        <f>'[1]Enron Detail'!I26</f>
        <v>56</v>
      </c>
      <c r="J28" s="76">
        <f t="shared" si="4"/>
        <v>0</v>
      </c>
      <c r="K28" s="77">
        <f t="shared" si="5"/>
        <v>115.33199999999999</v>
      </c>
      <c r="L28" s="2">
        <f t="shared" si="6"/>
        <v>115.33199999999999</v>
      </c>
    </row>
    <row r="29" spans="1:12" x14ac:dyDescent="0.25">
      <c r="A29" s="5">
        <f>+'Index Pricing'!A20</f>
        <v>37209</v>
      </c>
      <c r="B29" s="4">
        <f>+'Index Pricing'!B20</f>
        <v>1.595</v>
      </c>
      <c r="C29" s="22">
        <f t="shared" si="0"/>
        <v>1.1145</v>
      </c>
      <c r="D29" s="42">
        <f t="shared" si="2"/>
        <v>0</v>
      </c>
      <c r="E29" s="22">
        <f t="shared" si="1"/>
        <v>2.0594999999999999</v>
      </c>
      <c r="F29" s="27">
        <f t="shared" si="3"/>
        <v>0</v>
      </c>
      <c r="G29" s="43"/>
      <c r="H29" s="19">
        <f>'[1]Enron Detail'!J27</f>
        <v>0</v>
      </c>
      <c r="I29" s="38">
        <f>'[1]Enron Detail'!I27</f>
        <v>0</v>
      </c>
      <c r="J29" s="76">
        <f t="shared" si="4"/>
        <v>0</v>
      </c>
      <c r="K29" s="77">
        <f t="shared" si="5"/>
        <v>0</v>
      </c>
      <c r="L29" s="2">
        <f t="shared" si="6"/>
        <v>0</v>
      </c>
    </row>
    <row r="30" spans="1:12" x14ac:dyDescent="0.25">
      <c r="A30" s="5">
        <f>+'Index Pricing'!A21</f>
        <v>37210</v>
      </c>
      <c r="B30" s="4">
        <f>+'Index Pricing'!B21</f>
        <v>1.84</v>
      </c>
      <c r="C30" s="22">
        <f t="shared" si="0"/>
        <v>1.3595000000000002</v>
      </c>
      <c r="D30" s="42">
        <f t="shared" si="2"/>
        <v>300</v>
      </c>
      <c r="E30" s="22">
        <f t="shared" si="1"/>
        <v>2.0594999999999999</v>
      </c>
      <c r="F30" s="27">
        <f t="shared" si="3"/>
        <v>331</v>
      </c>
      <c r="G30" s="43"/>
      <c r="H30" s="19">
        <f>'[1]Enron Detail'!J28</f>
        <v>-2</v>
      </c>
      <c r="I30" s="38">
        <f>'[1]Enron Detail'!I28</f>
        <v>633</v>
      </c>
      <c r="J30" s="76">
        <f t="shared" si="4"/>
        <v>407.85</v>
      </c>
      <c r="K30" s="77">
        <f t="shared" si="5"/>
        <v>681.69449999999995</v>
      </c>
      <c r="L30" s="2">
        <f t="shared" si="6"/>
        <v>1089.5445</v>
      </c>
    </row>
    <row r="31" spans="1:12" x14ac:dyDescent="0.25">
      <c r="A31" s="5">
        <f>+'Index Pricing'!A22</f>
        <v>37211</v>
      </c>
      <c r="B31" s="4">
        <f>+'Index Pricing'!B22</f>
        <v>1.4350000000000001</v>
      </c>
      <c r="C31" s="22">
        <f t="shared" si="0"/>
        <v>0.95450000000000013</v>
      </c>
      <c r="D31" s="42">
        <f t="shared" si="2"/>
        <v>278</v>
      </c>
      <c r="E31" s="22">
        <f t="shared" si="1"/>
        <v>2.0594999999999999</v>
      </c>
      <c r="F31" s="27">
        <f t="shared" si="3"/>
        <v>331</v>
      </c>
      <c r="G31" s="43"/>
      <c r="H31" s="19">
        <f>'[1]Enron Detail'!J29</f>
        <v>-1</v>
      </c>
      <c r="I31" s="38">
        <f>'[1]Enron Detail'!I29</f>
        <v>610</v>
      </c>
      <c r="J31" s="76">
        <f t="shared" si="4"/>
        <v>265.35100000000006</v>
      </c>
      <c r="K31" s="77">
        <f t="shared" si="5"/>
        <v>681.69449999999995</v>
      </c>
      <c r="L31" s="2">
        <f t="shared" si="6"/>
        <v>947.04549999999995</v>
      </c>
    </row>
    <row r="32" spans="1:12" x14ac:dyDescent="0.25">
      <c r="A32" s="5">
        <f>+'Index Pricing'!A23</f>
        <v>37212</v>
      </c>
      <c r="B32" s="4">
        <f>+'Index Pricing'!B23</f>
        <v>1.135</v>
      </c>
      <c r="C32" s="22">
        <f t="shared" si="0"/>
        <v>0.65450000000000008</v>
      </c>
      <c r="D32" s="42">
        <f t="shared" si="2"/>
        <v>309</v>
      </c>
      <c r="E32" s="22">
        <f t="shared" si="1"/>
        <v>2.0594999999999999</v>
      </c>
      <c r="F32" s="27">
        <f t="shared" si="3"/>
        <v>331</v>
      </c>
      <c r="G32" s="43"/>
      <c r="H32" s="19">
        <f>'[1]Enron Detail'!J30</f>
        <v>-1</v>
      </c>
      <c r="I32" s="38">
        <f>'[1]Enron Detail'!I30</f>
        <v>641</v>
      </c>
      <c r="J32" s="76">
        <f t="shared" si="4"/>
        <v>202.24050000000003</v>
      </c>
      <c r="K32" s="77">
        <f t="shared" si="5"/>
        <v>681.69449999999995</v>
      </c>
      <c r="L32" s="2">
        <f t="shared" si="6"/>
        <v>883.93499999999995</v>
      </c>
    </row>
    <row r="33" spans="1:15" x14ac:dyDescent="0.25">
      <c r="A33" s="5">
        <f>+'Index Pricing'!A24</f>
        <v>37213</v>
      </c>
      <c r="B33" s="4">
        <f>+'Index Pricing'!B24</f>
        <v>1.135</v>
      </c>
      <c r="C33" s="22">
        <f t="shared" si="0"/>
        <v>0.65450000000000008</v>
      </c>
      <c r="D33" s="42">
        <f t="shared" si="2"/>
        <v>358</v>
      </c>
      <c r="E33" s="22">
        <f t="shared" si="1"/>
        <v>2.0594999999999999</v>
      </c>
      <c r="F33" s="27">
        <f t="shared" si="3"/>
        <v>331</v>
      </c>
      <c r="G33" s="43"/>
      <c r="H33" s="19">
        <f>'[1]Enron Detail'!J31</f>
        <v>-1</v>
      </c>
      <c r="I33" s="38">
        <f>'[1]Enron Detail'!I31</f>
        <v>690</v>
      </c>
      <c r="J33" s="76">
        <f t="shared" si="4"/>
        <v>234.31100000000004</v>
      </c>
      <c r="K33" s="77">
        <f t="shared" si="5"/>
        <v>681.69449999999995</v>
      </c>
      <c r="L33" s="2">
        <f t="shared" si="6"/>
        <v>916.00549999999998</v>
      </c>
    </row>
    <row r="34" spans="1:15" x14ac:dyDescent="0.25">
      <c r="A34" s="5">
        <f>+'Index Pricing'!A25</f>
        <v>37214</v>
      </c>
      <c r="B34" s="4">
        <f>+'Index Pricing'!B25</f>
        <v>1.135</v>
      </c>
      <c r="C34" s="22">
        <f t="shared" si="0"/>
        <v>0.65450000000000008</v>
      </c>
      <c r="D34" s="42">
        <f t="shared" si="2"/>
        <v>302</v>
      </c>
      <c r="E34" s="22">
        <f t="shared" si="1"/>
        <v>2.0594999999999999</v>
      </c>
      <c r="F34" s="27">
        <f t="shared" si="3"/>
        <v>331</v>
      </c>
      <c r="G34" s="43"/>
      <c r="H34" s="19">
        <f>'[1]Enron Detail'!J32</f>
        <v>-1</v>
      </c>
      <c r="I34" s="38">
        <f>'[1]Enron Detail'!I32</f>
        <v>634</v>
      </c>
      <c r="J34" s="76">
        <f t="shared" si="4"/>
        <v>197.65900000000002</v>
      </c>
      <c r="K34" s="77">
        <f t="shared" si="5"/>
        <v>681.69449999999995</v>
      </c>
      <c r="L34" s="2">
        <f t="shared" si="6"/>
        <v>879.35349999999994</v>
      </c>
    </row>
    <row r="35" spans="1:15" x14ac:dyDescent="0.25">
      <c r="A35" s="5">
        <f>+'Index Pricing'!A26</f>
        <v>37215</v>
      </c>
      <c r="B35" s="4">
        <f>+'Index Pricing'!B26</f>
        <v>1.5349999999999999</v>
      </c>
      <c r="C35" s="22">
        <f t="shared" si="0"/>
        <v>1.0545</v>
      </c>
      <c r="D35" s="42">
        <f t="shared" si="2"/>
        <v>294</v>
      </c>
      <c r="E35" s="22">
        <f t="shared" si="1"/>
        <v>2.0594999999999999</v>
      </c>
      <c r="F35" s="27">
        <f t="shared" si="3"/>
        <v>331</v>
      </c>
      <c r="G35" s="43"/>
      <c r="H35" s="19">
        <f>'[1]Enron Detail'!J33</f>
        <v>-1</v>
      </c>
      <c r="I35" s="38">
        <f>'[1]Enron Detail'!I33</f>
        <v>626</v>
      </c>
      <c r="J35" s="76">
        <f t="shared" si="4"/>
        <v>310.02300000000002</v>
      </c>
      <c r="K35" s="77">
        <f t="shared" si="5"/>
        <v>681.69449999999995</v>
      </c>
      <c r="L35" s="2">
        <f t="shared" si="6"/>
        <v>991.71749999999997</v>
      </c>
    </row>
    <row r="36" spans="1:15" x14ac:dyDescent="0.25">
      <c r="A36" s="5">
        <f>+'Index Pricing'!A27</f>
        <v>37216</v>
      </c>
      <c r="B36" s="4">
        <f>+'Index Pricing'!B27</f>
        <v>2.2050000000000001</v>
      </c>
      <c r="C36" s="22">
        <f t="shared" si="0"/>
        <v>1.7245000000000001</v>
      </c>
      <c r="D36" s="42">
        <f t="shared" si="2"/>
        <v>264</v>
      </c>
      <c r="E36" s="22">
        <f t="shared" si="1"/>
        <v>2.0594999999999999</v>
      </c>
      <c r="F36" s="27">
        <f t="shared" si="3"/>
        <v>331</v>
      </c>
      <c r="G36" s="43"/>
      <c r="H36" s="19">
        <f>'[1]Enron Detail'!J34</f>
        <v>-1</v>
      </c>
      <c r="I36" s="38">
        <f>'[1]Enron Detail'!I34</f>
        <v>596</v>
      </c>
      <c r="J36" s="76">
        <f t="shared" si="4"/>
        <v>455.26800000000003</v>
      </c>
      <c r="K36" s="77">
        <f t="shared" si="5"/>
        <v>681.69449999999995</v>
      </c>
      <c r="L36" s="2">
        <f t="shared" si="6"/>
        <v>1136.9625000000001</v>
      </c>
    </row>
    <row r="37" spans="1:15" x14ac:dyDescent="0.25">
      <c r="A37" s="5">
        <f>+'Index Pricing'!A28</f>
        <v>37217</v>
      </c>
      <c r="B37" s="4">
        <f>+'Index Pricing'!B28</f>
        <v>1.43</v>
      </c>
      <c r="C37" s="22">
        <f t="shared" si="0"/>
        <v>0.94950000000000001</v>
      </c>
      <c r="D37" s="42">
        <f t="shared" si="2"/>
        <v>275</v>
      </c>
      <c r="E37" s="22">
        <f t="shared" si="1"/>
        <v>2.0594999999999999</v>
      </c>
      <c r="F37" s="27">
        <f t="shared" si="3"/>
        <v>331</v>
      </c>
      <c r="G37" s="43"/>
      <c r="H37" s="19">
        <f>'[1]Enron Detail'!J35</f>
        <v>-1</v>
      </c>
      <c r="I37" s="38">
        <f>'[1]Enron Detail'!I35</f>
        <v>607</v>
      </c>
      <c r="J37" s="76">
        <f t="shared" si="4"/>
        <v>261.11250000000001</v>
      </c>
      <c r="K37" s="77">
        <f t="shared" si="5"/>
        <v>681.69449999999995</v>
      </c>
      <c r="L37" s="2">
        <f t="shared" si="6"/>
        <v>942.80700000000002</v>
      </c>
    </row>
    <row r="38" spans="1:15" x14ac:dyDescent="0.25">
      <c r="A38" s="5">
        <f>+'Index Pricing'!A29</f>
        <v>37218</v>
      </c>
      <c r="B38" s="4">
        <f>+'Index Pricing'!B29</f>
        <v>1.43</v>
      </c>
      <c r="C38" s="22">
        <f t="shared" si="0"/>
        <v>0.94950000000000001</v>
      </c>
      <c r="D38" s="42">
        <f t="shared" si="2"/>
        <v>299</v>
      </c>
      <c r="E38" s="22">
        <f t="shared" si="1"/>
        <v>2.0594999999999999</v>
      </c>
      <c r="F38" s="27">
        <f t="shared" si="3"/>
        <v>331</v>
      </c>
      <c r="G38" s="43"/>
      <c r="H38" s="19">
        <f>'[1]Enron Detail'!J36</f>
        <v>-1</v>
      </c>
      <c r="I38" s="38">
        <f>'[1]Enron Detail'!I36</f>
        <v>631</v>
      </c>
      <c r="J38" s="76">
        <f t="shared" si="4"/>
        <v>283.90050000000002</v>
      </c>
      <c r="K38" s="77">
        <f t="shared" si="5"/>
        <v>681.69449999999995</v>
      </c>
      <c r="L38" s="2">
        <f t="shared" si="6"/>
        <v>965.59500000000003</v>
      </c>
    </row>
    <row r="39" spans="1:15" x14ac:dyDescent="0.25">
      <c r="A39" s="5">
        <f>+'Index Pricing'!A30</f>
        <v>37219</v>
      </c>
      <c r="B39" s="4">
        <f>+'Index Pricing'!B30</f>
        <v>1.43</v>
      </c>
      <c r="C39" s="22">
        <f t="shared" si="0"/>
        <v>0.94950000000000001</v>
      </c>
      <c r="D39" s="42">
        <f t="shared" si="2"/>
        <v>287</v>
      </c>
      <c r="E39" s="22">
        <f t="shared" si="1"/>
        <v>2.0594999999999999</v>
      </c>
      <c r="F39" s="27">
        <f t="shared" si="3"/>
        <v>331</v>
      </c>
      <c r="G39" s="43"/>
      <c r="H39" s="19">
        <f>'[1]Enron Detail'!J37</f>
        <v>-1</v>
      </c>
      <c r="I39" s="38">
        <f>'[1]Enron Detail'!I37</f>
        <v>619</v>
      </c>
      <c r="J39" s="76">
        <f t="shared" si="4"/>
        <v>272.50650000000002</v>
      </c>
      <c r="K39" s="77">
        <f t="shared" si="5"/>
        <v>681.69449999999995</v>
      </c>
      <c r="L39" s="2">
        <f t="shared" si="6"/>
        <v>954.20100000000002</v>
      </c>
    </row>
    <row r="40" spans="1:15" x14ac:dyDescent="0.25">
      <c r="A40" s="5">
        <f>+'Index Pricing'!A31</f>
        <v>37220</v>
      </c>
      <c r="B40" s="4">
        <f>+'Index Pricing'!B31</f>
        <v>1.43</v>
      </c>
      <c r="C40" s="22">
        <f t="shared" si="0"/>
        <v>0.94950000000000001</v>
      </c>
      <c r="D40" s="42">
        <f t="shared" si="2"/>
        <v>298</v>
      </c>
      <c r="E40" s="22">
        <f t="shared" si="1"/>
        <v>2.0594999999999999</v>
      </c>
      <c r="F40" s="27">
        <f t="shared" si="3"/>
        <v>331</v>
      </c>
      <c r="G40" s="43"/>
      <c r="H40" s="19">
        <f>'[1]Enron Detail'!J38</f>
        <v>-1</v>
      </c>
      <c r="I40" s="38">
        <f>'[1]Enron Detail'!I38</f>
        <v>630</v>
      </c>
      <c r="J40" s="76">
        <f t="shared" si="4"/>
        <v>282.95100000000002</v>
      </c>
      <c r="K40" s="77">
        <f t="shared" si="5"/>
        <v>681.69449999999995</v>
      </c>
      <c r="L40" s="2">
        <f t="shared" si="6"/>
        <v>964.64549999999997</v>
      </c>
    </row>
    <row r="41" spans="1:15" x14ac:dyDescent="0.25">
      <c r="A41" s="5">
        <f>+'Index Pricing'!A32</f>
        <v>37221</v>
      </c>
      <c r="B41" s="4">
        <f>+'Index Pricing'!B32</f>
        <v>1.43</v>
      </c>
      <c r="C41" s="22">
        <f t="shared" si="0"/>
        <v>0.94950000000000001</v>
      </c>
      <c r="D41" s="42">
        <f t="shared" si="2"/>
        <v>283</v>
      </c>
      <c r="E41" s="22">
        <f t="shared" si="1"/>
        <v>2.0594999999999999</v>
      </c>
      <c r="F41" s="27">
        <f t="shared" si="3"/>
        <v>331</v>
      </c>
      <c r="G41" s="43"/>
      <c r="H41" s="19">
        <f>'[1]Enron Detail'!J39</f>
        <v>-2</v>
      </c>
      <c r="I41" s="38">
        <f>'[1]Enron Detail'!I39</f>
        <v>616</v>
      </c>
      <c r="J41" s="76">
        <f t="shared" si="4"/>
        <v>268.70850000000002</v>
      </c>
      <c r="K41" s="77">
        <f t="shared" si="5"/>
        <v>681.69449999999995</v>
      </c>
      <c r="L41" s="2">
        <f t="shared" si="6"/>
        <v>950.40300000000002</v>
      </c>
    </row>
    <row r="42" spans="1:15" x14ac:dyDescent="0.25">
      <c r="A42" s="5">
        <f>+'Index Pricing'!A33</f>
        <v>37222</v>
      </c>
      <c r="B42" s="4">
        <f>+'Index Pricing'!B33</f>
        <v>1.88</v>
      </c>
      <c r="C42" s="22">
        <f t="shared" si="0"/>
        <v>1.3995</v>
      </c>
      <c r="D42" s="42">
        <f t="shared" si="2"/>
        <v>0</v>
      </c>
      <c r="E42" s="22">
        <f t="shared" si="1"/>
        <v>2.0594999999999999</v>
      </c>
      <c r="F42" s="27">
        <f t="shared" si="3"/>
        <v>204</v>
      </c>
      <c r="G42" s="43"/>
      <c r="H42" s="19">
        <f>'[1]Enron Detail'!J40</f>
        <v>0</v>
      </c>
      <c r="I42" s="38">
        <f>'[1]Enron Detail'!I40</f>
        <v>204</v>
      </c>
      <c r="J42" s="76">
        <f t="shared" si="4"/>
        <v>0</v>
      </c>
      <c r="K42" s="77">
        <f t="shared" si="5"/>
        <v>420.13799999999998</v>
      </c>
      <c r="L42" s="2">
        <f t="shared" si="6"/>
        <v>420.13799999999998</v>
      </c>
    </row>
    <row r="43" spans="1:15" x14ac:dyDescent="0.25">
      <c r="A43" s="5">
        <f>+'Index Pricing'!A34</f>
        <v>37223</v>
      </c>
      <c r="B43" s="4">
        <f>+'Index Pricing'!B34</f>
        <v>2.16</v>
      </c>
      <c r="C43" s="22">
        <f t="shared" si="0"/>
        <v>1.6795000000000002</v>
      </c>
      <c r="D43" s="42">
        <f t="shared" si="2"/>
        <v>0</v>
      </c>
      <c r="E43" s="22">
        <f t="shared" si="1"/>
        <v>2.0594999999999999</v>
      </c>
      <c r="F43" s="27">
        <f t="shared" si="3"/>
        <v>3</v>
      </c>
      <c r="G43" s="43"/>
      <c r="H43" s="19">
        <f>'[1]Enron Detail'!J41</f>
        <v>0</v>
      </c>
      <c r="I43" s="38">
        <f>'[1]Enron Detail'!I41</f>
        <v>3</v>
      </c>
      <c r="J43" s="76">
        <f t="shared" si="4"/>
        <v>0</v>
      </c>
      <c r="K43" s="77">
        <f t="shared" si="5"/>
        <v>6.1784999999999997</v>
      </c>
      <c r="L43" s="2">
        <f t="shared" si="6"/>
        <v>6.1784999999999997</v>
      </c>
    </row>
    <row r="44" spans="1:15" x14ac:dyDescent="0.25">
      <c r="A44" s="5">
        <f>+'Index Pricing'!A35</f>
        <v>37224</v>
      </c>
      <c r="B44" s="4">
        <f>+'Index Pricing'!B35</f>
        <v>2.38</v>
      </c>
      <c r="C44" s="22">
        <f t="shared" si="0"/>
        <v>1.8995</v>
      </c>
      <c r="D44" s="42">
        <f>+I44+H44-F44</f>
        <v>87</v>
      </c>
      <c r="E44" s="22">
        <f t="shared" si="1"/>
        <v>2.0594999999999999</v>
      </c>
      <c r="F44" s="27">
        <f t="shared" si="3"/>
        <v>331</v>
      </c>
      <c r="G44" s="43"/>
      <c r="H44" s="19">
        <f>'[1]Enron Detail'!J42</f>
        <v>-1</v>
      </c>
      <c r="I44" s="38">
        <f>'[1]Enron Detail'!I42</f>
        <v>419</v>
      </c>
      <c r="J44" s="76">
        <f>+C44*D44</f>
        <v>165.25649999999999</v>
      </c>
      <c r="K44" s="77">
        <f>+E44*F44</f>
        <v>681.69449999999995</v>
      </c>
      <c r="L44" s="2">
        <f>+D44*C44+E44*F44</f>
        <v>846.95099999999991</v>
      </c>
    </row>
    <row r="45" spans="1:15" x14ac:dyDescent="0.25">
      <c r="A45" s="5">
        <f>+'Index Pricing'!A36</f>
        <v>37225</v>
      </c>
      <c r="B45" s="4">
        <f>+'Index Pricing'!B36</f>
        <v>2.0249999999999999</v>
      </c>
      <c r="C45" s="22">
        <f t="shared" si="0"/>
        <v>1.5445</v>
      </c>
      <c r="D45" s="42">
        <f>+I45+H45-F45</f>
        <v>101</v>
      </c>
      <c r="E45" s="22">
        <f t="shared" si="1"/>
        <v>2.0594999999999999</v>
      </c>
      <c r="F45" s="27">
        <f t="shared" si="3"/>
        <v>331</v>
      </c>
      <c r="G45" s="43"/>
      <c r="H45" s="19">
        <f>'[1]Enron Detail'!J43</f>
        <v>-3</v>
      </c>
      <c r="I45" s="38">
        <f>'[1]Enron Detail'!I43</f>
        <v>435</v>
      </c>
      <c r="J45" s="76">
        <f>+C45*D45</f>
        <v>155.99449999999999</v>
      </c>
      <c r="K45" s="77">
        <f>+E45*F45</f>
        <v>681.69449999999995</v>
      </c>
      <c r="L45" s="2">
        <f>+D45*C45+E45*F45</f>
        <v>837.68899999999996</v>
      </c>
    </row>
    <row r="46" spans="1:15" x14ac:dyDescent="0.25">
      <c r="A46" s="5"/>
      <c r="B46" s="4"/>
      <c r="C46" s="22"/>
      <c r="D46" s="42"/>
      <c r="E46" s="22"/>
      <c r="F46" s="27"/>
      <c r="G46" s="43"/>
      <c r="H46" s="19"/>
      <c r="I46" s="38"/>
      <c r="J46" s="76"/>
      <c r="K46" s="77"/>
      <c r="L46" s="2"/>
    </row>
    <row r="47" spans="1:15" x14ac:dyDescent="0.25">
      <c r="A47" s="5"/>
      <c r="B47" s="4"/>
      <c r="C47" s="22"/>
      <c r="D47" s="42"/>
      <c r="E47" s="22"/>
      <c r="F47" s="27">
        <f t="shared" si="3"/>
        <v>0</v>
      </c>
      <c r="G47" s="43"/>
      <c r="H47" s="19"/>
      <c r="I47" s="38"/>
      <c r="J47" s="76"/>
      <c r="K47" s="77"/>
      <c r="L47" s="2"/>
    </row>
    <row r="48" spans="1:15" ht="13.8" thickBot="1" x14ac:dyDescent="0.3">
      <c r="D48" s="25">
        <f>SUM(D16:D47)</f>
        <v>4881</v>
      </c>
      <c r="E48" s="30"/>
      <c r="F48" s="43">
        <f>SUM(F16:F47)</f>
        <v>7002</v>
      </c>
      <c r="G48" s="43"/>
      <c r="H48" s="39">
        <f>SUM(H16:H47)</f>
        <v>-24</v>
      </c>
      <c r="I48" s="38">
        <f>SUM(I16:I47)</f>
        <v>11907</v>
      </c>
      <c r="J48" s="78">
        <f>SUM(J16:J47)</f>
        <v>5762.7495000000008</v>
      </c>
      <c r="K48" s="80">
        <f>SUM(K16:K47)</f>
        <v>14420.618999999995</v>
      </c>
      <c r="L48" s="10">
        <f>SUM(L16:L47)</f>
        <v>20183.368499999997</v>
      </c>
      <c r="N48" s="45">
        <f>+D48+F48-H48</f>
        <v>11907</v>
      </c>
      <c r="O48" s="45">
        <f>+N48-I48</f>
        <v>0</v>
      </c>
    </row>
    <row r="49" spans="1:12" x14ac:dyDescent="0.25">
      <c r="G49" t="s">
        <v>67</v>
      </c>
      <c r="H49" s="44">
        <f>+H48/I48</f>
        <v>-2.0156210632401111E-3</v>
      </c>
    </row>
    <row r="50" spans="1:12" x14ac:dyDescent="0.25">
      <c r="I50" s="48" t="s">
        <v>138</v>
      </c>
      <c r="J50" s="48"/>
      <c r="K50" s="48"/>
      <c r="L50" s="4">
        <f>+L48/(I48+H48)</f>
        <v>1.6985078263064879</v>
      </c>
    </row>
    <row r="52" spans="1:12" x14ac:dyDescent="0.25">
      <c r="A52" t="s">
        <v>217</v>
      </c>
    </row>
  </sheetData>
  <phoneticPr fontId="0" type="noConversion"/>
  <pageMargins left="0.75" right="0.75" top="1" bottom="1" header="0.5" footer="0.5"/>
  <pageSetup paperSize="5" scale="67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6146" r:id="rId4">
          <objectPr defaultSize="0" autoPict="0" r:id="rId5">
            <anchor moveWithCells="1">
              <from>
                <xdr:col>4</xdr:col>
                <xdr:colOff>647700</xdr:colOff>
                <xdr:row>0</xdr:row>
                <xdr:rowOff>22860</xdr:rowOff>
              </from>
              <to>
                <xdr:col>4</xdr:col>
                <xdr:colOff>1257300</xdr:colOff>
                <xdr:row>3</xdr:row>
                <xdr:rowOff>68580</xdr:rowOff>
              </to>
            </anchor>
          </objectPr>
        </oleObject>
      </mc:Choice>
      <mc:Fallback>
        <oleObject progId="Paint.Picture" shapeId="6146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H47"/>
  <sheetViews>
    <sheetView showGridLines="0" zoomScale="75" workbookViewId="0">
      <selection sqref="A1:IV65536"/>
    </sheetView>
  </sheetViews>
  <sheetFormatPr defaultRowHeight="13.2" x14ac:dyDescent="0.25"/>
  <cols>
    <col min="1" max="1" width="22.109375" customWidth="1"/>
    <col min="2" max="2" width="34.109375" bestFit="1" customWidth="1"/>
    <col min="3" max="3" width="19.6640625" customWidth="1"/>
    <col min="4" max="4" width="19.5546875" bestFit="1" customWidth="1"/>
    <col min="5" max="5" width="19.5546875" customWidth="1"/>
    <col min="6" max="6" width="33" customWidth="1"/>
    <col min="7" max="7" width="29.44140625" customWidth="1"/>
  </cols>
  <sheetData>
    <row r="1" spans="1:8" x14ac:dyDescent="0.25">
      <c r="C1" s="54" t="s">
        <v>74</v>
      </c>
      <c r="D1" s="55"/>
      <c r="E1" s="55"/>
      <c r="F1" s="56" t="s">
        <v>75</v>
      </c>
      <c r="G1" s="66"/>
    </row>
    <row r="2" spans="1:8" x14ac:dyDescent="0.25">
      <c r="C2" s="50"/>
      <c r="D2" s="51"/>
      <c r="E2" s="51"/>
      <c r="F2" s="57"/>
      <c r="G2" s="58" t="s">
        <v>82</v>
      </c>
    </row>
    <row r="3" spans="1:8" x14ac:dyDescent="0.25">
      <c r="C3" s="50" t="s">
        <v>71</v>
      </c>
      <c r="D3" s="51"/>
      <c r="E3" s="51"/>
      <c r="F3" s="57" t="s">
        <v>204</v>
      </c>
      <c r="G3" s="231">
        <f ca="1">TODAY()</f>
        <v>37238</v>
      </c>
    </row>
    <row r="4" spans="1:8" x14ac:dyDescent="0.25">
      <c r="C4" s="50"/>
      <c r="D4" s="51"/>
      <c r="E4" s="51"/>
      <c r="F4" s="57" t="s">
        <v>205</v>
      </c>
      <c r="G4" s="57"/>
    </row>
    <row r="5" spans="1:8" x14ac:dyDescent="0.25">
      <c r="B5">
        <v>11829</v>
      </c>
      <c r="C5" s="50"/>
      <c r="D5" s="51"/>
      <c r="E5" s="51"/>
      <c r="F5" s="57" t="s">
        <v>206</v>
      </c>
      <c r="G5" s="58" t="s">
        <v>83</v>
      </c>
    </row>
    <row r="6" spans="1:8" x14ac:dyDescent="0.25">
      <c r="C6" s="50"/>
      <c r="D6" s="51"/>
      <c r="E6" s="51"/>
      <c r="F6" s="57" t="s">
        <v>207</v>
      </c>
      <c r="G6" s="539">
        <v>37195</v>
      </c>
    </row>
    <row r="7" spans="1:8" x14ac:dyDescent="0.25">
      <c r="C7" s="50"/>
      <c r="D7" s="51"/>
      <c r="E7" s="51"/>
      <c r="F7" s="57"/>
      <c r="G7" s="57"/>
    </row>
    <row r="8" spans="1:8" x14ac:dyDescent="0.25">
      <c r="C8" s="50"/>
      <c r="D8" s="51"/>
      <c r="E8" s="51"/>
      <c r="F8" s="57"/>
      <c r="G8" s="58" t="s">
        <v>84</v>
      </c>
    </row>
    <row r="9" spans="1:8" x14ac:dyDescent="0.25">
      <c r="C9" s="50" t="s">
        <v>163</v>
      </c>
      <c r="D9" s="51"/>
      <c r="E9" s="51"/>
      <c r="F9" s="57" t="s">
        <v>208</v>
      </c>
      <c r="G9" s="102" t="s">
        <v>85</v>
      </c>
    </row>
    <row r="10" spans="1:8" x14ac:dyDescent="0.25">
      <c r="C10" s="50" t="s">
        <v>164</v>
      </c>
      <c r="D10" s="51"/>
      <c r="E10" s="51"/>
      <c r="F10" s="57" t="s">
        <v>209</v>
      </c>
      <c r="G10" s="58" t="s">
        <v>139</v>
      </c>
    </row>
    <row r="11" spans="1:8" x14ac:dyDescent="0.25">
      <c r="A11" s="68" t="s">
        <v>71</v>
      </c>
      <c r="B11" s="67"/>
      <c r="C11" s="52" t="s">
        <v>76</v>
      </c>
      <c r="D11" s="53"/>
      <c r="E11" s="53"/>
      <c r="F11" s="60" t="s">
        <v>210</v>
      </c>
      <c r="G11" s="59" t="s">
        <v>140</v>
      </c>
    </row>
    <row r="12" spans="1:8" ht="13.8" thickBot="1" x14ac:dyDescent="0.3">
      <c r="A12" s="150">
        <f ca="1">NOW()</f>
        <v>37238.587624189815</v>
      </c>
      <c r="B12" s="49"/>
      <c r="C12" s="49"/>
      <c r="D12" s="49"/>
      <c r="E12" s="49"/>
      <c r="F12" s="49"/>
      <c r="G12" s="49"/>
      <c r="H12" s="30"/>
    </row>
    <row r="13" spans="1:8" x14ac:dyDescent="0.25">
      <c r="A13" s="7" t="s">
        <v>86</v>
      </c>
      <c r="B13" s="7" t="s">
        <v>72</v>
      </c>
      <c r="C13" s="7" t="s">
        <v>73</v>
      </c>
      <c r="D13" s="7"/>
      <c r="E13" s="7"/>
    </row>
    <row r="14" spans="1:8" x14ac:dyDescent="0.25">
      <c r="A14" s="119">
        <f>+'Index Pricing'!A1</f>
        <v>37196</v>
      </c>
      <c r="B14" s="63">
        <v>96028454</v>
      </c>
      <c r="C14" t="s">
        <v>220</v>
      </c>
      <c r="D14" s="62"/>
      <c r="E14" s="62"/>
    </row>
    <row r="15" spans="1:8" x14ac:dyDescent="0.25">
      <c r="A15" s="119"/>
      <c r="B15" s="63"/>
      <c r="C15" t="s">
        <v>221</v>
      </c>
      <c r="D15" s="62"/>
      <c r="E15" s="62"/>
    </row>
    <row r="16" spans="1:8" x14ac:dyDescent="0.25">
      <c r="A16" s="119"/>
      <c r="B16" s="63"/>
      <c r="C16" t="s">
        <v>222</v>
      </c>
      <c r="D16" s="62"/>
      <c r="E16" s="62"/>
    </row>
    <row r="17" spans="1:8" x14ac:dyDescent="0.25">
      <c r="A17" s="119"/>
      <c r="B17" s="63"/>
      <c r="C17" t="s">
        <v>218</v>
      </c>
      <c r="D17" s="62"/>
      <c r="E17" s="62"/>
    </row>
    <row r="18" spans="1:8" x14ac:dyDescent="0.25">
      <c r="C18" t="s">
        <v>219</v>
      </c>
    </row>
    <row r="19" spans="1:8" x14ac:dyDescent="0.25">
      <c r="C19" t="s">
        <v>223</v>
      </c>
    </row>
    <row r="21" spans="1:8" x14ac:dyDescent="0.25">
      <c r="B21" s="101" t="s">
        <v>10</v>
      </c>
      <c r="C21" s="98" t="s">
        <v>135</v>
      </c>
      <c r="D21" s="100" t="s">
        <v>88</v>
      </c>
      <c r="E21" s="99"/>
      <c r="F21" s="99" t="s">
        <v>87</v>
      </c>
      <c r="G21" s="100" t="s">
        <v>89</v>
      </c>
    </row>
    <row r="22" spans="1:8" x14ac:dyDescent="0.25">
      <c r="A22" s="130" t="str">
        <f>+'Kennedy Summary'!A22</f>
        <v>11/01/01 - 11/30/01</v>
      </c>
      <c r="B22" t="s">
        <v>11</v>
      </c>
      <c r="C22" s="4">
        <f>+'Phillips Detail'!J12</f>
        <v>-0.53549999999999998</v>
      </c>
      <c r="D22" s="65">
        <f>+'Phillips Detail'!L53</f>
        <v>1.2233995934863833</v>
      </c>
      <c r="E22" s="29"/>
      <c r="F22" s="29">
        <f>+'Phillips Detail'!D51</f>
        <v>42557</v>
      </c>
      <c r="G22" s="83">
        <f>+'Phillips Detail'!L51</f>
        <v>52064.21650000001</v>
      </c>
    </row>
    <row r="23" spans="1:8" x14ac:dyDescent="0.25">
      <c r="A23" t="str">
        <f>+A22</f>
        <v>11/01/01 - 11/30/01</v>
      </c>
      <c r="B23" t="s">
        <v>111</v>
      </c>
      <c r="C23" s="4">
        <f>+'Phillips Detail'!J13</f>
        <v>-0.77500000000000002</v>
      </c>
      <c r="D23" s="65">
        <f>+'Phillips Detail'!M53</f>
        <v>2.2649999999999992</v>
      </c>
      <c r="E23" s="29"/>
      <c r="F23" s="29">
        <f>+'Phillips Detail'!F51</f>
        <v>257450</v>
      </c>
      <c r="G23" s="83">
        <f>+'Phillips Detail'!M51</f>
        <v>583124.24999999977</v>
      </c>
    </row>
    <row r="24" spans="1:8" x14ac:dyDescent="0.25">
      <c r="A24" t="str">
        <f>+A23</f>
        <v>11/01/01 - 11/30/01</v>
      </c>
      <c r="B24" t="s">
        <v>136</v>
      </c>
      <c r="C24" s="4">
        <f>+'Phillips Detail'!J14</f>
        <v>-0.66239999999999999</v>
      </c>
      <c r="D24" s="64">
        <v>0</v>
      </c>
      <c r="E24" s="29"/>
      <c r="F24" s="29">
        <f>+'Phillips Detail'!H51</f>
        <v>0</v>
      </c>
      <c r="G24" s="83">
        <f>+'Phillips Detail'!N51</f>
        <v>0</v>
      </c>
    </row>
    <row r="25" spans="1:8" x14ac:dyDescent="0.25">
      <c r="A25" t="str">
        <f>+A24</f>
        <v>11/01/01 - 11/30/01</v>
      </c>
      <c r="C25" t="s">
        <v>142</v>
      </c>
      <c r="D25" s="104" t="s">
        <v>143</v>
      </c>
      <c r="E25" s="29"/>
      <c r="F25" s="29">
        <f>-+'Phillips Detail'!J51</f>
        <v>21174</v>
      </c>
      <c r="G25" s="105" t="s">
        <v>144</v>
      </c>
    </row>
    <row r="26" spans="1:8" x14ac:dyDescent="0.25">
      <c r="A26" s="47" t="str">
        <f>+'MTG Summary'!A18</f>
        <v>11/01/01 - 11/30/01</v>
      </c>
      <c r="B26" s="7"/>
      <c r="C26" s="7"/>
      <c r="D26" s="151"/>
      <c r="E26" s="29"/>
      <c r="F26" s="47">
        <f>SUM(F22:F25)</f>
        <v>321181</v>
      </c>
      <c r="G26" s="139">
        <f>SUM(G22:G25)</f>
        <v>635188.46649999975</v>
      </c>
    </row>
    <row r="28" spans="1:8" x14ac:dyDescent="0.25">
      <c r="G28" s="10"/>
    </row>
    <row r="29" spans="1:8" x14ac:dyDescent="0.25">
      <c r="A29" s="7" t="s">
        <v>202</v>
      </c>
      <c r="D29" s="104"/>
      <c r="E29" s="104"/>
      <c r="F29" s="29"/>
      <c r="G29" s="139"/>
      <c r="H29" s="139"/>
    </row>
    <row r="30" spans="1:8" ht="15" x14ac:dyDescent="0.4">
      <c r="A30" s="7"/>
      <c r="C30" s="177"/>
      <c r="D30" s="178"/>
      <c r="E30" s="178"/>
      <c r="F30" s="179"/>
      <c r="G30" s="139"/>
      <c r="H30" s="139"/>
    </row>
    <row r="31" spans="1:8" x14ac:dyDescent="0.25">
      <c r="A31" s="175"/>
      <c r="C31" s="3"/>
      <c r="D31" s="176"/>
      <c r="E31" s="180"/>
      <c r="F31" s="29"/>
      <c r="H31" s="139"/>
    </row>
    <row r="32" spans="1:8" x14ac:dyDescent="0.25">
      <c r="A32" s="175"/>
      <c r="C32" s="3"/>
      <c r="D32" s="176"/>
      <c r="E32" s="180"/>
      <c r="G32" s="139"/>
      <c r="H32" s="139"/>
    </row>
    <row r="33" spans="1:8" x14ac:dyDescent="0.25">
      <c r="A33" s="175"/>
      <c r="C33" s="3"/>
      <c r="D33" s="176"/>
      <c r="E33" s="180"/>
      <c r="G33" s="139"/>
      <c r="H33" s="139"/>
    </row>
    <row r="34" spans="1:8" x14ac:dyDescent="0.25">
      <c r="A34" s="175"/>
      <c r="C34" s="3"/>
      <c r="D34" s="176"/>
      <c r="E34" s="180"/>
      <c r="F34" s="29"/>
      <c r="G34" s="139"/>
      <c r="H34" s="139"/>
    </row>
    <row r="35" spans="1:8" x14ac:dyDescent="0.25">
      <c r="A35" s="175"/>
      <c r="C35" s="3"/>
      <c r="D35" s="176"/>
      <c r="E35" s="180"/>
      <c r="F35" s="29"/>
      <c r="G35" s="139"/>
      <c r="H35" s="139"/>
    </row>
    <row r="36" spans="1:8" x14ac:dyDescent="0.25">
      <c r="A36" s="175"/>
      <c r="D36" s="104"/>
      <c r="E36" s="104"/>
      <c r="F36" s="29"/>
      <c r="G36" s="139"/>
    </row>
    <row r="37" spans="1:8" x14ac:dyDescent="0.25">
      <c r="A37" s="175"/>
      <c r="D37" s="104"/>
      <c r="E37" s="104"/>
      <c r="F37" s="29"/>
      <c r="G37" s="139"/>
    </row>
    <row r="38" spans="1:8" x14ac:dyDescent="0.25">
      <c r="D38" s="7" t="s">
        <v>137</v>
      </c>
      <c r="E38" s="7"/>
      <c r="F38" s="97"/>
      <c r="G38" s="92">
        <f>SUM(G26:G36)</f>
        <v>635188.46649999975</v>
      </c>
    </row>
    <row r="39" spans="1:8" x14ac:dyDescent="0.25">
      <c r="B39" s="64"/>
    </row>
    <row r="40" spans="1:8" x14ac:dyDescent="0.25">
      <c r="B40" s="7"/>
      <c r="C40" s="7"/>
    </row>
    <row r="41" spans="1:8" x14ac:dyDescent="0.25">
      <c r="B41" s="63"/>
    </row>
    <row r="42" spans="1:8" x14ac:dyDescent="0.25">
      <c r="B42" s="64"/>
    </row>
    <row r="43" spans="1:8" x14ac:dyDescent="0.25">
      <c r="B43" s="64"/>
    </row>
    <row r="44" spans="1:8" x14ac:dyDescent="0.25">
      <c r="A44" s="7"/>
      <c r="B44" s="7"/>
      <c r="C44" s="7"/>
    </row>
    <row r="45" spans="1:8" x14ac:dyDescent="0.25">
      <c r="A45" s="61"/>
      <c r="B45" s="63"/>
    </row>
    <row r="46" spans="1:8" x14ac:dyDescent="0.25">
      <c r="B46" s="64"/>
    </row>
    <row r="47" spans="1:8" x14ac:dyDescent="0.25">
      <c r="B47" s="64"/>
    </row>
  </sheetData>
  <phoneticPr fontId="0" type="noConversion"/>
  <pageMargins left="0.75" right="0.75" top="1" bottom="1" header="0.5" footer="0.5"/>
  <pageSetup scale="6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9217" r:id="rId4">
          <objectPr defaultSize="0" autoPict="0" r:id="rId5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175260</xdr:colOff>
                <xdr:row>6</xdr:row>
                <xdr:rowOff>22860</xdr:rowOff>
              </to>
            </anchor>
          </objectPr>
        </oleObject>
      </mc:Choice>
      <mc:Fallback>
        <oleObject progId="Paint.Picture" shapeId="9217" r:id="rId4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P58"/>
  <sheetViews>
    <sheetView showGridLines="0" zoomScale="75" workbookViewId="0">
      <selection sqref="A1:IV65536"/>
    </sheetView>
  </sheetViews>
  <sheetFormatPr defaultRowHeight="13.2" x14ac:dyDescent="0.25"/>
  <cols>
    <col min="1" max="1" width="34.44140625" bestFit="1" customWidth="1"/>
    <col min="2" max="2" width="17" bestFit="1" customWidth="1"/>
    <col min="3" max="3" width="18.109375" bestFit="1" customWidth="1"/>
    <col min="4" max="4" width="15.6640625" bestFit="1" customWidth="1"/>
    <col min="5" max="5" width="17" customWidth="1"/>
    <col min="6" max="6" width="17.33203125" bestFit="1" customWidth="1"/>
    <col min="7" max="7" width="16.6640625" bestFit="1" customWidth="1"/>
    <col min="8" max="8" width="9.88671875" customWidth="1"/>
    <col min="9" max="9" width="14.109375" customWidth="1"/>
    <col min="10" max="10" width="15.33203125" customWidth="1"/>
    <col min="11" max="11" width="10.5546875" customWidth="1"/>
    <col min="12" max="12" width="13.88671875" bestFit="1" customWidth="1"/>
    <col min="13" max="13" width="16.33203125" bestFit="1" customWidth="1"/>
    <col min="14" max="14" width="13.44140625" bestFit="1" customWidth="1"/>
    <col min="15" max="15" width="15.5546875" bestFit="1" customWidth="1"/>
    <col min="16" max="16" width="18.44140625" style="2" bestFit="1" customWidth="1"/>
    <col min="17" max="17" width="19" bestFit="1" customWidth="1"/>
    <col min="18" max="18" width="12.33203125" bestFit="1" customWidth="1"/>
    <col min="19" max="19" width="12.33203125" customWidth="1"/>
    <col min="20" max="21" width="18.6640625" bestFit="1" customWidth="1"/>
  </cols>
  <sheetData>
    <row r="1" spans="1:16" x14ac:dyDescent="0.25">
      <c r="A1" s="7"/>
      <c r="B1" t="s">
        <v>28</v>
      </c>
      <c r="C1" t="s">
        <v>211</v>
      </c>
      <c r="H1" t="s">
        <v>195</v>
      </c>
      <c r="P1" s="149">
        <f ca="1">NOW()</f>
        <v>37238.587624189815</v>
      </c>
    </row>
    <row r="2" spans="1:16" x14ac:dyDescent="0.25">
      <c r="A2" s="8">
        <f>+'Index Pricing'!A1</f>
        <v>37196</v>
      </c>
      <c r="B2" t="s">
        <v>29</v>
      </c>
      <c r="C2" t="s">
        <v>212</v>
      </c>
    </row>
    <row r="3" spans="1:16" x14ac:dyDescent="0.25">
      <c r="A3" s="8"/>
      <c r="B3" t="s">
        <v>30</v>
      </c>
      <c r="C3" t="s">
        <v>213</v>
      </c>
      <c r="H3" t="s">
        <v>41</v>
      </c>
      <c r="K3" t="s">
        <v>42</v>
      </c>
    </row>
    <row r="4" spans="1:16" x14ac:dyDescent="0.25">
      <c r="A4" s="8"/>
    </row>
    <row r="5" spans="1:16" x14ac:dyDescent="0.25">
      <c r="A5" s="8" t="s">
        <v>65</v>
      </c>
      <c r="B5" s="168">
        <v>11336</v>
      </c>
      <c r="C5" s="62" t="s">
        <v>267</v>
      </c>
    </row>
    <row r="6" spans="1:16" x14ac:dyDescent="0.25">
      <c r="A6" s="1" t="s">
        <v>289</v>
      </c>
      <c r="B6" s="173">
        <f>'[1]Enron Detail'!$O$9</f>
        <v>0.94377469850313445</v>
      </c>
      <c r="G6" s="130">
        <v>37072</v>
      </c>
    </row>
    <row r="7" spans="1:16" x14ac:dyDescent="0.25">
      <c r="A7" s="1" t="s">
        <v>7</v>
      </c>
      <c r="B7" s="2">
        <v>0.45</v>
      </c>
      <c r="C7" t="s">
        <v>8</v>
      </c>
      <c r="D7">
        <f>+B7/B6</f>
        <v>0.47680871368316885</v>
      </c>
      <c r="E7" t="s">
        <v>13</v>
      </c>
    </row>
    <row r="8" spans="1:16" x14ac:dyDescent="0.25">
      <c r="A8" s="1" t="str">
        <f>+'Index Pricing'!A3</f>
        <v>IF CIG Rockies</v>
      </c>
      <c r="B8" s="2">
        <f>+'Index Pricing'!B3</f>
        <v>2.54</v>
      </c>
    </row>
    <row r="9" spans="1:16" x14ac:dyDescent="0.25">
      <c r="A9" s="1" t="str">
        <f>+'Index Pricing'!A4</f>
        <v>IF NGPL Midcont.</v>
      </c>
      <c r="B9" s="2">
        <f>+'Index Pricing'!B4</f>
        <v>3.04</v>
      </c>
    </row>
    <row r="10" spans="1:16" ht="13.8" thickBot="1" x14ac:dyDescent="0.3">
      <c r="A10" s="1"/>
    </row>
    <row r="11" spans="1:16" s="67" customFormat="1" ht="52.8" x14ac:dyDescent="0.25">
      <c r="A11" s="228"/>
      <c r="B11" s="210"/>
      <c r="C11" s="210" t="s">
        <v>23</v>
      </c>
      <c r="D11" s="210" t="s">
        <v>6</v>
      </c>
      <c r="E11" s="210" t="s">
        <v>15</v>
      </c>
      <c r="F11" s="220" t="str">
        <f>"WIC Med.Bow Fuel ("&amp;'Index Pricing'!$F$3*100&amp;"%*CIGindex)"</f>
        <v>WIC Med.Bow Fuel (0.68%*CIGindex)</v>
      </c>
      <c r="G11" s="210" t="s">
        <v>16</v>
      </c>
      <c r="H11" s="210" t="s">
        <v>17</v>
      </c>
      <c r="I11" s="210" t="s">
        <v>216</v>
      </c>
      <c r="J11" s="223" t="s">
        <v>9</v>
      </c>
      <c r="P11" s="229"/>
    </row>
    <row r="12" spans="1:16" x14ac:dyDescent="0.25">
      <c r="A12" s="192" t="s">
        <v>4</v>
      </c>
      <c r="B12" s="191" t="s">
        <v>11</v>
      </c>
      <c r="C12" s="190">
        <v>-2.5000000000000001E-2</v>
      </c>
      <c r="D12" s="191">
        <f>-B7/B6</f>
        <v>-0.47680871368316885</v>
      </c>
      <c r="E12" s="191">
        <v>0</v>
      </c>
      <c r="F12" s="191">
        <v>0</v>
      </c>
      <c r="G12" s="191">
        <v>0</v>
      </c>
      <c r="H12" s="191">
        <v>0</v>
      </c>
      <c r="I12" s="191">
        <f>-J51*D12/(D51+F51+H51)</f>
        <v>-3.3652373789702969E-2</v>
      </c>
      <c r="J12" s="193">
        <f>ROUND(SUM(C12:I12),4)</f>
        <v>-0.53549999999999998</v>
      </c>
    </row>
    <row r="13" spans="1:16" x14ac:dyDescent="0.25">
      <c r="A13" s="192"/>
      <c r="B13" s="191" t="s">
        <v>1</v>
      </c>
      <c r="C13" s="190">
        <v>0.01</v>
      </c>
      <c r="D13" s="191">
        <f>-B7/B6</f>
        <v>-0.47680871368316885</v>
      </c>
      <c r="E13" s="191">
        <f>-0.13-0.0025-0.0022</f>
        <v>-0.13470000000000001</v>
      </c>
      <c r="F13" s="191">
        <f>-'Index Pricing'!$F$3*$B$8</f>
        <v>-1.7271999999999999E-2</v>
      </c>
      <c r="G13" s="191">
        <v>-0.1226</v>
      </c>
      <c r="H13" s="191">
        <v>0</v>
      </c>
      <c r="I13" s="191">
        <f>+I12</f>
        <v>-3.3652373789702969E-2</v>
      </c>
      <c r="J13" s="193">
        <f>ROUND(SUM(C13:I13),4)</f>
        <v>-0.77500000000000002</v>
      </c>
    </row>
    <row r="14" spans="1:16" ht="13.8" thickBot="1" x14ac:dyDescent="0.3">
      <c r="A14" s="194"/>
      <c r="B14" s="195" t="s">
        <v>0</v>
      </c>
      <c r="C14" s="196"/>
      <c r="D14" s="195">
        <f>-B7/B6</f>
        <v>-0.47680871368316885</v>
      </c>
      <c r="E14" s="195">
        <f>-0.13-0.0025-0.0022</f>
        <v>-0.13470000000000001</v>
      </c>
      <c r="F14" s="195">
        <f>-'Index Pricing'!$F$3*$B$8</f>
        <v>-1.7271999999999999E-2</v>
      </c>
      <c r="G14" s="195"/>
      <c r="H14" s="195"/>
      <c r="I14" s="195">
        <f>+I13</f>
        <v>-3.3652373789702969E-2</v>
      </c>
      <c r="J14" s="197">
        <f>ROUND(SUM(C14:I14),4)</f>
        <v>-0.66239999999999999</v>
      </c>
    </row>
    <row r="15" spans="1:16" ht="13.8" thickBot="1" x14ac:dyDescent="0.3"/>
    <row r="16" spans="1:16" ht="39.6" x14ac:dyDescent="0.25">
      <c r="A16" s="6"/>
      <c r="B16" s="75"/>
      <c r="C16" s="540" t="s">
        <v>20</v>
      </c>
      <c r="D16" s="40" t="s">
        <v>31</v>
      </c>
      <c r="E16" s="540" t="s">
        <v>24</v>
      </c>
      <c r="F16" s="40" t="s">
        <v>32</v>
      </c>
      <c r="G16" s="540" t="s">
        <v>25</v>
      </c>
      <c r="H16" s="17" t="s">
        <v>33</v>
      </c>
      <c r="I16" s="75"/>
      <c r="J16" s="40" t="s">
        <v>35</v>
      </c>
      <c r="K16" s="40" t="s">
        <v>34</v>
      </c>
      <c r="L16" s="75" t="s">
        <v>116</v>
      </c>
      <c r="M16" s="40" t="s">
        <v>117</v>
      </c>
      <c r="N16" s="17" t="s">
        <v>118</v>
      </c>
      <c r="O16" s="111" t="s">
        <v>26</v>
      </c>
      <c r="P16"/>
    </row>
    <row r="17" spans="1:16" x14ac:dyDescent="0.25">
      <c r="A17" s="6"/>
      <c r="B17" s="108"/>
      <c r="C17" s="541"/>
      <c r="D17" s="41"/>
      <c r="E17" s="541"/>
      <c r="F17" s="43"/>
      <c r="G17" s="541"/>
      <c r="H17" s="26"/>
      <c r="I17" s="108"/>
      <c r="J17" s="41"/>
      <c r="K17" s="41"/>
      <c r="L17" s="14"/>
      <c r="M17" s="30"/>
      <c r="N17" s="12"/>
      <c r="O17" s="112"/>
      <c r="P17"/>
    </row>
    <row r="18" spans="1:16" ht="13.8" thickBot="1" x14ac:dyDescent="0.3">
      <c r="B18" s="15" t="s">
        <v>3</v>
      </c>
      <c r="C18" s="543" t="s">
        <v>12</v>
      </c>
      <c r="D18" s="49"/>
      <c r="E18" s="543" t="s">
        <v>18</v>
      </c>
      <c r="F18" s="49"/>
      <c r="G18" s="543" t="s">
        <v>22</v>
      </c>
      <c r="H18" s="16"/>
      <c r="I18" s="15"/>
      <c r="J18" s="49"/>
      <c r="K18" s="49"/>
      <c r="L18" s="15"/>
      <c r="M18" s="49"/>
      <c r="N18" s="16"/>
      <c r="O18" s="114"/>
      <c r="P18"/>
    </row>
    <row r="19" spans="1:16" x14ac:dyDescent="0.25">
      <c r="A19" s="5">
        <f>+'Index Pricing'!A7</f>
        <v>37196</v>
      </c>
      <c r="B19" s="4">
        <f>+'Index Pricing'!B7</f>
        <v>2.67</v>
      </c>
      <c r="C19" s="237">
        <f>+B19+$J$12</f>
        <v>2.1345000000000001</v>
      </c>
      <c r="D19" s="43">
        <f>(ROUND(MAX(0,SUM(J19:K19)-SUM(H19,F19)),0))</f>
        <v>1516</v>
      </c>
      <c r="E19" s="542">
        <f>+'Index Pricing'!$B$4+$J$13</f>
        <v>2.2650000000000001</v>
      </c>
      <c r="F19" s="121">
        <f>ROUND(MIN(0.8*$B$5,10000,SUM(J19:K19)),0)</f>
        <v>9069</v>
      </c>
      <c r="G19" s="542">
        <f>+'Index Pricing'!$B$3+$J$14</f>
        <v>1.8776000000000002</v>
      </c>
      <c r="H19" s="216">
        <f>ROUND(MAX(0.8*$B$5-F19,0),0)</f>
        <v>0</v>
      </c>
      <c r="I19" s="30"/>
      <c r="J19" s="19">
        <f>'[1]Enron Detail'!P14</f>
        <v>-751</v>
      </c>
      <c r="K19" s="32">
        <f>'[1]Enron Detail'!O14</f>
        <v>11336</v>
      </c>
      <c r="L19" s="76">
        <f t="shared" ref="L19:L46" si="0">+C19*D19</f>
        <v>3235.902</v>
      </c>
      <c r="M19" s="74">
        <f>+E19*F19</f>
        <v>20541.285</v>
      </c>
      <c r="N19" s="77">
        <f t="shared" ref="N19:N46" si="1">+G19*H19</f>
        <v>0</v>
      </c>
      <c r="O19" s="2">
        <f>SUM(L19:N19)</f>
        <v>23777.186999999998</v>
      </c>
    </row>
    <row r="20" spans="1:16" x14ac:dyDescent="0.25">
      <c r="A20" s="5">
        <f>+'Index Pricing'!A8</f>
        <v>37197</v>
      </c>
      <c r="B20" s="4">
        <f>+'Index Pricing'!B8</f>
        <v>2.36</v>
      </c>
      <c r="C20" s="237">
        <f t="shared" ref="C20:C48" si="2">+B20+$J$12</f>
        <v>1.8245</v>
      </c>
      <c r="D20" s="43">
        <f t="shared" ref="D20:D48" si="3">(ROUND(MAX(0,SUM(J20:K20)-SUM(H20,F20)),0))</f>
        <v>1518</v>
      </c>
      <c r="E20" s="542">
        <f>+'Index Pricing'!$B$4+$J$13</f>
        <v>2.2650000000000001</v>
      </c>
      <c r="F20" s="121">
        <f t="shared" ref="F20:F48" si="4">ROUND(MIN(0.8*$B$5,10000,SUM(J20:K20)),0)</f>
        <v>9069</v>
      </c>
      <c r="G20" s="542">
        <f>+'Index Pricing'!$B$3+$J$14</f>
        <v>1.8776000000000002</v>
      </c>
      <c r="H20" s="216">
        <f t="shared" ref="H20:H46" si="5">ROUND(MAX(0.8*$B$5-F20,0),0)</f>
        <v>0</v>
      </c>
      <c r="I20" s="30"/>
      <c r="J20" s="19">
        <f>'[1]Enron Detail'!P15</f>
        <v>-749</v>
      </c>
      <c r="K20" s="32">
        <f>'[1]Enron Detail'!O15</f>
        <v>11336</v>
      </c>
      <c r="L20" s="76">
        <f t="shared" si="0"/>
        <v>2769.5909999999999</v>
      </c>
      <c r="M20" s="74">
        <f t="shared" ref="M20:M50" si="6">+E20*F20</f>
        <v>20541.285</v>
      </c>
      <c r="N20" s="77">
        <f t="shared" si="1"/>
        <v>0</v>
      </c>
      <c r="O20" s="2">
        <f>SUM(L20:N20)</f>
        <v>23310.876</v>
      </c>
      <c r="P20"/>
    </row>
    <row r="21" spans="1:16" x14ac:dyDescent="0.25">
      <c r="A21" s="5">
        <f>+'Index Pricing'!A9</f>
        <v>37198</v>
      </c>
      <c r="B21" s="4">
        <f>+'Index Pricing'!B9</f>
        <v>2.0150000000000001</v>
      </c>
      <c r="C21" s="237">
        <f t="shared" si="2"/>
        <v>1.4795000000000003</v>
      </c>
      <c r="D21" s="43">
        <f t="shared" si="3"/>
        <v>1511</v>
      </c>
      <c r="E21" s="542">
        <f>+'Index Pricing'!$B$4+$J$13</f>
        <v>2.2650000000000001</v>
      </c>
      <c r="F21" s="121">
        <f t="shared" si="4"/>
        <v>9069</v>
      </c>
      <c r="G21" s="542">
        <f>+'Index Pricing'!$B$3+$J$14</f>
        <v>1.8776000000000002</v>
      </c>
      <c r="H21" s="216">
        <f t="shared" si="5"/>
        <v>0</v>
      </c>
      <c r="I21" s="30"/>
      <c r="J21" s="19">
        <f>'[1]Enron Detail'!P16</f>
        <v>-756</v>
      </c>
      <c r="K21" s="32">
        <f>'[1]Enron Detail'!O16</f>
        <v>11336</v>
      </c>
      <c r="L21" s="76">
        <f t="shared" si="0"/>
        <v>2235.5245000000004</v>
      </c>
      <c r="M21" s="74">
        <f t="shared" si="6"/>
        <v>20541.285</v>
      </c>
      <c r="N21" s="77">
        <f t="shared" si="1"/>
        <v>0</v>
      </c>
      <c r="O21" s="2">
        <f>SUM(L21:N21)</f>
        <v>22776.809499999999</v>
      </c>
      <c r="P21"/>
    </row>
    <row r="22" spans="1:16" x14ac:dyDescent="0.25">
      <c r="A22" s="5">
        <f>+'Index Pricing'!A10</f>
        <v>37199</v>
      </c>
      <c r="B22" s="4">
        <f>+'Index Pricing'!B10</f>
        <v>2.0150000000000001</v>
      </c>
      <c r="C22" s="237">
        <f t="shared" si="2"/>
        <v>1.4795000000000003</v>
      </c>
      <c r="D22" s="43">
        <f t="shared" si="3"/>
        <v>1514</v>
      </c>
      <c r="E22" s="542">
        <f>+'Index Pricing'!$B$4+$J$13</f>
        <v>2.2650000000000001</v>
      </c>
      <c r="F22" s="121">
        <f t="shared" si="4"/>
        <v>9069</v>
      </c>
      <c r="G22" s="542">
        <f>+'Index Pricing'!$B$3+$J$14</f>
        <v>1.8776000000000002</v>
      </c>
      <c r="H22" s="216">
        <f t="shared" si="5"/>
        <v>0</v>
      </c>
      <c r="I22" s="30"/>
      <c r="J22" s="19">
        <f>'[1]Enron Detail'!P17</f>
        <v>-753</v>
      </c>
      <c r="K22" s="32">
        <f>'[1]Enron Detail'!O17</f>
        <v>11336</v>
      </c>
      <c r="L22" s="76">
        <f t="shared" si="0"/>
        <v>2239.9630000000002</v>
      </c>
      <c r="M22" s="74">
        <f t="shared" si="6"/>
        <v>20541.285</v>
      </c>
      <c r="N22" s="77">
        <f t="shared" si="1"/>
        <v>0</v>
      </c>
      <c r="O22" s="2">
        <f t="shared" ref="O22:O50" si="7">SUM(L22:N22)</f>
        <v>22781.248</v>
      </c>
      <c r="P22"/>
    </row>
    <row r="23" spans="1:16" x14ac:dyDescent="0.25">
      <c r="A23" s="5">
        <f>+'Index Pricing'!A11</f>
        <v>37200</v>
      </c>
      <c r="B23" s="4">
        <f>+'Index Pricing'!B11</f>
        <v>2.0150000000000001</v>
      </c>
      <c r="C23" s="237">
        <f t="shared" si="2"/>
        <v>1.4795000000000003</v>
      </c>
      <c r="D23" s="43">
        <f t="shared" si="3"/>
        <v>1515</v>
      </c>
      <c r="E23" s="542">
        <f>+'Index Pricing'!$B$4+$J$13</f>
        <v>2.2650000000000001</v>
      </c>
      <c r="F23" s="121">
        <f t="shared" si="4"/>
        <v>9069</v>
      </c>
      <c r="G23" s="542">
        <f>+'Index Pricing'!$B$3+$J$14</f>
        <v>1.8776000000000002</v>
      </c>
      <c r="H23" s="216">
        <f t="shared" si="5"/>
        <v>0</v>
      </c>
      <c r="I23" s="30"/>
      <c r="J23" s="19">
        <f>'[1]Enron Detail'!P18</f>
        <v>-752</v>
      </c>
      <c r="K23" s="32">
        <f>'[1]Enron Detail'!O18</f>
        <v>11336</v>
      </c>
      <c r="L23" s="76">
        <f t="shared" si="0"/>
        <v>2241.4425000000006</v>
      </c>
      <c r="M23" s="74">
        <f t="shared" si="6"/>
        <v>20541.285</v>
      </c>
      <c r="N23" s="77">
        <f t="shared" si="1"/>
        <v>0</v>
      </c>
      <c r="O23" s="2">
        <f t="shared" si="7"/>
        <v>22782.727500000001</v>
      </c>
      <c r="P23"/>
    </row>
    <row r="24" spans="1:16" x14ac:dyDescent="0.25">
      <c r="A24" s="5">
        <f>+'Index Pricing'!A12</f>
        <v>37201</v>
      </c>
      <c r="B24" s="4">
        <f>+'Index Pricing'!B12</f>
        <v>2.16</v>
      </c>
      <c r="C24" s="237">
        <f t="shared" si="2"/>
        <v>1.6245000000000003</v>
      </c>
      <c r="D24" s="43">
        <f t="shared" si="3"/>
        <v>1528</v>
      </c>
      <c r="E24" s="542">
        <f>+'Index Pricing'!$B$4+$J$13</f>
        <v>2.2650000000000001</v>
      </c>
      <c r="F24" s="121">
        <f t="shared" si="4"/>
        <v>9069</v>
      </c>
      <c r="G24" s="542">
        <f>+'Index Pricing'!$B$3+$J$14</f>
        <v>1.8776000000000002</v>
      </c>
      <c r="H24" s="216">
        <f t="shared" si="5"/>
        <v>0</v>
      </c>
      <c r="I24" s="30"/>
      <c r="J24" s="19">
        <f>'[1]Enron Detail'!P19</f>
        <v>-739</v>
      </c>
      <c r="K24" s="32">
        <f>'[1]Enron Detail'!O19</f>
        <v>11336</v>
      </c>
      <c r="L24" s="76">
        <f t="shared" si="0"/>
        <v>2482.2360000000003</v>
      </c>
      <c r="M24" s="74">
        <f t="shared" si="6"/>
        <v>20541.285</v>
      </c>
      <c r="N24" s="77">
        <f t="shared" si="1"/>
        <v>0</v>
      </c>
      <c r="O24" s="2">
        <f t="shared" si="7"/>
        <v>23023.521000000001</v>
      </c>
      <c r="P24"/>
    </row>
    <row r="25" spans="1:16" x14ac:dyDescent="0.25">
      <c r="A25" s="5">
        <f>+'Index Pricing'!A13</f>
        <v>37202</v>
      </c>
      <c r="B25" s="4">
        <f>+'Index Pricing'!B13</f>
        <v>2.1349999999999998</v>
      </c>
      <c r="C25" s="237">
        <f t="shared" si="2"/>
        <v>1.5994999999999999</v>
      </c>
      <c r="D25" s="43">
        <f t="shared" si="3"/>
        <v>1530</v>
      </c>
      <c r="E25" s="542">
        <f>+'Index Pricing'!$B$4+$J$13</f>
        <v>2.2650000000000001</v>
      </c>
      <c r="F25" s="121">
        <f t="shared" si="4"/>
        <v>9069</v>
      </c>
      <c r="G25" s="542">
        <f>+'Index Pricing'!$B$3+$J$14</f>
        <v>1.8776000000000002</v>
      </c>
      <c r="H25" s="216">
        <f t="shared" si="5"/>
        <v>0</v>
      </c>
      <c r="I25" s="30"/>
      <c r="J25" s="19">
        <f>'[1]Enron Detail'!P20</f>
        <v>-737</v>
      </c>
      <c r="K25" s="32">
        <f>'[1]Enron Detail'!O20</f>
        <v>11336</v>
      </c>
      <c r="L25" s="76">
        <f t="shared" si="0"/>
        <v>2447.2349999999997</v>
      </c>
      <c r="M25" s="74">
        <f t="shared" si="6"/>
        <v>20541.285</v>
      </c>
      <c r="N25" s="77">
        <f t="shared" si="1"/>
        <v>0</v>
      </c>
      <c r="O25" s="2">
        <f t="shared" si="7"/>
        <v>22988.52</v>
      </c>
      <c r="P25"/>
    </row>
    <row r="26" spans="1:16" x14ac:dyDescent="0.25">
      <c r="A26" s="5">
        <f>+'Index Pricing'!A14</f>
        <v>37203</v>
      </c>
      <c r="B26" s="4">
        <f>+'Index Pricing'!B14</f>
        <v>2.13</v>
      </c>
      <c r="C26" s="237">
        <f t="shared" si="2"/>
        <v>1.5945</v>
      </c>
      <c r="D26" s="43">
        <f t="shared" si="3"/>
        <v>1528</v>
      </c>
      <c r="E26" s="542">
        <f>+'Index Pricing'!$B$4+$J$13</f>
        <v>2.2650000000000001</v>
      </c>
      <c r="F26" s="121">
        <f t="shared" si="4"/>
        <v>9069</v>
      </c>
      <c r="G26" s="542">
        <f>+'Index Pricing'!$B$3+$J$14</f>
        <v>1.8776000000000002</v>
      </c>
      <c r="H26" s="216">
        <f t="shared" si="5"/>
        <v>0</v>
      </c>
      <c r="I26" s="30"/>
      <c r="J26" s="19">
        <f>'[1]Enron Detail'!P21</f>
        <v>-739</v>
      </c>
      <c r="K26" s="32">
        <f>'[1]Enron Detail'!O21</f>
        <v>11336</v>
      </c>
      <c r="L26" s="76">
        <f t="shared" si="0"/>
        <v>2436.3960000000002</v>
      </c>
      <c r="M26" s="74">
        <f t="shared" si="6"/>
        <v>20541.285</v>
      </c>
      <c r="N26" s="77">
        <f t="shared" si="1"/>
        <v>0</v>
      </c>
      <c r="O26" s="2">
        <f t="shared" si="7"/>
        <v>22977.681</v>
      </c>
      <c r="P26"/>
    </row>
    <row r="27" spans="1:16" x14ac:dyDescent="0.25">
      <c r="A27" s="5">
        <f>+'Index Pricing'!A15</f>
        <v>37204</v>
      </c>
      <c r="B27" s="4">
        <f>+'Index Pricing'!B15</f>
        <v>1.9350000000000001</v>
      </c>
      <c r="C27" s="237">
        <f t="shared" si="2"/>
        <v>1.3995000000000002</v>
      </c>
      <c r="D27" s="43">
        <f t="shared" si="3"/>
        <v>1528</v>
      </c>
      <c r="E27" s="542">
        <f>+'Index Pricing'!$B$4+$J$13</f>
        <v>2.2650000000000001</v>
      </c>
      <c r="F27" s="121">
        <f t="shared" si="4"/>
        <v>9069</v>
      </c>
      <c r="G27" s="542">
        <f>+'Index Pricing'!$B$3+$J$14</f>
        <v>1.8776000000000002</v>
      </c>
      <c r="H27" s="216">
        <f t="shared" si="5"/>
        <v>0</v>
      </c>
      <c r="I27" s="30"/>
      <c r="J27" s="19">
        <f>'[1]Enron Detail'!P22</f>
        <v>-739</v>
      </c>
      <c r="K27" s="32">
        <f>'[1]Enron Detail'!O22</f>
        <v>11336</v>
      </c>
      <c r="L27" s="76">
        <f t="shared" si="0"/>
        <v>2138.4360000000001</v>
      </c>
      <c r="M27" s="74">
        <f t="shared" si="6"/>
        <v>20541.285</v>
      </c>
      <c r="N27" s="77">
        <f t="shared" si="1"/>
        <v>0</v>
      </c>
      <c r="O27" s="2">
        <f t="shared" si="7"/>
        <v>22679.721000000001</v>
      </c>
      <c r="P27"/>
    </row>
    <row r="28" spans="1:16" x14ac:dyDescent="0.25">
      <c r="A28" s="5">
        <f>+'Index Pricing'!A16</f>
        <v>37205</v>
      </c>
      <c r="B28" s="4">
        <f>+'Index Pricing'!B16</f>
        <v>1.7</v>
      </c>
      <c r="C28" s="237">
        <f t="shared" si="2"/>
        <v>1.1644999999999999</v>
      </c>
      <c r="D28" s="43">
        <f t="shared" si="3"/>
        <v>1525</v>
      </c>
      <c r="E28" s="542">
        <f>+'Index Pricing'!$B$4+$J$13</f>
        <v>2.2650000000000001</v>
      </c>
      <c r="F28" s="121">
        <f t="shared" si="4"/>
        <v>9069</v>
      </c>
      <c r="G28" s="542">
        <f>+'Index Pricing'!$B$3+$J$14</f>
        <v>1.8776000000000002</v>
      </c>
      <c r="H28" s="216">
        <f t="shared" si="5"/>
        <v>0</v>
      </c>
      <c r="I28" s="30"/>
      <c r="J28" s="19">
        <f>'[1]Enron Detail'!P23</f>
        <v>-742</v>
      </c>
      <c r="K28" s="32">
        <f>'[1]Enron Detail'!O23</f>
        <v>11336</v>
      </c>
      <c r="L28" s="76">
        <f t="shared" si="0"/>
        <v>1775.8624999999997</v>
      </c>
      <c r="M28" s="74">
        <f t="shared" si="6"/>
        <v>20541.285</v>
      </c>
      <c r="N28" s="77">
        <f t="shared" si="1"/>
        <v>0</v>
      </c>
      <c r="O28" s="2">
        <f t="shared" si="7"/>
        <v>22317.147499999999</v>
      </c>
      <c r="P28"/>
    </row>
    <row r="29" spans="1:16" x14ac:dyDescent="0.25">
      <c r="A29" s="5">
        <f>+'Index Pricing'!A17</f>
        <v>37206</v>
      </c>
      <c r="B29" s="4">
        <f>+'Index Pricing'!B17</f>
        <v>1.7</v>
      </c>
      <c r="C29" s="237">
        <f t="shared" si="2"/>
        <v>1.1644999999999999</v>
      </c>
      <c r="D29" s="43">
        <f t="shared" si="3"/>
        <v>1525</v>
      </c>
      <c r="E29" s="542">
        <f>+'Index Pricing'!$B$4+$J$13</f>
        <v>2.2650000000000001</v>
      </c>
      <c r="F29" s="121">
        <f t="shared" si="4"/>
        <v>9069</v>
      </c>
      <c r="G29" s="542">
        <f>+'Index Pricing'!$B$3+$J$14</f>
        <v>1.8776000000000002</v>
      </c>
      <c r="H29" s="216">
        <f t="shared" si="5"/>
        <v>0</v>
      </c>
      <c r="I29" s="30"/>
      <c r="J29" s="19">
        <f>'[1]Enron Detail'!P24</f>
        <v>-742</v>
      </c>
      <c r="K29" s="32">
        <f>'[1]Enron Detail'!O24</f>
        <v>11336</v>
      </c>
      <c r="L29" s="76">
        <f t="shared" si="0"/>
        <v>1775.8624999999997</v>
      </c>
      <c r="M29" s="74">
        <f t="shared" si="6"/>
        <v>20541.285</v>
      </c>
      <c r="N29" s="77">
        <f t="shared" si="1"/>
        <v>0</v>
      </c>
      <c r="O29" s="2">
        <f t="shared" si="7"/>
        <v>22317.147499999999</v>
      </c>
      <c r="P29"/>
    </row>
    <row r="30" spans="1:16" x14ac:dyDescent="0.25">
      <c r="A30" s="5">
        <f>+'Index Pricing'!A18</f>
        <v>37207</v>
      </c>
      <c r="B30" s="4">
        <f>+'Index Pricing'!B18</f>
        <v>1.7</v>
      </c>
      <c r="C30" s="237">
        <f t="shared" si="2"/>
        <v>1.1644999999999999</v>
      </c>
      <c r="D30" s="43">
        <f t="shared" si="3"/>
        <v>1523</v>
      </c>
      <c r="E30" s="542">
        <f>+'Index Pricing'!$B$4+$J$13</f>
        <v>2.2650000000000001</v>
      </c>
      <c r="F30" s="121">
        <f t="shared" si="4"/>
        <v>9069</v>
      </c>
      <c r="G30" s="542">
        <f>+'Index Pricing'!$B$3+$J$14</f>
        <v>1.8776000000000002</v>
      </c>
      <c r="H30" s="216">
        <f t="shared" si="5"/>
        <v>0</v>
      </c>
      <c r="I30" s="30"/>
      <c r="J30" s="19">
        <f>'[1]Enron Detail'!P25</f>
        <v>-744</v>
      </c>
      <c r="K30" s="32">
        <f>'[1]Enron Detail'!O25</f>
        <v>11336</v>
      </c>
      <c r="L30" s="76">
        <f t="shared" si="0"/>
        <v>1773.5334999999998</v>
      </c>
      <c r="M30" s="74">
        <f t="shared" si="6"/>
        <v>20541.285</v>
      </c>
      <c r="N30" s="77">
        <f t="shared" si="1"/>
        <v>0</v>
      </c>
      <c r="O30" s="2">
        <f t="shared" si="7"/>
        <v>22314.818500000001</v>
      </c>
      <c r="P30"/>
    </row>
    <row r="31" spans="1:16" x14ac:dyDescent="0.25">
      <c r="A31" s="5">
        <f>+'Index Pricing'!A19</f>
        <v>37208</v>
      </c>
      <c r="B31" s="4">
        <f>+'Index Pricing'!B19</f>
        <v>1.52</v>
      </c>
      <c r="C31" s="237">
        <f t="shared" si="2"/>
        <v>0.98450000000000004</v>
      </c>
      <c r="D31" s="43">
        <f t="shared" si="3"/>
        <v>1525</v>
      </c>
      <c r="E31" s="542">
        <f>+'Index Pricing'!$B$4+$J$13</f>
        <v>2.2650000000000001</v>
      </c>
      <c r="F31" s="121">
        <f t="shared" si="4"/>
        <v>9069</v>
      </c>
      <c r="G31" s="542">
        <f>+'Index Pricing'!$B$3+$J$14</f>
        <v>1.8776000000000002</v>
      </c>
      <c r="H31" s="216">
        <f t="shared" si="5"/>
        <v>0</v>
      </c>
      <c r="I31" s="30"/>
      <c r="J31" s="19">
        <f>'[1]Enron Detail'!P26</f>
        <v>-742</v>
      </c>
      <c r="K31" s="32">
        <f>'[1]Enron Detail'!O26</f>
        <v>11336</v>
      </c>
      <c r="L31" s="76">
        <f t="shared" si="0"/>
        <v>1501.3625</v>
      </c>
      <c r="M31" s="74">
        <f t="shared" si="6"/>
        <v>20541.285</v>
      </c>
      <c r="N31" s="77">
        <f t="shared" si="1"/>
        <v>0</v>
      </c>
      <c r="O31" s="2">
        <f t="shared" si="7"/>
        <v>22042.647499999999</v>
      </c>
      <c r="P31"/>
    </row>
    <row r="32" spans="1:16" x14ac:dyDescent="0.25">
      <c r="A32" s="5">
        <f>+'Index Pricing'!A20</f>
        <v>37209</v>
      </c>
      <c r="B32" s="4">
        <f>+'Index Pricing'!B20</f>
        <v>1.595</v>
      </c>
      <c r="C32" s="237">
        <f t="shared" si="2"/>
        <v>1.0594999999999999</v>
      </c>
      <c r="D32" s="43">
        <f t="shared" si="3"/>
        <v>1520</v>
      </c>
      <c r="E32" s="542">
        <f>+'Index Pricing'!$B$4+$J$13</f>
        <v>2.2650000000000001</v>
      </c>
      <c r="F32" s="121">
        <f t="shared" si="4"/>
        <v>9069</v>
      </c>
      <c r="G32" s="542">
        <f>+'Index Pricing'!$B$3+$J$14</f>
        <v>1.8776000000000002</v>
      </c>
      <c r="H32" s="216">
        <f t="shared" si="5"/>
        <v>0</v>
      </c>
      <c r="I32" s="30"/>
      <c r="J32" s="19">
        <f>'[1]Enron Detail'!P27</f>
        <v>-747</v>
      </c>
      <c r="K32" s="32">
        <f>'[1]Enron Detail'!O27</f>
        <v>11336</v>
      </c>
      <c r="L32" s="76">
        <f t="shared" si="0"/>
        <v>1610.4399999999998</v>
      </c>
      <c r="M32" s="74">
        <f t="shared" si="6"/>
        <v>20541.285</v>
      </c>
      <c r="N32" s="77">
        <f t="shared" si="1"/>
        <v>0</v>
      </c>
      <c r="O32" s="2">
        <f t="shared" si="7"/>
        <v>22151.724999999999</v>
      </c>
      <c r="P32"/>
    </row>
    <row r="33" spans="1:16" x14ac:dyDescent="0.25">
      <c r="A33" s="5">
        <f>+'Index Pricing'!A21</f>
        <v>37210</v>
      </c>
      <c r="B33" s="4">
        <f>+'Index Pricing'!B21</f>
        <v>1.84</v>
      </c>
      <c r="C33" s="237">
        <f t="shared" si="2"/>
        <v>1.3045</v>
      </c>
      <c r="D33" s="43">
        <f t="shared" si="3"/>
        <v>1516</v>
      </c>
      <c r="E33" s="542">
        <f>+'Index Pricing'!$B$4+$J$13</f>
        <v>2.2650000000000001</v>
      </c>
      <c r="F33" s="121">
        <f t="shared" si="4"/>
        <v>9069</v>
      </c>
      <c r="G33" s="542">
        <f>+'Index Pricing'!$B$3+$J$14</f>
        <v>1.8776000000000002</v>
      </c>
      <c r="H33" s="216">
        <f t="shared" si="5"/>
        <v>0</v>
      </c>
      <c r="I33" s="30"/>
      <c r="J33" s="19">
        <f>'[1]Enron Detail'!P28</f>
        <v>-751</v>
      </c>
      <c r="K33" s="32">
        <f>'[1]Enron Detail'!O28</f>
        <v>11336</v>
      </c>
      <c r="L33" s="76">
        <f t="shared" si="0"/>
        <v>1977.6220000000001</v>
      </c>
      <c r="M33" s="74">
        <f t="shared" si="6"/>
        <v>20541.285</v>
      </c>
      <c r="N33" s="77">
        <f t="shared" si="1"/>
        <v>0</v>
      </c>
      <c r="O33" s="2">
        <f t="shared" si="7"/>
        <v>22518.906999999999</v>
      </c>
      <c r="P33"/>
    </row>
    <row r="34" spans="1:16" x14ac:dyDescent="0.25">
      <c r="A34" s="5">
        <f>+'Index Pricing'!A22</f>
        <v>37211</v>
      </c>
      <c r="B34" s="4">
        <f>+'Index Pricing'!B22</f>
        <v>1.4350000000000001</v>
      </c>
      <c r="C34" s="237">
        <f t="shared" si="2"/>
        <v>0.89950000000000008</v>
      </c>
      <c r="D34" s="43">
        <f t="shared" si="3"/>
        <v>1520</v>
      </c>
      <c r="E34" s="542">
        <f>+'Index Pricing'!$B$4+$J$13</f>
        <v>2.2650000000000001</v>
      </c>
      <c r="F34" s="121">
        <f t="shared" si="4"/>
        <v>9069</v>
      </c>
      <c r="G34" s="542">
        <f>+'Index Pricing'!$B$3+$J$14</f>
        <v>1.8776000000000002</v>
      </c>
      <c r="H34" s="216">
        <f t="shared" si="5"/>
        <v>0</v>
      </c>
      <c r="I34" s="30"/>
      <c r="J34" s="19">
        <f>'[1]Enron Detail'!P29</f>
        <v>-747</v>
      </c>
      <c r="K34" s="32">
        <f>'[1]Enron Detail'!O29</f>
        <v>11336</v>
      </c>
      <c r="L34" s="76">
        <f t="shared" si="0"/>
        <v>1367.24</v>
      </c>
      <c r="M34" s="74">
        <f t="shared" si="6"/>
        <v>20541.285</v>
      </c>
      <c r="N34" s="77">
        <f t="shared" si="1"/>
        <v>0</v>
      </c>
      <c r="O34" s="2">
        <f t="shared" si="7"/>
        <v>21908.525000000001</v>
      </c>
      <c r="P34"/>
    </row>
    <row r="35" spans="1:16" x14ac:dyDescent="0.25">
      <c r="A35" s="5">
        <f>+'Index Pricing'!A23</f>
        <v>37212</v>
      </c>
      <c r="B35" s="4">
        <f>+'Index Pricing'!B23</f>
        <v>1.135</v>
      </c>
      <c r="C35" s="237">
        <f t="shared" si="2"/>
        <v>0.59950000000000003</v>
      </c>
      <c r="D35" s="43">
        <f t="shared" si="3"/>
        <v>1527</v>
      </c>
      <c r="E35" s="542">
        <f>+'Index Pricing'!$B$4+$J$13</f>
        <v>2.2650000000000001</v>
      </c>
      <c r="F35" s="121">
        <f t="shared" si="4"/>
        <v>9069</v>
      </c>
      <c r="G35" s="542">
        <f>+'Index Pricing'!$B$3+$J$14</f>
        <v>1.8776000000000002</v>
      </c>
      <c r="H35" s="216">
        <f t="shared" si="5"/>
        <v>0</v>
      </c>
      <c r="I35" s="30"/>
      <c r="J35" s="19">
        <f>'[1]Enron Detail'!P30</f>
        <v>-740</v>
      </c>
      <c r="K35" s="32">
        <f>'[1]Enron Detail'!O30</f>
        <v>11336</v>
      </c>
      <c r="L35" s="76">
        <f t="shared" si="0"/>
        <v>915.43650000000002</v>
      </c>
      <c r="M35" s="74">
        <f t="shared" si="6"/>
        <v>20541.285</v>
      </c>
      <c r="N35" s="77">
        <f t="shared" si="1"/>
        <v>0</v>
      </c>
      <c r="O35" s="2">
        <f t="shared" si="7"/>
        <v>21456.7215</v>
      </c>
      <c r="P35"/>
    </row>
    <row r="36" spans="1:16" x14ac:dyDescent="0.25">
      <c r="A36" s="5">
        <f>+'Index Pricing'!A24</f>
        <v>37213</v>
      </c>
      <c r="B36" s="4">
        <f>+'Index Pricing'!B24</f>
        <v>1.135</v>
      </c>
      <c r="C36" s="237">
        <f t="shared" si="2"/>
        <v>0.59950000000000003</v>
      </c>
      <c r="D36" s="43">
        <f t="shared" si="3"/>
        <v>1521</v>
      </c>
      <c r="E36" s="542">
        <f>+'Index Pricing'!$B$4+$J$13</f>
        <v>2.2650000000000001</v>
      </c>
      <c r="F36" s="121">
        <f t="shared" si="4"/>
        <v>9069</v>
      </c>
      <c r="G36" s="542">
        <f>+'Index Pricing'!$B$3+$J$14</f>
        <v>1.8776000000000002</v>
      </c>
      <c r="H36" s="216">
        <f t="shared" si="5"/>
        <v>0</v>
      </c>
      <c r="I36" s="30"/>
      <c r="J36" s="19">
        <f>'[1]Enron Detail'!P31</f>
        <v>-746</v>
      </c>
      <c r="K36" s="32">
        <f>'[1]Enron Detail'!O31</f>
        <v>11336</v>
      </c>
      <c r="L36" s="76">
        <f t="shared" si="0"/>
        <v>911.83950000000004</v>
      </c>
      <c r="M36" s="74">
        <f t="shared" si="6"/>
        <v>20541.285</v>
      </c>
      <c r="N36" s="77">
        <f t="shared" si="1"/>
        <v>0</v>
      </c>
      <c r="O36" s="2">
        <f t="shared" si="7"/>
        <v>21453.124499999998</v>
      </c>
      <c r="P36"/>
    </row>
    <row r="37" spans="1:16" x14ac:dyDescent="0.25">
      <c r="A37" s="5">
        <f>+'Index Pricing'!A25</f>
        <v>37214</v>
      </c>
      <c r="B37" s="4">
        <f>+'Index Pricing'!B25</f>
        <v>1.135</v>
      </c>
      <c r="C37" s="237">
        <f t="shared" si="2"/>
        <v>0.59950000000000003</v>
      </c>
      <c r="D37" s="43">
        <f t="shared" si="3"/>
        <v>1526</v>
      </c>
      <c r="E37" s="542">
        <f>+'Index Pricing'!$B$4+$J$13</f>
        <v>2.2650000000000001</v>
      </c>
      <c r="F37" s="121">
        <f t="shared" si="4"/>
        <v>9069</v>
      </c>
      <c r="G37" s="542">
        <f>+'Index Pricing'!$B$3+$J$14</f>
        <v>1.8776000000000002</v>
      </c>
      <c r="H37" s="216">
        <f t="shared" si="5"/>
        <v>0</v>
      </c>
      <c r="I37" s="30"/>
      <c r="J37" s="19">
        <f>'[1]Enron Detail'!P32</f>
        <v>-741</v>
      </c>
      <c r="K37" s="32">
        <f>'[1]Enron Detail'!O32</f>
        <v>11336</v>
      </c>
      <c r="L37" s="76">
        <f t="shared" si="0"/>
        <v>914.8370000000001</v>
      </c>
      <c r="M37" s="74">
        <f t="shared" si="6"/>
        <v>20541.285</v>
      </c>
      <c r="N37" s="77">
        <f t="shared" si="1"/>
        <v>0</v>
      </c>
      <c r="O37" s="2">
        <f t="shared" si="7"/>
        <v>21456.121999999999</v>
      </c>
      <c r="P37"/>
    </row>
    <row r="38" spans="1:16" x14ac:dyDescent="0.25">
      <c r="A38" s="5">
        <f>+'Index Pricing'!A26</f>
        <v>37215</v>
      </c>
      <c r="B38" s="4">
        <f>+'Index Pricing'!B26</f>
        <v>1.5349999999999999</v>
      </c>
      <c r="C38" s="237">
        <f t="shared" si="2"/>
        <v>0.99949999999999994</v>
      </c>
      <c r="D38" s="43">
        <f t="shared" si="3"/>
        <v>1528</v>
      </c>
      <c r="E38" s="542">
        <f>+'Index Pricing'!$B$4+$J$13</f>
        <v>2.2650000000000001</v>
      </c>
      <c r="F38" s="121">
        <f t="shared" si="4"/>
        <v>9069</v>
      </c>
      <c r="G38" s="542">
        <f>+'Index Pricing'!$B$3+$J$14</f>
        <v>1.8776000000000002</v>
      </c>
      <c r="H38" s="216">
        <f t="shared" si="5"/>
        <v>0</v>
      </c>
      <c r="I38" s="30"/>
      <c r="J38" s="19">
        <f>'[1]Enron Detail'!P33</f>
        <v>-739</v>
      </c>
      <c r="K38" s="32">
        <f>'[1]Enron Detail'!O33</f>
        <v>11336</v>
      </c>
      <c r="L38" s="76">
        <f t="shared" si="0"/>
        <v>1527.2359999999999</v>
      </c>
      <c r="M38" s="74">
        <f t="shared" si="6"/>
        <v>20541.285</v>
      </c>
      <c r="N38" s="77">
        <f t="shared" si="1"/>
        <v>0</v>
      </c>
      <c r="O38" s="2">
        <f t="shared" si="7"/>
        <v>22068.521000000001</v>
      </c>
      <c r="P38"/>
    </row>
    <row r="39" spans="1:16" x14ac:dyDescent="0.25">
      <c r="A39" s="5">
        <f>+'Index Pricing'!A27</f>
        <v>37216</v>
      </c>
      <c r="B39" s="4">
        <f>+'Index Pricing'!B27</f>
        <v>2.2050000000000001</v>
      </c>
      <c r="C39" s="237">
        <f t="shared" si="2"/>
        <v>1.6695000000000002</v>
      </c>
      <c r="D39" s="43">
        <f t="shared" si="3"/>
        <v>1516</v>
      </c>
      <c r="E39" s="542">
        <f>+'Index Pricing'!$B$4+$J$13</f>
        <v>2.2650000000000001</v>
      </c>
      <c r="F39" s="121">
        <f t="shared" si="4"/>
        <v>9069</v>
      </c>
      <c r="G39" s="542">
        <f>+'Index Pricing'!$B$3+$J$14</f>
        <v>1.8776000000000002</v>
      </c>
      <c r="H39" s="216">
        <f t="shared" si="5"/>
        <v>0</v>
      </c>
      <c r="I39" s="30"/>
      <c r="J39" s="19">
        <f>'[1]Enron Detail'!P34</f>
        <v>-751</v>
      </c>
      <c r="K39" s="32">
        <f>'[1]Enron Detail'!O34</f>
        <v>11336</v>
      </c>
      <c r="L39" s="76">
        <f t="shared" si="0"/>
        <v>2530.9620000000004</v>
      </c>
      <c r="M39" s="74">
        <f t="shared" si="6"/>
        <v>20541.285</v>
      </c>
      <c r="N39" s="77">
        <f t="shared" si="1"/>
        <v>0</v>
      </c>
      <c r="O39" s="2">
        <f t="shared" si="7"/>
        <v>23072.246999999999</v>
      </c>
      <c r="P39"/>
    </row>
    <row r="40" spans="1:16" x14ac:dyDescent="0.25">
      <c r="A40" s="5">
        <f>+'Index Pricing'!A28</f>
        <v>37217</v>
      </c>
      <c r="B40" s="4">
        <f>+'Index Pricing'!B28</f>
        <v>1.43</v>
      </c>
      <c r="C40" s="237">
        <f t="shared" si="2"/>
        <v>0.89449999999999996</v>
      </c>
      <c r="D40" s="43">
        <f t="shared" si="3"/>
        <v>1514</v>
      </c>
      <c r="E40" s="542">
        <f>+'Index Pricing'!$B$4+$J$13</f>
        <v>2.2650000000000001</v>
      </c>
      <c r="F40" s="121">
        <f t="shared" si="4"/>
        <v>9069</v>
      </c>
      <c r="G40" s="542">
        <f>+'Index Pricing'!$B$3+$J$14</f>
        <v>1.8776000000000002</v>
      </c>
      <c r="H40" s="216">
        <f t="shared" si="5"/>
        <v>0</v>
      </c>
      <c r="I40" s="30"/>
      <c r="J40" s="19">
        <f>'[1]Enron Detail'!P35</f>
        <v>-753</v>
      </c>
      <c r="K40" s="32">
        <f>'[1]Enron Detail'!O35</f>
        <v>11336</v>
      </c>
      <c r="L40" s="76">
        <f t="shared" si="0"/>
        <v>1354.2729999999999</v>
      </c>
      <c r="M40" s="74">
        <f t="shared" si="6"/>
        <v>20541.285</v>
      </c>
      <c r="N40" s="77">
        <f t="shared" si="1"/>
        <v>0</v>
      </c>
      <c r="O40" s="2">
        <f t="shared" si="7"/>
        <v>21895.558000000001</v>
      </c>
      <c r="P40"/>
    </row>
    <row r="41" spans="1:16" x14ac:dyDescent="0.25">
      <c r="A41" s="5">
        <f>+'Index Pricing'!A29</f>
        <v>37218</v>
      </c>
      <c r="B41" s="4">
        <f>+'Index Pricing'!B29</f>
        <v>1.43</v>
      </c>
      <c r="C41" s="237">
        <f t="shared" si="2"/>
        <v>0.89449999999999996</v>
      </c>
      <c r="D41" s="43">
        <f t="shared" si="3"/>
        <v>1516</v>
      </c>
      <c r="E41" s="542">
        <f>+'Index Pricing'!$B$4+$J$13</f>
        <v>2.2650000000000001</v>
      </c>
      <c r="F41" s="121">
        <f t="shared" si="4"/>
        <v>9069</v>
      </c>
      <c r="G41" s="542">
        <f>+'Index Pricing'!$B$3+$J$14</f>
        <v>1.8776000000000002</v>
      </c>
      <c r="H41" s="216">
        <f t="shared" si="5"/>
        <v>0</v>
      </c>
      <c r="I41" s="30"/>
      <c r="J41" s="19">
        <f>'[1]Enron Detail'!P36</f>
        <v>-751</v>
      </c>
      <c r="K41" s="32">
        <f>'[1]Enron Detail'!O36</f>
        <v>11336</v>
      </c>
      <c r="L41" s="76">
        <f t="shared" si="0"/>
        <v>1356.0619999999999</v>
      </c>
      <c r="M41" s="74">
        <f t="shared" si="6"/>
        <v>20541.285</v>
      </c>
      <c r="N41" s="77">
        <f t="shared" si="1"/>
        <v>0</v>
      </c>
      <c r="O41" s="2">
        <f t="shared" si="7"/>
        <v>21897.347000000002</v>
      </c>
      <c r="P41"/>
    </row>
    <row r="42" spans="1:16" x14ac:dyDescent="0.25">
      <c r="A42" s="5">
        <f>+'Index Pricing'!A30</f>
        <v>37219</v>
      </c>
      <c r="B42" s="4">
        <f>+'Index Pricing'!B30</f>
        <v>1.43</v>
      </c>
      <c r="C42" s="237">
        <f t="shared" si="2"/>
        <v>0.89449999999999996</v>
      </c>
      <c r="D42" s="43">
        <f t="shared" si="3"/>
        <v>1516</v>
      </c>
      <c r="E42" s="542">
        <f>+'Index Pricing'!$B$4+$J$13</f>
        <v>2.2650000000000001</v>
      </c>
      <c r="F42" s="121">
        <f t="shared" si="4"/>
        <v>9069</v>
      </c>
      <c r="G42" s="542">
        <f>+'Index Pricing'!$B$3+$J$14</f>
        <v>1.8776000000000002</v>
      </c>
      <c r="H42" s="216">
        <f t="shared" si="5"/>
        <v>0</v>
      </c>
      <c r="I42" s="30"/>
      <c r="J42" s="19">
        <f>'[1]Enron Detail'!P37</f>
        <v>-751</v>
      </c>
      <c r="K42" s="32">
        <f>'[1]Enron Detail'!O37</f>
        <v>11336</v>
      </c>
      <c r="L42" s="76">
        <f t="shared" si="0"/>
        <v>1356.0619999999999</v>
      </c>
      <c r="M42" s="74">
        <f t="shared" si="6"/>
        <v>20541.285</v>
      </c>
      <c r="N42" s="77">
        <f t="shared" si="1"/>
        <v>0</v>
      </c>
      <c r="O42" s="2">
        <f t="shared" si="7"/>
        <v>21897.347000000002</v>
      </c>
      <c r="P42"/>
    </row>
    <row r="43" spans="1:16" x14ac:dyDescent="0.25">
      <c r="A43" s="5">
        <f>+'Index Pricing'!A31</f>
        <v>37220</v>
      </c>
      <c r="B43" s="4">
        <f>+'Index Pricing'!B31</f>
        <v>1.43</v>
      </c>
      <c r="C43" s="237">
        <f t="shared" si="2"/>
        <v>0.89449999999999996</v>
      </c>
      <c r="D43" s="43">
        <f t="shared" si="3"/>
        <v>1518</v>
      </c>
      <c r="E43" s="542">
        <f>+'Index Pricing'!$B$4+$J$13</f>
        <v>2.2650000000000001</v>
      </c>
      <c r="F43" s="121">
        <f t="shared" si="4"/>
        <v>9069</v>
      </c>
      <c r="G43" s="542">
        <f>+'Index Pricing'!$B$3+$J$14</f>
        <v>1.8776000000000002</v>
      </c>
      <c r="H43" s="216">
        <f t="shared" si="5"/>
        <v>0</v>
      </c>
      <c r="I43" s="30"/>
      <c r="J43" s="19">
        <f>'[1]Enron Detail'!P38</f>
        <v>-749</v>
      </c>
      <c r="K43" s="32">
        <f>'[1]Enron Detail'!O38</f>
        <v>11336</v>
      </c>
      <c r="L43" s="76">
        <f t="shared" si="0"/>
        <v>1357.8509999999999</v>
      </c>
      <c r="M43" s="74">
        <f t="shared" si="6"/>
        <v>20541.285</v>
      </c>
      <c r="N43" s="77">
        <f t="shared" si="1"/>
        <v>0</v>
      </c>
      <c r="O43" s="2">
        <f t="shared" si="7"/>
        <v>21899.135999999999</v>
      </c>
      <c r="P43"/>
    </row>
    <row r="44" spans="1:16" x14ac:dyDescent="0.25">
      <c r="A44" s="5">
        <f>+'Index Pricing'!A32</f>
        <v>37221</v>
      </c>
      <c r="B44" s="4">
        <f>+'Index Pricing'!B32</f>
        <v>1.43</v>
      </c>
      <c r="C44" s="237">
        <f t="shared" si="2"/>
        <v>0.89449999999999996</v>
      </c>
      <c r="D44" s="43">
        <f t="shared" si="3"/>
        <v>1521</v>
      </c>
      <c r="E44" s="542">
        <f>+'Index Pricing'!$B$4+$J$13</f>
        <v>2.2650000000000001</v>
      </c>
      <c r="F44" s="121">
        <f t="shared" si="4"/>
        <v>9069</v>
      </c>
      <c r="G44" s="542">
        <f>+'Index Pricing'!$B$3+$J$14</f>
        <v>1.8776000000000002</v>
      </c>
      <c r="H44" s="216">
        <f t="shared" si="5"/>
        <v>0</v>
      </c>
      <c r="I44" s="30"/>
      <c r="J44" s="19">
        <f>'[1]Enron Detail'!P39</f>
        <v>-746</v>
      </c>
      <c r="K44" s="32">
        <f>'[1]Enron Detail'!O39</f>
        <v>11336</v>
      </c>
      <c r="L44" s="76">
        <f t="shared" si="0"/>
        <v>1360.5345</v>
      </c>
      <c r="M44" s="74">
        <f t="shared" si="6"/>
        <v>20541.285</v>
      </c>
      <c r="N44" s="77">
        <f t="shared" si="1"/>
        <v>0</v>
      </c>
      <c r="O44" s="2">
        <f t="shared" si="7"/>
        <v>21901.819500000001</v>
      </c>
      <c r="P44"/>
    </row>
    <row r="45" spans="1:16" x14ac:dyDescent="0.25">
      <c r="A45" s="5">
        <f>+'Index Pricing'!A33</f>
        <v>37222</v>
      </c>
      <c r="B45" s="4">
        <f>+'Index Pricing'!B33</f>
        <v>1.88</v>
      </c>
      <c r="C45" s="237">
        <f t="shared" si="2"/>
        <v>1.3445</v>
      </c>
      <c r="D45" s="43">
        <f t="shared" si="3"/>
        <v>1509</v>
      </c>
      <c r="E45" s="542">
        <f>+'Index Pricing'!$B$4+$J$13</f>
        <v>2.2650000000000001</v>
      </c>
      <c r="F45" s="121">
        <f t="shared" si="4"/>
        <v>9069</v>
      </c>
      <c r="G45" s="542">
        <f>+'Index Pricing'!$B$3+$J$14</f>
        <v>1.8776000000000002</v>
      </c>
      <c r="H45" s="216">
        <f t="shared" si="5"/>
        <v>0</v>
      </c>
      <c r="I45" s="30"/>
      <c r="J45" s="19">
        <f>'[1]Enron Detail'!P40</f>
        <v>-758</v>
      </c>
      <c r="K45" s="32">
        <f>'[1]Enron Detail'!O40</f>
        <v>11336</v>
      </c>
      <c r="L45" s="76">
        <f t="shared" si="0"/>
        <v>2028.8505</v>
      </c>
      <c r="M45" s="74">
        <f t="shared" si="6"/>
        <v>20541.285</v>
      </c>
      <c r="N45" s="77">
        <f t="shared" si="1"/>
        <v>0</v>
      </c>
      <c r="O45" s="2">
        <f t="shared" si="7"/>
        <v>22570.1355</v>
      </c>
      <c r="P45"/>
    </row>
    <row r="46" spans="1:16" x14ac:dyDescent="0.25">
      <c r="A46" s="5">
        <f>+'Index Pricing'!A34</f>
        <v>37223</v>
      </c>
      <c r="B46" s="4">
        <f>+'Index Pricing'!B34</f>
        <v>2.16</v>
      </c>
      <c r="C46" s="237">
        <f t="shared" si="2"/>
        <v>1.6245000000000003</v>
      </c>
      <c r="D46" s="43">
        <f t="shared" si="3"/>
        <v>1503</v>
      </c>
      <c r="E46" s="542">
        <f>+'Index Pricing'!$B$4+$J$13</f>
        <v>2.2650000000000001</v>
      </c>
      <c r="F46" s="121">
        <f t="shared" si="4"/>
        <v>9069</v>
      </c>
      <c r="G46" s="542">
        <f>+'Index Pricing'!$B$3+$J$14</f>
        <v>1.8776000000000002</v>
      </c>
      <c r="H46" s="216">
        <f t="shared" si="5"/>
        <v>0</v>
      </c>
      <c r="I46" s="30"/>
      <c r="J46" s="19">
        <f>'[1]Enron Detail'!P41</f>
        <v>-764</v>
      </c>
      <c r="K46" s="32">
        <f>'[1]Enron Detail'!O41</f>
        <v>11336</v>
      </c>
      <c r="L46" s="76">
        <f t="shared" si="0"/>
        <v>2441.6235000000006</v>
      </c>
      <c r="M46" s="74">
        <f t="shared" si="6"/>
        <v>20541.285</v>
      </c>
      <c r="N46" s="77">
        <f t="shared" si="1"/>
        <v>0</v>
      </c>
      <c r="O46" s="2">
        <f t="shared" si="7"/>
        <v>22982.908500000001</v>
      </c>
      <c r="P46"/>
    </row>
    <row r="47" spans="1:16" x14ac:dyDescent="0.25">
      <c r="A47" s="5">
        <f>+'Index Pricing'!A35</f>
        <v>37224</v>
      </c>
      <c r="B47" s="4">
        <f>+'Index Pricing'!B35</f>
        <v>2.38</v>
      </c>
      <c r="C47" s="237">
        <f t="shared" si="2"/>
        <v>1.8445</v>
      </c>
      <c r="D47" s="43">
        <f t="shared" si="3"/>
        <v>0</v>
      </c>
      <c r="E47" s="542">
        <f>+'Index Pricing'!$B$4+$J$13</f>
        <v>2.2650000000000001</v>
      </c>
      <c r="F47" s="121">
        <f t="shared" si="4"/>
        <v>3518</v>
      </c>
      <c r="G47" s="542">
        <f>+'Index Pricing'!$B$3+$J$14</f>
        <v>1.8776000000000002</v>
      </c>
      <c r="H47" s="216">
        <v>0</v>
      </c>
      <c r="I47" s="30"/>
      <c r="J47" s="19">
        <f>'[1]Enron Detail'!P42</f>
        <v>-255</v>
      </c>
      <c r="K47" s="32">
        <f>'[1]Enron Detail'!O42</f>
        <v>3773</v>
      </c>
      <c r="L47" s="76">
        <f>+C47*D47</f>
        <v>0</v>
      </c>
      <c r="M47" s="74">
        <f t="shared" si="6"/>
        <v>7968.27</v>
      </c>
      <c r="N47" s="77">
        <f>+G47*H47</f>
        <v>0</v>
      </c>
      <c r="O47" s="2">
        <f t="shared" si="7"/>
        <v>7968.27</v>
      </c>
      <c r="P47"/>
    </row>
    <row r="48" spans="1:16" x14ac:dyDescent="0.25">
      <c r="A48" s="5">
        <f>+'Index Pricing'!A36</f>
        <v>37225</v>
      </c>
      <c r="B48" s="4">
        <f>+'Index Pricing'!B36</f>
        <v>2.0249999999999999</v>
      </c>
      <c r="C48" s="237">
        <f t="shared" si="2"/>
        <v>1.4895</v>
      </c>
      <c r="D48" s="43">
        <f t="shared" si="3"/>
        <v>0</v>
      </c>
      <c r="E48" s="542">
        <f>+'Index Pricing'!$B$4+$J$13</f>
        <v>2.2650000000000001</v>
      </c>
      <c r="F48" s="121">
        <f t="shared" si="4"/>
        <v>0</v>
      </c>
      <c r="G48" s="542">
        <f>+'Index Pricing'!$B$3+$J$14</f>
        <v>1.8776000000000002</v>
      </c>
      <c r="H48" s="216">
        <v>0</v>
      </c>
      <c r="I48" s="30"/>
      <c r="J48" s="19">
        <f>'[1]Enron Detail'!P43</f>
        <v>0</v>
      </c>
      <c r="K48" s="32">
        <f>'[1]Enron Detail'!O43</f>
        <v>0</v>
      </c>
      <c r="L48" s="76">
        <f>+C48*D48</f>
        <v>0</v>
      </c>
      <c r="M48" s="74">
        <f t="shared" si="6"/>
        <v>0</v>
      </c>
      <c r="N48" s="77">
        <f>+G48*H48</f>
        <v>0</v>
      </c>
      <c r="O48" s="2">
        <f t="shared" si="7"/>
        <v>0</v>
      </c>
      <c r="P48"/>
    </row>
    <row r="49" spans="1:16" x14ac:dyDescent="0.25">
      <c r="A49" s="5"/>
      <c r="B49" s="4"/>
      <c r="C49" s="237"/>
      <c r="D49" s="43"/>
      <c r="E49" s="542"/>
      <c r="F49" s="121"/>
      <c r="G49" s="542"/>
      <c r="H49" s="216"/>
      <c r="I49" s="30"/>
      <c r="J49" s="19"/>
      <c r="K49" s="32"/>
      <c r="L49" s="76"/>
      <c r="M49" s="74"/>
      <c r="N49" s="77"/>
      <c r="O49" s="2"/>
      <c r="P49"/>
    </row>
    <row r="50" spans="1:16" x14ac:dyDescent="0.25">
      <c r="A50" s="5"/>
      <c r="B50" s="4"/>
      <c r="C50" s="237"/>
      <c r="D50" s="43"/>
      <c r="E50" s="542"/>
      <c r="F50" s="121"/>
      <c r="G50" s="542"/>
      <c r="H50" s="216"/>
      <c r="I50" s="30"/>
      <c r="J50" s="19"/>
      <c r="K50" s="32"/>
      <c r="L50" s="76">
        <f>+C50*D50</f>
        <v>0</v>
      </c>
      <c r="M50" s="74">
        <f t="shared" si="6"/>
        <v>0</v>
      </c>
      <c r="N50" s="77">
        <f>+G50*H50</f>
        <v>0</v>
      </c>
      <c r="O50" s="2">
        <f t="shared" si="7"/>
        <v>0</v>
      </c>
      <c r="P50"/>
    </row>
    <row r="51" spans="1:16" ht="13.8" thickBot="1" x14ac:dyDescent="0.3">
      <c r="A51" t="s">
        <v>27</v>
      </c>
      <c r="C51" s="495"/>
      <c r="D51" s="147">
        <f>SUM(D19:D50)</f>
        <v>42557</v>
      </c>
      <c r="E51" s="495"/>
      <c r="F51" s="147">
        <f>SUM(F19:F50)</f>
        <v>257450</v>
      </c>
      <c r="G51" s="495"/>
      <c r="H51" s="37">
        <v>0</v>
      </c>
      <c r="I51" s="30"/>
      <c r="J51" s="19">
        <f t="shared" ref="J51:O51" si="8">SUM(J19:J50)</f>
        <v>-21174</v>
      </c>
      <c r="K51" s="32">
        <f t="shared" si="8"/>
        <v>321181</v>
      </c>
      <c r="L51" s="78">
        <f t="shared" si="8"/>
        <v>52064.21650000001</v>
      </c>
      <c r="M51" s="79">
        <f t="shared" si="8"/>
        <v>583124.24999999977</v>
      </c>
      <c r="N51" s="80">
        <f t="shared" si="8"/>
        <v>0</v>
      </c>
      <c r="O51" s="10">
        <f t="shared" si="8"/>
        <v>635188.46649999986</v>
      </c>
      <c r="P51"/>
    </row>
    <row r="52" spans="1:16" x14ac:dyDescent="0.25">
      <c r="I52" t="s">
        <v>66</v>
      </c>
      <c r="J52" s="44">
        <f>+J51/K51</f>
        <v>-6.592544390857491E-2</v>
      </c>
      <c r="O52" s="2"/>
      <c r="P52"/>
    </row>
    <row r="53" spans="1:16" x14ac:dyDescent="0.25">
      <c r="I53" s="45"/>
      <c r="L53" s="132">
        <f>+L51/D51</f>
        <v>1.2233995934863833</v>
      </c>
      <c r="M53" s="4">
        <f>+M51/(F51)</f>
        <v>2.2649999999999992</v>
      </c>
      <c r="N53" s="4">
        <v>0</v>
      </c>
      <c r="O53" s="4"/>
    </row>
    <row r="54" spans="1:16" x14ac:dyDescent="0.25">
      <c r="I54" s="28"/>
    </row>
    <row r="55" spans="1:16" x14ac:dyDescent="0.25">
      <c r="A55" t="s">
        <v>217</v>
      </c>
      <c r="M55" s="28"/>
    </row>
    <row r="56" spans="1:16" x14ac:dyDescent="0.25">
      <c r="M56" s="45"/>
    </row>
    <row r="58" spans="1:16" x14ac:dyDescent="0.25">
      <c r="L58" s="45"/>
      <c r="M58" s="28"/>
    </row>
  </sheetData>
  <phoneticPr fontId="0" type="noConversion"/>
  <printOptions horizontalCentered="1" verticalCentered="1"/>
  <pageMargins left="0.25" right="0.25" top="0.25" bottom="0.25" header="0.5" footer="0.5"/>
  <pageSetup paperSize="5" scale="51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049" r:id="rId4">
          <objectPr defaultSize="0" autoPict="0" r:id="rId5">
            <anchor moveWithCells="1">
              <from>
                <xdr:col>6</xdr:col>
                <xdr:colOff>411480</xdr:colOff>
                <xdr:row>0</xdr:row>
                <xdr:rowOff>22860</xdr:rowOff>
              </from>
              <to>
                <xdr:col>6</xdr:col>
                <xdr:colOff>1013460</xdr:colOff>
                <xdr:row>3</xdr:row>
                <xdr:rowOff>68580</xdr:rowOff>
              </to>
            </anchor>
          </objectPr>
        </oleObject>
      </mc:Choice>
      <mc:Fallback>
        <oleObject progId="Paint.Picture" shapeId="2049" r:id="rId4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pageSetUpPr fitToPage="1"/>
  </sheetPr>
  <dimension ref="A1:P50"/>
  <sheetViews>
    <sheetView showGridLines="0" topLeftCell="A10" zoomScaleNormal="100" workbookViewId="0">
      <selection activeCell="I41" sqref="I41"/>
    </sheetView>
  </sheetViews>
  <sheetFormatPr defaultRowHeight="13.2" x14ac:dyDescent="0.25"/>
  <cols>
    <col min="1" max="1" width="34.44140625" bestFit="1" customWidth="1"/>
    <col min="2" max="2" width="17" bestFit="1" customWidth="1"/>
    <col min="3" max="3" width="20.6640625" customWidth="1"/>
    <col min="4" max="4" width="17.44140625" bestFit="1" customWidth="1"/>
    <col min="5" max="5" width="17" customWidth="1"/>
    <col min="6" max="6" width="18.109375" bestFit="1" customWidth="1"/>
    <col min="7" max="7" width="15.109375" customWidth="1"/>
    <col min="8" max="8" width="9.88671875" customWidth="1"/>
    <col min="9" max="9" width="14.109375" customWidth="1"/>
    <col min="10" max="10" width="15.33203125" customWidth="1"/>
    <col min="11" max="11" width="1.5546875" customWidth="1"/>
    <col min="12" max="12" width="10.6640625" customWidth="1"/>
    <col min="13" max="13" width="11.88671875" customWidth="1"/>
    <col min="14" max="14" width="9.88671875" customWidth="1"/>
    <col min="15" max="15" width="10.109375" customWidth="1"/>
    <col min="16" max="16" width="18.44140625" style="2" bestFit="1" customWidth="1"/>
    <col min="17" max="17" width="19" bestFit="1" customWidth="1"/>
    <col min="18" max="18" width="10.44140625" customWidth="1"/>
    <col min="19" max="20" width="18.6640625" bestFit="1" customWidth="1"/>
  </cols>
  <sheetData>
    <row r="1" spans="1:16" ht="17.399999999999999" x14ac:dyDescent="0.3">
      <c r="A1" s="206" t="s">
        <v>230</v>
      </c>
      <c r="P1" s="149">
        <f ca="1">NOW()</f>
        <v>37238.587624189815</v>
      </c>
    </row>
    <row r="2" spans="1:16" x14ac:dyDescent="0.25">
      <c r="A2" s="8"/>
    </row>
    <row r="3" spans="1:16" x14ac:dyDescent="0.25">
      <c r="A3" s="8"/>
    </row>
    <row r="4" spans="1:16" x14ac:dyDescent="0.25">
      <c r="A4" s="8"/>
    </row>
    <row r="5" spans="1:16" x14ac:dyDescent="0.25">
      <c r="A5" s="8" t="s">
        <v>65</v>
      </c>
      <c r="B5" s="168">
        <f>'Phillips Detail'!B5</f>
        <v>11336</v>
      </c>
    </row>
    <row r="6" spans="1:16" x14ac:dyDescent="0.25">
      <c r="A6" s="1" t="s">
        <v>5</v>
      </c>
      <c r="B6" s="173">
        <f>'Phillips Detail'!B6</f>
        <v>0.94377469850313445</v>
      </c>
    </row>
    <row r="7" spans="1:16" x14ac:dyDescent="0.25">
      <c r="A7" s="1" t="s">
        <v>7</v>
      </c>
      <c r="B7" s="2">
        <f>'Phillips Detail'!B7</f>
        <v>0.45</v>
      </c>
      <c r="C7" t="s">
        <v>8</v>
      </c>
      <c r="D7">
        <f>'Phillips Detail'!D7</f>
        <v>0.47680871368316885</v>
      </c>
      <c r="E7" t="s">
        <v>13</v>
      </c>
    </row>
    <row r="8" spans="1:16" x14ac:dyDescent="0.25">
      <c r="A8" s="1" t="str">
        <f>+'Index Pricing'!A3</f>
        <v>IF CIG Rockies</v>
      </c>
      <c r="B8" s="2">
        <f>'Phillips Detail'!B8</f>
        <v>2.54</v>
      </c>
    </row>
    <row r="9" spans="1:16" x14ac:dyDescent="0.25">
      <c r="A9" s="1" t="str">
        <f>+'Index Pricing'!A4</f>
        <v>IF NGPL Midcont.</v>
      </c>
      <c r="B9" s="2">
        <f>'Phillips Detail'!B9</f>
        <v>3.04</v>
      </c>
    </row>
    <row r="10" spans="1:16" x14ac:dyDescent="0.25">
      <c r="A10" s="1"/>
    </row>
    <row r="11" spans="1:16" ht="13.8" thickBot="1" x14ac:dyDescent="0.3">
      <c r="C11" t="s">
        <v>274</v>
      </c>
      <c r="E11" t="s">
        <v>273</v>
      </c>
      <c r="G11" t="s">
        <v>272</v>
      </c>
      <c r="I11" t="s">
        <v>271</v>
      </c>
      <c r="L11" t="s">
        <v>275</v>
      </c>
    </row>
    <row r="12" spans="1:16" ht="52.8" x14ac:dyDescent="0.25">
      <c r="A12" s="6"/>
      <c r="B12" s="75"/>
      <c r="C12" s="11" t="s">
        <v>20</v>
      </c>
      <c r="D12" s="17" t="s">
        <v>31</v>
      </c>
      <c r="E12" s="11" t="s">
        <v>24</v>
      </c>
      <c r="F12" s="17" t="s">
        <v>32</v>
      </c>
      <c r="G12" s="11" t="s">
        <v>25</v>
      </c>
      <c r="H12" s="17" t="s">
        <v>33</v>
      </c>
      <c r="I12" s="11" t="s">
        <v>269</v>
      </c>
      <c r="J12" s="17" t="s">
        <v>33</v>
      </c>
      <c r="L12" s="11" t="s">
        <v>276</v>
      </c>
      <c r="M12" s="17" t="s">
        <v>33</v>
      </c>
      <c r="P12"/>
    </row>
    <row r="13" spans="1:16" x14ac:dyDescent="0.25">
      <c r="A13" s="6"/>
      <c r="B13" s="108"/>
      <c r="C13" s="35"/>
      <c r="D13" s="26"/>
      <c r="E13" s="35"/>
      <c r="F13" s="29">
        <f>+B5*0.8</f>
        <v>9068.8000000000011</v>
      </c>
      <c r="G13" s="35"/>
      <c r="H13" s="26"/>
      <c r="I13" s="35"/>
      <c r="J13" s="26"/>
      <c r="L13" s="35"/>
      <c r="M13" s="26"/>
      <c r="P13"/>
    </row>
    <row r="14" spans="1:16" ht="13.8" thickBot="1" x14ac:dyDescent="0.3">
      <c r="B14" s="15" t="s">
        <v>3</v>
      </c>
      <c r="C14" s="113" t="s">
        <v>12</v>
      </c>
      <c r="D14" s="16"/>
      <c r="E14" s="113" t="s">
        <v>18</v>
      </c>
      <c r="F14" s="16"/>
      <c r="G14" s="113" t="s">
        <v>22</v>
      </c>
      <c r="H14" s="16"/>
      <c r="I14" s="113" t="s">
        <v>270</v>
      </c>
      <c r="J14" s="16"/>
      <c r="L14" s="113" t="s">
        <v>270</v>
      </c>
      <c r="M14" s="16"/>
      <c r="P14"/>
    </row>
    <row r="15" spans="1:16" x14ac:dyDescent="0.25">
      <c r="A15" s="5">
        <f>+'Index Pricing'!A7</f>
        <v>37196</v>
      </c>
      <c r="B15" s="4">
        <f>+'Index Pricing'!B7</f>
        <v>2.67</v>
      </c>
      <c r="C15" s="109">
        <f>'Phillips Detail'!C19</f>
        <v>2.1345000000000001</v>
      </c>
      <c r="D15" s="36">
        <f>'Phillips Detail'!D19</f>
        <v>1516</v>
      </c>
      <c r="E15" s="110">
        <f>'Phillips Detail'!E19</f>
        <v>2.2650000000000001</v>
      </c>
      <c r="F15" s="27">
        <f>'Phillips Detail'!F19</f>
        <v>9069</v>
      </c>
      <c r="G15" s="110">
        <f>'Phillips Detail'!G19</f>
        <v>1.8776000000000002</v>
      </c>
      <c r="H15" s="12">
        <f>'Phillips Detail'!H19</f>
        <v>0</v>
      </c>
      <c r="I15" s="110" t="e">
        <f>'Phillips Detail'!#REF!</f>
        <v>#REF!</v>
      </c>
      <c r="J15" s="27" t="e">
        <f>'Phillips Detail'!#REF!</f>
        <v>#REF!</v>
      </c>
      <c r="L15" s="110">
        <v>0</v>
      </c>
      <c r="M15" s="27">
        <v>0</v>
      </c>
      <c r="P15"/>
    </row>
    <row r="16" spans="1:16" x14ac:dyDescent="0.25">
      <c r="A16" s="5">
        <f>+'Index Pricing'!A8</f>
        <v>37197</v>
      </c>
      <c r="B16" s="4">
        <f>+'Index Pricing'!B8</f>
        <v>2.36</v>
      </c>
      <c r="C16" s="13">
        <f>'Phillips Detail'!C20</f>
        <v>1.8245</v>
      </c>
      <c r="D16" s="36">
        <f>'Phillips Detail'!D20</f>
        <v>1518</v>
      </c>
      <c r="E16" s="110">
        <f>'Phillips Detail'!E20</f>
        <v>2.2650000000000001</v>
      </c>
      <c r="F16" s="27">
        <f>'Phillips Detail'!F20</f>
        <v>9069</v>
      </c>
      <c r="G16" s="18">
        <f>'Phillips Detail'!G20</f>
        <v>1.8776000000000002</v>
      </c>
      <c r="H16" s="12">
        <f>'Phillips Detail'!H20</f>
        <v>0</v>
      </c>
      <c r="I16" s="110" t="e">
        <f>'Phillips Detail'!#REF!</f>
        <v>#REF!</v>
      </c>
      <c r="J16" s="27" t="e">
        <f>'Phillips Detail'!#REF!</f>
        <v>#REF!</v>
      </c>
      <c r="L16" s="110">
        <v>0</v>
      </c>
      <c r="M16" s="27">
        <v>0</v>
      </c>
      <c r="P16"/>
    </row>
    <row r="17" spans="1:16" x14ac:dyDescent="0.25">
      <c r="A17" s="5">
        <f>+'Index Pricing'!A9</f>
        <v>37198</v>
      </c>
      <c r="B17" s="4">
        <f>+'Index Pricing'!B9</f>
        <v>2.0150000000000001</v>
      </c>
      <c r="C17" s="13">
        <f>'Phillips Detail'!C21</f>
        <v>1.4795000000000003</v>
      </c>
      <c r="D17" s="36">
        <f>'Phillips Detail'!D21</f>
        <v>1511</v>
      </c>
      <c r="E17" s="110">
        <f>'Phillips Detail'!E21</f>
        <v>2.2650000000000001</v>
      </c>
      <c r="F17" s="27">
        <f>'Phillips Detail'!F21</f>
        <v>9069</v>
      </c>
      <c r="G17" s="18">
        <f>'Phillips Detail'!G21</f>
        <v>1.8776000000000002</v>
      </c>
      <c r="H17" s="12">
        <f>'Phillips Detail'!H21</f>
        <v>0</v>
      </c>
      <c r="I17" s="110" t="e">
        <f>'Phillips Detail'!#REF!</f>
        <v>#REF!</v>
      </c>
      <c r="J17" s="27" t="e">
        <f>'Phillips Detail'!#REF!</f>
        <v>#REF!</v>
      </c>
      <c r="L17" s="110">
        <v>0</v>
      </c>
      <c r="M17" s="27">
        <v>0</v>
      </c>
      <c r="P17"/>
    </row>
    <row r="18" spans="1:16" x14ac:dyDescent="0.25">
      <c r="A18" s="5">
        <f>+'Index Pricing'!A10</f>
        <v>37199</v>
      </c>
      <c r="B18" s="4">
        <f>+'Index Pricing'!B10</f>
        <v>2.0150000000000001</v>
      </c>
      <c r="C18" s="13">
        <f>'Phillips Detail'!C22</f>
        <v>1.4795000000000003</v>
      </c>
      <c r="D18" s="36">
        <f>'Phillips Detail'!D22</f>
        <v>1514</v>
      </c>
      <c r="E18" s="110">
        <f>'Phillips Detail'!E22</f>
        <v>2.2650000000000001</v>
      </c>
      <c r="F18" s="27">
        <f>'Phillips Detail'!F22</f>
        <v>9069</v>
      </c>
      <c r="G18" s="18">
        <f>'Phillips Detail'!G22</f>
        <v>1.8776000000000002</v>
      </c>
      <c r="H18" s="12">
        <f>'Phillips Detail'!H22</f>
        <v>0</v>
      </c>
      <c r="I18" s="110" t="e">
        <f>'Phillips Detail'!#REF!</f>
        <v>#REF!</v>
      </c>
      <c r="J18" s="27" t="e">
        <f>'Phillips Detail'!#REF!</f>
        <v>#REF!</v>
      </c>
      <c r="L18" s="110">
        <v>0</v>
      </c>
      <c r="M18" s="27">
        <v>0</v>
      </c>
      <c r="P18"/>
    </row>
    <row r="19" spans="1:16" x14ac:dyDescent="0.25">
      <c r="A19" s="5">
        <f>+'Index Pricing'!A11</f>
        <v>37200</v>
      </c>
      <c r="B19" s="4">
        <f>+'Index Pricing'!B11</f>
        <v>2.0150000000000001</v>
      </c>
      <c r="C19" s="13">
        <f>'Phillips Detail'!C23</f>
        <v>1.4795000000000003</v>
      </c>
      <c r="D19" s="36">
        <f>'Phillips Detail'!D23</f>
        <v>1515</v>
      </c>
      <c r="E19" s="110">
        <f>'Phillips Detail'!E23</f>
        <v>2.2650000000000001</v>
      </c>
      <c r="F19" s="27">
        <f>'Phillips Detail'!F23</f>
        <v>9069</v>
      </c>
      <c r="G19" s="18">
        <f>'Phillips Detail'!G23</f>
        <v>1.8776000000000002</v>
      </c>
      <c r="H19" s="12">
        <f>'Phillips Detail'!H23</f>
        <v>0</v>
      </c>
      <c r="I19" s="110" t="e">
        <f>'Phillips Detail'!#REF!</f>
        <v>#REF!</v>
      </c>
      <c r="J19" s="27" t="e">
        <f>'Phillips Detail'!#REF!</f>
        <v>#REF!</v>
      </c>
      <c r="L19" s="110">
        <v>0</v>
      </c>
      <c r="M19" s="27">
        <v>0</v>
      </c>
      <c r="P19"/>
    </row>
    <row r="20" spans="1:16" x14ac:dyDescent="0.25">
      <c r="A20" s="5">
        <f>+'Index Pricing'!A12</f>
        <v>37201</v>
      </c>
      <c r="B20" s="4">
        <f>+'Index Pricing'!B12</f>
        <v>2.16</v>
      </c>
      <c r="C20" s="13">
        <f>'Phillips Detail'!C24</f>
        <v>1.6245000000000003</v>
      </c>
      <c r="D20" s="36">
        <f>'Phillips Detail'!D24</f>
        <v>1528</v>
      </c>
      <c r="E20" s="110">
        <f>'Phillips Detail'!E24</f>
        <v>2.2650000000000001</v>
      </c>
      <c r="F20" s="27">
        <f>'Phillips Detail'!F24</f>
        <v>9069</v>
      </c>
      <c r="G20" s="18">
        <f>'Phillips Detail'!G24</f>
        <v>1.8776000000000002</v>
      </c>
      <c r="H20" s="12">
        <f>'Phillips Detail'!H24</f>
        <v>0</v>
      </c>
      <c r="I20" s="110" t="e">
        <f>'Phillips Detail'!#REF!</f>
        <v>#REF!</v>
      </c>
      <c r="J20" s="27" t="e">
        <f>'Phillips Detail'!#REF!</f>
        <v>#REF!</v>
      </c>
      <c r="L20" s="110">
        <v>0</v>
      </c>
      <c r="M20" s="27">
        <v>0</v>
      </c>
      <c r="P20"/>
    </row>
    <row r="21" spans="1:16" x14ac:dyDescent="0.25">
      <c r="A21" s="5">
        <f>+'Index Pricing'!A13</f>
        <v>37202</v>
      </c>
      <c r="B21" s="4">
        <f>+'Index Pricing'!B13</f>
        <v>2.1349999999999998</v>
      </c>
      <c r="C21" s="13">
        <f>'Phillips Detail'!C25</f>
        <v>1.5994999999999999</v>
      </c>
      <c r="D21" s="36">
        <f>'Phillips Detail'!D25</f>
        <v>1530</v>
      </c>
      <c r="E21" s="110">
        <f>'Phillips Detail'!E25</f>
        <v>2.2650000000000001</v>
      </c>
      <c r="F21" s="27">
        <f>'Phillips Detail'!F25</f>
        <v>9069</v>
      </c>
      <c r="G21" s="18">
        <f>'Phillips Detail'!G25</f>
        <v>1.8776000000000002</v>
      </c>
      <c r="H21" s="12">
        <f>'Phillips Detail'!H25</f>
        <v>0</v>
      </c>
      <c r="I21" s="110" t="e">
        <f>'Phillips Detail'!#REF!</f>
        <v>#REF!</v>
      </c>
      <c r="J21" s="27" t="e">
        <f>'Phillips Detail'!#REF!</f>
        <v>#REF!</v>
      </c>
      <c r="L21" s="110">
        <v>0</v>
      </c>
      <c r="M21" s="27">
        <v>0</v>
      </c>
      <c r="P21"/>
    </row>
    <row r="22" spans="1:16" x14ac:dyDescent="0.25">
      <c r="A22" s="5">
        <f>+'Index Pricing'!A14</f>
        <v>37203</v>
      </c>
      <c r="B22" s="4">
        <f>+'Index Pricing'!B14</f>
        <v>2.13</v>
      </c>
      <c r="C22" s="13">
        <f>'Phillips Detail'!C26</f>
        <v>1.5945</v>
      </c>
      <c r="D22" s="36">
        <f>'Phillips Detail'!D26</f>
        <v>1528</v>
      </c>
      <c r="E22" s="110">
        <f>'Phillips Detail'!E26</f>
        <v>2.2650000000000001</v>
      </c>
      <c r="F22" s="27">
        <f>'Phillips Detail'!F26</f>
        <v>9069</v>
      </c>
      <c r="G22" s="18">
        <f>'Phillips Detail'!G26</f>
        <v>1.8776000000000002</v>
      </c>
      <c r="H22" s="12">
        <f>'Phillips Detail'!H26</f>
        <v>0</v>
      </c>
      <c r="I22" s="110" t="e">
        <f>'Phillips Detail'!#REF!</f>
        <v>#REF!</v>
      </c>
      <c r="J22" s="27" t="e">
        <f>'Phillips Detail'!#REF!</f>
        <v>#REF!</v>
      </c>
      <c r="L22" s="110">
        <v>0</v>
      </c>
      <c r="M22" s="27">
        <v>0</v>
      </c>
      <c r="P22"/>
    </row>
    <row r="23" spans="1:16" x14ac:dyDescent="0.25">
      <c r="A23" s="5">
        <f>+'Index Pricing'!A15</f>
        <v>37204</v>
      </c>
      <c r="B23" s="4">
        <f>+'Index Pricing'!B15</f>
        <v>1.9350000000000001</v>
      </c>
      <c r="C23" s="13">
        <f>'Phillips Detail'!C27</f>
        <v>1.3995000000000002</v>
      </c>
      <c r="D23" s="36">
        <f>'Phillips Detail'!D27</f>
        <v>1528</v>
      </c>
      <c r="E23" s="110">
        <f>'Phillips Detail'!E27</f>
        <v>2.2650000000000001</v>
      </c>
      <c r="F23" s="27">
        <f>'Phillips Detail'!F27</f>
        <v>9069</v>
      </c>
      <c r="G23" s="18">
        <f>'Phillips Detail'!G27</f>
        <v>1.8776000000000002</v>
      </c>
      <c r="H23" s="12">
        <f>'Phillips Detail'!H27</f>
        <v>0</v>
      </c>
      <c r="I23" s="110" t="e">
        <f>'Phillips Detail'!#REF!</f>
        <v>#REF!</v>
      </c>
      <c r="J23" s="27" t="e">
        <f>'Phillips Detail'!#REF!</f>
        <v>#REF!</v>
      </c>
      <c r="L23" s="110">
        <v>0</v>
      </c>
      <c r="M23" s="27">
        <v>0</v>
      </c>
      <c r="P23"/>
    </row>
    <row r="24" spans="1:16" x14ac:dyDescent="0.25">
      <c r="A24" s="5">
        <f>+'Index Pricing'!A16</f>
        <v>37205</v>
      </c>
      <c r="B24" s="4">
        <f>+'Index Pricing'!B16</f>
        <v>1.7</v>
      </c>
      <c r="C24" s="13">
        <f>'Phillips Detail'!C28</f>
        <v>1.1644999999999999</v>
      </c>
      <c r="D24" s="36">
        <f>'Phillips Detail'!D28</f>
        <v>1525</v>
      </c>
      <c r="E24" s="110">
        <f>'Phillips Detail'!E28</f>
        <v>2.2650000000000001</v>
      </c>
      <c r="F24" s="27">
        <f>'Phillips Detail'!F28</f>
        <v>9069</v>
      </c>
      <c r="G24" s="18">
        <f>'Phillips Detail'!G28</f>
        <v>1.8776000000000002</v>
      </c>
      <c r="H24" s="12">
        <f>'Phillips Detail'!H28</f>
        <v>0</v>
      </c>
      <c r="I24" s="110" t="e">
        <f>'Phillips Detail'!#REF!</f>
        <v>#REF!</v>
      </c>
      <c r="J24" s="27" t="e">
        <f>'Phillips Detail'!#REF!</f>
        <v>#REF!</v>
      </c>
      <c r="L24" s="110">
        <v>0</v>
      </c>
      <c r="M24" s="27">
        <v>0</v>
      </c>
      <c r="P24"/>
    </row>
    <row r="25" spans="1:16" x14ac:dyDescent="0.25">
      <c r="A25" s="5">
        <f>+'Index Pricing'!A17</f>
        <v>37206</v>
      </c>
      <c r="B25" s="4">
        <f>+'Index Pricing'!B17</f>
        <v>1.7</v>
      </c>
      <c r="C25" s="13">
        <f>'Phillips Detail'!C29</f>
        <v>1.1644999999999999</v>
      </c>
      <c r="D25" s="36">
        <f>'Phillips Detail'!D29</f>
        <v>1525</v>
      </c>
      <c r="E25" s="110">
        <f>'Phillips Detail'!E29</f>
        <v>2.2650000000000001</v>
      </c>
      <c r="F25" s="27">
        <f>'Phillips Detail'!F29</f>
        <v>9069</v>
      </c>
      <c r="G25" s="18">
        <f>'Phillips Detail'!G29</f>
        <v>1.8776000000000002</v>
      </c>
      <c r="H25" s="12">
        <f>'Phillips Detail'!H29</f>
        <v>0</v>
      </c>
      <c r="I25" s="110" t="e">
        <f>'Phillips Detail'!#REF!</f>
        <v>#REF!</v>
      </c>
      <c r="J25" s="27" t="e">
        <f>'Phillips Detail'!#REF!</f>
        <v>#REF!</v>
      </c>
      <c r="L25" s="110">
        <v>0</v>
      </c>
      <c r="M25" s="27">
        <v>0</v>
      </c>
      <c r="P25"/>
    </row>
    <row r="26" spans="1:16" x14ac:dyDescent="0.25">
      <c r="A26" s="5">
        <f>+'Index Pricing'!A18</f>
        <v>37207</v>
      </c>
      <c r="B26" s="4">
        <f>+'Index Pricing'!B18</f>
        <v>1.7</v>
      </c>
      <c r="C26" s="13">
        <f>'Phillips Detail'!C30</f>
        <v>1.1644999999999999</v>
      </c>
      <c r="D26" s="36">
        <f>'Phillips Detail'!D30</f>
        <v>1523</v>
      </c>
      <c r="E26" s="110">
        <f>'Phillips Detail'!E30</f>
        <v>2.2650000000000001</v>
      </c>
      <c r="F26" s="27">
        <f>'Phillips Detail'!F30</f>
        <v>9069</v>
      </c>
      <c r="G26" s="18">
        <f>'Phillips Detail'!G30</f>
        <v>1.8776000000000002</v>
      </c>
      <c r="H26" s="12">
        <f>'Phillips Detail'!H30</f>
        <v>0</v>
      </c>
      <c r="I26" s="110" t="e">
        <f>'Phillips Detail'!#REF!</f>
        <v>#REF!</v>
      </c>
      <c r="J26" s="27" t="e">
        <f>'Phillips Detail'!#REF!</f>
        <v>#REF!</v>
      </c>
      <c r="L26" s="110">
        <v>0</v>
      </c>
      <c r="M26" s="27">
        <v>0</v>
      </c>
      <c r="P26"/>
    </row>
    <row r="27" spans="1:16" x14ac:dyDescent="0.25">
      <c r="A27" s="5">
        <f>+'Index Pricing'!A19</f>
        <v>37208</v>
      </c>
      <c r="B27" s="4">
        <f>+'Index Pricing'!B19</f>
        <v>1.52</v>
      </c>
      <c r="C27" s="13">
        <f>'Phillips Detail'!C31</f>
        <v>0.98450000000000004</v>
      </c>
      <c r="D27" s="36">
        <f>'Phillips Detail'!D31</f>
        <v>1525</v>
      </c>
      <c r="E27" s="110">
        <f>'Phillips Detail'!E31</f>
        <v>2.2650000000000001</v>
      </c>
      <c r="F27" s="27">
        <f>'Phillips Detail'!F31</f>
        <v>9069</v>
      </c>
      <c r="G27" s="18">
        <f>'Phillips Detail'!G31</f>
        <v>1.8776000000000002</v>
      </c>
      <c r="H27" s="12">
        <f>'Phillips Detail'!H31</f>
        <v>0</v>
      </c>
      <c r="I27" s="110" t="e">
        <f>'Phillips Detail'!#REF!</f>
        <v>#REF!</v>
      </c>
      <c r="J27" s="27" t="e">
        <f>'Phillips Detail'!#REF!</f>
        <v>#REF!</v>
      </c>
      <c r="L27" s="110">
        <v>0</v>
      </c>
      <c r="M27" s="27">
        <v>0</v>
      </c>
      <c r="P27"/>
    </row>
    <row r="28" spans="1:16" x14ac:dyDescent="0.25">
      <c r="A28" s="5">
        <f>+'Index Pricing'!A20</f>
        <v>37209</v>
      </c>
      <c r="B28" s="4">
        <f>+'Index Pricing'!B20</f>
        <v>1.595</v>
      </c>
      <c r="C28" s="13">
        <f>'Phillips Detail'!C32</f>
        <v>1.0594999999999999</v>
      </c>
      <c r="D28" s="36">
        <f>'Phillips Detail'!D32</f>
        <v>1520</v>
      </c>
      <c r="E28" s="110">
        <f>'Phillips Detail'!E32</f>
        <v>2.2650000000000001</v>
      </c>
      <c r="F28" s="27">
        <f>'Phillips Detail'!F32</f>
        <v>9069</v>
      </c>
      <c r="G28" s="18">
        <f>'Phillips Detail'!G32</f>
        <v>1.8776000000000002</v>
      </c>
      <c r="H28" s="12">
        <f>'Phillips Detail'!H32</f>
        <v>0</v>
      </c>
      <c r="I28" s="110" t="e">
        <f>'Phillips Detail'!#REF!</f>
        <v>#REF!</v>
      </c>
      <c r="J28" s="27" t="e">
        <f>'Phillips Detail'!#REF!</f>
        <v>#REF!</v>
      </c>
      <c r="L28" s="110">
        <v>0</v>
      </c>
      <c r="M28" s="27">
        <v>0</v>
      </c>
      <c r="P28"/>
    </row>
    <row r="29" spans="1:16" x14ac:dyDescent="0.25">
      <c r="A29" s="5">
        <f>+'Index Pricing'!A21</f>
        <v>37210</v>
      </c>
      <c r="B29" s="4">
        <f>+'Index Pricing'!B21</f>
        <v>1.84</v>
      </c>
      <c r="C29" s="13">
        <f>'Phillips Detail'!C33</f>
        <v>1.3045</v>
      </c>
      <c r="D29" s="36">
        <f>'Phillips Detail'!D33</f>
        <v>1516</v>
      </c>
      <c r="E29" s="110">
        <f>'Phillips Detail'!E33</f>
        <v>2.2650000000000001</v>
      </c>
      <c r="F29" s="27">
        <f>'Phillips Detail'!F33</f>
        <v>9069</v>
      </c>
      <c r="G29" s="18">
        <f>'Phillips Detail'!G33</f>
        <v>1.8776000000000002</v>
      </c>
      <c r="H29" s="12">
        <f>'Phillips Detail'!H33</f>
        <v>0</v>
      </c>
      <c r="I29" s="110" t="e">
        <f>'Phillips Detail'!#REF!</f>
        <v>#REF!</v>
      </c>
      <c r="J29" s="27" t="e">
        <f>'Phillips Detail'!#REF!</f>
        <v>#REF!</v>
      </c>
      <c r="L29" s="110">
        <v>0</v>
      </c>
      <c r="M29" s="27">
        <v>0</v>
      </c>
      <c r="P29"/>
    </row>
    <row r="30" spans="1:16" x14ac:dyDescent="0.25">
      <c r="A30" s="5">
        <f>+'Index Pricing'!A22</f>
        <v>37211</v>
      </c>
      <c r="B30" s="4">
        <f>+'Index Pricing'!B22</f>
        <v>1.4350000000000001</v>
      </c>
      <c r="C30" s="13">
        <f>'Phillips Detail'!C34</f>
        <v>0.89950000000000008</v>
      </c>
      <c r="D30" s="36">
        <f>'Phillips Detail'!D34</f>
        <v>1520</v>
      </c>
      <c r="E30" s="110">
        <f>'Phillips Detail'!E34</f>
        <v>2.2650000000000001</v>
      </c>
      <c r="F30" s="27">
        <f>'Phillips Detail'!F34</f>
        <v>9069</v>
      </c>
      <c r="G30" s="18">
        <f>'Phillips Detail'!G34</f>
        <v>1.8776000000000002</v>
      </c>
      <c r="H30" s="12">
        <f>'Phillips Detail'!H34</f>
        <v>0</v>
      </c>
      <c r="I30" s="110" t="e">
        <f>'Phillips Detail'!#REF!</f>
        <v>#REF!</v>
      </c>
      <c r="J30" s="27" t="e">
        <f>'Phillips Detail'!#REF!</f>
        <v>#REF!</v>
      </c>
      <c r="L30" s="110">
        <v>0</v>
      </c>
      <c r="M30" s="27">
        <v>0</v>
      </c>
      <c r="P30"/>
    </row>
    <row r="31" spans="1:16" x14ac:dyDescent="0.25">
      <c r="A31" s="5">
        <f>+'Index Pricing'!A23</f>
        <v>37212</v>
      </c>
      <c r="B31" s="4">
        <f>+'Index Pricing'!B23</f>
        <v>1.135</v>
      </c>
      <c r="C31" s="13">
        <f>'Phillips Detail'!C35</f>
        <v>0.59950000000000003</v>
      </c>
      <c r="D31" s="36">
        <f>'Phillips Detail'!D35</f>
        <v>1527</v>
      </c>
      <c r="E31" s="110">
        <f>'Phillips Detail'!E35</f>
        <v>2.2650000000000001</v>
      </c>
      <c r="F31" s="27">
        <f>'Phillips Detail'!F35</f>
        <v>9069</v>
      </c>
      <c r="G31" s="18">
        <f>'Phillips Detail'!G35</f>
        <v>1.8776000000000002</v>
      </c>
      <c r="H31" s="12">
        <f>'Phillips Detail'!H35</f>
        <v>0</v>
      </c>
      <c r="I31" s="110" t="e">
        <f>'Phillips Detail'!#REF!</f>
        <v>#REF!</v>
      </c>
      <c r="J31" s="27" t="e">
        <f>'Phillips Detail'!#REF!</f>
        <v>#REF!</v>
      </c>
      <c r="L31" s="110">
        <v>0</v>
      </c>
      <c r="M31" s="27">
        <v>0</v>
      </c>
      <c r="P31"/>
    </row>
    <row r="32" spans="1:16" x14ac:dyDescent="0.25">
      <c r="A32" s="5">
        <f>+'Index Pricing'!A24</f>
        <v>37213</v>
      </c>
      <c r="B32" s="4">
        <f>+'Index Pricing'!B24</f>
        <v>1.135</v>
      </c>
      <c r="C32" s="13">
        <f>'Phillips Detail'!C36</f>
        <v>0.59950000000000003</v>
      </c>
      <c r="D32" s="36">
        <f>'Phillips Detail'!D36</f>
        <v>1521</v>
      </c>
      <c r="E32" s="110">
        <f>'Phillips Detail'!E36</f>
        <v>2.2650000000000001</v>
      </c>
      <c r="F32" s="27">
        <f>'Phillips Detail'!F36</f>
        <v>9069</v>
      </c>
      <c r="G32" s="18">
        <f>'Phillips Detail'!G36</f>
        <v>1.8776000000000002</v>
      </c>
      <c r="H32" s="12">
        <f>'Phillips Detail'!H36</f>
        <v>0</v>
      </c>
      <c r="I32" s="110" t="e">
        <f>'Phillips Detail'!#REF!</f>
        <v>#REF!</v>
      </c>
      <c r="J32" s="27" t="e">
        <f>'Phillips Detail'!#REF!</f>
        <v>#REF!</v>
      </c>
      <c r="L32" s="110">
        <v>0</v>
      </c>
      <c r="M32" s="27">
        <v>0</v>
      </c>
      <c r="P32"/>
    </row>
    <row r="33" spans="1:16" x14ac:dyDescent="0.25">
      <c r="A33" s="5">
        <f>+'Index Pricing'!A25</f>
        <v>37214</v>
      </c>
      <c r="B33" s="4">
        <f>+'Index Pricing'!B25</f>
        <v>1.135</v>
      </c>
      <c r="C33" s="13">
        <f>'Phillips Detail'!C37</f>
        <v>0.59950000000000003</v>
      </c>
      <c r="D33" s="36">
        <f>'Phillips Detail'!D37</f>
        <v>1526</v>
      </c>
      <c r="E33" s="110">
        <f>'Phillips Detail'!E37</f>
        <v>2.2650000000000001</v>
      </c>
      <c r="F33" s="27">
        <f>'Phillips Detail'!F37</f>
        <v>9069</v>
      </c>
      <c r="G33" s="18">
        <f>'Phillips Detail'!G37</f>
        <v>1.8776000000000002</v>
      </c>
      <c r="H33" s="12">
        <f>'Phillips Detail'!H37</f>
        <v>0</v>
      </c>
      <c r="I33" s="110" t="e">
        <f>'Phillips Detail'!#REF!</f>
        <v>#REF!</v>
      </c>
      <c r="J33" s="27" t="e">
        <f>'Phillips Detail'!#REF!</f>
        <v>#REF!</v>
      </c>
      <c r="L33" s="110">
        <v>0</v>
      </c>
      <c r="M33" s="27">
        <v>0</v>
      </c>
      <c r="P33"/>
    </row>
    <row r="34" spans="1:16" x14ac:dyDescent="0.25">
      <c r="A34" s="5">
        <f>+'Index Pricing'!A26</f>
        <v>37215</v>
      </c>
      <c r="B34" s="4">
        <f>+'Index Pricing'!B26</f>
        <v>1.5349999999999999</v>
      </c>
      <c r="C34" s="13">
        <f>'Phillips Detail'!C38</f>
        <v>0.99949999999999994</v>
      </c>
      <c r="D34" s="36">
        <f>'Phillips Detail'!D38</f>
        <v>1528</v>
      </c>
      <c r="E34" s="110">
        <f>'Phillips Detail'!E38</f>
        <v>2.2650000000000001</v>
      </c>
      <c r="F34" s="27">
        <f>'Phillips Detail'!F38</f>
        <v>9069</v>
      </c>
      <c r="G34" s="18">
        <f>'Phillips Detail'!G38</f>
        <v>1.8776000000000002</v>
      </c>
      <c r="H34" s="12">
        <f>'Phillips Detail'!H38</f>
        <v>0</v>
      </c>
      <c r="I34" s="110" t="e">
        <f>'Phillips Detail'!#REF!</f>
        <v>#REF!</v>
      </c>
      <c r="J34" s="27" t="e">
        <f>'Phillips Detail'!#REF!</f>
        <v>#REF!</v>
      </c>
      <c r="L34" s="110">
        <v>0</v>
      </c>
      <c r="M34" s="27">
        <v>0</v>
      </c>
      <c r="P34"/>
    </row>
    <row r="35" spans="1:16" x14ac:dyDescent="0.25">
      <c r="A35" s="5">
        <f>+'Index Pricing'!A27</f>
        <v>37216</v>
      </c>
      <c r="B35" s="4">
        <f>+'Index Pricing'!B27</f>
        <v>2.2050000000000001</v>
      </c>
      <c r="C35" s="13">
        <f>'Phillips Detail'!C39</f>
        <v>1.6695000000000002</v>
      </c>
      <c r="D35" s="36">
        <f>'Phillips Detail'!D39</f>
        <v>1516</v>
      </c>
      <c r="E35" s="110">
        <f>'Phillips Detail'!E39</f>
        <v>2.2650000000000001</v>
      </c>
      <c r="F35" s="27">
        <f>'Phillips Detail'!F39</f>
        <v>9069</v>
      </c>
      <c r="G35" s="18">
        <f>'Phillips Detail'!G39</f>
        <v>1.8776000000000002</v>
      </c>
      <c r="H35" s="12">
        <f>'Phillips Detail'!H39</f>
        <v>0</v>
      </c>
      <c r="I35" s="110" t="e">
        <f>'Phillips Detail'!#REF!</f>
        <v>#REF!</v>
      </c>
      <c r="J35" s="27" t="e">
        <f>'Phillips Detail'!#REF!</f>
        <v>#REF!</v>
      </c>
      <c r="L35" s="110">
        <v>0</v>
      </c>
      <c r="M35" s="27">
        <v>0</v>
      </c>
      <c r="P35"/>
    </row>
    <row r="36" spans="1:16" x14ac:dyDescent="0.25">
      <c r="A36" s="5">
        <f>+'Index Pricing'!A28</f>
        <v>37217</v>
      </c>
      <c r="B36" s="4">
        <f>+'Index Pricing'!B28</f>
        <v>1.43</v>
      </c>
      <c r="C36" s="13">
        <f>'Phillips Detail'!C40</f>
        <v>0.89449999999999996</v>
      </c>
      <c r="D36" s="36">
        <f>'Phillips Detail'!D40</f>
        <v>1514</v>
      </c>
      <c r="E36" s="110">
        <f>'Phillips Detail'!E40</f>
        <v>2.2650000000000001</v>
      </c>
      <c r="F36" s="27">
        <f>'Phillips Detail'!F40</f>
        <v>9069</v>
      </c>
      <c r="G36" s="18">
        <f>'Phillips Detail'!G40</f>
        <v>1.8776000000000002</v>
      </c>
      <c r="H36" s="12">
        <f>'Phillips Detail'!H40</f>
        <v>0</v>
      </c>
      <c r="I36" s="110" t="e">
        <f>'Phillips Detail'!#REF!</f>
        <v>#REF!</v>
      </c>
      <c r="J36" s="27" t="e">
        <f>'Phillips Detail'!#REF!</f>
        <v>#REF!</v>
      </c>
      <c r="L36" s="110">
        <v>0</v>
      </c>
      <c r="M36" s="27">
        <v>0</v>
      </c>
      <c r="P36"/>
    </row>
    <row r="37" spans="1:16" x14ac:dyDescent="0.25">
      <c r="A37" s="5">
        <f>+'Index Pricing'!A29</f>
        <v>37218</v>
      </c>
      <c r="B37" s="4">
        <f>+'Index Pricing'!B29</f>
        <v>1.43</v>
      </c>
      <c r="C37" s="13">
        <f>'Phillips Detail'!C41</f>
        <v>0.89449999999999996</v>
      </c>
      <c r="D37" s="36">
        <f>'Phillips Detail'!D41</f>
        <v>1516</v>
      </c>
      <c r="E37" s="110">
        <f>'Phillips Detail'!E41</f>
        <v>2.2650000000000001</v>
      </c>
      <c r="F37" s="27">
        <f>'Phillips Detail'!F41</f>
        <v>9069</v>
      </c>
      <c r="G37" s="18">
        <f>'Phillips Detail'!G41</f>
        <v>1.8776000000000002</v>
      </c>
      <c r="H37" s="12">
        <f>'Phillips Detail'!H41</f>
        <v>0</v>
      </c>
      <c r="I37" s="110" t="e">
        <f>'Phillips Detail'!#REF!</f>
        <v>#REF!</v>
      </c>
      <c r="J37" s="27" t="e">
        <f>'Phillips Detail'!#REF!</f>
        <v>#REF!</v>
      </c>
      <c r="L37" s="110">
        <v>0</v>
      </c>
      <c r="M37" s="27">
        <v>0</v>
      </c>
      <c r="P37"/>
    </row>
    <row r="38" spans="1:16" x14ac:dyDescent="0.25">
      <c r="A38" s="5">
        <f>+'Index Pricing'!A30</f>
        <v>37219</v>
      </c>
      <c r="B38" s="4">
        <f>+'Index Pricing'!B30</f>
        <v>1.43</v>
      </c>
      <c r="C38" s="13">
        <f>'Phillips Detail'!C42</f>
        <v>0.89449999999999996</v>
      </c>
      <c r="D38" s="36">
        <f>'Phillips Detail'!D42</f>
        <v>1516</v>
      </c>
      <c r="E38" s="110">
        <f>'Phillips Detail'!E42</f>
        <v>2.2650000000000001</v>
      </c>
      <c r="F38" s="27">
        <f>'Phillips Detail'!F42</f>
        <v>9069</v>
      </c>
      <c r="G38" s="18">
        <f>'Phillips Detail'!G42</f>
        <v>1.8776000000000002</v>
      </c>
      <c r="H38" s="12">
        <f>'Phillips Detail'!H42</f>
        <v>0</v>
      </c>
      <c r="I38" s="110" t="e">
        <f>'Phillips Detail'!#REF!</f>
        <v>#REF!</v>
      </c>
      <c r="J38" s="27" t="e">
        <f>'Phillips Detail'!#REF!</f>
        <v>#REF!</v>
      </c>
      <c r="L38" s="110">
        <v>0</v>
      </c>
      <c r="M38" s="27">
        <v>0</v>
      </c>
      <c r="P38"/>
    </row>
    <row r="39" spans="1:16" x14ac:dyDescent="0.25">
      <c r="A39" s="5">
        <f>+'Index Pricing'!A31</f>
        <v>37220</v>
      </c>
      <c r="B39" s="4">
        <f>+'Index Pricing'!B31</f>
        <v>1.43</v>
      </c>
      <c r="C39" s="13">
        <f>'Phillips Detail'!C43</f>
        <v>0.89449999999999996</v>
      </c>
      <c r="D39" s="36">
        <f>'Phillips Detail'!D43</f>
        <v>1518</v>
      </c>
      <c r="E39" s="110">
        <f>'Phillips Detail'!E43</f>
        <v>2.2650000000000001</v>
      </c>
      <c r="F39" s="27">
        <f>'Phillips Detail'!F43</f>
        <v>9069</v>
      </c>
      <c r="G39" s="18">
        <f>'Phillips Detail'!G43</f>
        <v>1.8776000000000002</v>
      </c>
      <c r="H39" s="12">
        <f>'Phillips Detail'!H43</f>
        <v>0</v>
      </c>
      <c r="I39" s="110" t="e">
        <f>'Phillips Detail'!#REF!</f>
        <v>#REF!</v>
      </c>
      <c r="J39" s="27" t="e">
        <f>'Phillips Detail'!#REF!</f>
        <v>#REF!</v>
      </c>
      <c r="L39" s="110">
        <v>0</v>
      </c>
      <c r="M39" s="27">
        <v>0</v>
      </c>
      <c r="P39"/>
    </row>
    <row r="40" spans="1:16" x14ac:dyDescent="0.25">
      <c r="A40" s="5">
        <f>+'Index Pricing'!A32</f>
        <v>37221</v>
      </c>
      <c r="B40" s="4">
        <f>+'Index Pricing'!B32</f>
        <v>1.43</v>
      </c>
      <c r="C40" s="13">
        <f>'Phillips Detail'!C44</f>
        <v>0.89449999999999996</v>
      </c>
      <c r="D40" s="36">
        <f>'Phillips Detail'!D44</f>
        <v>1521</v>
      </c>
      <c r="E40" s="110">
        <f>'Phillips Detail'!E44</f>
        <v>2.2650000000000001</v>
      </c>
      <c r="F40" s="27">
        <f>'Phillips Detail'!F44</f>
        <v>9069</v>
      </c>
      <c r="G40" s="18">
        <f>'Phillips Detail'!G44</f>
        <v>1.8776000000000002</v>
      </c>
      <c r="H40" s="12">
        <f>'Phillips Detail'!H44</f>
        <v>0</v>
      </c>
      <c r="I40" s="110" t="e">
        <f>'Phillips Detail'!#REF!</f>
        <v>#REF!</v>
      </c>
      <c r="J40" s="27" t="e">
        <f>'Phillips Detail'!#REF!</f>
        <v>#REF!</v>
      </c>
      <c r="L40" s="110">
        <v>0</v>
      </c>
      <c r="M40" s="27">
        <v>0</v>
      </c>
      <c r="P40"/>
    </row>
    <row r="41" spans="1:16" x14ac:dyDescent="0.25">
      <c r="A41" s="5">
        <f>+'Index Pricing'!A33</f>
        <v>37222</v>
      </c>
      <c r="B41" s="4">
        <f>+'Index Pricing'!B33</f>
        <v>1.88</v>
      </c>
      <c r="C41" s="13">
        <f>'Phillips Detail'!C45</f>
        <v>1.3445</v>
      </c>
      <c r="D41" s="36">
        <f>'Phillips Detail'!D45</f>
        <v>1509</v>
      </c>
      <c r="E41" s="110">
        <f>'Phillips Detail'!E45</f>
        <v>2.2650000000000001</v>
      </c>
      <c r="F41" s="27">
        <f>'Phillips Detail'!F45</f>
        <v>9069</v>
      </c>
      <c r="G41" s="18">
        <f>'Phillips Detail'!G45</f>
        <v>1.8776000000000002</v>
      </c>
      <c r="H41" s="12">
        <f>'Phillips Detail'!H45</f>
        <v>0</v>
      </c>
      <c r="I41" s="110" t="e">
        <f>'Phillips Detail'!#REF!</f>
        <v>#REF!</v>
      </c>
      <c r="J41" s="27" t="e">
        <f>'Phillips Detail'!#REF!</f>
        <v>#REF!</v>
      </c>
      <c r="L41" s="110">
        <v>0</v>
      </c>
      <c r="M41" s="27">
        <v>0</v>
      </c>
      <c r="P41"/>
    </row>
    <row r="42" spans="1:16" x14ac:dyDescent="0.25">
      <c r="A42" s="5">
        <f>+'Index Pricing'!A34</f>
        <v>37223</v>
      </c>
      <c r="B42" s="4">
        <f>+'Index Pricing'!B34</f>
        <v>2.16</v>
      </c>
      <c r="C42" s="13">
        <f>'Phillips Detail'!C46</f>
        <v>1.6245000000000003</v>
      </c>
      <c r="D42" s="36">
        <f>'Phillips Detail'!D46</f>
        <v>1503</v>
      </c>
      <c r="E42" s="110">
        <f>'Phillips Detail'!E46</f>
        <v>2.2650000000000001</v>
      </c>
      <c r="F42" s="27">
        <f>'Phillips Detail'!F46</f>
        <v>9069</v>
      </c>
      <c r="G42" s="18">
        <f>'Phillips Detail'!G46</f>
        <v>1.8776000000000002</v>
      </c>
      <c r="H42" s="12">
        <f>'Phillips Detail'!H46</f>
        <v>0</v>
      </c>
      <c r="I42" s="110" t="e">
        <f>'Phillips Detail'!#REF!</f>
        <v>#REF!</v>
      </c>
      <c r="J42" s="27" t="e">
        <f>'Phillips Detail'!#REF!</f>
        <v>#REF!</v>
      </c>
      <c r="L42" s="110">
        <v>0</v>
      </c>
      <c r="M42" s="27">
        <v>0</v>
      </c>
      <c r="P42"/>
    </row>
    <row r="43" spans="1:16" x14ac:dyDescent="0.25">
      <c r="A43" s="5">
        <f>+'Index Pricing'!A35</f>
        <v>37224</v>
      </c>
      <c r="B43" s="4">
        <f>+'Index Pricing'!B35</f>
        <v>2.38</v>
      </c>
      <c r="C43" s="13">
        <f>'Phillips Detail'!C47</f>
        <v>1.8445</v>
      </c>
      <c r="D43" s="36">
        <f>'Phillips Detail'!D47</f>
        <v>0</v>
      </c>
      <c r="E43" s="110">
        <f>'Phillips Detail'!E47</f>
        <v>2.2650000000000001</v>
      </c>
      <c r="F43" s="27">
        <f>'Phillips Detail'!F47</f>
        <v>3518</v>
      </c>
      <c r="G43" s="18">
        <f>'Phillips Detail'!G47</f>
        <v>1.8776000000000002</v>
      </c>
      <c r="H43" s="12">
        <f>'Phillips Detail'!H47</f>
        <v>0</v>
      </c>
      <c r="I43" s="110" t="e">
        <f>'Phillips Detail'!#REF!</f>
        <v>#REF!</v>
      </c>
      <c r="J43" s="27" t="e">
        <f>'Phillips Detail'!#REF!</f>
        <v>#REF!</v>
      </c>
      <c r="L43" s="110">
        <v>0</v>
      </c>
      <c r="M43" s="27">
        <v>0</v>
      </c>
      <c r="P43"/>
    </row>
    <row r="44" spans="1:16" x14ac:dyDescent="0.25">
      <c r="A44" s="5">
        <f>+'Index Pricing'!A36</f>
        <v>37225</v>
      </c>
      <c r="B44" s="4">
        <f>+'Index Pricing'!B36</f>
        <v>2.0249999999999999</v>
      </c>
      <c r="C44" s="13">
        <f>'Phillips Detail'!C48</f>
        <v>1.4895</v>
      </c>
      <c r="D44" s="36">
        <f>'Phillips Detail'!D48</f>
        <v>0</v>
      </c>
      <c r="E44" s="110">
        <f>'Phillips Detail'!E48</f>
        <v>2.2650000000000001</v>
      </c>
      <c r="F44" s="27">
        <f>'Phillips Detail'!F48</f>
        <v>0</v>
      </c>
      <c r="G44" s="18">
        <f>'Phillips Detail'!G48</f>
        <v>1.8776000000000002</v>
      </c>
      <c r="H44" s="12">
        <f>'Phillips Detail'!H48</f>
        <v>0</v>
      </c>
      <c r="I44" s="110" t="e">
        <f>'Phillips Detail'!#REF!</f>
        <v>#REF!</v>
      </c>
      <c r="J44" s="27" t="e">
        <f>'Phillips Detail'!#REF!</f>
        <v>#REF!</v>
      </c>
      <c r="L44" s="110">
        <v>0</v>
      </c>
      <c r="M44" s="27">
        <v>0</v>
      </c>
      <c r="P44"/>
    </row>
    <row r="45" spans="1:16" x14ac:dyDescent="0.25">
      <c r="A45" s="5">
        <f>+'Index Pricing'!A37</f>
        <v>0</v>
      </c>
      <c r="B45" s="4">
        <f>+'Index Pricing'!B37</f>
        <v>0</v>
      </c>
      <c r="C45" s="13">
        <f>'Phillips Detail'!C49</f>
        <v>0</v>
      </c>
      <c r="D45" s="36">
        <f>'Phillips Detail'!D49</f>
        <v>0</v>
      </c>
      <c r="E45" s="110">
        <f>'Phillips Detail'!E49</f>
        <v>0</v>
      </c>
      <c r="F45" s="27">
        <f>'Phillips Detail'!F49</f>
        <v>0</v>
      </c>
      <c r="G45" s="18">
        <f>'Phillips Detail'!G49</f>
        <v>0</v>
      </c>
      <c r="H45" s="12">
        <f>'Phillips Detail'!H49</f>
        <v>0</v>
      </c>
      <c r="I45" s="110" t="e">
        <f>'Phillips Detail'!#REF!</f>
        <v>#REF!</v>
      </c>
      <c r="J45" s="27" t="e">
        <f>'Phillips Detail'!#REF!</f>
        <v>#REF!</v>
      </c>
      <c r="L45" s="110">
        <v>0</v>
      </c>
      <c r="M45" s="27">
        <v>0</v>
      </c>
      <c r="P45"/>
    </row>
    <row r="46" spans="1:16" x14ac:dyDescent="0.25">
      <c r="A46" s="201" t="s">
        <v>228</v>
      </c>
      <c r="B46" s="202">
        <f>IF(D46=0,AVERAGE(B15:B45),SUMPRODUCT(B15:B45,D15:D45)/D46)</f>
        <v>1.7588995934863827</v>
      </c>
      <c r="C46" s="202">
        <f>IF(D46=0,AVERAGE(C15:C45),SUMPRODUCT(C15:C45,D15:D45)/D46)</f>
        <v>1.2233995934863833</v>
      </c>
      <c r="D46" s="203">
        <f>SUM(D15:D45)</f>
        <v>42557</v>
      </c>
      <c r="E46" s="202">
        <f>IF(F46=0,AVERAGE(E15:E45),SUMPRODUCT(E15:E45,F15:F45)/F46)</f>
        <v>2.2649999999999992</v>
      </c>
      <c r="F46" s="204">
        <f>SUM(F15:F45)</f>
        <v>257450</v>
      </c>
      <c r="G46" s="202">
        <f>IF(H46=0,AVERAGE(G15:G45),SUMPRODUCT(G15:G45,H15:H45)/H46)</f>
        <v>1.8170322580645168</v>
      </c>
      <c r="H46" s="203">
        <f>SUM(H15:H45)</f>
        <v>0</v>
      </c>
      <c r="I46" s="202" t="e">
        <f>IF(J46=0,AVERAGE(I15:I45),SUMPRODUCT(I15:I45,J15:J45)/J46)</f>
        <v>#REF!</v>
      </c>
      <c r="J46" s="203" t="e">
        <f>SUM(J15:J45)</f>
        <v>#REF!</v>
      </c>
      <c r="L46" s="202">
        <f>IF(M46=0,AVERAGE(L15:L45),SUMPRODUCT(L15:L45,M15:M45)/M46)</f>
        <v>0</v>
      </c>
      <c r="M46" s="203">
        <f>SUM(M15:M45)</f>
        <v>0</v>
      </c>
      <c r="P46"/>
    </row>
    <row r="47" spans="1:16" x14ac:dyDescent="0.25">
      <c r="A47" s="201" t="s">
        <v>229</v>
      </c>
      <c r="B47" s="202"/>
      <c r="C47" s="202">
        <f>C46-B46</f>
        <v>-0.53549999999999942</v>
      </c>
      <c r="D47" s="203"/>
      <c r="E47" s="202">
        <f>E46-B9</f>
        <v>-0.7750000000000008</v>
      </c>
      <c r="F47" s="204"/>
      <c r="G47" s="202">
        <f>G46-B8</f>
        <v>-0.72296774193548319</v>
      </c>
      <c r="H47" s="203"/>
      <c r="I47" s="202" t="e">
        <f>I46-D8</f>
        <v>#REF!</v>
      </c>
      <c r="J47" s="203"/>
      <c r="L47" s="202">
        <f>L46-G8</f>
        <v>0</v>
      </c>
      <c r="M47" s="203"/>
      <c r="P47"/>
    </row>
    <row r="48" spans="1:16" x14ac:dyDescent="0.25">
      <c r="P48"/>
    </row>
    <row r="49" spans="1:16" x14ac:dyDescent="0.25">
      <c r="P49"/>
    </row>
    <row r="50" spans="1:16" x14ac:dyDescent="0.25">
      <c r="A50" t="s">
        <v>217</v>
      </c>
      <c r="P50"/>
    </row>
  </sheetData>
  <phoneticPr fontId="0" type="noConversion"/>
  <printOptions horizontalCentered="1" verticalCentered="1"/>
  <pageMargins left="0.25" right="0.25" top="0.25" bottom="0.25" header="0.5" footer="0.5"/>
  <pageSetup paperSize="5" scale="87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5601" r:id="rId4">
          <objectPr defaultSize="0" autoPict="0" r:id="rId5">
            <anchor moveWithCells="1">
              <from>
                <xdr:col>6</xdr:col>
                <xdr:colOff>411480</xdr:colOff>
                <xdr:row>0</xdr:row>
                <xdr:rowOff>15240</xdr:rowOff>
              </from>
              <to>
                <xdr:col>6</xdr:col>
                <xdr:colOff>1013460</xdr:colOff>
                <xdr:row>3</xdr:row>
                <xdr:rowOff>0</xdr:rowOff>
              </to>
            </anchor>
          </objectPr>
        </oleObject>
      </mc:Choice>
      <mc:Fallback>
        <oleObject progId="Paint.Picture" shapeId="25601" r:id="rId4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1:I37"/>
  <sheetViews>
    <sheetView showGridLines="0" topLeftCell="B1" zoomScale="75" workbookViewId="0">
      <selection activeCell="E38" sqref="E38"/>
    </sheetView>
  </sheetViews>
  <sheetFormatPr defaultRowHeight="13.2" x14ac:dyDescent="0.25"/>
  <cols>
    <col min="1" max="1" width="22.109375" customWidth="1"/>
    <col min="2" max="2" width="34.109375" bestFit="1" customWidth="1"/>
    <col min="3" max="3" width="19.6640625" customWidth="1"/>
    <col min="4" max="4" width="34.109375" bestFit="1" customWidth="1"/>
    <col min="5" max="5" width="17.109375" customWidth="1"/>
    <col min="6" max="6" width="29.33203125" customWidth="1"/>
    <col min="7" max="7" width="24.44140625" customWidth="1"/>
    <col min="8" max="8" width="46.5546875" bestFit="1" customWidth="1"/>
    <col min="9" max="9" width="14.33203125" bestFit="1" customWidth="1"/>
  </cols>
  <sheetData>
    <row r="1" spans="1:9" x14ac:dyDescent="0.25">
      <c r="C1" s="54" t="s">
        <v>74</v>
      </c>
      <c r="D1" s="55"/>
      <c r="E1" s="55"/>
      <c r="F1" s="56" t="s">
        <v>75</v>
      </c>
      <c r="G1" s="56"/>
      <c r="H1" s="66"/>
    </row>
    <row r="2" spans="1:9" x14ac:dyDescent="0.25">
      <c r="C2" s="50"/>
      <c r="D2" s="51"/>
      <c r="E2" s="51"/>
      <c r="F2" s="57"/>
      <c r="G2" s="57" t="s">
        <v>184</v>
      </c>
      <c r="H2" s="58" t="s">
        <v>82</v>
      </c>
    </row>
    <row r="3" spans="1:9" x14ac:dyDescent="0.25">
      <c r="C3" s="50" t="s">
        <v>71</v>
      </c>
      <c r="D3" s="51"/>
      <c r="E3" s="51"/>
      <c r="F3" s="57" t="s">
        <v>172</v>
      </c>
      <c r="G3" s="57" t="s">
        <v>251</v>
      </c>
      <c r="H3" s="231">
        <f ca="1">TODAY()</f>
        <v>37238</v>
      </c>
    </row>
    <row r="4" spans="1:9" x14ac:dyDescent="0.25">
      <c r="C4" s="50"/>
      <c r="D4" s="51"/>
      <c r="E4" s="51"/>
      <c r="F4" s="57" t="s">
        <v>241</v>
      </c>
      <c r="G4" s="57" t="s">
        <v>252</v>
      </c>
      <c r="H4" s="57"/>
    </row>
    <row r="5" spans="1:9" x14ac:dyDescent="0.25">
      <c r="C5" s="50"/>
      <c r="D5" s="51"/>
      <c r="E5" s="51"/>
      <c r="F5" s="57" t="s">
        <v>242</v>
      </c>
      <c r="G5" s="57" t="s">
        <v>253</v>
      </c>
      <c r="H5" s="58" t="s">
        <v>83</v>
      </c>
    </row>
    <row r="6" spans="1:9" x14ac:dyDescent="0.25">
      <c r="C6" s="50"/>
      <c r="D6" s="51"/>
      <c r="E6" s="51"/>
      <c r="F6" s="57" t="s">
        <v>189</v>
      </c>
      <c r="G6" s="57"/>
      <c r="H6" s="539">
        <v>37256</v>
      </c>
    </row>
    <row r="7" spans="1:9" x14ac:dyDescent="0.25">
      <c r="C7" s="50"/>
      <c r="D7" s="51"/>
      <c r="E7" s="51"/>
      <c r="F7" s="57" t="s">
        <v>190</v>
      </c>
      <c r="G7" s="57" t="s">
        <v>254</v>
      </c>
      <c r="H7" s="57"/>
    </row>
    <row r="8" spans="1:9" x14ac:dyDescent="0.25">
      <c r="C8" s="50"/>
      <c r="D8" s="51"/>
      <c r="E8" s="51"/>
      <c r="F8" s="57" t="s">
        <v>191</v>
      </c>
      <c r="G8" s="57" t="s">
        <v>255</v>
      </c>
      <c r="H8" s="58" t="s">
        <v>84</v>
      </c>
    </row>
    <row r="9" spans="1:9" x14ac:dyDescent="0.25">
      <c r="C9" s="50" t="s">
        <v>163</v>
      </c>
      <c r="D9" s="51"/>
      <c r="E9" s="51"/>
      <c r="F9" s="57" t="s">
        <v>182</v>
      </c>
      <c r="G9" s="213" t="s">
        <v>245</v>
      </c>
      <c r="H9" s="102" t="s">
        <v>149</v>
      </c>
    </row>
    <row r="10" spans="1:9" x14ac:dyDescent="0.25">
      <c r="C10" s="50" t="s">
        <v>164</v>
      </c>
      <c r="D10" s="51"/>
      <c r="E10" s="51"/>
      <c r="F10" s="57" t="s">
        <v>183</v>
      </c>
      <c r="G10" s="213" t="s">
        <v>244</v>
      </c>
      <c r="H10" s="58" t="s">
        <v>139</v>
      </c>
    </row>
    <row r="11" spans="1:9" x14ac:dyDescent="0.25">
      <c r="A11" s="68" t="s">
        <v>71</v>
      </c>
      <c r="B11" s="67"/>
      <c r="C11" s="52" t="s">
        <v>76</v>
      </c>
      <c r="D11" s="53"/>
      <c r="E11" s="53"/>
      <c r="F11" s="214" t="s">
        <v>243</v>
      </c>
      <c r="G11" s="214" t="s">
        <v>246</v>
      </c>
      <c r="H11" s="59" t="s">
        <v>140</v>
      </c>
    </row>
    <row r="12" spans="1:9" ht="13.8" thickBot="1" x14ac:dyDescent="0.3">
      <c r="A12" s="150">
        <f ca="1">NOW()</f>
        <v>37238.587624189815</v>
      </c>
      <c r="B12" s="49"/>
      <c r="C12" s="49"/>
      <c r="D12" s="49"/>
      <c r="E12" s="49"/>
      <c r="F12" s="49"/>
      <c r="G12" s="49"/>
      <c r="H12" s="49"/>
      <c r="I12" s="30"/>
    </row>
    <row r="13" spans="1:9" x14ac:dyDescent="0.25">
      <c r="A13" s="7" t="s">
        <v>86</v>
      </c>
      <c r="B13" s="7" t="s">
        <v>72</v>
      </c>
      <c r="C13" s="7" t="s">
        <v>73</v>
      </c>
      <c r="D13" s="7"/>
      <c r="E13" s="7"/>
    </row>
    <row r="14" spans="1:9" x14ac:dyDescent="0.25">
      <c r="A14" s="119">
        <f>+'Index Pricing'!A1</f>
        <v>37196</v>
      </c>
      <c r="B14" s="63">
        <v>96040979</v>
      </c>
      <c r="C14" t="s">
        <v>174</v>
      </c>
      <c r="D14" s="62"/>
      <c r="E14" s="62"/>
      <c r="F14" s="30"/>
    </row>
    <row r="15" spans="1:9" x14ac:dyDescent="0.25">
      <c r="A15" s="119"/>
      <c r="B15" s="63"/>
      <c r="C15" t="s">
        <v>175</v>
      </c>
      <c r="D15" s="62"/>
      <c r="E15" s="62"/>
      <c r="F15" s="30"/>
    </row>
    <row r="16" spans="1:9" x14ac:dyDescent="0.25">
      <c r="A16" s="119"/>
      <c r="B16" s="63"/>
      <c r="C16" t="s">
        <v>176</v>
      </c>
      <c r="D16" s="62"/>
      <c r="E16" s="62"/>
      <c r="F16" s="30"/>
    </row>
    <row r="18" spans="1:9" x14ac:dyDescent="0.25">
      <c r="B18" s="101" t="s">
        <v>10</v>
      </c>
      <c r="C18" s="98" t="s">
        <v>135</v>
      </c>
      <c r="D18" s="100" t="s">
        <v>88</v>
      </c>
      <c r="E18" s="99" t="s">
        <v>180</v>
      </c>
      <c r="F18" s="99" t="s">
        <v>87</v>
      </c>
      <c r="G18" s="99"/>
      <c r="H18" s="100" t="s">
        <v>89</v>
      </c>
    </row>
    <row r="19" spans="1:9" x14ac:dyDescent="0.25">
      <c r="A19" s="130" t="str">
        <f>+'Kennedy Summary'!A22</f>
        <v>11/01/01 - 11/30/01</v>
      </c>
      <c r="B19" t="str">
        <f>'Quantum Detail'!B15</f>
        <v>FOM CIG GD</v>
      </c>
      <c r="C19" s="4">
        <f>+'Quantum Detail'!I15</f>
        <v>-0.69059999999999999</v>
      </c>
      <c r="D19" s="65">
        <f>+H19/F19</f>
        <v>1.200904854368932</v>
      </c>
      <c r="E19" s="29">
        <f>+F19/'Quantum Detail'!B$7</f>
        <v>213.03042049380633</v>
      </c>
      <c r="F19" s="29">
        <f>+'Quantum Detail'!D53</f>
        <v>206</v>
      </c>
      <c r="G19" s="29"/>
      <c r="H19" s="83">
        <f>+'Quantum Detail'!K53</f>
        <v>247.38640000000001</v>
      </c>
    </row>
    <row r="20" spans="1:9" x14ac:dyDescent="0.25">
      <c r="A20" t="str">
        <f>+A19</f>
        <v>11/01/01 - 11/30/01</v>
      </c>
      <c r="B20" t="str">
        <f>'Quantum Detail'!B16</f>
        <v>FOM IF CIG</v>
      </c>
      <c r="C20" s="4">
        <f>+'Quantum Detail'!I16</f>
        <v>-0.7026</v>
      </c>
      <c r="D20" s="65">
        <f>+H20/F20</f>
        <v>1.8374000000000004</v>
      </c>
      <c r="E20" s="29">
        <f>+F20/'Quantum Detail'!B$7</f>
        <v>21330.963512260889</v>
      </c>
      <c r="F20" s="29">
        <f>+'Quantum Detail'!F53</f>
        <v>20627</v>
      </c>
      <c r="G20" s="29"/>
      <c r="H20" s="83">
        <f>+'Quantum Detail'!L53</f>
        <v>37900.049800000008</v>
      </c>
    </row>
    <row r="21" spans="1:9" x14ac:dyDescent="0.25">
      <c r="A21" t="str">
        <f>+A20</f>
        <v>11/01/01 - 11/30/01</v>
      </c>
      <c r="B21" t="str">
        <f>'Quantum Detail'!B17</f>
        <v>Add'l  CIG GD</v>
      </c>
      <c r="C21" s="4">
        <f>+'Quantum Detail'!I17</f>
        <v>-0.66559999999999997</v>
      </c>
      <c r="D21" s="65" t="e">
        <f>+H21/F21</f>
        <v>#DIV/0!</v>
      </c>
      <c r="E21" s="29">
        <f>+F21/'Quantum Detail'!B$7</f>
        <v>0</v>
      </c>
      <c r="F21" s="29">
        <f>'Quantum Detail'!H53</f>
        <v>0</v>
      </c>
      <c r="G21" s="29"/>
      <c r="H21" s="83">
        <f>'Quantum Detail'!M53</f>
        <v>0</v>
      </c>
    </row>
    <row r="22" spans="1:9" x14ac:dyDescent="0.25">
      <c r="A22" t="str">
        <f>+A20</f>
        <v>11/01/01 - 11/30/01</v>
      </c>
      <c r="C22" t="s">
        <v>142</v>
      </c>
      <c r="D22" s="104">
        <v>0</v>
      </c>
      <c r="E22" s="258">
        <f>+F22/'Quantum Detail'!B$7</f>
        <v>3000.0060672453019</v>
      </c>
      <c r="F22" s="258">
        <f>+-'Quantum Detail'!I53</f>
        <v>2901</v>
      </c>
      <c r="G22" s="29"/>
      <c r="H22" s="105">
        <f>+F22*D22</f>
        <v>0</v>
      </c>
    </row>
    <row r="23" spans="1:9" x14ac:dyDescent="0.25">
      <c r="D23" s="138" t="s">
        <v>178</v>
      </c>
      <c r="E23" s="138">
        <f>+F23/'Quantum Detail'!B$7</f>
        <v>24544</v>
      </c>
      <c r="F23" s="138">
        <f>SUM(F19:F22)</f>
        <v>23734</v>
      </c>
      <c r="G23" s="138" t="s">
        <v>192</v>
      </c>
      <c r="H23" s="139"/>
      <c r="I23" s="92">
        <f>SUM(H19:H22)</f>
        <v>38147.436200000011</v>
      </c>
    </row>
    <row r="24" spans="1:9" x14ac:dyDescent="0.25">
      <c r="D24" s="104"/>
      <c r="E24" s="29"/>
      <c r="F24" s="29"/>
      <c r="G24" s="29"/>
      <c r="H24" s="105"/>
    </row>
    <row r="25" spans="1:9" x14ac:dyDescent="0.25">
      <c r="B25" s="64"/>
    </row>
    <row r="26" spans="1:9" x14ac:dyDescent="0.25">
      <c r="A26" s="7"/>
      <c r="B26" s="7"/>
      <c r="C26" s="7"/>
      <c r="G26" s="91" t="s">
        <v>193</v>
      </c>
      <c r="H26" s="83">
        <f>SUM(H19:H24)</f>
        <v>38147.436200000011</v>
      </c>
    </row>
    <row r="27" spans="1:9" x14ac:dyDescent="0.25">
      <c r="A27" s="61"/>
      <c r="B27" s="63"/>
      <c r="C27" s="175"/>
      <c r="E27" s="2"/>
      <c r="F27" s="176"/>
      <c r="G27" s="180"/>
      <c r="H27" s="29"/>
      <c r="I27" s="139"/>
    </row>
    <row r="28" spans="1:9" x14ac:dyDescent="0.25">
      <c r="A28" s="7"/>
      <c r="C28" s="175"/>
      <c r="E28" s="2"/>
      <c r="F28" s="176"/>
      <c r="G28" s="180"/>
      <c r="H28" s="215"/>
    </row>
    <row r="29" spans="1:9" x14ac:dyDescent="0.25">
      <c r="C29" s="175"/>
      <c r="E29" s="2"/>
      <c r="F29" s="176"/>
      <c r="G29" s="180"/>
      <c r="H29" s="215"/>
    </row>
    <row r="30" spans="1:9" x14ac:dyDescent="0.25">
      <c r="C30" s="175"/>
      <c r="E30" s="2"/>
      <c r="F30" s="176"/>
      <c r="G30" s="180"/>
      <c r="H30" s="138" t="s">
        <v>248</v>
      </c>
      <c r="I30" s="139">
        <f>SUM(H28:H29)</f>
        <v>0</v>
      </c>
    </row>
    <row r="31" spans="1:9" x14ac:dyDescent="0.25">
      <c r="C31" s="175"/>
      <c r="E31" s="3"/>
      <c r="F31" s="181"/>
      <c r="G31" s="180"/>
      <c r="H31" s="29"/>
      <c r="I31" s="139"/>
    </row>
    <row r="32" spans="1:9" x14ac:dyDescent="0.25">
      <c r="C32" s="175"/>
      <c r="E32" s="3"/>
      <c r="F32" s="181"/>
      <c r="G32" s="180"/>
      <c r="H32" s="29"/>
      <c r="I32" s="139"/>
    </row>
    <row r="33" spans="2:9" x14ac:dyDescent="0.25">
      <c r="C33" s="175"/>
      <c r="E33" s="3"/>
      <c r="F33" s="181"/>
      <c r="G33" s="180"/>
      <c r="H33" s="29"/>
      <c r="I33" s="139"/>
    </row>
    <row r="34" spans="2:9" x14ac:dyDescent="0.25">
      <c r="C34" s="175"/>
      <c r="E34" s="3"/>
      <c r="F34" s="181"/>
      <c r="G34" s="180"/>
      <c r="H34" s="29"/>
      <c r="I34" s="139"/>
    </row>
    <row r="35" spans="2:9" x14ac:dyDescent="0.25">
      <c r="C35" s="175"/>
      <c r="E35" s="3"/>
      <c r="F35" s="181"/>
      <c r="G35" s="180"/>
      <c r="H35" s="29"/>
      <c r="I35" s="139"/>
    </row>
    <row r="36" spans="2:9" x14ac:dyDescent="0.25">
      <c r="B36" s="64"/>
      <c r="H36" s="7" t="s">
        <v>194</v>
      </c>
      <c r="I36" s="92">
        <f>SUM(I23:I33)</f>
        <v>38147.436200000011</v>
      </c>
    </row>
    <row r="37" spans="2:9" x14ac:dyDescent="0.25">
      <c r="B37" s="64"/>
    </row>
  </sheetData>
  <phoneticPr fontId="0" type="noConversion"/>
  <hyperlinks>
    <hyperlink ref="F11" r:id="rId1"/>
    <hyperlink ref="G11" r:id="rId2"/>
  </hyperlinks>
  <pageMargins left="0.75" right="0.75" top="1" bottom="1" header="0.5" footer="0.5"/>
  <pageSetup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Paint.Picture" shapeId="19457" r:id="rId6">
          <objectPr defaultSize="0" autoPict="0" r:id="rId7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175260</xdr:colOff>
                <xdr:row>6</xdr:row>
                <xdr:rowOff>22860</xdr:rowOff>
              </to>
            </anchor>
          </objectPr>
        </oleObject>
      </mc:Choice>
      <mc:Fallback>
        <oleObject progId="Paint.Picture" shapeId="19457" r:id="rId6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R59"/>
  <sheetViews>
    <sheetView showGridLines="0" zoomScale="75" workbookViewId="0">
      <selection activeCell="H12" sqref="H12"/>
    </sheetView>
  </sheetViews>
  <sheetFormatPr defaultRowHeight="13.2" x14ac:dyDescent="0.25"/>
  <cols>
    <col min="1" max="1" width="32.109375" bestFit="1" customWidth="1"/>
    <col min="2" max="2" width="16.109375" bestFit="1" customWidth="1"/>
    <col min="3" max="3" width="17.44140625" customWidth="1"/>
    <col min="4" max="4" width="18.109375" bestFit="1" customWidth="1"/>
    <col min="5" max="5" width="17.44140625" bestFit="1" customWidth="1"/>
    <col min="6" max="6" width="22.6640625" bestFit="1" customWidth="1"/>
    <col min="7" max="7" width="16.109375" customWidth="1"/>
    <col min="8" max="8" width="16.5546875" customWidth="1"/>
    <col min="9" max="9" width="12.44140625" customWidth="1"/>
    <col min="10" max="10" width="12.33203125" customWidth="1"/>
    <col min="11" max="11" width="17.88671875" bestFit="1" customWidth="1"/>
    <col min="12" max="13" width="13.5546875" customWidth="1"/>
    <col min="14" max="14" width="14.5546875" customWidth="1"/>
    <col min="15" max="15" width="11.5546875" customWidth="1"/>
  </cols>
  <sheetData>
    <row r="1" spans="1:13" x14ac:dyDescent="0.25">
      <c r="A1" s="7" t="s">
        <v>166</v>
      </c>
      <c r="B1" s="7" t="s">
        <v>28</v>
      </c>
      <c r="C1" s="7" t="s">
        <v>167</v>
      </c>
      <c r="F1" t="s">
        <v>195</v>
      </c>
      <c r="H1" s="7"/>
      <c r="I1" s="7"/>
      <c r="J1" s="7"/>
      <c r="K1" s="7"/>
      <c r="M1" s="149">
        <f ca="1">NOW()</f>
        <v>37238.587624189815</v>
      </c>
    </row>
    <row r="2" spans="1:13" x14ac:dyDescent="0.25">
      <c r="A2" s="8">
        <f>+'Index Pricing'!A1</f>
        <v>37196</v>
      </c>
      <c r="B2" s="7" t="s">
        <v>36</v>
      </c>
      <c r="C2" s="7" t="s">
        <v>168</v>
      </c>
      <c r="H2" s="7"/>
      <c r="I2" s="7"/>
      <c r="J2" s="7"/>
      <c r="K2" s="7"/>
    </row>
    <row r="3" spans="1:13" x14ac:dyDescent="0.25">
      <c r="A3" s="8"/>
      <c r="B3" s="7" t="s">
        <v>37</v>
      </c>
      <c r="C3" s="7" t="s">
        <v>169</v>
      </c>
      <c r="F3" t="s">
        <v>41</v>
      </c>
      <c r="G3" t="s">
        <v>42</v>
      </c>
      <c r="H3" s="7"/>
      <c r="I3" s="7"/>
      <c r="J3" s="7"/>
      <c r="K3" s="7"/>
    </row>
    <row r="4" spans="1:13" x14ac:dyDescent="0.25">
      <c r="A4" s="8"/>
      <c r="B4" s="7"/>
      <c r="C4" s="7"/>
      <c r="H4" s="7"/>
      <c r="I4" s="7"/>
      <c r="J4" s="7"/>
      <c r="K4" s="7"/>
    </row>
    <row r="5" spans="1:13" x14ac:dyDescent="0.25">
      <c r="A5" s="8" t="s">
        <v>65</v>
      </c>
      <c r="B5" s="168">
        <v>967</v>
      </c>
      <c r="C5" s="7"/>
      <c r="H5" s="7"/>
      <c r="I5" s="7"/>
      <c r="J5" s="7"/>
      <c r="K5" s="7"/>
    </row>
    <row r="6" spans="1:13" x14ac:dyDescent="0.25">
      <c r="A6" s="8" t="s">
        <v>290</v>
      </c>
      <c r="B6" s="168">
        <v>0</v>
      </c>
      <c r="C6" s="7"/>
      <c r="H6" s="7"/>
      <c r="I6" s="7"/>
      <c r="J6" s="7"/>
      <c r="K6" s="7"/>
    </row>
    <row r="7" spans="1:13" x14ac:dyDescent="0.25">
      <c r="A7" s="1" t="s">
        <v>56</v>
      </c>
      <c r="B7" s="173">
        <f>'[1]Enron Detail'!$R$9</f>
        <v>0.96699804432855285</v>
      </c>
    </row>
    <row r="8" spans="1:13" x14ac:dyDescent="0.25">
      <c r="A8" s="1" t="s">
        <v>177</v>
      </c>
      <c r="B8" s="3">
        <v>0.56499999999999995</v>
      </c>
      <c r="C8" t="s">
        <v>8</v>
      </c>
    </row>
    <row r="9" spans="1:13" x14ac:dyDescent="0.25">
      <c r="A9" s="1" t="str">
        <f>+'Index Pricing'!A3</f>
        <v>IF CIG Rockies</v>
      </c>
      <c r="B9" s="3">
        <f>+'Index Pricing'!B3</f>
        <v>2.54</v>
      </c>
    </row>
    <row r="10" spans="1:13" x14ac:dyDescent="0.25">
      <c r="A10" s="1" t="str">
        <f>+'Index Pricing'!A4</f>
        <v>IF NGPL Midcont.</v>
      </c>
      <c r="B10" s="3">
        <f>+'Index Pricing'!B4</f>
        <v>3.04</v>
      </c>
    </row>
    <row r="11" spans="1:13" x14ac:dyDescent="0.25">
      <c r="A11" s="1"/>
      <c r="B11" s="136"/>
    </row>
    <row r="12" spans="1:13" x14ac:dyDescent="0.25">
      <c r="A12" s="1"/>
      <c r="B12" s="2"/>
    </row>
    <row r="13" spans="1:13" ht="13.8" thickBot="1" x14ac:dyDescent="0.3">
      <c r="A13" s="1"/>
    </row>
    <row r="14" spans="1:13" s="67" customFormat="1" ht="26.4" x14ac:dyDescent="0.25">
      <c r="A14" s="228"/>
      <c r="B14" s="210"/>
      <c r="C14" s="210" t="s">
        <v>14</v>
      </c>
      <c r="D14" s="210" t="s">
        <v>44</v>
      </c>
      <c r="E14" s="210" t="s">
        <v>15</v>
      </c>
      <c r="F14" s="220" t="str">
        <f>"WIC Med.Bow Fuel ("&amp;'Index Pricing'!$F$3*100&amp;"%*CIGindex)"</f>
        <v>WIC Med.Bow Fuel (0.68%*CIGindex)</v>
      </c>
      <c r="G14" s="210" t="s">
        <v>216</v>
      </c>
      <c r="H14" s="210"/>
      <c r="I14" s="223" t="s">
        <v>9</v>
      </c>
      <c r="J14" s="90"/>
      <c r="K14" s="90"/>
      <c r="L14" s="90"/>
      <c r="M14" s="90"/>
    </row>
    <row r="15" spans="1:13" x14ac:dyDescent="0.25">
      <c r="A15" s="192" t="s">
        <v>4</v>
      </c>
      <c r="B15" s="191" t="s">
        <v>332</v>
      </c>
      <c r="C15" s="246">
        <v>-2.5000000000000001E-2</v>
      </c>
      <c r="D15" s="191">
        <f>-B8/B7</f>
        <v>-0.58428246397573091</v>
      </c>
      <c r="E15" s="246">
        <v>0</v>
      </c>
      <c r="F15" s="246">
        <v>0</v>
      </c>
      <c r="G15" s="191">
        <f>-+I53*D15/(D53+F53+H53)</f>
        <v>-8.1361466327153811E-2</v>
      </c>
      <c r="H15" s="191"/>
      <c r="I15" s="193">
        <f>ROUND(SUM(C15:G15),4)</f>
        <v>-0.69059999999999999</v>
      </c>
    </row>
    <row r="16" spans="1:13" x14ac:dyDescent="0.25">
      <c r="A16" s="192"/>
      <c r="B16" s="191" t="s">
        <v>335</v>
      </c>
      <c r="C16" s="246">
        <v>0.115</v>
      </c>
      <c r="D16" s="191">
        <f>-B8/B7</f>
        <v>-0.58428246397573091</v>
      </c>
      <c r="E16" s="191">
        <f>-0.13-0.0025-0.0022</f>
        <v>-0.13470000000000001</v>
      </c>
      <c r="F16" s="191">
        <f>-'Index Pricing'!$F$3*'Index Pricing'!$B$3</f>
        <v>-1.7271999999999999E-2</v>
      </c>
      <c r="G16" s="191">
        <f>+G15</f>
        <v>-8.1361466327153811E-2</v>
      </c>
      <c r="H16" s="191"/>
      <c r="I16" s="193">
        <f>ROUND(SUM(C16:G16),4)</f>
        <v>-0.7026</v>
      </c>
    </row>
    <row r="17" spans="1:14" ht="13.8" thickBot="1" x14ac:dyDescent="0.3">
      <c r="A17" s="194"/>
      <c r="B17" s="195" t="s">
        <v>382</v>
      </c>
      <c r="C17" s="245"/>
      <c r="D17" s="195">
        <f>-B8/B7</f>
        <v>-0.58428246397573091</v>
      </c>
      <c r="E17" s="245">
        <v>0</v>
      </c>
      <c r="F17" s="245">
        <v>0</v>
      </c>
      <c r="G17" s="195">
        <f>+G16</f>
        <v>-8.1361466327153811E-2</v>
      </c>
      <c r="H17" s="195"/>
      <c r="I17" s="197">
        <f>ROUND(SUM(C17:G17),4)</f>
        <v>-0.66559999999999997</v>
      </c>
      <c r="J17" s="170"/>
    </row>
    <row r="18" spans="1:14" ht="13.8" thickBot="1" x14ac:dyDescent="0.3"/>
    <row r="19" spans="1:14" ht="39.6" x14ac:dyDescent="0.25">
      <c r="A19" s="6"/>
      <c r="B19" s="75"/>
      <c r="C19" s="248" t="s">
        <v>293</v>
      </c>
      <c r="D19" s="167" t="s">
        <v>291</v>
      </c>
      <c r="E19" s="248" t="s">
        <v>170</v>
      </c>
      <c r="F19" s="166" t="s">
        <v>302</v>
      </c>
      <c r="G19" s="248" t="s">
        <v>295</v>
      </c>
      <c r="H19" s="167" t="s">
        <v>383</v>
      </c>
      <c r="I19" s="166" t="s">
        <v>35</v>
      </c>
      <c r="J19" s="167" t="s">
        <v>34</v>
      </c>
      <c r="K19" s="250" t="s">
        <v>296</v>
      </c>
      <c r="L19" s="166" t="s">
        <v>118</v>
      </c>
      <c r="M19" s="167" t="s">
        <v>297</v>
      </c>
      <c r="N19" s="251" t="s">
        <v>26</v>
      </c>
    </row>
    <row r="20" spans="1:14" s="6" customFormat="1" ht="27" thickBot="1" x14ac:dyDescent="0.3">
      <c r="B20" s="247" t="s">
        <v>3</v>
      </c>
      <c r="C20" s="249" t="s">
        <v>292</v>
      </c>
      <c r="D20" s="252"/>
      <c r="E20" s="249" t="s">
        <v>22</v>
      </c>
      <c r="F20" s="253">
        <f>0.8*B5</f>
        <v>773.6</v>
      </c>
      <c r="G20" s="249" t="s">
        <v>22</v>
      </c>
      <c r="H20" s="252"/>
      <c r="I20" s="255"/>
      <c r="J20" s="256"/>
      <c r="K20" s="254"/>
      <c r="L20" s="255"/>
      <c r="M20" s="256"/>
      <c r="N20" s="257"/>
    </row>
    <row r="21" spans="1:14" x14ac:dyDescent="0.25">
      <c r="A21" s="5">
        <f>+'Index Pricing'!A7</f>
        <v>37196</v>
      </c>
      <c r="B21" s="4">
        <f>+'Index Pricing'!B7</f>
        <v>2.67</v>
      </c>
      <c r="C21" s="122">
        <f>+B21+$I$15</f>
        <v>1.9794</v>
      </c>
      <c r="D21" s="142">
        <f t="shared" ref="D21:D50" si="0">MIN($B$5-F21,IF((-F21+I21+J21)&gt;0,-F21+I21+J21,0))</f>
        <v>0</v>
      </c>
      <c r="E21" s="124">
        <f>+'Index Pricing'!$B$3+$I$16</f>
        <v>1.8374000000000001</v>
      </c>
      <c r="F21" s="470">
        <f>ROUND(IF(J21+I21&gt;$F$20,$F$20,IF(J21+I21&gt;0,J21+I21,0)),0)</f>
        <v>594</v>
      </c>
      <c r="G21" s="472">
        <f>+B21+$I$17</f>
        <v>2.0044</v>
      </c>
      <c r="H21" s="125">
        <f>MAX(0,J21+I21-F21-D21)</f>
        <v>0</v>
      </c>
      <c r="I21" s="155">
        <f>'[1]Enron Detail'!S14</f>
        <v>-75</v>
      </c>
      <c r="J21" s="156">
        <f>'[1]Enron Detail'!R14</f>
        <v>669</v>
      </c>
      <c r="K21" s="74">
        <f t="shared" ref="K21:K48" si="1">+C21*D21</f>
        <v>0</v>
      </c>
      <c r="L21" s="74">
        <f t="shared" ref="L21:L50" si="2">+E21*F21</f>
        <v>1091.4156</v>
      </c>
      <c r="M21" s="77">
        <f>G21*H21</f>
        <v>0</v>
      </c>
      <c r="N21" s="163">
        <f>SUM(K21:L21)</f>
        <v>1091.4156</v>
      </c>
    </row>
    <row r="22" spans="1:14" x14ac:dyDescent="0.25">
      <c r="A22" s="5">
        <f>+'Index Pricing'!A8</f>
        <v>37197</v>
      </c>
      <c r="B22" s="4">
        <f>+'Index Pricing'!B8</f>
        <v>2.36</v>
      </c>
      <c r="C22" s="22">
        <f t="shared" ref="C22:C50" si="3">+B22+$I$15</f>
        <v>1.6694</v>
      </c>
      <c r="D22" s="43">
        <f t="shared" si="0"/>
        <v>0</v>
      </c>
      <c r="E22" s="23">
        <f>+'Index Pricing'!$B$3+$I$16</f>
        <v>1.8374000000000001</v>
      </c>
      <c r="F22" s="27">
        <f t="shared" ref="F22:F50" si="4">ROUND(IF(J22+I22&gt;$F$20,$F$20,IF(J22+I22&gt;0,J22+I22,0)),0)</f>
        <v>699</v>
      </c>
      <c r="G22" s="473">
        <f t="shared" ref="G22:G50" si="5">+B22+$I$17</f>
        <v>1.6943999999999999</v>
      </c>
      <c r="H22" s="36">
        <f>MAX(0,J22+I22-F22-D22)</f>
        <v>0</v>
      </c>
      <c r="I22" s="157">
        <f>'[1]Enron Detail'!S15</f>
        <v>-92</v>
      </c>
      <c r="J22" s="158">
        <f>'[1]Enron Detail'!R15</f>
        <v>791</v>
      </c>
      <c r="K22" s="74">
        <f t="shared" si="1"/>
        <v>0</v>
      </c>
      <c r="L22" s="74">
        <f t="shared" si="2"/>
        <v>1284.3426000000002</v>
      </c>
      <c r="M22" s="77">
        <f t="shared" ref="M22:M50" si="6">G22*H22</f>
        <v>0</v>
      </c>
      <c r="N22" s="164">
        <f t="shared" ref="N22:N48" si="7">SUM(K22:L22)</f>
        <v>1284.3426000000002</v>
      </c>
    </row>
    <row r="23" spans="1:14" x14ac:dyDescent="0.25">
      <c r="A23" s="5">
        <f>+'Index Pricing'!A9</f>
        <v>37198</v>
      </c>
      <c r="B23" s="4">
        <f>+'Index Pricing'!B9</f>
        <v>2.0150000000000001</v>
      </c>
      <c r="C23" s="22">
        <f t="shared" si="3"/>
        <v>1.3244000000000002</v>
      </c>
      <c r="D23" s="43">
        <f t="shared" si="0"/>
        <v>12</v>
      </c>
      <c r="E23" s="23">
        <f>+'Index Pricing'!$B$3+$I$16</f>
        <v>1.8374000000000001</v>
      </c>
      <c r="F23" s="27">
        <f t="shared" si="4"/>
        <v>774</v>
      </c>
      <c r="G23" s="473">
        <f t="shared" si="5"/>
        <v>1.3494000000000002</v>
      </c>
      <c r="H23" s="36">
        <f t="shared" ref="H23:H50" si="8">MAX(0,J23+I23-F23-D23)</f>
        <v>0</v>
      </c>
      <c r="I23" s="157">
        <f>'[1]Enron Detail'!S16</f>
        <v>-102</v>
      </c>
      <c r="J23" s="158">
        <f>'[1]Enron Detail'!R16</f>
        <v>888</v>
      </c>
      <c r="K23" s="74">
        <f t="shared" si="1"/>
        <v>15.892800000000003</v>
      </c>
      <c r="L23" s="74">
        <f t="shared" si="2"/>
        <v>1422.1476</v>
      </c>
      <c r="M23" s="77">
        <f t="shared" si="6"/>
        <v>0</v>
      </c>
      <c r="N23" s="164">
        <f t="shared" si="7"/>
        <v>1438.0404000000001</v>
      </c>
    </row>
    <row r="24" spans="1:14" x14ac:dyDescent="0.25">
      <c r="A24" s="5">
        <f>+'Index Pricing'!A10</f>
        <v>37199</v>
      </c>
      <c r="B24" s="4">
        <f>+'Index Pricing'!B10</f>
        <v>2.0150000000000001</v>
      </c>
      <c r="C24" s="22">
        <f t="shared" si="3"/>
        <v>1.3244000000000002</v>
      </c>
      <c r="D24" s="43">
        <f t="shared" si="0"/>
        <v>0</v>
      </c>
      <c r="E24" s="23">
        <f>+'Index Pricing'!$B$3+$I$16</f>
        <v>1.8374000000000001</v>
      </c>
      <c r="F24" s="27">
        <f t="shared" si="4"/>
        <v>717</v>
      </c>
      <c r="G24" s="473">
        <f t="shared" si="5"/>
        <v>1.3494000000000002</v>
      </c>
      <c r="H24" s="36">
        <f t="shared" si="8"/>
        <v>0</v>
      </c>
      <c r="I24" s="157">
        <f>'[1]Enron Detail'!S17</f>
        <v>-97</v>
      </c>
      <c r="J24" s="158">
        <f>'[1]Enron Detail'!R17</f>
        <v>814</v>
      </c>
      <c r="K24" s="74">
        <f t="shared" si="1"/>
        <v>0</v>
      </c>
      <c r="L24" s="74">
        <f t="shared" si="2"/>
        <v>1317.4158</v>
      </c>
      <c r="M24" s="77">
        <f t="shared" si="6"/>
        <v>0</v>
      </c>
      <c r="N24" s="164">
        <f t="shared" si="7"/>
        <v>1317.4158</v>
      </c>
    </row>
    <row r="25" spans="1:14" x14ac:dyDescent="0.25">
      <c r="A25" s="5">
        <f>+'Index Pricing'!A11</f>
        <v>37200</v>
      </c>
      <c r="B25" s="4">
        <f>+'Index Pricing'!B11</f>
        <v>2.0150000000000001</v>
      </c>
      <c r="C25" s="22">
        <f t="shared" si="3"/>
        <v>1.3244000000000002</v>
      </c>
      <c r="D25" s="43">
        <f t="shared" si="0"/>
        <v>0</v>
      </c>
      <c r="E25" s="23">
        <f>+'Index Pricing'!$B$3+$I$16</f>
        <v>1.8374000000000001</v>
      </c>
      <c r="F25" s="27">
        <f t="shared" si="4"/>
        <v>707</v>
      </c>
      <c r="G25" s="473">
        <f t="shared" si="5"/>
        <v>1.3494000000000002</v>
      </c>
      <c r="H25" s="36">
        <f t="shared" si="8"/>
        <v>0</v>
      </c>
      <c r="I25" s="157">
        <f>'[1]Enron Detail'!S18</f>
        <v>-94</v>
      </c>
      <c r="J25" s="158">
        <f>'[1]Enron Detail'!R18</f>
        <v>801</v>
      </c>
      <c r="K25" s="74">
        <f t="shared" si="1"/>
        <v>0</v>
      </c>
      <c r="L25" s="74">
        <f t="shared" si="2"/>
        <v>1299.0418000000002</v>
      </c>
      <c r="M25" s="77">
        <f t="shared" si="6"/>
        <v>0</v>
      </c>
      <c r="N25" s="164">
        <f t="shared" si="7"/>
        <v>1299.0418000000002</v>
      </c>
    </row>
    <row r="26" spans="1:14" x14ac:dyDescent="0.25">
      <c r="A26" s="5">
        <f>+'Index Pricing'!A12</f>
        <v>37201</v>
      </c>
      <c r="B26" s="4">
        <f>+'Index Pricing'!B12</f>
        <v>2.16</v>
      </c>
      <c r="C26" s="22">
        <f t="shared" si="3"/>
        <v>1.4694000000000003</v>
      </c>
      <c r="D26" s="43">
        <f t="shared" si="0"/>
        <v>48</v>
      </c>
      <c r="E26" s="23">
        <f>+'Index Pricing'!$B$3+$I$16</f>
        <v>1.8374000000000001</v>
      </c>
      <c r="F26" s="27">
        <f t="shared" si="4"/>
        <v>774</v>
      </c>
      <c r="G26" s="473">
        <f t="shared" si="5"/>
        <v>1.4944000000000002</v>
      </c>
      <c r="H26" s="36">
        <f t="shared" si="8"/>
        <v>0</v>
      </c>
      <c r="I26" s="157">
        <f>'[1]Enron Detail'!S19</f>
        <v>-103</v>
      </c>
      <c r="J26" s="158">
        <f>'[1]Enron Detail'!R19</f>
        <v>925</v>
      </c>
      <c r="K26" s="74">
        <f t="shared" si="1"/>
        <v>70.531200000000013</v>
      </c>
      <c r="L26" s="74">
        <f t="shared" si="2"/>
        <v>1422.1476</v>
      </c>
      <c r="M26" s="77">
        <f t="shared" si="6"/>
        <v>0</v>
      </c>
      <c r="N26" s="164">
        <f t="shared" si="7"/>
        <v>1492.6788000000001</v>
      </c>
    </row>
    <row r="27" spans="1:14" x14ac:dyDescent="0.25">
      <c r="A27" s="5">
        <f>+'Index Pricing'!A13</f>
        <v>37202</v>
      </c>
      <c r="B27" s="4">
        <f>+'Index Pricing'!B13</f>
        <v>2.1349999999999998</v>
      </c>
      <c r="C27" s="22">
        <f t="shared" si="3"/>
        <v>1.4443999999999999</v>
      </c>
      <c r="D27" s="43">
        <f t="shared" si="0"/>
        <v>22</v>
      </c>
      <c r="E27" s="23">
        <f>+'Index Pricing'!$B$3+$I$16</f>
        <v>1.8374000000000001</v>
      </c>
      <c r="F27" s="27">
        <f t="shared" si="4"/>
        <v>774</v>
      </c>
      <c r="G27" s="473">
        <f t="shared" si="5"/>
        <v>1.4693999999999998</v>
      </c>
      <c r="H27" s="36">
        <f t="shared" si="8"/>
        <v>0</v>
      </c>
      <c r="I27" s="157">
        <f>'[1]Enron Detail'!S20</f>
        <v>-103</v>
      </c>
      <c r="J27" s="158">
        <f>'[1]Enron Detail'!R20</f>
        <v>899</v>
      </c>
      <c r="K27" s="74">
        <f t="shared" si="1"/>
        <v>31.776799999999998</v>
      </c>
      <c r="L27" s="74">
        <f t="shared" si="2"/>
        <v>1422.1476</v>
      </c>
      <c r="M27" s="77">
        <f t="shared" si="6"/>
        <v>0</v>
      </c>
      <c r="N27" s="164">
        <f t="shared" si="7"/>
        <v>1453.9244000000001</v>
      </c>
    </row>
    <row r="28" spans="1:14" x14ac:dyDescent="0.25">
      <c r="A28" s="5">
        <f>+'Index Pricing'!A14</f>
        <v>37203</v>
      </c>
      <c r="B28" s="4">
        <f>+'Index Pricing'!B14</f>
        <v>2.13</v>
      </c>
      <c r="C28" s="22">
        <f t="shared" si="3"/>
        <v>1.4394</v>
      </c>
      <c r="D28" s="43">
        <f t="shared" si="0"/>
        <v>0</v>
      </c>
      <c r="E28" s="23">
        <f>+'Index Pricing'!$B$3+$I$16</f>
        <v>1.8374000000000001</v>
      </c>
      <c r="F28" s="27">
        <f t="shared" si="4"/>
        <v>760</v>
      </c>
      <c r="G28" s="473">
        <f t="shared" si="5"/>
        <v>1.4643999999999999</v>
      </c>
      <c r="H28" s="36">
        <f t="shared" si="8"/>
        <v>0</v>
      </c>
      <c r="I28" s="157">
        <f>'[1]Enron Detail'!S21</f>
        <v>-103</v>
      </c>
      <c r="J28" s="158">
        <f>'[1]Enron Detail'!R21</f>
        <v>863</v>
      </c>
      <c r="K28" s="74">
        <f t="shared" si="1"/>
        <v>0</v>
      </c>
      <c r="L28" s="74">
        <f t="shared" si="2"/>
        <v>1396.4240000000002</v>
      </c>
      <c r="M28" s="77">
        <f t="shared" si="6"/>
        <v>0</v>
      </c>
      <c r="N28" s="164">
        <f t="shared" si="7"/>
        <v>1396.4240000000002</v>
      </c>
    </row>
    <row r="29" spans="1:14" x14ac:dyDescent="0.25">
      <c r="A29" s="5">
        <f>+'Index Pricing'!A15</f>
        <v>37204</v>
      </c>
      <c r="B29" s="4">
        <f>+'Index Pricing'!B15</f>
        <v>1.9350000000000001</v>
      </c>
      <c r="C29" s="22">
        <f t="shared" si="3"/>
        <v>1.2444000000000002</v>
      </c>
      <c r="D29" s="43">
        <f t="shared" si="0"/>
        <v>0</v>
      </c>
      <c r="E29" s="23">
        <f>+'Index Pricing'!$B$3+$I$16</f>
        <v>1.8374000000000001</v>
      </c>
      <c r="F29" s="27">
        <f t="shared" si="4"/>
        <v>751</v>
      </c>
      <c r="G29" s="473">
        <f t="shared" si="5"/>
        <v>1.2694000000000001</v>
      </c>
      <c r="H29" s="36">
        <f t="shared" si="8"/>
        <v>0</v>
      </c>
      <c r="I29" s="157">
        <f>'[1]Enron Detail'!S22</f>
        <v>-104</v>
      </c>
      <c r="J29" s="158">
        <f>'[1]Enron Detail'!R22</f>
        <v>855</v>
      </c>
      <c r="K29" s="74">
        <f t="shared" si="1"/>
        <v>0</v>
      </c>
      <c r="L29" s="74">
        <f t="shared" si="2"/>
        <v>1379.8874000000001</v>
      </c>
      <c r="M29" s="77">
        <f t="shared" si="6"/>
        <v>0</v>
      </c>
      <c r="N29" s="164">
        <f t="shared" si="7"/>
        <v>1379.8874000000001</v>
      </c>
    </row>
    <row r="30" spans="1:14" x14ac:dyDescent="0.25">
      <c r="A30" s="5">
        <f>+'Index Pricing'!A16</f>
        <v>37205</v>
      </c>
      <c r="B30" s="4">
        <f>+'Index Pricing'!B16</f>
        <v>1.7</v>
      </c>
      <c r="C30" s="22">
        <f t="shared" si="3"/>
        <v>1.0093999999999999</v>
      </c>
      <c r="D30" s="43">
        <f t="shared" si="0"/>
        <v>0</v>
      </c>
      <c r="E30" s="23">
        <f>+'Index Pricing'!$B$3+$I$16</f>
        <v>1.8374000000000001</v>
      </c>
      <c r="F30" s="27">
        <f t="shared" si="4"/>
        <v>761</v>
      </c>
      <c r="G30" s="473">
        <f t="shared" si="5"/>
        <v>1.0344</v>
      </c>
      <c r="H30" s="36">
        <f t="shared" si="8"/>
        <v>0</v>
      </c>
      <c r="I30" s="157">
        <f>'[1]Enron Detail'!S23</f>
        <v>-105</v>
      </c>
      <c r="J30" s="158">
        <f>'[1]Enron Detail'!R23</f>
        <v>866</v>
      </c>
      <c r="K30" s="74">
        <f t="shared" si="1"/>
        <v>0</v>
      </c>
      <c r="L30" s="74">
        <f t="shared" si="2"/>
        <v>1398.2614000000001</v>
      </c>
      <c r="M30" s="77">
        <f t="shared" si="6"/>
        <v>0</v>
      </c>
      <c r="N30" s="164">
        <f t="shared" si="7"/>
        <v>1398.2614000000001</v>
      </c>
    </row>
    <row r="31" spans="1:14" x14ac:dyDescent="0.25">
      <c r="A31" s="5">
        <f>+'Index Pricing'!A17</f>
        <v>37206</v>
      </c>
      <c r="B31" s="4">
        <f>+'Index Pricing'!B17</f>
        <v>1.7</v>
      </c>
      <c r="C31" s="22">
        <f t="shared" si="3"/>
        <v>1.0093999999999999</v>
      </c>
      <c r="D31" s="43">
        <f t="shared" si="0"/>
        <v>0</v>
      </c>
      <c r="E31" s="23">
        <f>+'Index Pricing'!$B$3+$I$16</f>
        <v>1.8374000000000001</v>
      </c>
      <c r="F31" s="27">
        <f t="shared" si="4"/>
        <v>761</v>
      </c>
      <c r="G31" s="473">
        <f t="shared" si="5"/>
        <v>1.0344</v>
      </c>
      <c r="H31" s="36">
        <f t="shared" si="8"/>
        <v>0</v>
      </c>
      <c r="I31" s="157">
        <f>'[1]Enron Detail'!S24</f>
        <v>-106</v>
      </c>
      <c r="J31" s="158">
        <f>'[1]Enron Detail'!R24</f>
        <v>867</v>
      </c>
      <c r="K31" s="74">
        <f t="shared" si="1"/>
        <v>0</v>
      </c>
      <c r="L31" s="74">
        <f t="shared" si="2"/>
        <v>1398.2614000000001</v>
      </c>
      <c r="M31" s="77">
        <f t="shared" si="6"/>
        <v>0</v>
      </c>
      <c r="N31" s="164">
        <f t="shared" si="7"/>
        <v>1398.2614000000001</v>
      </c>
    </row>
    <row r="32" spans="1:14" x14ac:dyDescent="0.25">
      <c r="A32" s="5">
        <f>+'Index Pricing'!A18</f>
        <v>37207</v>
      </c>
      <c r="B32" s="4">
        <f>+'Index Pricing'!B18</f>
        <v>1.7</v>
      </c>
      <c r="C32" s="22">
        <f t="shared" si="3"/>
        <v>1.0093999999999999</v>
      </c>
      <c r="D32" s="43">
        <f t="shared" si="0"/>
        <v>0</v>
      </c>
      <c r="E32" s="23">
        <f>+'Index Pricing'!$B$3+$I$16</f>
        <v>1.8374000000000001</v>
      </c>
      <c r="F32" s="27">
        <f t="shared" si="4"/>
        <v>757</v>
      </c>
      <c r="G32" s="473">
        <f t="shared" si="5"/>
        <v>1.0344</v>
      </c>
      <c r="H32" s="36">
        <f t="shared" si="8"/>
        <v>0</v>
      </c>
      <c r="I32" s="157">
        <f>'[1]Enron Detail'!S25</f>
        <v>-109</v>
      </c>
      <c r="J32" s="158">
        <f>'[1]Enron Detail'!R25</f>
        <v>866</v>
      </c>
      <c r="K32" s="74">
        <f t="shared" si="1"/>
        <v>0</v>
      </c>
      <c r="L32" s="74">
        <f t="shared" si="2"/>
        <v>1390.9118000000001</v>
      </c>
      <c r="M32" s="77">
        <f t="shared" si="6"/>
        <v>0</v>
      </c>
      <c r="N32" s="164">
        <f t="shared" si="7"/>
        <v>1390.9118000000001</v>
      </c>
    </row>
    <row r="33" spans="1:14" x14ac:dyDescent="0.25">
      <c r="A33" s="5">
        <f>+'Index Pricing'!A19</f>
        <v>37208</v>
      </c>
      <c r="B33" s="4">
        <f>+'Index Pricing'!B19</f>
        <v>1.52</v>
      </c>
      <c r="C33" s="22">
        <f t="shared" si="3"/>
        <v>0.82940000000000003</v>
      </c>
      <c r="D33" s="43">
        <f t="shared" si="0"/>
        <v>0</v>
      </c>
      <c r="E33" s="23">
        <f>+'Index Pricing'!$B$3+$I$16</f>
        <v>1.8374000000000001</v>
      </c>
      <c r="F33" s="27">
        <f t="shared" si="4"/>
        <v>65</v>
      </c>
      <c r="G33" s="473">
        <f t="shared" si="5"/>
        <v>0.85440000000000005</v>
      </c>
      <c r="H33" s="36">
        <f t="shared" si="8"/>
        <v>0</v>
      </c>
      <c r="I33" s="157">
        <f>'[1]Enron Detail'!S26</f>
        <v>-20</v>
      </c>
      <c r="J33" s="158">
        <f>'[1]Enron Detail'!R26</f>
        <v>85</v>
      </c>
      <c r="K33" s="74">
        <f t="shared" si="1"/>
        <v>0</v>
      </c>
      <c r="L33" s="74">
        <f t="shared" si="2"/>
        <v>119.43100000000001</v>
      </c>
      <c r="M33" s="77">
        <f t="shared" si="6"/>
        <v>0</v>
      </c>
      <c r="N33" s="164">
        <f t="shared" si="7"/>
        <v>119.43100000000001</v>
      </c>
    </row>
    <row r="34" spans="1:14" x14ac:dyDescent="0.25">
      <c r="A34" s="5">
        <f>+'Index Pricing'!A20</f>
        <v>37209</v>
      </c>
      <c r="B34" s="4">
        <f>+'Index Pricing'!B20</f>
        <v>1.595</v>
      </c>
      <c r="C34" s="22">
        <f t="shared" si="3"/>
        <v>0.90439999999999998</v>
      </c>
      <c r="D34" s="43">
        <f t="shared" si="0"/>
        <v>0</v>
      </c>
      <c r="E34" s="23">
        <f>+'Index Pricing'!$B$3+$I$16</f>
        <v>1.8374000000000001</v>
      </c>
      <c r="F34" s="27">
        <f t="shared" si="4"/>
        <v>763</v>
      </c>
      <c r="G34" s="473">
        <f t="shared" si="5"/>
        <v>0.9294</v>
      </c>
      <c r="H34" s="36">
        <f t="shared" si="8"/>
        <v>0</v>
      </c>
      <c r="I34" s="157">
        <f>'[1]Enron Detail'!S27</f>
        <v>-97</v>
      </c>
      <c r="J34" s="158">
        <f>'[1]Enron Detail'!R27</f>
        <v>860</v>
      </c>
      <c r="K34" s="74">
        <f t="shared" si="1"/>
        <v>0</v>
      </c>
      <c r="L34" s="74">
        <f t="shared" si="2"/>
        <v>1401.9362000000001</v>
      </c>
      <c r="M34" s="77">
        <f t="shared" si="6"/>
        <v>0</v>
      </c>
      <c r="N34" s="164">
        <f t="shared" si="7"/>
        <v>1401.9362000000001</v>
      </c>
    </row>
    <row r="35" spans="1:14" x14ac:dyDescent="0.25">
      <c r="A35" s="5">
        <f>+'Index Pricing'!A21</f>
        <v>37210</v>
      </c>
      <c r="B35" s="4">
        <f>+'Index Pricing'!B21</f>
        <v>1.84</v>
      </c>
      <c r="C35" s="22">
        <f t="shared" si="3"/>
        <v>1.1494</v>
      </c>
      <c r="D35" s="43">
        <f t="shared" si="0"/>
        <v>0</v>
      </c>
      <c r="E35" s="23">
        <f>+'Index Pricing'!$B$3+$I$16</f>
        <v>1.8374000000000001</v>
      </c>
      <c r="F35" s="27">
        <f t="shared" si="4"/>
        <v>704</v>
      </c>
      <c r="G35" s="473">
        <f t="shared" si="5"/>
        <v>1.1744000000000001</v>
      </c>
      <c r="H35" s="36">
        <f t="shared" si="8"/>
        <v>0</v>
      </c>
      <c r="I35" s="157">
        <f>'[1]Enron Detail'!S28</f>
        <v>-106</v>
      </c>
      <c r="J35" s="158">
        <f>'[1]Enron Detail'!R28</f>
        <v>810</v>
      </c>
      <c r="K35" s="74">
        <f t="shared" si="1"/>
        <v>0</v>
      </c>
      <c r="L35" s="74">
        <f t="shared" si="2"/>
        <v>1293.5296000000001</v>
      </c>
      <c r="M35" s="77">
        <f t="shared" si="6"/>
        <v>0</v>
      </c>
      <c r="N35" s="164">
        <f t="shared" si="7"/>
        <v>1293.5296000000001</v>
      </c>
    </row>
    <row r="36" spans="1:14" x14ac:dyDescent="0.25">
      <c r="A36" s="5">
        <f>+'Index Pricing'!A22</f>
        <v>37211</v>
      </c>
      <c r="B36" s="4">
        <f>+'Index Pricing'!B22</f>
        <v>1.4350000000000001</v>
      </c>
      <c r="C36" s="22">
        <f t="shared" si="3"/>
        <v>0.74440000000000006</v>
      </c>
      <c r="D36" s="43">
        <f t="shared" si="0"/>
        <v>0</v>
      </c>
      <c r="E36" s="23">
        <f>+'Index Pricing'!$B$3+$I$16</f>
        <v>1.8374000000000001</v>
      </c>
      <c r="F36" s="27">
        <f t="shared" si="4"/>
        <v>742</v>
      </c>
      <c r="G36" s="473">
        <f t="shared" si="5"/>
        <v>0.76940000000000008</v>
      </c>
      <c r="H36" s="36">
        <f t="shared" si="8"/>
        <v>0</v>
      </c>
      <c r="I36" s="157">
        <f>'[1]Enron Detail'!S29</f>
        <v>-106</v>
      </c>
      <c r="J36" s="158">
        <f>'[1]Enron Detail'!R29</f>
        <v>848</v>
      </c>
      <c r="K36" s="74">
        <f t="shared" si="1"/>
        <v>0</v>
      </c>
      <c r="L36" s="74">
        <f t="shared" si="2"/>
        <v>1363.3508000000002</v>
      </c>
      <c r="M36" s="77">
        <f t="shared" si="6"/>
        <v>0</v>
      </c>
      <c r="N36" s="164">
        <f t="shared" si="7"/>
        <v>1363.3508000000002</v>
      </c>
    </row>
    <row r="37" spans="1:14" x14ac:dyDescent="0.25">
      <c r="A37" s="5">
        <f>+'Index Pricing'!A23</f>
        <v>37212</v>
      </c>
      <c r="B37" s="4">
        <f>+'Index Pricing'!B23</f>
        <v>1.135</v>
      </c>
      <c r="C37" s="22">
        <f t="shared" si="3"/>
        <v>0.44440000000000002</v>
      </c>
      <c r="D37" s="43">
        <f t="shared" si="0"/>
        <v>0</v>
      </c>
      <c r="E37" s="23">
        <f>+'Index Pricing'!$B$3+$I$16</f>
        <v>1.8374000000000001</v>
      </c>
      <c r="F37" s="27">
        <f t="shared" si="4"/>
        <v>659</v>
      </c>
      <c r="G37" s="473">
        <f t="shared" si="5"/>
        <v>0.46940000000000004</v>
      </c>
      <c r="H37" s="36">
        <f t="shared" si="8"/>
        <v>0</v>
      </c>
      <c r="I37" s="157">
        <f>'[1]Enron Detail'!S30</f>
        <v>-98</v>
      </c>
      <c r="J37" s="158">
        <f>'[1]Enron Detail'!R30</f>
        <v>757</v>
      </c>
      <c r="K37" s="74">
        <f t="shared" si="1"/>
        <v>0</v>
      </c>
      <c r="L37" s="74">
        <f t="shared" si="2"/>
        <v>1210.8466000000001</v>
      </c>
      <c r="M37" s="77">
        <f t="shared" si="6"/>
        <v>0</v>
      </c>
      <c r="N37" s="164">
        <f t="shared" si="7"/>
        <v>1210.8466000000001</v>
      </c>
    </row>
    <row r="38" spans="1:14" x14ac:dyDescent="0.25">
      <c r="A38" s="5">
        <f>+'Index Pricing'!A24</f>
        <v>37213</v>
      </c>
      <c r="B38" s="4">
        <f>+'Index Pricing'!B24</f>
        <v>1.135</v>
      </c>
      <c r="C38" s="22">
        <f t="shared" si="3"/>
        <v>0.44440000000000002</v>
      </c>
      <c r="D38" s="43">
        <f t="shared" si="0"/>
        <v>0</v>
      </c>
      <c r="E38" s="23">
        <f>+'Index Pricing'!$B$3+$I$16</f>
        <v>1.8374000000000001</v>
      </c>
      <c r="F38" s="27">
        <f t="shared" si="4"/>
        <v>562</v>
      </c>
      <c r="G38" s="473">
        <f t="shared" si="5"/>
        <v>0.46940000000000004</v>
      </c>
      <c r="H38" s="36">
        <f t="shared" si="8"/>
        <v>0</v>
      </c>
      <c r="I38" s="157">
        <f>'[1]Enron Detail'!S31</f>
        <v>-86</v>
      </c>
      <c r="J38" s="158">
        <f>'[1]Enron Detail'!R31</f>
        <v>648</v>
      </c>
      <c r="K38" s="74">
        <f t="shared" si="1"/>
        <v>0</v>
      </c>
      <c r="L38" s="74">
        <f t="shared" si="2"/>
        <v>1032.6188000000002</v>
      </c>
      <c r="M38" s="77">
        <f t="shared" si="6"/>
        <v>0</v>
      </c>
      <c r="N38" s="164">
        <f t="shared" si="7"/>
        <v>1032.6188000000002</v>
      </c>
    </row>
    <row r="39" spans="1:14" x14ac:dyDescent="0.25">
      <c r="A39" s="5">
        <f>+'Index Pricing'!A25</f>
        <v>37214</v>
      </c>
      <c r="B39" s="4">
        <f>+'Index Pricing'!B25</f>
        <v>1.135</v>
      </c>
      <c r="C39" s="22">
        <f t="shared" si="3"/>
        <v>0.44440000000000002</v>
      </c>
      <c r="D39" s="43">
        <f t="shared" si="0"/>
        <v>2</v>
      </c>
      <c r="E39" s="23">
        <f>+'Index Pricing'!$B$3+$I$16</f>
        <v>1.8374000000000001</v>
      </c>
      <c r="F39" s="27">
        <f t="shared" si="4"/>
        <v>774</v>
      </c>
      <c r="G39" s="473">
        <f t="shared" si="5"/>
        <v>0.46940000000000004</v>
      </c>
      <c r="H39" s="36">
        <f t="shared" si="8"/>
        <v>0</v>
      </c>
      <c r="I39" s="157">
        <f>'[1]Enron Detail'!S32</f>
        <v>-107</v>
      </c>
      <c r="J39" s="158">
        <f>'[1]Enron Detail'!R32</f>
        <v>883</v>
      </c>
      <c r="K39" s="74">
        <f t="shared" si="1"/>
        <v>0.88880000000000003</v>
      </c>
      <c r="L39" s="74">
        <f t="shared" si="2"/>
        <v>1422.1476</v>
      </c>
      <c r="M39" s="77">
        <f t="shared" si="6"/>
        <v>0</v>
      </c>
      <c r="N39" s="164">
        <f t="shared" si="7"/>
        <v>1423.0364</v>
      </c>
    </row>
    <row r="40" spans="1:14" x14ac:dyDescent="0.25">
      <c r="A40" s="5">
        <f>+'Index Pricing'!A26</f>
        <v>37215</v>
      </c>
      <c r="B40" s="4">
        <f>+'Index Pricing'!B26</f>
        <v>1.5349999999999999</v>
      </c>
      <c r="C40" s="22">
        <f t="shared" si="3"/>
        <v>0.84439999999999993</v>
      </c>
      <c r="D40" s="43">
        <f t="shared" si="0"/>
        <v>38</v>
      </c>
      <c r="E40" s="23">
        <f>+'Index Pricing'!$B$3+$I$16</f>
        <v>1.8374000000000001</v>
      </c>
      <c r="F40" s="27">
        <f t="shared" si="4"/>
        <v>774</v>
      </c>
      <c r="G40" s="473">
        <f t="shared" si="5"/>
        <v>0.86939999999999995</v>
      </c>
      <c r="H40" s="36">
        <f t="shared" si="8"/>
        <v>0</v>
      </c>
      <c r="I40" s="157">
        <f>'[1]Enron Detail'!S33</f>
        <v>-108</v>
      </c>
      <c r="J40" s="158">
        <f>'[1]Enron Detail'!R33</f>
        <v>920</v>
      </c>
      <c r="K40" s="74">
        <f t="shared" si="1"/>
        <v>32.087199999999996</v>
      </c>
      <c r="L40" s="74">
        <f t="shared" si="2"/>
        <v>1422.1476</v>
      </c>
      <c r="M40" s="77">
        <f t="shared" si="6"/>
        <v>0</v>
      </c>
      <c r="N40" s="164">
        <f t="shared" si="7"/>
        <v>1454.2348</v>
      </c>
    </row>
    <row r="41" spans="1:14" x14ac:dyDescent="0.25">
      <c r="A41" s="5">
        <f>+'Index Pricing'!A27</f>
        <v>37216</v>
      </c>
      <c r="B41" s="4">
        <f>+'Index Pricing'!B27</f>
        <v>2.2050000000000001</v>
      </c>
      <c r="C41" s="22">
        <f t="shared" si="3"/>
        <v>1.5144000000000002</v>
      </c>
      <c r="D41" s="43">
        <f t="shared" si="0"/>
        <v>44</v>
      </c>
      <c r="E41" s="23">
        <f>+'Index Pricing'!$B$3+$I$16</f>
        <v>1.8374000000000001</v>
      </c>
      <c r="F41" s="27">
        <f t="shared" si="4"/>
        <v>774</v>
      </c>
      <c r="G41" s="473">
        <f t="shared" si="5"/>
        <v>1.5394000000000001</v>
      </c>
      <c r="H41" s="36">
        <f t="shared" si="8"/>
        <v>0</v>
      </c>
      <c r="I41" s="157">
        <f>'[1]Enron Detail'!S34</f>
        <v>-109</v>
      </c>
      <c r="J41" s="158">
        <f>'[1]Enron Detail'!R34</f>
        <v>927</v>
      </c>
      <c r="K41" s="74">
        <f t="shared" si="1"/>
        <v>66.633600000000001</v>
      </c>
      <c r="L41" s="74">
        <f t="shared" si="2"/>
        <v>1422.1476</v>
      </c>
      <c r="M41" s="77">
        <f t="shared" si="6"/>
        <v>0</v>
      </c>
      <c r="N41" s="164">
        <f t="shared" si="7"/>
        <v>1488.7811999999999</v>
      </c>
    </row>
    <row r="42" spans="1:14" x14ac:dyDescent="0.25">
      <c r="A42" s="5">
        <f>+'Index Pricing'!A28</f>
        <v>37217</v>
      </c>
      <c r="B42" s="4">
        <f>+'Index Pricing'!B28</f>
        <v>1.43</v>
      </c>
      <c r="C42" s="22">
        <f t="shared" si="3"/>
        <v>0.73939999999999995</v>
      </c>
      <c r="D42" s="43">
        <f t="shared" si="0"/>
        <v>40</v>
      </c>
      <c r="E42" s="23">
        <f>+'Index Pricing'!$B$3+$I$16</f>
        <v>1.8374000000000001</v>
      </c>
      <c r="F42" s="27">
        <f t="shared" si="4"/>
        <v>774</v>
      </c>
      <c r="G42" s="473">
        <f t="shared" si="5"/>
        <v>0.76439999999999997</v>
      </c>
      <c r="H42" s="36">
        <f t="shared" si="8"/>
        <v>0</v>
      </c>
      <c r="I42" s="157">
        <f>'[1]Enron Detail'!S35</f>
        <v>-109</v>
      </c>
      <c r="J42" s="158">
        <f>'[1]Enron Detail'!R35</f>
        <v>923</v>
      </c>
      <c r="K42" s="74">
        <f t="shared" si="1"/>
        <v>29.575999999999997</v>
      </c>
      <c r="L42" s="74">
        <f t="shared" si="2"/>
        <v>1422.1476</v>
      </c>
      <c r="M42" s="77">
        <f t="shared" si="6"/>
        <v>0</v>
      </c>
      <c r="N42" s="164">
        <f t="shared" si="7"/>
        <v>1451.7236</v>
      </c>
    </row>
    <row r="43" spans="1:14" x14ac:dyDescent="0.25">
      <c r="A43" s="5">
        <f>+'Index Pricing'!A29</f>
        <v>37218</v>
      </c>
      <c r="B43" s="4">
        <f>+'Index Pricing'!B29</f>
        <v>1.43</v>
      </c>
      <c r="C43" s="22">
        <f t="shared" si="3"/>
        <v>0.73939999999999995</v>
      </c>
      <c r="D43" s="43">
        <f t="shared" si="0"/>
        <v>0</v>
      </c>
      <c r="E43" s="23">
        <f>+'Index Pricing'!$B$3+$I$16</f>
        <v>1.8374000000000001</v>
      </c>
      <c r="F43" s="27">
        <f t="shared" si="4"/>
        <v>749</v>
      </c>
      <c r="G43" s="473">
        <f t="shared" si="5"/>
        <v>0.76439999999999997</v>
      </c>
      <c r="H43" s="36">
        <f t="shared" si="8"/>
        <v>0</v>
      </c>
      <c r="I43" s="157">
        <f>'[1]Enron Detail'!S36</f>
        <v>-103</v>
      </c>
      <c r="J43" s="158">
        <f>'[1]Enron Detail'!R36</f>
        <v>852</v>
      </c>
      <c r="K43" s="74">
        <f t="shared" si="1"/>
        <v>0</v>
      </c>
      <c r="L43" s="74">
        <f t="shared" si="2"/>
        <v>1376.2126000000001</v>
      </c>
      <c r="M43" s="77">
        <f t="shared" si="6"/>
        <v>0</v>
      </c>
      <c r="N43" s="164">
        <f t="shared" si="7"/>
        <v>1376.2126000000001</v>
      </c>
    </row>
    <row r="44" spans="1:14" x14ac:dyDescent="0.25">
      <c r="A44" s="5">
        <f>+'Index Pricing'!A30</f>
        <v>37219</v>
      </c>
      <c r="B44" s="4">
        <f>+'Index Pricing'!B30</f>
        <v>1.43</v>
      </c>
      <c r="C44" s="22">
        <f t="shared" si="3"/>
        <v>0.73939999999999995</v>
      </c>
      <c r="D44" s="43">
        <f t="shared" si="0"/>
        <v>0</v>
      </c>
      <c r="E44" s="23">
        <f>+'Index Pricing'!$B$3+$I$16</f>
        <v>1.8374000000000001</v>
      </c>
      <c r="F44" s="27">
        <f t="shared" si="4"/>
        <v>755</v>
      </c>
      <c r="G44" s="473">
        <f t="shared" si="5"/>
        <v>0.76439999999999997</v>
      </c>
      <c r="H44" s="36">
        <f t="shared" si="8"/>
        <v>0</v>
      </c>
      <c r="I44" s="157">
        <f>'[1]Enron Detail'!S37</f>
        <v>-106</v>
      </c>
      <c r="J44" s="158">
        <f>'[1]Enron Detail'!R37</f>
        <v>861</v>
      </c>
      <c r="K44" s="74">
        <f t="shared" si="1"/>
        <v>0</v>
      </c>
      <c r="L44" s="74">
        <f t="shared" si="2"/>
        <v>1387.2370000000001</v>
      </c>
      <c r="M44" s="77">
        <f t="shared" si="6"/>
        <v>0</v>
      </c>
      <c r="N44" s="164">
        <f t="shared" si="7"/>
        <v>1387.2370000000001</v>
      </c>
    </row>
    <row r="45" spans="1:14" x14ac:dyDescent="0.25">
      <c r="A45" s="5">
        <f>+'Index Pricing'!A31</f>
        <v>37220</v>
      </c>
      <c r="B45" s="4">
        <f>+'Index Pricing'!B31</f>
        <v>1.43</v>
      </c>
      <c r="C45" s="22">
        <f t="shared" si="3"/>
        <v>0.73939999999999995</v>
      </c>
      <c r="D45" s="43">
        <f t="shared" si="0"/>
        <v>0</v>
      </c>
      <c r="E45" s="23">
        <f>+'Index Pricing'!$B$3+$I$16</f>
        <v>1.8374000000000001</v>
      </c>
      <c r="F45" s="27">
        <f t="shared" si="4"/>
        <v>712</v>
      </c>
      <c r="G45" s="473">
        <f t="shared" si="5"/>
        <v>0.76439999999999997</v>
      </c>
      <c r="H45" s="36">
        <f t="shared" si="8"/>
        <v>0</v>
      </c>
      <c r="I45" s="157">
        <f>'[1]Enron Detail'!S38</f>
        <v>-102</v>
      </c>
      <c r="J45" s="158">
        <f>'[1]Enron Detail'!R38</f>
        <v>814</v>
      </c>
      <c r="K45" s="74">
        <f t="shared" si="1"/>
        <v>0</v>
      </c>
      <c r="L45" s="74">
        <f t="shared" si="2"/>
        <v>1308.2288000000001</v>
      </c>
      <c r="M45" s="77">
        <f t="shared" si="6"/>
        <v>0</v>
      </c>
      <c r="N45" s="164">
        <f t="shared" si="7"/>
        <v>1308.2288000000001</v>
      </c>
    </row>
    <row r="46" spans="1:14" x14ac:dyDescent="0.25">
      <c r="A46" s="5">
        <f>+'Index Pricing'!A32</f>
        <v>37221</v>
      </c>
      <c r="B46" s="4">
        <f>+'Index Pricing'!B32</f>
        <v>1.43</v>
      </c>
      <c r="C46" s="22">
        <f t="shared" si="3"/>
        <v>0.73939999999999995</v>
      </c>
      <c r="D46" s="43">
        <f t="shared" si="0"/>
        <v>0</v>
      </c>
      <c r="E46" s="23">
        <f>+'Index Pricing'!$B$3+$I$16</f>
        <v>1.8374000000000001</v>
      </c>
      <c r="F46" s="27">
        <f t="shared" si="4"/>
        <v>655</v>
      </c>
      <c r="G46" s="473">
        <f t="shared" si="5"/>
        <v>0.76439999999999997</v>
      </c>
      <c r="H46" s="36">
        <f t="shared" si="8"/>
        <v>0</v>
      </c>
      <c r="I46" s="157">
        <f>'[1]Enron Detail'!S39</f>
        <v>-93</v>
      </c>
      <c r="J46" s="158">
        <f>'[1]Enron Detail'!R39</f>
        <v>748</v>
      </c>
      <c r="K46" s="74">
        <f t="shared" si="1"/>
        <v>0</v>
      </c>
      <c r="L46" s="74">
        <f t="shared" si="2"/>
        <v>1203.4970000000001</v>
      </c>
      <c r="M46" s="77">
        <f t="shared" si="6"/>
        <v>0</v>
      </c>
      <c r="N46" s="164">
        <f t="shared" si="7"/>
        <v>1203.4970000000001</v>
      </c>
    </row>
    <row r="47" spans="1:14" x14ac:dyDescent="0.25">
      <c r="A47" s="5">
        <f>+'Index Pricing'!A33</f>
        <v>37222</v>
      </c>
      <c r="B47" s="4">
        <f>+'Index Pricing'!B33</f>
        <v>1.88</v>
      </c>
      <c r="C47" s="22">
        <f t="shared" si="3"/>
        <v>1.1894</v>
      </c>
      <c r="D47" s="43">
        <f t="shared" si="0"/>
        <v>0</v>
      </c>
      <c r="E47" s="23">
        <f>+'Index Pricing'!$B$3+$I$16</f>
        <v>1.8374000000000001</v>
      </c>
      <c r="F47" s="27">
        <f t="shared" si="4"/>
        <v>279</v>
      </c>
      <c r="G47" s="473">
        <f t="shared" si="5"/>
        <v>1.2143999999999999</v>
      </c>
      <c r="H47" s="36">
        <f t="shared" si="8"/>
        <v>0</v>
      </c>
      <c r="I47" s="157">
        <f>'[1]Enron Detail'!S40</f>
        <v>-75</v>
      </c>
      <c r="J47" s="158">
        <f>'[1]Enron Detail'!R40</f>
        <v>354</v>
      </c>
      <c r="K47" s="74">
        <f t="shared" si="1"/>
        <v>0</v>
      </c>
      <c r="L47" s="74">
        <f t="shared" si="2"/>
        <v>512.63460000000009</v>
      </c>
      <c r="M47" s="77">
        <f t="shared" si="6"/>
        <v>0</v>
      </c>
      <c r="N47" s="164">
        <f t="shared" si="7"/>
        <v>512.63460000000009</v>
      </c>
    </row>
    <row r="48" spans="1:14" x14ac:dyDescent="0.25">
      <c r="A48" s="5">
        <f>+'Index Pricing'!A34</f>
        <v>37223</v>
      </c>
      <c r="B48" s="4">
        <f>+'Index Pricing'!B34</f>
        <v>2.16</v>
      </c>
      <c r="C48" s="22">
        <f t="shared" si="3"/>
        <v>1.4694000000000003</v>
      </c>
      <c r="D48" s="43">
        <f t="shared" si="0"/>
        <v>0</v>
      </c>
      <c r="E48" s="23">
        <f>+'Index Pricing'!$B$3+$I$16</f>
        <v>1.8374000000000001</v>
      </c>
      <c r="F48" s="27">
        <f t="shared" si="4"/>
        <v>751</v>
      </c>
      <c r="G48" s="473">
        <f t="shared" si="5"/>
        <v>1.4944000000000002</v>
      </c>
      <c r="H48" s="36">
        <f t="shared" si="8"/>
        <v>0</v>
      </c>
      <c r="I48" s="157">
        <f>'[1]Enron Detail'!S41</f>
        <v>-102</v>
      </c>
      <c r="J48" s="158">
        <f>'[1]Enron Detail'!R41</f>
        <v>853</v>
      </c>
      <c r="K48" s="74">
        <f t="shared" si="1"/>
        <v>0</v>
      </c>
      <c r="L48" s="74">
        <f t="shared" si="2"/>
        <v>1379.8874000000001</v>
      </c>
      <c r="M48" s="77">
        <f t="shared" si="6"/>
        <v>0</v>
      </c>
      <c r="N48" s="164">
        <f t="shared" si="7"/>
        <v>1379.8874000000001</v>
      </c>
    </row>
    <row r="49" spans="1:18" x14ac:dyDescent="0.25">
      <c r="A49" s="5">
        <f>+'Index Pricing'!A35</f>
        <v>37224</v>
      </c>
      <c r="B49" s="4">
        <f>+'Index Pricing'!B35</f>
        <v>2.38</v>
      </c>
      <c r="C49" s="22">
        <f t="shared" si="3"/>
        <v>1.6894</v>
      </c>
      <c r="D49" s="43">
        <f t="shared" si="0"/>
        <v>0</v>
      </c>
      <c r="E49" s="23">
        <f>+'Index Pricing'!$B$3+$I$16</f>
        <v>1.8374000000000001</v>
      </c>
      <c r="F49" s="27">
        <f t="shared" si="4"/>
        <v>629</v>
      </c>
      <c r="G49" s="473">
        <f t="shared" si="5"/>
        <v>1.7143999999999999</v>
      </c>
      <c r="H49" s="36">
        <f t="shared" si="8"/>
        <v>0</v>
      </c>
      <c r="I49" s="157">
        <f>'[1]Enron Detail'!S42</f>
        <v>-88</v>
      </c>
      <c r="J49" s="158">
        <f>'[1]Enron Detail'!R42</f>
        <v>717</v>
      </c>
      <c r="K49" s="74">
        <f>+C49*D49</f>
        <v>0</v>
      </c>
      <c r="L49" s="74">
        <f t="shared" si="2"/>
        <v>1155.7246</v>
      </c>
      <c r="M49" s="77">
        <f t="shared" si="6"/>
        <v>0</v>
      </c>
      <c r="N49" s="164">
        <f>SUM(K49:L49)</f>
        <v>1155.7246</v>
      </c>
    </row>
    <row r="50" spans="1:18" x14ac:dyDescent="0.25">
      <c r="A50" s="5">
        <f>+'Index Pricing'!A36</f>
        <v>37225</v>
      </c>
      <c r="B50" s="4">
        <f>+'Index Pricing'!B36</f>
        <v>2.0249999999999999</v>
      </c>
      <c r="C50" s="22">
        <f t="shared" si="3"/>
        <v>1.3344</v>
      </c>
      <c r="D50" s="43">
        <f t="shared" si="0"/>
        <v>0</v>
      </c>
      <c r="E50" s="23">
        <f>+'Index Pricing'!$B$3+$I$16</f>
        <v>1.8374000000000001</v>
      </c>
      <c r="F50" s="27">
        <f t="shared" si="4"/>
        <v>677</v>
      </c>
      <c r="G50" s="473">
        <f t="shared" si="5"/>
        <v>1.3593999999999999</v>
      </c>
      <c r="H50" s="36">
        <f t="shared" si="8"/>
        <v>0</v>
      </c>
      <c r="I50" s="157">
        <f>'[1]Enron Detail'!S43</f>
        <v>-93</v>
      </c>
      <c r="J50" s="158">
        <f>'[1]Enron Detail'!R43</f>
        <v>770</v>
      </c>
      <c r="K50" s="74">
        <f>+C50*D50</f>
        <v>0</v>
      </c>
      <c r="L50" s="74">
        <f t="shared" si="2"/>
        <v>1243.9198000000001</v>
      </c>
      <c r="M50" s="77">
        <f t="shared" si="6"/>
        <v>0</v>
      </c>
      <c r="N50" s="164">
        <f>SUM(K50:L50)</f>
        <v>1243.9198000000001</v>
      </c>
    </row>
    <row r="51" spans="1:18" x14ac:dyDescent="0.25">
      <c r="A51" s="5"/>
      <c r="B51" s="4"/>
      <c r="C51" s="22"/>
      <c r="D51" s="43"/>
      <c r="E51" s="23"/>
      <c r="F51" s="27"/>
      <c r="G51" s="473"/>
      <c r="H51" s="36"/>
      <c r="I51" s="157"/>
      <c r="J51" s="158"/>
      <c r="K51" s="74"/>
      <c r="L51" s="74"/>
      <c r="M51" s="77"/>
      <c r="N51" s="164"/>
    </row>
    <row r="52" spans="1:18" x14ac:dyDescent="0.25">
      <c r="A52" s="5"/>
      <c r="B52" s="4"/>
      <c r="C52" s="22"/>
      <c r="D52" s="43"/>
      <c r="E52" s="23"/>
      <c r="F52" s="27"/>
      <c r="G52" s="473"/>
      <c r="H52" s="36"/>
      <c r="I52" s="157"/>
      <c r="J52" s="158"/>
      <c r="K52" s="74"/>
      <c r="L52" s="74"/>
      <c r="M52" s="77"/>
      <c r="N52" s="164"/>
    </row>
    <row r="53" spans="1:18" ht="13.8" thickBot="1" x14ac:dyDescent="0.3">
      <c r="A53" s="91" t="s">
        <v>171</v>
      </c>
      <c r="B53" s="7"/>
      <c r="C53" s="159"/>
      <c r="D53" s="174">
        <f>SUM(D21:D52)</f>
        <v>206</v>
      </c>
      <c r="E53" s="159"/>
      <c r="F53" s="161">
        <f>SUM(F21:F52)</f>
        <v>20627</v>
      </c>
      <c r="G53" s="162"/>
      <c r="H53" s="161">
        <f t="shared" ref="H53:M53" si="9">SUM(H21:H52)</f>
        <v>0</v>
      </c>
      <c r="I53" s="160">
        <f t="shared" si="9"/>
        <v>-2901</v>
      </c>
      <c r="J53" s="161">
        <f t="shared" si="9"/>
        <v>23734</v>
      </c>
      <c r="K53" s="79">
        <f t="shared" si="9"/>
        <v>247.38640000000001</v>
      </c>
      <c r="L53" s="79">
        <f t="shared" si="9"/>
        <v>37900.049800000008</v>
      </c>
      <c r="M53" s="80">
        <f t="shared" si="9"/>
        <v>0</v>
      </c>
      <c r="N53" s="165">
        <f>SUM(K53:M53)</f>
        <v>38147.436200000011</v>
      </c>
      <c r="O53" s="7"/>
      <c r="P53" s="7"/>
      <c r="Q53" s="7"/>
      <c r="R53" s="7"/>
    </row>
    <row r="55" spans="1:18" x14ac:dyDescent="0.25">
      <c r="H55" s="28"/>
      <c r="J55" t="s">
        <v>138</v>
      </c>
      <c r="K55" s="4">
        <f>+K53/D53</f>
        <v>1.200904854368932</v>
      </c>
      <c r="L55" s="4">
        <f>+L53/F53</f>
        <v>1.8374000000000004</v>
      </c>
      <c r="M55" s="4">
        <f>+N53/(J53+I53)</f>
        <v>1.8311062352997654</v>
      </c>
    </row>
    <row r="57" spans="1:18" x14ac:dyDescent="0.25">
      <c r="A57" t="s">
        <v>217</v>
      </c>
    </row>
    <row r="59" spans="1:18" x14ac:dyDescent="0.25">
      <c r="F59" s="45"/>
    </row>
  </sheetData>
  <phoneticPr fontId="0" type="noConversion"/>
  <pageMargins left="0.75" right="0.75" top="1" bottom="1" header="0.5" footer="0.5"/>
  <pageSetup paperSize="5" scale="61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8434" r:id="rId4">
          <objectPr defaultSize="0" autoPict="0" r:id="rId5">
            <anchor moveWithCells="1">
              <from>
                <xdr:col>4</xdr:col>
                <xdr:colOff>601980</xdr:colOff>
                <xdr:row>0</xdr:row>
                <xdr:rowOff>22860</xdr:rowOff>
              </from>
              <to>
                <xdr:col>5</xdr:col>
                <xdr:colOff>7620</xdr:colOff>
                <xdr:row>3</xdr:row>
                <xdr:rowOff>68580</xdr:rowOff>
              </to>
            </anchor>
          </objectPr>
        </oleObject>
      </mc:Choice>
      <mc:Fallback>
        <oleObject progId="Paint.Picture" shapeId="18434" r:id="rId4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H43"/>
  <sheetViews>
    <sheetView showGridLines="0" zoomScale="75" workbookViewId="0">
      <selection sqref="A1:IV65536"/>
    </sheetView>
  </sheetViews>
  <sheetFormatPr defaultRowHeight="13.2" x14ac:dyDescent="0.25"/>
  <cols>
    <col min="1" max="1" width="22.109375" customWidth="1"/>
    <col min="2" max="2" width="34.109375" bestFit="1" customWidth="1"/>
    <col min="3" max="3" width="32.88671875" customWidth="1"/>
    <col min="4" max="4" width="19.5546875" bestFit="1" customWidth="1"/>
    <col min="5" max="5" width="19.5546875" customWidth="1"/>
    <col min="6" max="6" width="46.44140625" bestFit="1" customWidth="1"/>
    <col min="7" max="7" width="29.44140625" customWidth="1"/>
  </cols>
  <sheetData>
    <row r="1" spans="1:8" x14ac:dyDescent="0.25">
      <c r="C1" s="54" t="s">
        <v>74</v>
      </c>
      <c r="D1" s="55"/>
      <c r="E1" s="55"/>
      <c r="F1" s="56" t="s">
        <v>75</v>
      </c>
      <c r="G1" s="66"/>
    </row>
    <row r="2" spans="1:8" x14ac:dyDescent="0.25">
      <c r="C2" s="50"/>
      <c r="D2" s="51"/>
      <c r="E2" s="51"/>
      <c r="F2" s="57"/>
      <c r="G2" s="58" t="s">
        <v>82</v>
      </c>
    </row>
    <row r="3" spans="1:8" x14ac:dyDescent="0.25">
      <c r="C3" s="50" t="s">
        <v>71</v>
      </c>
      <c r="D3" s="51"/>
      <c r="E3" s="51"/>
      <c r="F3" s="57" t="s">
        <v>97</v>
      </c>
      <c r="G3" s="232">
        <f ca="1">TODAY()</f>
        <v>37238</v>
      </c>
    </row>
    <row r="4" spans="1:8" x14ac:dyDescent="0.25">
      <c r="C4" s="50"/>
      <c r="D4" s="51"/>
      <c r="E4" s="51"/>
      <c r="F4" s="57" t="s">
        <v>98</v>
      </c>
      <c r="G4" s="57"/>
    </row>
    <row r="5" spans="1:8" x14ac:dyDescent="0.25">
      <c r="C5" s="50"/>
      <c r="D5" s="51"/>
      <c r="E5" s="51"/>
      <c r="F5" s="57" t="s">
        <v>99</v>
      </c>
      <c r="G5" s="58" t="s">
        <v>83</v>
      </c>
    </row>
    <row r="6" spans="1:8" x14ac:dyDescent="0.25">
      <c r="C6" s="50"/>
      <c r="D6" s="51"/>
      <c r="E6" s="51"/>
      <c r="F6" s="57" t="s">
        <v>100</v>
      </c>
      <c r="G6" s="544">
        <v>37256</v>
      </c>
    </row>
    <row r="7" spans="1:8" x14ac:dyDescent="0.25">
      <c r="C7" s="50"/>
      <c r="D7" s="51"/>
      <c r="E7" s="51"/>
      <c r="F7" s="57"/>
      <c r="G7" s="57"/>
    </row>
    <row r="8" spans="1:8" x14ac:dyDescent="0.25">
      <c r="C8" s="50"/>
      <c r="D8" s="51"/>
      <c r="E8" s="51"/>
      <c r="F8" s="57"/>
      <c r="G8" s="58" t="s">
        <v>84</v>
      </c>
    </row>
    <row r="9" spans="1:8" x14ac:dyDescent="0.25">
      <c r="C9" s="50" t="s">
        <v>203</v>
      </c>
      <c r="D9" s="51"/>
      <c r="E9" s="51"/>
      <c r="F9" s="57" t="s">
        <v>101</v>
      </c>
      <c r="G9" s="102" t="s">
        <v>85</v>
      </c>
    </row>
    <row r="10" spans="1:8" x14ac:dyDescent="0.25">
      <c r="C10" s="50" t="s">
        <v>164</v>
      </c>
      <c r="D10" s="51"/>
      <c r="E10" s="51"/>
      <c r="F10" s="57" t="s">
        <v>338</v>
      </c>
      <c r="G10" s="58" t="s">
        <v>139</v>
      </c>
    </row>
    <row r="11" spans="1:8" x14ac:dyDescent="0.25">
      <c r="A11" s="68" t="s">
        <v>71</v>
      </c>
      <c r="B11" s="67"/>
      <c r="C11" s="52" t="s">
        <v>76</v>
      </c>
      <c r="D11" s="53"/>
      <c r="E11" s="53"/>
      <c r="F11" s="60" t="s">
        <v>339</v>
      </c>
      <c r="G11" s="59" t="s">
        <v>261</v>
      </c>
    </row>
    <row r="12" spans="1:8" ht="13.8" thickBot="1" x14ac:dyDescent="0.3">
      <c r="A12" s="150">
        <f ca="1">NOW()</f>
        <v>37238.587624189815</v>
      </c>
      <c r="B12" s="49"/>
      <c r="C12" s="49"/>
      <c r="D12" s="49"/>
      <c r="E12" s="49"/>
      <c r="F12" s="49"/>
      <c r="G12" s="49"/>
      <c r="H12" s="30"/>
    </row>
    <row r="13" spans="1:8" x14ac:dyDescent="0.25">
      <c r="A13" s="7" t="s">
        <v>86</v>
      </c>
      <c r="B13" s="7" t="s">
        <v>72</v>
      </c>
      <c r="C13" s="7" t="s">
        <v>73</v>
      </c>
      <c r="D13" s="7"/>
      <c r="E13" s="7"/>
    </row>
    <row r="14" spans="1:8" x14ac:dyDescent="0.25">
      <c r="A14" s="119">
        <f>+'Index Pricing'!A1</f>
        <v>37196</v>
      </c>
      <c r="B14" s="63">
        <v>96027277</v>
      </c>
      <c r="C14" t="s">
        <v>102</v>
      </c>
      <c r="D14" s="62"/>
      <c r="E14" s="62"/>
    </row>
    <row r="15" spans="1:8" x14ac:dyDescent="0.25">
      <c r="C15" t="s">
        <v>103</v>
      </c>
    </row>
    <row r="18" spans="1:7" x14ac:dyDescent="0.25">
      <c r="B18" s="101" t="s">
        <v>10</v>
      </c>
      <c r="C18" s="98" t="s">
        <v>135</v>
      </c>
      <c r="D18" s="100" t="s">
        <v>88</v>
      </c>
      <c r="E18" s="99" t="s">
        <v>180</v>
      </c>
      <c r="F18" s="99" t="s">
        <v>87</v>
      </c>
      <c r="G18" s="100" t="s">
        <v>89</v>
      </c>
    </row>
    <row r="19" spans="1:7" x14ac:dyDescent="0.25">
      <c r="A19" t="str">
        <f>+'Phillips Summary'!A22</f>
        <v>11/01/01 - 11/30/01</v>
      </c>
      <c r="B19" t="s">
        <v>332</v>
      </c>
      <c r="C19" s="4">
        <f>+'Wellstar Detail'!J15</f>
        <v>-0.46539999999999998</v>
      </c>
      <c r="D19" s="65">
        <f>+'Wellstar Detail'!N56</f>
        <v>1.2725082864038615</v>
      </c>
      <c r="E19" s="29">
        <f>+F19/'Wellstar Detail'!B$7</f>
        <v>4017.603949160236</v>
      </c>
      <c r="F19" s="29">
        <f>+'Wellstar Detail'!D54</f>
        <v>3729</v>
      </c>
      <c r="G19" s="83">
        <f>+'Wellstar Detail'!N54</f>
        <v>4745.1833999999999</v>
      </c>
    </row>
    <row r="20" spans="1:7" x14ac:dyDescent="0.25">
      <c r="A20" t="str">
        <f>+A19</f>
        <v>11/01/01 - 11/30/01</v>
      </c>
      <c r="B20" t="s">
        <v>361</v>
      </c>
      <c r="C20" s="4">
        <f>+'Wellstar Detail'!J16</f>
        <v>-0.71499999999999997</v>
      </c>
      <c r="D20" s="64">
        <f>+'Wellstar Detail'!O56</f>
        <v>2.3250000000000011</v>
      </c>
      <c r="E20" s="29">
        <f>+F20/'Wellstar Detail'!B$7</f>
        <v>49124.877893781209</v>
      </c>
      <c r="F20" s="29">
        <f>+'Wellstar Detail'!F54</f>
        <v>45596</v>
      </c>
      <c r="G20" s="83">
        <f>+'Wellstar Detail'!O54</f>
        <v>106010.70000000006</v>
      </c>
    </row>
    <row r="21" spans="1:7" x14ac:dyDescent="0.25">
      <c r="A21" t="str">
        <f>+A20</f>
        <v>11/01/01 - 11/30/01</v>
      </c>
      <c r="B21" t="s">
        <v>362</v>
      </c>
      <c r="C21" s="4">
        <f>+'Wellstar Detail'!J17</f>
        <v>-0.4924</v>
      </c>
      <c r="D21">
        <v>0</v>
      </c>
      <c r="E21" s="29">
        <f>+F21/'Wellstar Detail'!B$7</f>
        <v>0</v>
      </c>
      <c r="F21" s="29">
        <f>+'Wellstar Detail'!H54</f>
        <v>0</v>
      </c>
      <c r="G21" s="83">
        <f>+'Wellstar Detail'!P54</f>
        <v>0</v>
      </c>
    </row>
    <row r="22" spans="1:7" x14ac:dyDescent="0.25">
      <c r="A22" t="str">
        <f>+A21</f>
        <v>11/01/01 - 11/30/01</v>
      </c>
      <c r="B22" t="s">
        <v>334</v>
      </c>
      <c r="C22" s="4">
        <f>+'Wellstar Detail'!J18</f>
        <v>-0.60040000000000004</v>
      </c>
      <c r="D22" t="e">
        <f>+'Wellstar Detail'!Q56</f>
        <v>#DIV/0!</v>
      </c>
      <c r="E22" s="29">
        <f>+F22/'Wellstar Detail'!B$7</f>
        <v>0</v>
      </c>
      <c r="F22" s="29">
        <f>+'Wellstar Detail'!J54</f>
        <v>0</v>
      </c>
      <c r="G22" s="83">
        <f>+'Wellstar Detail'!Q54</f>
        <v>0</v>
      </c>
    </row>
    <row r="23" spans="1:7" x14ac:dyDescent="0.25">
      <c r="A23" t="str">
        <f>+A21</f>
        <v>11/01/01 - 11/30/01</v>
      </c>
      <c r="C23" t="s">
        <v>142</v>
      </c>
      <c r="D23" s="104" t="s">
        <v>143</v>
      </c>
      <c r="E23" s="29">
        <f>+F23/'Wellstar Detail'!B$7</f>
        <v>3821.5181570585564</v>
      </c>
      <c r="F23" s="29">
        <f>-'Wellstar Detail'!L54</f>
        <v>3547</v>
      </c>
      <c r="G23" s="105" t="s">
        <v>144</v>
      </c>
    </row>
    <row r="24" spans="1:7" x14ac:dyDescent="0.25">
      <c r="A24" s="47" t="str">
        <f>+'Phillips Summary'!A26</f>
        <v>11/01/01 - 11/30/01</v>
      </c>
      <c r="B24" s="7"/>
      <c r="C24" s="7"/>
      <c r="D24" s="151"/>
      <c r="E24" s="29">
        <f>+F24/'Wellstar Detail'!B$7</f>
        <v>56964</v>
      </c>
      <c r="F24" s="47">
        <f>SUM(F19:F23)</f>
        <v>52872</v>
      </c>
      <c r="G24" s="139">
        <f>SUM(G19:G23)</f>
        <v>110755.88340000005</v>
      </c>
    </row>
    <row r="26" spans="1:7" x14ac:dyDescent="0.25">
      <c r="A26" s="7"/>
      <c r="D26" s="104"/>
      <c r="E26" s="104"/>
      <c r="F26" s="29"/>
      <c r="G26" s="139"/>
    </row>
    <row r="27" spans="1:7" ht="15" x14ac:dyDescent="0.4">
      <c r="A27" s="7"/>
      <c r="C27" s="177"/>
      <c r="D27" s="178"/>
      <c r="E27" s="178"/>
      <c r="F27" s="179"/>
      <c r="G27" s="139"/>
    </row>
    <row r="28" spans="1:7" x14ac:dyDescent="0.25">
      <c r="A28" s="175"/>
      <c r="C28" s="136"/>
      <c r="D28" s="176"/>
      <c r="E28" s="180"/>
      <c r="F28" s="29"/>
      <c r="G28" s="139"/>
    </row>
    <row r="29" spans="1:7" x14ac:dyDescent="0.25">
      <c r="A29" s="175"/>
      <c r="C29" s="136"/>
      <c r="D29" s="176"/>
      <c r="E29" s="180"/>
      <c r="F29" s="29"/>
      <c r="G29" s="139"/>
    </row>
    <row r="30" spans="1:7" x14ac:dyDescent="0.25">
      <c r="A30" s="175"/>
      <c r="C30" s="136"/>
      <c r="D30" s="176"/>
      <c r="E30" s="180"/>
      <c r="F30" s="29"/>
      <c r="G30" s="139"/>
    </row>
    <row r="31" spans="1:7" x14ac:dyDescent="0.25">
      <c r="A31" s="175"/>
      <c r="C31" s="136"/>
      <c r="D31" s="176"/>
      <c r="E31" s="180"/>
      <c r="F31" s="29"/>
      <c r="G31" s="139"/>
    </row>
    <row r="32" spans="1:7" x14ac:dyDescent="0.25">
      <c r="A32" s="175"/>
      <c r="C32" s="136"/>
      <c r="D32" s="176"/>
      <c r="E32" s="180"/>
      <c r="F32" s="29"/>
      <c r="G32" s="139"/>
    </row>
    <row r="33" spans="1:7" x14ac:dyDescent="0.25">
      <c r="A33" s="175"/>
      <c r="C33" s="136"/>
      <c r="D33" s="176"/>
      <c r="E33" s="180"/>
      <c r="F33" s="29"/>
      <c r="G33" s="139"/>
    </row>
    <row r="34" spans="1:7" x14ac:dyDescent="0.25">
      <c r="A34" s="175"/>
      <c r="C34" s="136"/>
      <c r="D34" s="176"/>
      <c r="E34" s="180"/>
      <c r="F34" s="29"/>
      <c r="G34" s="139"/>
    </row>
    <row r="35" spans="1:7" x14ac:dyDescent="0.25">
      <c r="A35" s="175"/>
      <c r="C35" s="136"/>
      <c r="D35" s="176"/>
      <c r="E35" s="180"/>
      <c r="F35" s="29"/>
      <c r="G35" s="139"/>
    </row>
    <row r="36" spans="1:7" x14ac:dyDescent="0.25">
      <c r="B36" s="64"/>
      <c r="C36" s="7"/>
    </row>
    <row r="37" spans="1:7" x14ac:dyDescent="0.25">
      <c r="A37" s="61"/>
      <c r="B37" s="63"/>
    </row>
    <row r="38" spans="1:7" x14ac:dyDescent="0.25">
      <c r="D38" s="7" t="s">
        <v>137</v>
      </c>
      <c r="E38" s="7"/>
      <c r="F38" s="97"/>
      <c r="G38" s="92">
        <f>SUM(G24:G35)</f>
        <v>110755.88340000005</v>
      </c>
    </row>
    <row r="39" spans="1:7" x14ac:dyDescent="0.25">
      <c r="B39" s="64"/>
    </row>
    <row r="40" spans="1:7" x14ac:dyDescent="0.25">
      <c r="B40" s="7"/>
      <c r="C40" s="7"/>
    </row>
    <row r="41" spans="1:7" x14ac:dyDescent="0.25">
      <c r="B41" s="63"/>
    </row>
    <row r="42" spans="1:7" x14ac:dyDescent="0.25">
      <c r="B42" s="64"/>
    </row>
    <row r="43" spans="1:7" x14ac:dyDescent="0.25">
      <c r="B43" s="64"/>
    </row>
  </sheetData>
  <phoneticPr fontId="0" type="noConversion"/>
  <pageMargins left="0.75" right="0.75" top="1" bottom="1" header="0.5" footer="0.5"/>
  <pageSetup scale="5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0241" r:id="rId4">
          <objectPr defaultSize="0" autoPict="0" r:id="rId5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175260</xdr:colOff>
                <xdr:row>6</xdr:row>
                <xdr:rowOff>22860</xdr:rowOff>
              </to>
            </anchor>
          </objectPr>
        </oleObject>
      </mc:Choice>
      <mc:Fallback>
        <oleObject progId="Paint.Picture" shapeId="10241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S58"/>
  <sheetViews>
    <sheetView showGridLines="0" zoomScale="75" workbookViewId="0">
      <selection activeCell="C7" sqref="C7"/>
    </sheetView>
  </sheetViews>
  <sheetFormatPr defaultRowHeight="13.2" x14ac:dyDescent="0.25"/>
  <cols>
    <col min="1" max="1" width="24.33203125" customWidth="1"/>
    <col min="2" max="2" width="20.88671875" customWidth="1"/>
    <col min="3" max="3" width="17.88671875" bestFit="1" customWidth="1"/>
    <col min="4" max="4" width="18.109375" bestFit="1" customWidth="1"/>
    <col min="5" max="5" width="17.44140625" bestFit="1" customWidth="1"/>
    <col min="6" max="6" width="22.6640625" bestFit="1" customWidth="1"/>
    <col min="7" max="7" width="15.5546875" bestFit="1" customWidth="1"/>
    <col min="8" max="8" width="10.6640625" bestFit="1" customWidth="1"/>
    <col min="9" max="9" width="12.88671875" customWidth="1"/>
    <col min="10" max="10" width="17.5546875" bestFit="1" customWidth="1"/>
    <col min="11" max="11" width="12.44140625" bestFit="1" customWidth="1"/>
    <col min="12" max="13" width="19.33203125" bestFit="1" customWidth="1"/>
    <col min="14" max="14" width="18.6640625" bestFit="1" customWidth="1"/>
    <col min="15" max="15" width="19.33203125" bestFit="1" customWidth="1"/>
    <col min="16" max="16" width="11.33203125" customWidth="1"/>
    <col min="17" max="17" width="13.88671875" bestFit="1" customWidth="1"/>
    <col min="18" max="18" width="15" bestFit="1" customWidth="1"/>
  </cols>
  <sheetData>
    <row r="1" spans="1:15" x14ac:dyDescent="0.25">
      <c r="A1" s="7" t="s">
        <v>52</v>
      </c>
      <c r="B1" s="7" t="s">
        <v>28</v>
      </c>
      <c r="C1" s="7" t="s">
        <v>53</v>
      </c>
      <c r="F1" t="s">
        <v>195</v>
      </c>
      <c r="H1" s="7"/>
      <c r="I1" s="7"/>
      <c r="J1" s="7"/>
      <c r="O1" s="149">
        <f ca="1">NOW()</f>
        <v>37238.587624189815</v>
      </c>
    </row>
    <row r="2" spans="1:15" x14ac:dyDescent="0.25">
      <c r="A2" s="8">
        <f>+'Index Pricing'!A1</f>
        <v>37196</v>
      </c>
      <c r="B2" s="7" t="s">
        <v>36</v>
      </c>
      <c r="C2" s="7" t="s">
        <v>54</v>
      </c>
      <c r="H2" s="7"/>
      <c r="I2" s="7"/>
      <c r="J2" s="7"/>
    </row>
    <row r="3" spans="1:15" x14ac:dyDescent="0.25">
      <c r="A3" s="8"/>
      <c r="B3" s="7" t="s">
        <v>37</v>
      </c>
      <c r="C3" s="7" t="s">
        <v>55</v>
      </c>
      <c r="F3" t="s">
        <v>41</v>
      </c>
      <c r="G3" t="s">
        <v>42</v>
      </c>
      <c r="H3" s="7"/>
      <c r="I3" s="7"/>
      <c r="J3" s="7"/>
    </row>
    <row r="4" spans="1:15" x14ac:dyDescent="0.25">
      <c r="A4" s="8"/>
      <c r="B4" s="7"/>
      <c r="C4" s="7"/>
      <c r="H4" s="7"/>
      <c r="I4" s="7"/>
      <c r="J4" s="7"/>
    </row>
    <row r="5" spans="1:15" x14ac:dyDescent="0.25">
      <c r="A5" s="8" t="s">
        <v>65</v>
      </c>
      <c r="B5" s="168">
        <v>1949</v>
      </c>
      <c r="C5" s="7"/>
      <c r="H5" s="7"/>
      <c r="I5" s="7"/>
      <c r="J5" s="7"/>
    </row>
    <row r="6" spans="1:15" x14ac:dyDescent="0.25">
      <c r="A6" s="8" t="s">
        <v>290</v>
      </c>
      <c r="B6" s="168">
        <v>0</v>
      </c>
      <c r="C6" s="7"/>
      <c r="H6" s="7"/>
      <c r="I6" s="7"/>
      <c r="J6" s="7"/>
    </row>
    <row r="7" spans="1:15" x14ac:dyDescent="0.25">
      <c r="A7" s="1" t="s">
        <v>56</v>
      </c>
      <c r="B7" s="133">
        <f>'[1]Enron Detail'!$U$9</f>
        <v>0.92816515694122603</v>
      </c>
      <c r="D7" s="170"/>
    </row>
    <row r="8" spans="1:15" x14ac:dyDescent="0.25">
      <c r="A8" s="1" t="s">
        <v>43</v>
      </c>
      <c r="B8" s="2">
        <v>0.39</v>
      </c>
      <c r="C8" t="s">
        <v>8</v>
      </c>
    </row>
    <row r="9" spans="1:15" x14ac:dyDescent="0.25">
      <c r="A9" s="1" t="str">
        <f>+'Index Pricing'!A3</f>
        <v>IF CIG Rockies</v>
      </c>
      <c r="B9" s="2">
        <f>+'Index Pricing'!B3</f>
        <v>2.54</v>
      </c>
    </row>
    <row r="10" spans="1:15" x14ac:dyDescent="0.25">
      <c r="A10" s="1" t="str">
        <f>+'Index Pricing'!A4</f>
        <v>IF NGPL Midcont.</v>
      </c>
      <c r="B10" s="2">
        <f>+'Index Pricing'!B4</f>
        <v>3.04</v>
      </c>
    </row>
    <row r="11" spans="1:15" x14ac:dyDescent="0.25">
      <c r="A11" s="1"/>
      <c r="B11" s="2"/>
    </row>
    <row r="12" spans="1:15" x14ac:dyDescent="0.25">
      <c r="A12" s="1"/>
      <c r="B12" s="2"/>
    </row>
    <row r="13" spans="1:15" ht="13.8" thickBot="1" x14ac:dyDescent="0.3">
      <c r="A13" s="1"/>
    </row>
    <row r="14" spans="1:15" s="67" customFormat="1" ht="52.8" x14ac:dyDescent="0.25">
      <c r="A14" s="221"/>
      <c r="B14" s="222"/>
      <c r="C14" s="210" t="s">
        <v>14</v>
      </c>
      <c r="D14" s="210" t="s">
        <v>423</v>
      </c>
      <c r="E14" s="210" t="s">
        <v>15</v>
      </c>
      <c r="F14" s="220" t="str">
        <f>"WIC Med.Bow Fuel ("&amp;'Index Pricing'!$F$3*100&amp;"%*CIGindex)"</f>
        <v>WIC Med.Bow Fuel (0.68%*CIGindex)</v>
      </c>
      <c r="G14" s="210" t="s">
        <v>16</v>
      </c>
      <c r="H14" s="210" t="s">
        <v>260</v>
      </c>
      <c r="I14" s="210" t="s">
        <v>216</v>
      </c>
      <c r="J14" s="223" t="s">
        <v>9</v>
      </c>
      <c r="K14" s="90"/>
      <c r="L14" s="90"/>
      <c r="M14" s="90"/>
      <c r="N14" s="90"/>
      <c r="O14" s="90"/>
    </row>
    <row r="15" spans="1:15" x14ac:dyDescent="0.25">
      <c r="A15" s="182" t="s">
        <v>4</v>
      </c>
      <c r="B15" s="183" t="s">
        <v>332</v>
      </c>
      <c r="C15" s="184">
        <v>-1.4999999999999999E-2</v>
      </c>
      <c r="D15" s="183">
        <f>-B8/B7</f>
        <v>-0.42018384021788474</v>
      </c>
      <c r="E15" s="183"/>
      <c r="F15" s="183"/>
      <c r="G15" s="183"/>
      <c r="H15" s="183"/>
      <c r="I15" s="183">
        <f>-L54*D15/(D54+F54+H54+J54)</f>
        <v>-3.0215754308217681E-2</v>
      </c>
      <c r="J15" s="185">
        <f>ROUND(SUM(C15:I15),4)</f>
        <v>-0.46539999999999998</v>
      </c>
    </row>
    <row r="16" spans="1:15" x14ac:dyDescent="0.25">
      <c r="A16" s="182"/>
      <c r="B16" s="183" t="s">
        <v>351</v>
      </c>
      <c r="C16" s="184">
        <v>0.01</v>
      </c>
      <c r="D16" s="183">
        <f>-B8/B7</f>
        <v>-0.42018384021788474</v>
      </c>
      <c r="E16" s="183">
        <f>-0.13-0.0025-0.0022</f>
        <v>-0.13470000000000001</v>
      </c>
      <c r="F16" s="183">
        <f>-'Index Pricing'!$F$3*'Index Pricing'!$B$3</f>
        <v>-1.7271999999999999E-2</v>
      </c>
      <c r="G16" s="183">
        <v>-0.1226</v>
      </c>
      <c r="H16" s="183">
        <v>0</v>
      </c>
      <c r="I16" s="183">
        <f>+I15</f>
        <v>-3.0215754308217681E-2</v>
      </c>
      <c r="J16" s="185">
        <f>ROUND(SUM(C16:I16),4)</f>
        <v>-0.71499999999999997</v>
      </c>
    </row>
    <row r="17" spans="1:18" x14ac:dyDescent="0.25">
      <c r="A17" s="182"/>
      <c r="B17" s="183" t="s">
        <v>352</v>
      </c>
      <c r="C17" s="184">
        <v>0.11</v>
      </c>
      <c r="D17" s="183">
        <f>-B8/B7</f>
        <v>-0.42018384021788474</v>
      </c>
      <c r="E17" s="183">
        <f>-0.13-0.0025-0.0022</f>
        <v>-0.13470000000000001</v>
      </c>
      <c r="F17" s="183">
        <f>-'Index Pricing'!$F$3*'Index Pricing'!$B$3</f>
        <v>-1.7271999999999999E-2</v>
      </c>
      <c r="G17" s="183"/>
      <c r="H17" s="183"/>
      <c r="I17" s="183">
        <f>+I16</f>
        <v>-3.0215754308217681E-2</v>
      </c>
      <c r="J17" s="185">
        <f>ROUND(SUM(C17:I17),4)</f>
        <v>-0.4924</v>
      </c>
    </row>
    <row r="18" spans="1:18" ht="13.8" thickBot="1" x14ac:dyDescent="0.3">
      <c r="A18" s="186"/>
      <c r="B18" s="187" t="s">
        <v>397</v>
      </c>
      <c r="C18" s="188">
        <v>-0.15</v>
      </c>
      <c r="D18" s="187">
        <f>-B8/B7</f>
        <v>-0.42018384021788474</v>
      </c>
      <c r="E18" s="187"/>
      <c r="F18" s="187"/>
      <c r="G18" s="187"/>
      <c r="H18" s="187"/>
      <c r="I18" s="187">
        <f>+I17</f>
        <v>-3.0215754308217681E-2</v>
      </c>
      <c r="J18" s="189">
        <f>ROUND(SUM(C18:I18),4)</f>
        <v>-0.60040000000000004</v>
      </c>
    </row>
    <row r="19" spans="1:18" ht="13.8" thickBot="1" x14ac:dyDescent="0.3"/>
    <row r="20" spans="1:18" ht="39.6" x14ac:dyDescent="0.25">
      <c r="A20" s="6"/>
      <c r="B20" s="494"/>
      <c r="C20" s="20" t="s">
        <v>20</v>
      </c>
      <c r="D20" s="17" t="s">
        <v>31</v>
      </c>
      <c r="E20" s="493" t="s">
        <v>57</v>
      </c>
      <c r="F20" s="17" t="s">
        <v>32</v>
      </c>
      <c r="G20" s="20" t="s">
        <v>58</v>
      </c>
      <c r="H20" s="17" t="s">
        <v>33</v>
      </c>
      <c r="I20" s="485" t="s">
        <v>295</v>
      </c>
      <c r="J20" s="167" t="s">
        <v>309</v>
      </c>
      <c r="K20" s="75"/>
      <c r="L20" s="40" t="s">
        <v>59</v>
      </c>
      <c r="M20" s="17" t="s">
        <v>34</v>
      </c>
      <c r="N20" s="250" t="s">
        <v>296</v>
      </c>
      <c r="O20" s="166" t="s">
        <v>353</v>
      </c>
      <c r="P20" s="166" t="s">
        <v>313</v>
      </c>
      <c r="Q20" s="167" t="s">
        <v>314</v>
      </c>
      <c r="R20" s="482" t="s">
        <v>26</v>
      </c>
    </row>
    <row r="21" spans="1:18" ht="27" thickBot="1" x14ac:dyDescent="0.3">
      <c r="B21" s="495" t="s">
        <v>3</v>
      </c>
      <c r="C21" s="21" t="s">
        <v>12</v>
      </c>
      <c r="D21" s="12"/>
      <c r="E21" s="488" t="s">
        <v>18</v>
      </c>
      <c r="F21" s="349"/>
      <c r="G21" s="497" t="s">
        <v>22</v>
      </c>
      <c r="H21" s="16"/>
      <c r="I21" s="486" t="s">
        <v>354</v>
      </c>
      <c r="J21" s="252"/>
      <c r="K21" s="15"/>
      <c r="L21" s="49"/>
      <c r="M21" s="16"/>
      <c r="N21" s="15"/>
      <c r="O21" s="49"/>
      <c r="P21" s="49"/>
      <c r="Q21" s="16"/>
      <c r="R21" s="483"/>
    </row>
    <row r="22" spans="1:18" x14ac:dyDescent="0.25">
      <c r="A22" s="5">
        <f>+'Index Pricing'!A7</f>
        <v>37196</v>
      </c>
      <c r="B22" s="134">
        <f>+'Index Pricing'!B7</f>
        <v>2.67</v>
      </c>
      <c r="C22" s="122">
        <f>+B22+$J$15</f>
        <v>2.2046000000000001</v>
      </c>
      <c r="D22" s="479">
        <f>ROUND(MIN(0.2*$B$5,SUM(L22:M22)-F22),0)</f>
        <v>112</v>
      </c>
      <c r="E22" s="496">
        <f>+'Index Pricing'!$B$4+$J$16</f>
        <v>2.3250000000000002</v>
      </c>
      <c r="F22" s="491">
        <f>ROUND(MIN(0.8*$B$5,SUM(L22:M22),2000),0)</f>
        <v>1559</v>
      </c>
      <c r="G22" s="23">
        <f>+'Index Pricing'!$B$3+$J$17</f>
        <v>2.0476000000000001</v>
      </c>
      <c r="H22" s="36">
        <f t="shared" ref="H22:H51" si="0">ROUND(IF(F22&gt;=2000,IF(0.8*($B$5)&lt;(L22+M22),0.8*($B$5)-2000,(L22+M22)-2000),0),0)</f>
        <v>0</v>
      </c>
      <c r="I22" s="487">
        <f>$B22+$J$18</f>
        <v>2.0695999999999999</v>
      </c>
      <c r="J22" s="395">
        <f>ROUND(MAX(0,SUM(L22:M22)-H22-F22-D22),0)</f>
        <v>0</v>
      </c>
      <c r="K22" s="14"/>
      <c r="L22" s="157">
        <f>'[1]Enron Detail'!V14</f>
        <v>-133</v>
      </c>
      <c r="M22" s="158">
        <f>'[1]Enron Detail'!U14</f>
        <v>1804</v>
      </c>
      <c r="N22" s="76">
        <f>+C22*D22</f>
        <v>246.91520000000003</v>
      </c>
      <c r="O22" s="74">
        <f>+E22*F22</f>
        <v>3624.6750000000002</v>
      </c>
      <c r="P22" s="74">
        <f>+G22*H22</f>
        <v>0</v>
      </c>
      <c r="Q22" s="77">
        <f>I22*J22</f>
        <v>0</v>
      </c>
      <c r="R22" s="164">
        <f>SUM(N22:Q22)</f>
        <v>3871.5902000000001</v>
      </c>
    </row>
    <row r="23" spans="1:18" x14ac:dyDescent="0.25">
      <c r="A23" s="5">
        <f>+'Index Pricing'!A8</f>
        <v>37197</v>
      </c>
      <c r="B23" s="135">
        <f>+'Index Pricing'!B8</f>
        <v>2.36</v>
      </c>
      <c r="C23" s="22">
        <f t="shared" ref="C23:C51" si="1">+B23+$J$15</f>
        <v>1.8945999999999998</v>
      </c>
      <c r="D23" s="480">
        <f t="shared" ref="D23:D51" si="2">ROUND(MIN(0.2*$B$5,SUM(L23:M23)-F23),0)</f>
        <v>155</v>
      </c>
      <c r="E23" s="489">
        <f>+'Index Pricing'!$B$4+$J$16</f>
        <v>2.3250000000000002</v>
      </c>
      <c r="F23" s="492">
        <f t="shared" ref="F23:F51" si="3">ROUND(MIN(0.8*$B$5,SUM(L23:M23),2000),0)</f>
        <v>1559</v>
      </c>
      <c r="G23" s="23">
        <f>+'Index Pricing'!$B$3+$J$17</f>
        <v>2.0476000000000001</v>
      </c>
      <c r="H23" s="36">
        <f t="shared" si="0"/>
        <v>0</v>
      </c>
      <c r="I23" s="481">
        <f>$B23+$J$18</f>
        <v>1.7595999999999998</v>
      </c>
      <c r="J23" s="403">
        <f t="shared" ref="J23:J51" si="4">ROUND(MAX(0,SUM(L23:M23)-H23-F23-D23),0)</f>
        <v>0</v>
      </c>
      <c r="K23" s="14"/>
      <c r="L23" s="157">
        <f>'[1]Enron Detail'!V15</f>
        <v>-140</v>
      </c>
      <c r="M23" s="158">
        <f>'[1]Enron Detail'!U15</f>
        <v>1854</v>
      </c>
      <c r="N23" s="76">
        <f t="shared" ref="N23:N49" si="5">+C23*D23</f>
        <v>293.66299999999995</v>
      </c>
      <c r="O23" s="74">
        <f t="shared" ref="O23:O49" si="6">+E23*F23</f>
        <v>3624.6750000000002</v>
      </c>
      <c r="P23" s="74">
        <f t="shared" ref="P23:P49" si="7">+G23*H23</f>
        <v>0</v>
      </c>
      <c r="Q23" s="77">
        <f t="shared" ref="Q23:Q51" si="8">I23*J23</f>
        <v>0</v>
      </c>
      <c r="R23" s="164">
        <f t="shared" ref="R23:R51" si="9">SUM(N23:Q23)</f>
        <v>3918.3380000000002</v>
      </c>
    </row>
    <row r="24" spans="1:18" x14ac:dyDescent="0.25">
      <c r="A24" s="5">
        <f>+'Index Pricing'!A9</f>
        <v>37198</v>
      </c>
      <c r="B24" s="135">
        <f>+'Index Pricing'!B9</f>
        <v>2.0150000000000001</v>
      </c>
      <c r="C24" s="22">
        <f t="shared" si="1"/>
        <v>1.5496000000000001</v>
      </c>
      <c r="D24" s="480">
        <f t="shared" si="2"/>
        <v>114</v>
      </c>
      <c r="E24" s="489">
        <f>+'Index Pricing'!$B$4+$J$16</f>
        <v>2.3250000000000002</v>
      </c>
      <c r="F24" s="492">
        <f t="shared" si="3"/>
        <v>1559</v>
      </c>
      <c r="G24" s="23">
        <f>+'Index Pricing'!$B$3+$J$17</f>
        <v>2.0476000000000001</v>
      </c>
      <c r="H24" s="36">
        <f t="shared" si="0"/>
        <v>0</v>
      </c>
      <c r="I24" s="481">
        <f t="shared" ref="I24:I51" si="10">$B24+$J$18</f>
        <v>1.4146000000000001</v>
      </c>
      <c r="J24" s="403">
        <f t="shared" si="4"/>
        <v>0</v>
      </c>
      <c r="K24" s="14"/>
      <c r="L24" s="157">
        <f>'[1]Enron Detail'!V16</f>
        <v>-121</v>
      </c>
      <c r="M24" s="158">
        <f>'[1]Enron Detail'!U16</f>
        <v>1794</v>
      </c>
      <c r="N24" s="76">
        <f t="shared" si="5"/>
        <v>176.65440000000001</v>
      </c>
      <c r="O24" s="74">
        <f t="shared" si="6"/>
        <v>3624.6750000000002</v>
      </c>
      <c r="P24" s="74">
        <f t="shared" si="7"/>
        <v>0</v>
      </c>
      <c r="Q24" s="77">
        <f t="shared" si="8"/>
        <v>0</v>
      </c>
      <c r="R24" s="164">
        <f t="shared" si="9"/>
        <v>3801.3294000000001</v>
      </c>
    </row>
    <row r="25" spans="1:18" x14ac:dyDescent="0.25">
      <c r="A25" s="5">
        <f>+'Index Pricing'!A10</f>
        <v>37199</v>
      </c>
      <c r="B25" s="135">
        <f>+'Index Pricing'!B10</f>
        <v>2.0150000000000001</v>
      </c>
      <c r="C25" s="22">
        <f t="shared" si="1"/>
        <v>1.5496000000000001</v>
      </c>
      <c r="D25" s="480">
        <f t="shared" si="2"/>
        <v>109</v>
      </c>
      <c r="E25" s="489">
        <f>+'Index Pricing'!$B$4+$J$16</f>
        <v>2.3250000000000002</v>
      </c>
      <c r="F25" s="492">
        <f t="shared" si="3"/>
        <v>1559</v>
      </c>
      <c r="G25" s="23">
        <f>+'Index Pricing'!$B$3+$J$17</f>
        <v>2.0476000000000001</v>
      </c>
      <c r="H25" s="36">
        <f t="shared" si="0"/>
        <v>0</v>
      </c>
      <c r="I25" s="481">
        <f t="shared" si="10"/>
        <v>1.4146000000000001</v>
      </c>
      <c r="J25" s="403">
        <f t="shared" si="4"/>
        <v>0</v>
      </c>
      <c r="K25" s="14"/>
      <c r="L25" s="157">
        <f>'[1]Enron Detail'!V17</f>
        <v>-129</v>
      </c>
      <c r="M25" s="158">
        <f>'[1]Enron Detail'!U17</f>
        <v>1797</v>
      </c>
      <c r="N25" s="76">
        <f t="shared" si="5"/>
        <v>168.90640000000002</v>
      </c>
      <c r="O25" s="74">
        <f t="shared" si="6"/>
        <v>3624.6750000000002</v>
      </c>
      <c r="P25" s="74">
        <f t="shared" si="7"/>
        <v>0</v>
      </c>
      <c r="Q25" s="77">
        <f t="shared" si="8"/>
        <v>0</v>
      </c>
      <c r="R25" s="164">
        <f t="shared" si="9"/>
        <v>3793.5814</v>
      </c>
    </row>
    <row r="26" spans="1:18" x14ac:dyDescent="0.25">
      <c r="A26" s="5">
        <f>+'Index Pricing'!A11</f>
        <v>37200</v>
      </c>
      <c r="B26" s="135">
        <f>+'Index Pricing'!B11</f>
        <v>2.0150000000000001</v>
      </c>
      <c r="C26" s="22">
        <f t="shared" si="1"/>
        <v>1.5496000000000001</v>
      </c>
      <c r="D26" s="480">
        <f t="shared" si="2"/>
        <v>97</v>
      </c>
      <c r="E26" s="489">
        <f>+'Index Pricing'!$B$4+$J$16</f>
        <v>2.3250000000000002</v>
      </c>
      <c r="F26" s="492">
        <f t="shared" si="3"/>
        <v>1559</v>
      </c>
      <c r="G26" s="23">
        <f>+'Index Pricing'!$B$3+$J$17</f>
        <v>2.0476000000000001</v>
      </c>
      <c r="H26" s="36">
        <f t="shared" si="0"/>
        <v>0</v>
      </c>
      <c r="I26" s="481">
        <f t="shared" si="10"/>
        <v>1.4146000000000001</v>
      </c>
      <c r="J26" s="403">
        <f t="shared" si="4"/>
        <v>0</v>
      </c>
      <c r="K26" s="14"/>
      <c r="L26" s="157">
        <f>'[1]Enron Detail'!V18</f>
        <v>-132</v>
      </c>
      <c r="M26" s="158">
        <f>'[1]Enron Detail'!U18</f>
        <v>1788</v>
      </c>
      <c r="N26" s="76">
        <f t="shared" si="5"/>
        <v>150.31120000000001</v>
      </c>
      <c r="O26" s="74">
        <f t="shared" si="6"/>
        <v>3624.6750000000002</v>
      </c>
      <c r="P26" s="74">
        <f t="shared" si="7"/>
        <v>0</v>
      </c>
      <c r="Q26" s="77">
        <f t="shared" si="8"/>
        <v>0</v>
      </c>
      <c r="R26" s="164">
        <f t="shared" si="9"/>
        <v>3774.9862000000003</v>
      </c>
    </row>
    <row r="27" spans="1:18" x14ac:dyDescent="0.25">
      <c r="A27" s="5">
        <f>+'Index Pricing'!A12</f>
        <v>37201</v>
      </c>
      <c r="B27" s="135">
        <f>+'Index Pricing'!B12</f>
        <v>2.16</v>
      </c>
      <c r="C27" s="22">
        <f t="shared" si="1"/>
        <v>1.6946000000000001</v>
      </c>
      <c r="D27" s="480">
        <f t="shared" si="2"/>
        <v>135</v>
      </c>
      <c r="E27" s="489">
        <f>+'Index Pricing'!$B$4+$J$16</f>
        <v>2.3250000000000002</v>
      </c>
      <c r="F27" s="492">
        <f t="shared" si="3"/>
        <v>1559</v>
      </c>
      <c r="G27" s="23">
        <f>+'Index Pricing'!$B$3+$J$17</f>
        <v>2.0476000000000001</v>
      </c>
      <c r="H27" s="36">
        <f t="shared" si="0"/>
        <v>0</v>
      </c>
      <c r="I27" s="481">
        <f t="shared" si="10"/>
        <v>1.5596000000000001</v>
      </c>
      <c r="J27" s="403">
        <f t="shared" si="4"/>
        <v>0</v>
      </c>
      <c r="K27" s="14"/>
      <c r="L27" s="157">
        <f>'[1]Enron Detail'!V19</f>
        <v>-128</v>
      </c>
      <c r="M27" s="158">
        <f>'[1]Enron Detail'!U19</f>
        <v>1822</v>
      </c>
      <c r="N27" s="76">
        <f t="shared" si="5"/>
        <v>228.77100000000002</v>
      </c>
      <c r="O27" s="74">
        <f t="shared" si="6"/>
        <v>3624.6750000000002</v>
      </c>
      <c r="P27" s="74">
        <f t="shared" si="7"/>
        <v>0</v>
      </c>
      <c r="Q27" s="77">
        <f t="shared" si="8"/>
        <v>0</v>
      </c>
      <c r="R27" s="164">
        <f t="shared" si="9"/>
        <v>3853.4460000000004</v>
      </c>
    </row>
    <row r="28" spans="1:18" x14ac:dyDescent="0.25">
      <c r="A28" s="5">
        <f>+'Index Pricing'!A13</f>
        <v>37202</v>
      </c>
      <c r="B28" s="135">
        <f>+'Index Pricing'!B13</f>
        <v>2.1349999999999998</v>
      </c>
      <c r="C28" s="22">
        <f t="shared" si="1"/>
        <v>1.6695999999999998</v>
      </c>
      <c r="D28" s="480">
        <f t="shared" si="2"/>
        <v>75</v>
      </c>
      <c r="E28" s="489">
        <f>+'Index Pricing'!$B$4+$J$16</f>
        <v>2.3250000000000002</v>
      </c>
      <c r="F28" s="492">
        <f t="shared" si="3"/>
        <v>1559</v>
      </c>
      <c r="G28" s="23">
        <f>+'Index Pricing'!$B$3+$J$17</f>
        <v>2.0476000000000001</v>
      </c>
      <c r="H28" s="36">
        <f t="shared" si="0"/>
        <v>0</v>
      </c>
      <c r="I28" s="481">
        <f t="shared" si="10"/>
        <v>1.5345999999999997</v>
      </c>
      <c r="J28" s="403">
        <f t="shared" si="4"/>
        <v>0</v>
      </c>
      <c r="K28" s="14"/>
      <c r="L28" s="157">
        <f>'[1]Enron Detail'!V20</f>
        <v>-128</v>
      </c>
      <c r="M28" s="158">
        <f>'[1]Enron Detail'!U20</f>
        <v>1762</v>
      </c>
      <c r="N28" s="76">
        <f t="shared" si="5"/>
        <v>125.21999999999998</v>
      </c>
      <c r="O28" s="74">
        <f t="shared" si="6"/>
        <v>3624.6750000000002</v>
      </c>
      <c r="P28" s="74">
        <f t="shared" si="7"/>
        <v>0</v>
      </c>
      <c r="Q28" s="77">
        <f t="shared" si="8"/>
        <v>0</v>
      </c>
      <c r="R28" s="164">
        <f t="shared" si="9"/>
        <v>3749.895</v>
      </c>
    </row>
    <row r="29" spans="1:18" x14ac:dyDescent="0.25">
      <c r="A29" s="5">
        <f>+'Index Pricing'!A14</f>
        <v>37203</v>
      </c>
      <c r="B29" s="135">
        <f>+'Index Pricing'!B14</f>
        <v>2.13</v>
      </c>
      <c r="C29" s="22">
        <f t="shared" si="1"/>
        <v>1.6645999999999999</v>
      </c>
      <c r="D29" s="480">
        <f t="shared" si="2"/>
        <v>129</v>
      </c>
      <c r="E29" s="489">
        <f>+'Index Pricing'!$B$4+$J$16</f>
        <v>2.3250000000000002</v>
      </c>
      <c r="F29" s="492">
        <f t="shared" si="3"/>
        <v>1559</v>
      </c>
      <c r="G29" s="23">
        <f>+'Index Pricing'!$B$3+$J$17</f>
        <v>2.0476000000000001</v>
      </c>
      <c r="H29" s="36">
        <f t="shared" si="0"/>
        <v>0</v>
      </c>
      <c r="I29" s="481">
        <f t="shared" si="10"/>
        <v>1.5295999999999998</v>
      </c>
      <c r="J29" s="403">
        <f t="shared" si="4"/>
        <v>0</v>
      </c>
      <c r="K29" s="14"/>
      <c r="L29" s="157">
        <f>'[1]Enron Detail'!V21</f>
        <v>-119</v>
      </c>
      <c r="M29" s="158">
        <f>'[1]Enron Detail'!U21</f>
        <v>1807</v>
      </c>
      <c r="N29" s="76">
        <f t="shared" si="5"/>
        <v>214.73339999999999</v>
      </c>
      <c r="O29" s="74">
        <f t="shared" si="6"/>
        <v>3624.6750000000002</v>
      </c>
      <c r="P29" s="74">
        <f t="shared" si="7"/>
        <v>0</v>
      </c>
      <c r="Q29" s="77">
        <f t="shared" si="8"/>
        <v>0</v>
      </c>
      <c r="R29" s="164">
        <f t="shared" si="9"/>
        <v>3839.4084000000003</v>
      </c>
    </row>
    <row r="30" spans="1:18" x14ac:dyDescent="0.25">
      <c r="A30" s="5">
        <f>+'Index Pricing'!A15</f>
        <v>37204</v>
      </c>
      <c r="B30" s="135">
        <f>+'Index Pricing'!B15</f>
        <v>1.9350000000000001</v>
      </c>
      <c r="C30" s="22">
        <f t="shared" si="1"/>
        <v>1.4696</v>
      </c>
      <c r="D30" s="480">
        <f t="shared" si="2"/>
        <v>102</v>
      </c>
      <c r="E30" s="489">
        <f>+'Index Pricing'!$B$4+$J$16</f>
        <v>2.3250000000000002</v>
      </c>
      <c r="F30" s="492">
        <f t="shared" si="3"/>
        <v>1559</v>
      </c>
      <c r="G30" s="23">
        <f>+'Index Pricing'!$B$3+$J$17</f>
        <v>2.0476000000000001</v>
      </c>
      <c r="H30" s="36">
        <f t="shared" si="0"/>
        <v>0</v>
      </c>
      <c r="I30" s="481">
        <f t="shared" si="10"/>
        <v>1.3346</v>
      </c>
      <c r="J30" s="403">
        <f t="shared" si="4"/>
        <v>0</v>
      </c>
      <c r="K30" s="14"/>
      <c r="L30" s="157">
        <f>'[1]Enron Detail'!V22</f>
        <v>-117</v>
      </c>
      <c r="M30" s="158">
        <f>'[1]Enron Detail'!U22</f>
        <v>1778</v>
      </c>
      <c r="N30" s="76">
        <f t="shared" si="5"/>
        <v>149.89920000000001</v>
      </c>
      <c r="O30" s="74">
        <f t="shared" si="6"/>
        <v>3624.6750000000002</v>
      </c>
      <c r="P30" s="74">
        <f t="shared" si="7"/>
        <v>0</v>
      </c>
      <c r="Q30" s="77">
        <f t="shared" si="8"/>
        <v>0</v>
      </c>
      <c r="R30" s="164">
        <f t="shared" si="9"/>
        <v>3774.5742</v>
      </c>
    </row>
    <row r="31" spans="1:18" x14ac:dyDescent="0.25">
      <c r="A31" s="5">
        <f>+'Index Pricing'!A16</f>
        <v>37205</v>
      </c>
      <c r="B31" s="135">
        <f>+'Index Pricing'!B16</f>
        <v>1.7</v>
      </c>
      <c r="C31" s="22">
        <f t="shared" si="1"/>
        <v>1.2345999999999999</v>
      </c>
      <c r="D31" s="480">
        <f t="shared" si="2"/>
        <v>90</v>
      </c>
      <c r="E31" s="489">
        <f>+'Index Pricing'!$B$4+$J$16</f>
        <v>2.3250000000000002</v>
      </c>
      <c r="F31" s="492">
        <f t="shared" si="3"/>
        <v>1559</v>
      </c>
      <c r="G31" s="23">
        <f>+'Index Pricing'!$B$3+$J$17</f>
        <v>2.0476000000000001</v>
      </c>
      <c r="H31" s="36">
        <f t="shared" si="0"/>
        <v>0</v>
      </c>
      <c r="I31" s="481">
        <f t="shared" si="10"/>
        <v>1.0995999999999999</v>
      </c>
      <c r="J31" s="403">
        <f t="shared" si="4"/>
        <v>0</v>
      </c>
      <c r="K31" s="14"/>
      <c r="L31" s="157">
        <f>'[1]Enron Detail'!V23</f>
        <v>-123</v>
      </c>
      <c r="M31" s="158">
        <f>'[1]Enron Detail'!U23</f>
        <v>1772</v>
      </c>
      <c r="N31" s="76">
        <f t="shared" si="5"/>
        <v>111.11399999999999</v>
      </c>
      <c r="O31" s="74">
        <f t="shared" si="6"/>
        <v>3624.6750000000002</v>
      </c>
      <c r="P31" s="74">
        <f t="shared" si="7"/>
        <v>0</v>
      </c>
      <c r="Q31" s="77">
        <f t="shared" si="8"/>
        <v>0</v>
      </c>
      <c r="R31" s="164">
        <f t="shared" si="9"/>
        <v>3735.7890000000002</v>
      </c>
    </row>
    <row r="32" spans="1:18" x14ac:dyDescent="0.25">
      <c r="A32" s="5">
        <f>+'Index Pricing'!A17</f>
        <v>37206</v>
      </c>
      <c r="B32" s="135">
        <f>+'Index Pricing'!B17</f>
        <v>1.7</v>
      </c>
      <c r="C32" s="22">
        <f t="shared" si="1"/>
        <v>1.2345999999999999</v>
      </c>
      <c r="D32" s="480">
        <f t="shared" si="2"/>
        <v>79</v>
      </c>
      <c r="E32" s="489">
        <f>+'Index Pricing'!$B$4+$J$16</f>
        <v>2.3250000000000002</v>
      </c>
      <c r="F32" s="492">
        <f t="shared" si="3"/>
        <v>1559</v>
      </c>
      <c r="G32" s="23">
        <f>+'Index Pricing'!$B$3+$J$17</f>
        <v>2.0476000000000001</v>
      </c>
      <c r="H32" s="36">
        <f t="shared" si="0"/>
        <v>0</v>
      </c>
      <c r="I32" s="481">
        <f t="shared" si="10"/>
        <v>1.0995999999999999</v>
      </c>
      <c r="J32" s="403">
        <f t="shared" si="4"/>
        <v>0</v>
      </c>
      <c r="K32" s="14"/>
      <c r="L32" s="157">
        <f>'[1]Enron Detail'!V24</f>
        <v>-122</v>
      </c>
      <c r="M32" s="158">
        <f>'[1]Enron Detail'!U24</f>
        <v>1760</v>
      </c>
      <c r="N32" s="76">
        <f t="shared" si="5"/>
        <v>97.5334</v>
      </c>
      <c r="O32" s="74">
        <f t="shared" si="6"/>
        <v>3624.6750000000002</v>
      </c>
      <c r="P32" s="74">
        <f t="shared" si="7"/>
        <v>0</v>
      </c>
      <c r="Q32" s="77">
        <f t="shared" si="8"/>
        <v>0</v>
      </c>
      <c r="R32" s="164">
        <f t="shared" si="9"/>
        <v>3722.2084</v>
      </c>
    </row>
    <row r="33" spans="1:18" x14ac:dyDescent="0.25">
      <c r="A33" s="5">
        <f>+'Index Pricing'!A18</f>
        <v>37207</v>
      </c>
      <c r="B33" s="135">
        <f>+'Index Pricing'!B18</f>
        <v>1.7</v>
      </c>
      <c r="C33" s="22">
        <f t="shared" si="1"/>
        <v>1.2345999999999999</v>
      </c>
      <c r="D33" s="480">
        <f t="shared" si="2"/>
        <v>79</v>
      </c>
      <c r="E33" s="489">
        <f>+'Index Pricing'!$B$4+$J$16</f>
        <v>2.3250000000000002</v>
      </c>
      <c r="F33" s="492">
        <f t="shared" si="3"/>
        <v>1559</v>
      </c>
      <c r="G33" s="23">
        <f>+'Index Pricing'!$B$3+$J$17</f>
        <v>2.0476000000000001</v>
      </c>
      <c r="H33" s="36">
        <f t="shared" si="0"/>
        <v>0</v>
      </c>
      <c r="I33" s="481">
        <f t="shared" si="10"/>
        <v>1.0995999999999999</v>
      </c>
      <c r="J33" s="403">
        <f t="shared" si="4"/>
        <v>0</v>
      </c>
      <c r="K33" s="14"/>
      <c r="L33" s="157">
        <f>'[1]Enron Detail'!V25</f>
        <v>-120</v>
      </c>
      <c r="M33" s="158">
        <f>'[1]Enron Detail'!U25</f>
        <v>1758</v>
      </c>
      <c r="N33" s="76">
        <f t="shared" si="5"/>
        <v>97.5334</v>
      </c>
      <c r="O33" s="74">
        <f t="shared" si="6"/>
        <v>3624.6750000000002</v>
      </c>
      <c r="P33" s="74">
        <f t="shared" si="7"/>
        <v>0</v>
      </c>
      <c r="Q33" s="77">
        <f t="shared" si="8"/>
        <v>0</v>
      </c>
      <c r="R33" s="164">
        <f t="shared" si="9"/>
        <v>3722.2084</v>
      </c>
    </row>
    <row r="34" spans="1:18" x14ac:dyDescent="0.25">
      <c r="A34" s="5">
        <f>+'Index Pricing'!A19</f>
        <v>37208</v>
      </c>
      <c r="B34" s="135">
        <f>+'Index Pricing'!B19</f>
        <v>1.52</v>
      </c>
      <c r="C34" s="22">
        <f t="shared" si="1"/>
        <v>1.0546</v>
      </c>
      <c r="D34" s="480">
        <f t="shared" si="2"/>
        <v>0</v>
      </c>
      <c r="E34" s="489">
        <f>+'Index Pricing'!$B$4+$J$16</f>
        <v>2.3250000000000002</v>
      </c>
      <c r="F34" s="492">
        <f t="shared" si="3"/>
        <v>385</v>
      </c>
      <c r="G34" s="23">
        <f>+'Index Pricing'!$B$3+$J$17</f>
        <v>2.0476000000000001</v>
      </c>
      <c r="H34" s="36">
        <f t="shared" si="0"/>
        <v>0</v>
      </c>
      <c r="I34" s="481">
        <f t="shared" si="10"/>
        <v>0.91959999999999997</v>
      </c>
      <c r="J34" s="403">
        <f t="shared" si="4"/>
        <v>0</v>
      </c>
      <c r="K34" s="14"/>
      <c r="L34" s="157">
        <f>'[1]Enron Detail'!V26</f>
        <v>-29</v>
      </c>
      <c r="M34" s="158">
        <f>'[1]Enron Detail'!U26</f>
        <v>414</v>
      </c>
      <c r="N34" s="76">
        <f t="shared" si="5"/>
        <v>0</v>
      </c>
      <c r="O34" s="74">
        <f t="shared" si="6"/>
        <v>895.12500000000011</v>
      </c>
      <c r="P34" s="74">
        <f t="shared" si="7"/>
        <v>0</v>
      </c>
      <c r="Q34" s="77">
        <f t="shared" si="8"/>
        <v>0</v>
      </c>
      <c r="R34" s="164">
        <f t="shared" si="9"/>
        <v>895.12500000000011</v>
      </c>
    </row>
    <row r="35" spans="1:18" x14ac:dyDescent="0.25">
      <c r="A35" s="5">
        <f>+'Index Pricing'!A20</f>
        <v>37209</v>
      </c>
      <c r="B35" s="135">
        <f>+'Index Pricing'!B20</f>
        <v>1.595</v>
      </c>
      <c r="C35" s="22">
        <f t="shared" si="1"/>
        <v>1.1295999999999999</v>
      </c>
      <c r="D35" s="480">
        <f t="shared" si="2"/>
        <v>87</v>
      </c>
      <c r="E35" s="489">
        <f>+'Index Pricing'!$B$4+$J$16</f>
        <v>2.3250000000000002</v>
      </c>
      <c r="F35" s="492">
        <f t="shared" si="3"/>
        <v>1559</v>
      </c>
      <c r="G35" s="23">
        <f>+'Index Pricing'!$B$3+$J$17</f>
        <v>2.0476000000000001</v>
      </c>
      <c r="H35" s="36">
        <f t="shared" si="0"/>
        <v>0</v>
      </c>
      <c r="I35" s="481">
        <f t="shared" si="10"/>
        <v>0.99459999999999993</v>
      </c>
      <c r="J35" s="403">
        <f t="shared" si="4"/>
        <v>0</v>
      </c>
      <c r="K35" s="14"/>
      <c r="L35" s="157">
        <f>'[1]Enron Detail'!V27</f>
        <v>-113</v>
      </c>
      <c r="M35" s="158">
        <f>'[1]Enron Detail'!U27</f>
        <v>1759</v>
      </c>
      <c r="N35" s="76">
        <f t="shared" si="5"/>
        <v>98.275199999999998</v>
      </c>
      <c r="O35" s="74">
        <f t="shared" si="6"/>
        <v>3624.6750000000002</v>
      </c>
      <c r="P35" s="74">
        <f t="shared" si="7"/>
        <v>0</v>
      </c>
      <c r="Q35" s="77">
        <f t="shared" si="8"/>
        <v>0</v>
      </c>
      <c r="R35" s="164">
        <f t="shared" si="9"/>
        <v>3722.9502000000002</v>
      </c>
    </row>
    <row r="36" spans="1:18" x14ac:dyDescent="0.25">
      <c r="A36" s="5">
        <f>+'Index Pricing'!A21</f>
        <v>37210</v>
      </c>
      <c r="B36" s="135">
        <f>+'Index Pricing'!B21</f>
        <v>1.84</v>
      </c>
      <c r="C36" s="22">
        <f t="shared" si="1"/>
        <v>1.3746</v>
      </c>
      <c r="D36" s="480">
        <f t="shared" si="2"/>
        <v>136</v>
      </c>
      <c r="E36" s="489">
        <f>+'Index Pricing'!$B$4+$J$16</f>
        <v>2.3250000000000002</v>
      </c>
      <c r="F36" s="492">
        <f t="shared" si="3"/>
        <v>1559</v>
      </c>
      <c r="G36" s="23">
        <f>+'Index Pricing'!$B$3+$J$17</f>
        <v>2.0476000000000001</v>
      </c>
      <c r="H36" s="36">
        <f t="shared" si="0"/>
        <v>0</v>
      </c>
      <c r="I36" s="481">
        <f t="shared" si="10"/>
        <v>1.2396</v>
      </c>
      <c r="J36" s="403">
        <f t="shared" si="4"/>
        <v>0</v>
      </c>
      <c r="K36" s="14"/>
      <c r="L36" s="157">
        <f>'[1]Enron Detail'!V28</f>
        <v>-132</v>
      </c>
      <c r="M36" s="158">
        <f>'[1]Enron Detail'!U28</f>
        <v>1827</v>
      </c>
      <c r="N36" s="76">
        <f t="shared" si="5"/>
        <v>186.94560000000001</v>
      </c>
      <c r="O36" s="74">
        <f t="shared" si="6"/>
        <v>3624.6750000000002</v>
      </c>
      <c r="P36" s="74">
        <f t="shared" si="7"/>
        <v>0</v>
      </c>
      <c r="Q36" s="77">
        <f t="shared" si="8"/>
        <v>0</v>
      </c>
      <c r="R36" s="164">
        <f t="shared" si="9"/>
        <v>3811.6206000000002</v>
      </c>
    </row>
    <row r="37" spans="1:18" x14ac:dyDescent="0.25">
      <c r="A37" s="5">
        <f>+'Index Pricing'!A22</f>
        <v>37211</v>
      </c>
      <c r="B37" s="135">
        <f>+'Index Pricing'!B22</f>
        <v>1.4350000000000001</v>
      </c>
      <c r="C37" s="22">
        <f t="shared" si="1"/>
        <v>0.96960000000000002</v>
      </c>
      <c r="D37" s="480">
        <f t="shared" si="2"/>
        <v>207</v>
      </c>
      <c r="E37" s="489">
        <f>+'Index Pricing'!$B$4+$J$16</f>
        <v>2.3250000000000002</v>
      </c>
      <c r="F37" s="492">
        <f t="shared" si="3"/>
        <v>1559</v>
      </c>
      <c r="G37" s="23">
        <f>+'Index Pricing'!$B$3+$J$17</f>
        <v>2.0476000000000001</v>
      </c>
      <c r="H37" s="36">
        <f t="shared" si="0"/>
        <v>0</v>
      </c>
      <c r="I37" s="481">
        <f t="shared" si="10"/>
        <v>0.83460000000000001</v>
      </c>
      <c r="J37" s="403">
        <f t="shared" si="4"/>
        <v>0</v>
      </c>
      <c r="K37" s="14"/>
      <c r="L37" s="157">
        <f>'[1]Enron Detail'!V29</f>
        <v>-110</v>
      </c>
      <c r="M37" s="158">
        <f>'[1]Enron Detail'!U29</f>
        <v>1876</v>
      </c>
      <c r="N37" s="76">
        <f t="shared" si="5"/>
        <v>200.7072</v>
      </c>
      <c r="O37" s="74">
        <f t="shared" si="6"/>
        <v>3624.6750000000002</v>
      </c>
      <c r="P37" s="74">
        <f t="shared" si="7"/>
        <v>0</v>
      </c>
      <c r="Q37" s="77">
        <f t="shared" si="8"/>
        <v>0</v>
      </c>
      <c r="R37" s="164">
        <f t="shared" si="9"/>
        <v>3825.3822</v>
      </c>
    </row>
    <row r="38" spans="1:18" x14ac:dyDescent="0.25">
      <c r="A38" s="5">
        <f>+'Index Pricing'!A23</f>
        <v>37212</v>
      </c>
      <c r="B38" s="135">
        <f>+'Index Pricing'!B23</f>
        <v>1.135</v>
      </c>
      <c r="C38" s="22">
        <f t="shared" si="1"/>
        <v>0.66959999999999997</v>
      </c>
      <c r="D38" s="480">
        <f t="shared" si="2"/>
        <v>204</v>
      </c>
      <c r="E38" s="489">
        <f>+'Index Pricing'!$B$4+$J$16</f>
        <v>2.3250000000000002</v>
      </c>
      <c r="F38" s="492">
        <f t="shared" si="3"/>
        <v>1559</v>
      </c>
      <c r="G38" s="23">
        <f>+'Index Pricing'!$B$3+$J$17</f>
        <v>2.0476000000000001</v>
      </c>
      <c r="H38" s="36">
        <f t="shared" si="0"/>
        <v>0</v>
      </c>
      <c r="I38" s="481">
        <f t="shared" si="10"/>
        <v>0.53459999999999996</v>
      </c>
      <c r="J38" s="403">
        <f t="shared" si="4"/>
        <v>0</v>
      </c>
      <c r="K38" s="14"/>
      <c r="L38" s="157">
        <f>'[1]Enron Detail'!V30</f>
        <v>-117</v>
      </c>
      <c r="M38" s="158">
        <f>'[1]Enron Detail'!U30</f>
        <v>1880</v>
      </c>
      <c r="N38" s="76">
        <f t="shared" si="5"/>
        <v>136.5984</v>
      </c>
      <c r="O38" s="74">
        <f t="shared" si="6"/>
        <v>3624.6750000000002</v>
      </c>
      <c r="P38" s="74">
        <f t="shared" si="7"/>
        <v>0</v>
      </c>
      <c r="Q38" s="77">
        <f t="shared" si="8"/>
        <v>0</v>
      </c>
      <c r="R38" s="164">
        <f t="shared" si="9"/>
        <v>3761.2734</v>
      </c>
    </row>
    <row r="39" spans="1:18" x14ac:dyDescent="0.25">
      <c r="A39" s="5">
        <f>+'Index Pricing'!A24</f>
        <v>37213</v>
      </c>
      <c r="B39" s="135">
        <f>+'Index Pricing'!B24</f>
        <v>1.135</v>
      </c>
      <c r="C39" s="22">
        <f t="shared" si="1"/>
        <v>0.66959999999999997</v>
      </c>
      <c r="D39" s="480">
        <f t="shared" si="2"/>
        <v>194</v>
      </c>
      <c r="E39" s="489">
        <f>+'Index Pricing'!$B$4+$J$16</f>
        <v>2.3250000000000002</v>
      </c>
      <c r="F39" s="492">
        <f t="shared" si="3"/>
        <v>1559</v>
      </c>
      <c r="G39" s="23">
        <f>+'Index Pricing'!$B$3+$J$17</f>
        <v>2.0476000000000001</v>
      </c>
      <c r="H39" s="36">
        <f t="shared" si="0"/>
        <v>0</v>
      </c>
      <c r="I39" s="481">
        <f t="shared" si="10"/>
        <v>0.53459999999999996</v>
      </c>
      <c r="J39" s="403">
        <f t="shared" si="4"/>
        <v>0</v>
      </c>
      <c r="K39" s="14"/>
      <c r="L39" s="157">
        <f>'[1]Enron Detail'!V31</f>
        <v>-104</v>
      </c>
      <c r="M39" s="158">
        <f>'[1]Enron Detail'!U31</f>
        <v>1857</v>
      </c>
      <c r="N39" s="76">
        <f t="shared" si="5"/>
        <v>129.9024</v>
      </c>
      <c r="O39" s="74">
        <f t="shared" si="6"/>
        <v>3624.6750000000002</v>
      </c>
      <c r="P39" s="74">
        <f t="shared" si="7"/>
        <v>0</v>
      </c>
      <c r="Q39" s="77">
        <f t="shared" si="8"/>
        <v>0</v>
      </c>
      <c r="R39" s="164">
        <f t="shared" si="9"/>
        <v>3754.5774000000001</v>
      </c>
    </row>
    <row r="40" spans="1:18" x14ac:dyDescent="0.25">
      <c r="A40" s="5">
        <f>+'Index Pricing'!A25</f>
        <v>37214</v>
      </c>
      <c r="B40" s="135">
        <f>+'Index Pricing'!B25</f>
        <v>1.135</v>
      </c>
      <c r="C40" s="22">
        <f t="shared" si="1"/>
        <v>0.66959999999999997</v>
      </c>
      <c r="D40" s="480">
        <f t="shared" si="2"/>
        <v>261</v>
      </c>
      <c r="E40" s="489">
        <f>+'Index Pricing'!$B$4+$J$16</f>
        <v>2.3250000000000002</v>
      </c>
      <c r="F40" s="492">
        <f t="shared" si="3"/>
        <v>1559</v>
      </c>
      <c r="G40" s="23">
        <f>+'Index Pricing'!$B$3+$J$17</f>
        <v>2.0476000000000001</v>
      </c>
      <c r="H40" s="36">
        <f t="shared" si="0"/>
        <v>0</v>
      </c>
      <c r="I40" s="481">
        <f t="shared" si="10"/>
        <v>0.53459999999999996</v>
      </c>
      <c r="J40" s="403">
        <f t="shared" si="4"/>
        <v>0</v>
      </c>
      <c r="K40" s="14"/>
      <c r="L40" s="157">
        <f>'[1]Enron Detail'!V32</f>
        <v>-125</v>
      </c>
      <c r="M40" s="158">
        <f>'[1]Enron Detail'!U32</f>
        <v>1945</v>
      </c>
      <c r="N40" s="76">
        <f t="shared" si="5"/>
        <v>174.76560000000001</v>
      </c>
      <c r="O40" s="74">
        <f t="shared" si="6"/>
        <v>3624.6750000000002</v>
      </c>
      <c r="P40" s="74">
        <f t="shared" si="7"/>
        <v>0</v>
      </c>
      <c r="Q40" s="77">
        <f t="shared" si="8"/>
        <v>0</v>
      </c>
      <c r="R40" s="164">
        <f t="shared" si="9"/>
        <v>3799.4406000000004</v>
      </c>
    </row>
    <row r="41" spans="1:18" x14ac:dyDescent="0.25">
      <c r="A41" s="5">
        <f>+'Index Pricing'!A26</f>
        <v>37215</v>
      </c>
      <c r="B41" s="135">
        <f>+'Index Pricing'!B26</f>
        <v>1.5349999999999999</v>
      </c>
      <c r="C41" s="22">
        <f t="shared" si="1"/>
        <v>1.0695999999999999</v>
      </c>
      <c r="D41" s="480">
        <f t="shared" si="2"/>
        <v>145</v>
      </c>
      <c r="E41" s="489">
        <f>+'Index Pricing'!$B$4+$J$16</f>
        <v>2.3250000000000002</v>
      </c>
      <c r="F41" s="492">
        <f t="shared" si="3"/>
        <v>1559</v>
      </c>
      <c r="G41" s="23">
        <f>+'Index Pricing'!$B$3+$J$17</f>
        <v>2.0476000000000001</v>
      </c>
      <c r="H41" s="36">
        <f t="shared" si="0"/>
        <v>0</v>
      </c>
      <c r="I41" s="481">
        <f t="shared" si="10"/>
        <v>0.93459999999999988</v>
      </c>
      <c r="J41" s="403">
        <f t="shared" si="4"/>
        <v>0</v>
      </c>
      <c r="K41" s="14"/>
      <c r="L41" s="157">
        <f>'[1]Enron Detail'!V33</f>
        <v>-128</v>
      </c>
      <c r="M41" s="158">
        <f>'[1]Enron Detail'!U33</f>
        <v>1832</v>
      </c>
      <c r="N41" s="76">
        <f t="shared" si="5"/>
        <v>155.09199999999998</v>
      </c>
      <c r="O41" s="74">
        <f t="shared" si="6"/>
        <v>3624.6750000000002</v>
      </c>
      <c r="P41" s="74">
        <f t="shared" si="7"/>
        <v>0</v>
      </c>
      <c r="Q41" s="77">
        <f t="shared" si="8"/>
        <v>0</v>
      </c>
      <c r="R41" s="164">
        <f t="shared" si="9"/>
        <v>3779.7670000000003</v>
      </c>
    </row>
    <row r="42" spans="1:18" x14ac:dyDescent="0.25">
      <c r="A42" s="5">
        <f>+'Index Pricing'!A27</f>
        <v>37216</v>
      </c>
      <c r="B42" s="135">
        <f>+'Index Pricing'!B27</f>
        <v>2.2050000000000001</v>
      </c>
      <c r="C42" s="22">
        <f t="shared" si="1"/>
        <v>1.7396</v>
      </c>
      <c r="D42" s="480">
        <f t="shared" si="2"/>
        <v>151</v>
      </c>
      <c r="E42" s="489">
        <f>+'Index Pricing'!$B$4+$J$16</f>
        <v>2.3250000000000002</v>
      </c>
      <c r="F42" s="492">
        <f t="shared" si="3"/>
        <v>1559</v>
      </c>
      <c r="G42" s="23">
        <f>+'Index Pricing'!$B$3+$J$17</f>
        <v>2.0476000000000001</v>
      </c>
      <c r="H42" s="36">
        <f t="shared" si="0"/>
        <v>0</v>
      </c>
      <c r="I42" s="481">
        <f t="shared" si="10"/>
        <v>1.6046</v>
      </c>
      <c r="J42" s="403">
        <f t="shared" si="4"/>
        <v>0</v>
      </c>
      <c r="K42" s="14"/>
      <c r="L42" s="157">
        <f>'[1]Enron Detail'!V34</f>
        <v>-131</v>
      </c>
      <c r="M42" s="158">
        <f>'[1]Enron Detail'!U34</f>
        <v>1841</v>
      </c>
      <c r="N42" s="76">
        <f t="shared" si="5"/>
        <v>262.67959999999999</v>
      </c>
      <c r="O42" s="74">
        <f t="shared" si="6"/>
        <v>3624.6750000000002</v>
      </c>
      <c r="P42" s="74">
        <f t="shared" si="7"/>
        <v>0</v>
      </c>
      <c r="Q42" s="77">
        <f t="shared" si="8"/>
        <v>0</v>
      </c>
      <c r="R42" s="164">
        <f t="shared" si="9"/>
        <v>3887.3546000000001</v>
      </c>
    </row>
    <row r="43" spans="1:18" x14ac:dyDescent="0.25">
      <c r="A43" s="5">
        <f>+'Index Pricing'!A28</f>
        <v>37217</v>
      </c>
      <c r="B43" s="135">
        <f>+'Index Pricing'!B28</f>
        <v>1.43</v>
      </c>
      <c r="C43" s="22">
        <f t="shared" si="1"/>
        <v>0.9645999999999999</v>
      </c>
      <c r="D43" s="480">
        <f t="shared" si="2"/>
        <v>133</v>
      </c>
      <c r="E43" s="489">
        <f>+'Index Pricing'!$B$4+$J$16</f>
        <v>2.3250000000000002</v>
      </c>
      <c r="F43" s="492">
        <f t="shared" si="3"/>
        <v>1559</v>
      </c>
      <c r="G43" s="23">
        <f>+'Index Pricing'!$B$3+$J$17</f>
        <v>2.0476000000000001</v>
      </c>
      <c r="H43" s="36">
        <f t="shared" si="0"/>
        <v>0</v>
      </c>
      <c r="I43" s="481">
        <f t="shared" si="10"/>
        <v>0.82959999999999989</v>
      </c>
      <c r="J43" s="403">
        <f t="shared" si="4"/>
        <v>0</v>
      </c>
      <c r="K43" s="14"/>
      <c r="L43" s="157">
        <f>'[1]Enron Detail'!V35</f>
        <v>-123</v>
      </c>
      <c r="M43" s="158">
        <f>'[1]Enron Detail'!U35</f>
        <v>1815</v>
      </c>
      <c r="N43" s="76">
        <f t="shared" si="5"/>
        <v>128.29179999999999</v>
      </c>
      <c r="O43" s="74">
        <f t="shared" si="6"/>
        <v>3624.6750000000002</v>
      </c>
      <c r="P43" s="74">
        <f t="shared" si="7"/>
        <v>0</v>
      </c>
      <c r="Q43" s="77">
        <f t="shared" si="8"/>
        <v>0</v>
      </c>
      <c r="R43" s="164">
        <f t="shared" si="9"/>
        <v>3752.9668000000001</v>
      </c>
    </row>
    <row r="44" spans="1:18" x14ac:dyDescent="0.25">
      <c r="A44" s="5">
        <f>+'Index Pricing'!A29</f>
        <v>37218</v>
      </c>
      <c r="B44" s="135">
        <f>+'Index Pricing'!B29</f>
        <v>1.43</v>
      </c>
      <c r="C44" s="22">
        <f t="shared" si="1"/>
        <v>0.9645999999999999</v>
      </c>
      <c r="D44" s="480">
        <f t="shared" si="2"/>
        <v>119</v>
      </c>
      <c r="E44" s="489">
        <f>+'Index Pricing'!$B$4+$J$16</f>
        <v>2.3250000000000002</v>
      </c>
      <c r="F44" s="492">
        <f t="shared" si="3"/>
        <v>1559</v>
      </c>
      <c r="G44" s="23">
        <f>+'Index Pricing'!$B$3+$J$17</f>
        <v>2.0476000000000001</v>
      </c>
      <c r="H44" s="36">
        <f t="shared" si="0"/>
        <v>0</v>
      </c>
      <c r="I44" s="481">
        <f t="shared" si="10"/>
        <v>0.82959999999999989</v>
      </c>
      <c r="J44" s="403">
        <f t="shared" si="4"/>
        <v>0</v>
      </c>
      <c r="K44" s="14"/>
      <c r="L44" s="157">
        <f>'[1]Enron Detail'!V36</f>
        <v>-121</v>
      </c>
      <c r="M44" s="158">
        <f>'[1]Enron Detail'!U36</f>
        <v>1799</v>
      </c>
      <c r="N44" s="76">
        <f t="shared" si="5"/>
        <v>114.78739999999999</v>
      </c>
      <c r="O44" s="74">
        <f t="shared" si="6"/>
        <v>3624.6750000000002</v>
      </c>
      <c r="P44" s="74">
        <f t="shared" si="7"/>
        <v>0</v>
      </c>
      <c r="Q44" s="77">
        <f t="shared" si="8"/>
        <v>0</v>
      </c>
      <c r="R44" s="164">
        <f t="shared" si="9"/>
        <v>3739.4624000000003</v>
      </c>
    </row>
    <row r="45" spans="1:18" x14ac:dyDescent="0.25">
      <c r="A45" s="5">
        <f>+'Index Pricing'!A30</f>
        <v>37219</v>
      </c>
      <c r="B45" s="135">
        <f>+'Index Pricing'!B30</f>
        <v>1.43</v>
      </c>
      <c r="C45" s="22">
        <f t="shared" si="1"/>
        <v>0.9645999999999999</v>
      </c>
      <c r="D45" s="480">
        <f t="shared" si="2"/>
        <v>142</v>
      </c>
      <c r="E45" s="489">
        <f>+'Index Pricing'!$B$4+$J$16</f>
        <v>2.3250000000000002</v>
      </c>
      <c r="F45" s="492">
        <f t="shared" si="3"/>
        <v>1559</v>
      </c>
      <c r="G45" s="23">
        <f>+'Index Pricing'!$B$3+$J$17</f>
        <v>2.0476000000000001</v>
      </c>
      <c r="H45" s="36">
        <f t="shared" si="0"/>
        <v>0</v>
      </c>
      <c r="I45" s="481">
        <f t="shared" si="10"/>
        <v>0.82959999999999989</v>
      </c>
      <c r="J45" s="403">
        <f t="shared" si="4"/>
        <v>0</v>
      </c>
      <c r="K45" s="14"/>
      <c r="L45" s="157">
        <f>'[1]Enron Detail'!V37</f>
        <v>-93</v>
      </c>
      <c r="M45" s="158">
        <f>'[1]Enron Detail'!U37</f>
        <v>1794</v>
      </c>
      <c r="N45" s="76">
        <f t="shared" si="5"/>
        <v>136.97319999999999</v>
      </c>
      <c r="O45" s="74">
        <f t="shared" si="6"/>
        <v>3624.6750000000002</v>
      </c>
      <c r="P45" s="74">
        <f t="shared" si="7"/>
        <v>0</v>
      </c>
      <c r="Q45" s="77">
        <f t="shared" si="8"/>
        <v>0</v>
      </c>
      <c r="R45" s="164">
        <f t="shared" si="9"/>
        <v>3761.6482000000001</v>
      </c>
    </row>
    <row r="46" spans="1:18" x14ac:dyDescent="0.25">
      <c r="A46" s="5">
        <f>+'Index Pricing'!A31</f>
        <v>37220</v>
      </c>
      <c r="B46" s="135">
        <f>+'Index Pricing'!B31</f>
        <v>1.43</v>
      </c>
      <c r="C46" s="22">
        <f t="shared" si="1"/>
        <v>0.9645999999999999</v>
      </c>
      <c r="D46" s="480">
        <f t="shared" si="2"/>
        <v>118</v>
      </c>
      <c r="E46" s="489">
        <f>+'Index Pricing'!$B$4+$J$16</f>
        <v>2.3250000000000002</v>
      </c>
      <c r="F46" s="492">
        <f t="shared" si="3"/>
        <v>1559</v>
      </c>
      <c r="G46" s="23">
        <f>+'Index Pricing'!$B$3+$J$17</f>
        <v>2.0476000000000001</v>
      </c>
      <c r="H46" s="36">
        <f t="shared" si="0"/>
        <v>0</v>
      </c>
      <c r="I46" s="481">
        <f t="shared" si="10"/>
        <v>0.82959999999999989</v>
      </c>
      <c r="J46" s="403">
        <f t="shared" si="4"/>
        <v>0</v>
      </c>
      <c r="K46" s="14"/>
      <c r="L46" s="157">
        <f>'[1]Enron Detail'!V38</f>
        <v>-133</v>
      </c>
      <c r="M46" s="158">
        <f>'[1]Enron Detail'!U38</f>
        <v>1810</v>
      </c>
      <c r="N46" s="76">
        <f t="shared" si="5"/>
        <v>113.82279999999999</v>
      </c>
      <c r="O46" s="74">
        <f t="shared" si="6"/>
        <v>3624.6750000000002</v>
      </c>
      <c r="P46" s="74">
        <f t="shared" si="7"/>
        <v>0</v>
      </c>
      <c r="Q46" s="77">
        <f t="shared" si="8"/>
        <v>0</v>
      </c>
      <c r="R46" s="164">
        <f t="shared" si="9"/>
        <v>3738.4978000000001</v>
      </c>
    </row>
    <row r="47" spans="1:18" x14ac:dyDescent="0.25">
      <c r="A47" s="5">
        <f>+'Index Pricing'!A32</f>
        <v>37221</v>
      </c>
      <c r="B47" s="135">
        <f>+'Index Pricing'!B32</f>
        <v>1.43</v>
      </c>
      <c r="C47" s="22">
        <f t="shared" si="1"/>
        <v>0.9645999999999999</v>
      </c>
      <c r="D47" s="480">
        <f t="shared" si="2"/>
        <v>112</v>
      </c>
      <c r="E47" s="489">
        <f>+'Index Pricing'!$B$4+$J$16</f>
        <v>2.3250000000000002</v>
      </c>
      <c r="F47" s="492">
        <f t="shared" si="3"/>
        <v>1559</v>
      </c>
      <c r="G47" s="23">
        <f>+'Index Pricing'!$B$3+$J$17</f>
        <v>2.0476000000000001</v>
      </c>
      <c r="H47" s="36">
        <f t="shared" si="0"/>
        <v>0</v>
      </c>
      <c r="I47" s="481">
        <f t="shared" si="10"/>
        <v>0.82959999999999989</v>
      </c>
      <c r="J47" s="403">
        <f t="shared" si="4"/>
        <v>0</v>
      </c>
      <c r="K47" s="14"/>
      <c r="L47" s="157">
        <f>'[1]Enron Detail'!V39</f>
        <v>-114</v>
      </c>
      <c r="M47" s="158">
        <f>'[1]Enron Detail'!U39</f>
        <v>1785</v>
      </c>
      <c r="N47" s="76">
        <f t="shared" si="5"/>
        <v>108.03519999999999</v>
      </c>
      <c r="O47" s="74">
        <f t="shared" si="6"/>
        <v>3624.6750000000002</v>
      </c>
      <c r="P47" s="74">
        <f t="shared" si="7"/>
        <v>0</v>
      </c>
      <c r="Q47" s="77">
        <f t="shared" si="8"/>
        <v>0</v>
      </c>
      <c r="R47" s="164">
        <f t="shared" si="9"/>
        <v>3732.7102</v>
      </c>
    </row>
    <row r="48" spans="1:18" x14ac:dyDescent="0.25">
      <c r="A48" s="5">
        <f>+'Index Pricing'!A33</f>
        <v>37222</v>
      </c>
      <c r="B48" s="135">
        <f>+'Index Pricing'!B33</f>
        <v>1.88</v>
      </c>
      <c r="C48" s="22">
        <f t="shared" si="1"/>
        <v>1.4145999999999999</v>
      </c>
      <c r="D48" s="480">
        <f t="shared" si="2"/>
        <v>110</v>
      </c>
      <c r="E48" s="489">
        <f>+'Index Pricing'!$B$4+$J$16</f>
        <v>2.3250000000000002</v>
      </c>
      <c r="F48" s="492">
        <f t="shared" si="3"/>
        <v>1559</v>
      </c>
      <c r="G48" s="23">
        <f>+'Index Pricing'!$B$3+$J$17</f>
        <v>2.0476000000000001</v>
      </c>
      <c r="H48" s="36">
        <f t="shared" si="0"/>
        <v>0</v>
      </c>
      <c r="I48" s="481">
        <f t="shared" si="10"/>
        <v>1.2795999999999998</v>
      </c>
      <c r="J48" s="403">
        <f t="shared" si="4"/>
        <v>0</v>
      </c>
      <c r="K48" s="14"/>
      <c r="L48" s="157">
        <f>'[1]Enron Detail'!V40</f>
        <v>-116</v>
      </c>
      <c r="M48" s="158">
        <f>'[1]Enron Detail'!U40</f>
        <v>1785</v>
      </c>
      <c r="N48" s="76">
        <f t="shared" si="5"/>
        <v>155.60599999999999</v>
      </c>
      <c r="O48" s="74">
        <f t="shared" si="6"/>
        <v>3624.6750000000002</v>
      </c>
      <c r="P48" s="74">
        <f t="shared" si="7"/>
        <v>0</v>
      </c>
      <c r="Q48" s="77">
        <f t="shared" si="8"/>
        <v>0</v>
      </c>
      <c r="R48" s="164">
        <f t="shared" si="9"/>
        <v>3780.2809999999999</v>
      </c>
    </row>
    <row r="49" spans="1:19" x14ac:dyDescent="0.25">
      <c r="A49" s="5">
        <f>+'Index Pricing'!A34</f>
        <v>37223</v>
      </c>
      <c r="B49" s="135">
        <f>+'Index Pricing'!B34</f>
        <v>2.16</v>
      </c>
      <c r="C49" s="22">
        <f t="shared" si="1"/>
        <v>1.6946000000000001</v>
      </c>
      <c r="D49" s="480">
        <f t="shared" si="2"/>
        <v>125</v>
      </c>
      <c r="E49" s="489">
        <f>+'Index Pricing'!$B$4+$J$16</f>
        <v>2.3250000000000002</v>
      </c>
      <c r="F49" s="492">
        <f t="shared" si="3"/>
        <v>1559</v>
      </c>
      <c r="G49" s="23">
        <f>+'Index Pricing'!$B$3+$J$17</f>
        <v>2.0476000000000001</v>
      </c>
      <c r="H49" s="36">
        <f t="shared" si="0"/>
        <v>0</v>
      </c>
      <c r="I49" s="481">
        <f t="shared" si="10"/>
        <v>1.5596000000000001</v>
      </c>
      <c r="J49" s="403">
        <f t="shared" si="4"/>
        <v>0</v>
      </c>
      <c r="K49" s="14"/>
      <c r="L49" s="157">
        <f>'[1]Enron Detail'!V41</f>
        <v>-93</v>
      </c>
      <c r="M49" s="158">
        <f>'[1]Enron Detail'!U41</f>
        <v>1777</v>
      </c>
      <c r="N49" s="76">
        <f t="shared" si="5"/>
        <v>211.82500000000002</v>
      </c>
      <c r="O49" s="74">
        <f t="shared" si="6"/>
        <v>3624.6750000000002</v>
      </c>
      <c r="P49" s="74">
        <f t="shared" si="7"/>
        <v>0</v>
      </c>
      <c r="Q49" s="77">
        <f t="shared" si="8"/>
        <v>0</v>
      </c>
      <c r="R49" s="164">
        <f t="shared" si="9"/>
        <v>3836.5</v>
      </c>
    </row>
    <row r="50" spans="1:19" x14ac:dyDescent="0.25">
      <c r="A50" s="5">
        <f>+'Index Pricing'!A35</f>
        <v>37224</v>
      </c>
      <c r="B50" s="135">
        <f>+'Index Pricing'!B35</f>
        <v>2.38</v>
      </c>
      <c r="C50" s="22">
        <f t="shared" si="1"/>
        <v>1.9145999999999999</v>
      </c>
      <c r="D50" s="480">
        <f t="shared" si="2"/>
        <v>123</v>
      </c>
      <c r="E50" s="489">
        <f>+'Index Pricing'!$B$4+$J$16</f>
        <v>2.3250000000000002</v>
      </c>
      <c r="F50" s="492">
        <f t="shared" si="3"/>
        <v>1559</v>
      </c>
      <c r="G50" s="23">
        <f>+'Index Pricing'!$B$3+$J$17</f>
        <v>2.0476000000000001</v>
      </c>
      <c r="H50" s="36">
        <f t="shared" si="0"/>
        <v>0</v>
      </c>
      <c r="I50" s="481">
        <f t="shared" si="10"/>
        <v>1.7795999999999998</v>
      </c>
      <c r="J50" s="403">
        <f t="shared" si="4"/>
        <v>0</v>
      </c>
      <c r="K50" s="14"/>
      <c r="L50" s="157">
        <f>'[1]Enron Detail'!V42</f>
        <v>-130</v>
      </c>
      <c r="M50" s="158">
        <f>'[1]Enron Detail'!U42</f>
        <v>1812</v>
      </c>
      <c r="N50" s="76">
        <f>+C50*D50</f>
        <v>235.49579999999997</v>
      </c>
      <c r="O50" s="74">
        <f>+E50*F50</f>
        <v>3624.6750000000002</v>
      </c>
      <c r="P50" s="74">
        <f>+G50*H50</f>
        <v>0</v>
      </c>
      <c r="Q50" s="77">
        <f t="shared" si="8"/>
        <v>0</v>
      </c>
      <c r="R50" s="164">
        <f t="shared" si="9"/>
        <v>3860.1708000000003</v>
      </c>
    </row>
    <row r="51" spans="1:19" x14ac:dyDescent="0.25">
      <c r="A51" s="5">
        <f>+'Index Pricing'!A36</f>
        <v>37225</v>
      </c>
      <c r="B51" s="135">
        <f>+'Index Pricing'!B36</f>
        <v>2.0249999999999999</v>
      </c>
      <c r="C51" s="22">
        <f t="shared" si="1"/>
        <v>1.5595999999999999</v>
      </c>
      <c r="D51" s="480">
        <f t="shared" si="2"/>
        <v>86</v>
      </c>
      <c r="E51" s="489">
        <f>+'Index Pricing'!$B$4+$J$16</f>
        <v>2.3250000000000002</v>
      </c>
      <c r="F51" s="492">
        <f t="shared" si="3"/>
        <v>1559</v>
      </c>
      <c r="G51" s="23">
        <f>+'Index Pricing'!$B$3+$J$17</f>
        <v>2.0476000000000001</v>
      </c>
      <c r="H51" s="36">
        <f t="shared" si="0"/>
        <v>0</v>
      </c>
      <c r="I51" s="481">
        <f t="shared" si="10"/>
        <v>1.4245999999999999</v>
      </c>
      <c r="J51" s="403">
        <f t="shared" si="4"/>
        <v>0</v>
      </c>
      <c r="K51" s="14"/>
      <c r="L51" s="157">
        <f>'[1]Enron Detail'!V43</f>
        <v>-123</v>
      </c>
      <c r="M51" s="158">
        <f>'[1]Enron Detail'!U43</f>
        <v>1768</v>
      </c>
      <c r="N51" s="76">
        <f>+C51*D51</f>
        <v>134.12559999999999</v>
      </c>
      <c r="O51" s="74">
        <f>+E51*F51</f>
        <v>3624.6750000000002</v>
      </c>
      <c r="P51" s="74">
        <f>+G51*H51</f>
        <v>0</v>
      </c>
      <c r="Q51" s="77">
        <f t="shared" si="8"/>
        <v>0</v>
      </c>
      <c r="R51" s="164">
        <f t="shared" si="9"/>
        <v>3758.8006</v>
      </c>
    </row>
    <row r="52" spans="1:19" x14ac:dyDescent="0.25">
      <c r="A52" s="5"/>
      <c r="B52" s="135"/>
      <c r="C52" s="22"/>
      <c r="D52" s="480"/>
      <c r="E52" s="489"/>
      <c r="F52" s="492"/>
      <c r="G52" s="23"/>
      <c r="H52" s="36"/>
      <c r="I52" s="481"/>
      <c r="J52" s="403"/>
      <c r="K52" s="14"/>
      <c r="L52" s="157"/>
      <c r="M52" s="158"/>
      <c r="N52" s="76"/>
      <c r="O52" s="74"/>
      <c r="P52" s="74"/>
      <c r="Q52" s="77"/>
      <c r="R52" s="164"/>
    </row>
    <row r="53" spans="1:19" x14ac:dyDescent="0.25">
      <c r="A53" s="5"/>
      <c r="B53" s="135"/>
      <c r="C53" s="22"/>
      <c r="D53" s="480"/>
      <c r="E53" s="489"/>
      <c r="F53" s="492"/>
      <c r="G53" s="23"/>
      <c r="H53" s="36"/>
      <c r="I53" s="481"/>
      <c r="J53" s="403"/>
      <c r="K53" s="14"/>
      <c r="L53" s="157"/>
      <c r="M53" s="158"/>
      <c r="N53" s="76"/>
      <c r="O53" s="74"/>
      <c r="P53" s="74"/>
      <c r="Q53" s="77"/>
      <c r="R53" s="164"/>
      <c r="S53" s="77"/>
    </row>
    <row r="54" spans="1:19" ht="13.8" thickBot="1" x14ac:dyDescent="0.3">
      <c r="B54" s="495"/>
      <c r="C54" s="15"/>
      <c r="D54" s="37">
        <f>SUM(D22:D53)</f>
        <v>3729</v>
      </c>
      <c r="E54" s="49"/>
      <c r="F54" s="490">
        <f>SUM(F22:F53)</f>
        <v>45596</v>
      </c>
      <c r="G54" s="15"/>
      <c r="H54" s="490">
        <f>SUM(H22:H53)</f>
        <v>0</v>
      </c>
      <c r="I54" s="49"/>
      <c r="J54" s="490">
        <f>SUM(J22:J53)</f>
        <v>0</v>
      </c>
      <c r="K54" s="15"/>
      <c r="L54" s="484">
        <f t="shared" ref="L54:Q54" si="11">SUM(L22:L53)</f>
        <v>-3547</v>
      </c>
      <c r="M54" s="37">
        <f t="shared" si="11"/>
        <v>52872</v>
      </c>
      <c r="N54" s="78">
        <f t="shared" si="11"/>
        <v>4745.1833999999999</v>
      </c>
      <c r="O54" s="79">
        <f t="shared" si="11"/>
        <v>106010.70000000006</v>
      </c>
      <c r="P54" s="79">
        <f t="shared" si="11"/>
        <v>0</v>
      </c>
      <c r="Q54" s="80">
        <f t="shared" si="11"/>
        <v>0</v>
      </c>
      <c r="R54" s="165">
        <f>SUM(R22:R53)</f>
        <v>110755.88340000002</v>
      </c>
    </row>
    <row r="55" spans="1:19" x14ac:dyDescent="0.25">
      <c r="B55" s="170"/>
      <c r="L55" s="44">
        <f>+L54/M54</f>
        <v>-6.7086548645786045E-2</v>
      </c>
    </row>
    <row r="56" spans="1:19" x14ac:dyDescent="0.25">
      <c r="M56" t="s">
        <v>138</v>
      </c>
      <c r="N56" s="4">
        <f>+N54/D54</f>
        <v>1.2725082864038615</v>
      </c>
      <c r="O56" s="4">
        <f>+O54/F54</f>
        <v>2.3250000000000011</v>
      </c>
      <c r="P56" s="239" t="e">
        <f>P54/H54</f>
        <v>#DIV/0!</v>
      </c>
      <c r="Q56" s="4" t="e">
        <f>Q54/J54</f>
        <v>#DIV/0!</v>
      </c>
      <c r="R56" s="4">
        <f>+R54/(M54+L54)</f>
        <v>2.2454309863152564</v>
      </c>
    </row>
    <row r="58" spans="1:19" x14ac:dyDescent="0.25">
      <c r="A58" t="s">
        <v>217</v>
      </c>
    </row>
  </sheetData>
  <phoneticPr fontId="0" type="noConversion"/>
  <pageMargins left="0.25" right="0.25" top="0.25" bottom="0.25" header="0.5" footer="0.5"/>
  <pageSetup paperSize="5" scale="55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r:id="rId5">
            <anchor moveWithCells="1">
              <from>
                <xdr:col>4</xdr:col>
                <xdr:colOff>601980</xdr:colOff>
                <xdr:row>0</xdr:row>
                <xdr:rowOff>22860</xdr:rowOff>
              </from>
              <to>
                <xdr:col>5</xdr:col>
                <xdr:colOff>7620</xdr:colOff>
                <xdr:row>3</xdr:row>
                <xdr:rowOff>68580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H40"/>
  <sheetViews>
    <sheetView showGridLines="0" zoomScale="75" workbookViewId="0">
      <selection sqref="A1:IV65536"/>
    </sheetView>
  </sheetViews>
  <sheetFormatPr defaultRowHeight="13.2" x14ac:dyDescent="0.25"/>
  <cols>
    <col min="1" max="1" width="22.109375" customWidth="1"/>
    <col min="2" max="2" width="34.109375" bestFit="1" customWidth="1"/>
    <col min="3" max="3" width="32.88671875" customWidth="1"/>
    <col min="4" max="4" width="19.5546875" bestFit="1" customWidth="1"/>
    <col min="5" max="5" width="19.5546875" customWidth="1"/>
    <col min="6" max="6" width="46.44140625" bestFit="1" customWidth="1"/>
    <col min="7" max="7" width="29.44140625" customWidth="1"/>
  </cols>
  <sheetData>
    <row r="1" spans="1:8" x14ac:dyDescent="0.25">
      <c r="A1" t="s">
        <v>391</v>
      </c>
      <c r="C1" s="54" t="s">
        <v>74</v>
      </c>
      <c r="D1" s="55"/>
      <c r="E1" s="55"/>
      <c r="F1" s="56" t="s">
        <v>75</v>
      </c>
      <c r="G1" s="66"/>
    </row>
    <row r="2" spans="1:8" x14ac:dyDescent="0.25">
      <c r="C2" s="50"/>
      <c r="D2" s="51"/>
      <c r="E2" s="51"/>
      <c r="F2" s="57" t="s">
        <v>277</v>
      </c>
      <c r="G2" s="58" t="s">
        <v>82</v>
      </c>
    </row>
    <row r="3" spans="1:8" x14ac:dyDescent="0.25">
      <c r="C3" s="50" t="s">
        <v>71</v>
      </c>
      <c r="D3" s="51"/>
      <c r="E3" s="51"/>
      <c r="F3" s="57" t="s">
        <v>278</v>
      </c>
      <c r="G3" s="232">
        <f ca="1">TODAY()</f>
        <v>37238</v>
      </c>
    </row>
    <row r="4" spans="1:8" x14ac:dyDescent="0.25">
      <c r="C4" s="50"/>
      <c r="D4" s="51"/>
      <c r="E4" s="51"/>
      <c r="F4" s="57" t="s">
        <v>279</v>
      </c>
      <c r="G4" s="57"/>
    </row>
    <row r="5" spans="1:8" x14ac:dyDescent="0.25">
      <c r="C5" s="50"/>
      <c r="D5" s="51"/>
      <c r="E5" s="51"/>
      <c r="F5" s="57" t="s">
        <v>280</v>
      </c>
      <c r="G5" s="58" t="s">
        <v>83</v>
      </c>
    </row>
    <row r="6" spans="1:8" x14ac:dyDescent="0.25">
      <c r="C6" s="50"/>
      <c r="D6" s="51"/>
      <c r="E6" s="51"/>
      <c r="F6" s="57" t="s">
        <v>281</v>
      </c>
      <c r="G6" s="127">
        <v>37251</v>
      </c>
    </row>
    <row r="7" spans="1:8" x14ac:dyDescent="0.25">
      <c r="C7" s="50"/>
      <c r="D7" s="51"/>
      <c r="E7" s="51"/>
      <c r="F7" s="57" t="s">
        <v>282</v>
      </c>
      <c r="G7" s="57"/>
    </row>
    <row r="8" spans="1:8" x14ac:dyDescent="0.25">
      <c r="C8" s="50"/>
      <c r="D8" s="51"/>
      <c r="E8" s="51"/>
      <c r="G8" s="58" t="s">
        <v>84</v>
      </c>
    </row>
    <row r="9" spans="1:8" x14ac:dyDescent="0.25">
      <c r="C9" s="50" t="s">
        <v>203</v>
      </c>
      <c r="D9" s="51"/>
      <c r="E9" s="51"/>
      <c r="F9" s="57" t="s">
        <v>283</v>
      </c>
      <c r="G9" s="102" t="s">
        <v>85</v>
      </c>
    </row>
    <row r="10" spans="1:8" x14ac:dyDescent="0.25">
      <c r="C10" s="50" t="s">
        <v>164</v>
      </c>
      <c r="D10" s="51"/>
      <c r="E10" s="51"/>
      <c r="F10" s="57" t="s">
        <v>284</v>
      </c>
      <c r="G10" s="58" t="s">
        <v>139</v>
      </c>
    </row>
    <row r="11" spans="1:8" x14ac:dyDescent="0.25">
      <c r="A11" s="68" t="s">
        <v>71</v>
      </c>
      <c r="B11" s="67"/>
      <c r="C11" s="52" t="s">
        <v>76</v>
      </c>
      <c r="D11" s="53"/>
      <c r="E11" s="53"/>
      <c r="F11" s="60" t="s">
        <v>285</v>
      </c>
      <c r="G11" s="59" t="s">
        <v>286</v>
      </c>
    </row>
    <row r="12" spans="1:8" ht="13.8" thickBot="1" x14ac:dyDescent="0.3">
      <c r="A12" s="150">
        <f ca="1">NOW()</f>
        <v>37238.587624189815</v>
      </c>
      <c r="B12" s="49"/>
      <c r="C12" s="49"/>
      <c r="D12" s="49"/>
      <c r="E12" s="49"/>
      <c r="F12" s="49"/>
      <c r="G12" s="49"/>
      <c r="H12" s="30"/>
    </row>
    <row r="13" spans="1:8" x14ac:dyDescent="0.25">
      <c r="A13" s="7" t="s">
        <v>86</v>
      </c>
      <c r="B13" s="7" t="s">
        <v>72</v>
      </c>
      <c r="C13" s="7" t="s">
        <v>73</v>
      </c>
      <c r="D13" s="7"/>
      <c r="E13" s="7"/>
    </row>
    <row r="14" spans="1:8" x14ac:dyDescent="0.25">
      <c r="A14" s="119">
        <f>+'Index Pricing'!A1</f>
        <v>37196</v>
      </c>
      <c r="B14" s="63" t="s">
        <v>264</v>
      </c>
      <c r="C14" t="s">
        <v>265</v>
      </c>
      <c r="D14" s="62"/>
      <c r="E14" s="62"/>
    </row>
    <row r="18" spans="1:7" x14ac:dyDescent="0.25">
      <c r="B18" s="101" t="s">
        <v>10</v>
      </c>
      <c r="C18" s="98" t="s">
        <v>135</v>
      </c>
      <c r="D18" s="100" t="s">
        <v>88</v>
      </c>
      <c r="E18" s="99" t="s">
        <v>180</v>
      </c>
      <c r="F18" s="99" t="s">
        <v>87</v>
      </c>
      <c r="G18" s="100" t="s">
        <v>89</v>
      </c>
    </row>
    <row r="19" spans="1:7" x14ac:dyDescent="0.25">
      <c r="A19" t="str">
        <f>+'Phillips Summary'!A22</f>
        <v>11/01/01 - 11/30/01</v>
      </c>
      <c r="B19" t="s">
        <v>11</v>
      </c>
      <c r="C19" s="4">
        <f>+'North Finn Detail'!F13</f>
        <v>-0.64629999999999999</v>
      </c>
      <c r="D19" s="65">
        <f>+'North Finn Detail'!H53</f>
        <v>1.1445463153782294</v>
      </c>
      <c r="E19" s="29">
        <f>+F19/'North Finn Detail'!$B$7</f>
        <v>21829.228875908502</v>
      </c>
      <c r="F19" s="29">
        <f>+'North Finn Detail'!D51</f>
        <v>20477</v>
      </c>
      <c r="G19" s="83">
        <f>+'North Finn Detail'!I51</f>
        <v>23436.874900000003</v>
      </c>
    </row>
    <row r="20" spans="1:7" x14ac:dyDescent="0.25">
      <c r="A20" t="str">
        <f>+A19</f>
        <v>11/01/01 - 11/30/01</v>
      </c>
      <c r="C20" t="s">
        <v>142</v>
      </c>
      <c r="D20" s="104" t="s">
        <v>143</v>
      </c>
      <c r="E20" s="29">
        <f>+F20/'North Finn Detail'!$B$7</f>
        <v>2078.7711240914969</v>
      </c>
      <c r="F20" s="29">
        <f>-+'North Finn Detail'!F51</f>
        <v>1950</v>
      </c>
      <c r="G20" s="105" t="s">
        <v>144</v>
      </c>
    </row>
    <row r="21" spans="1:7" x14ac:dyDescent="0.25">
      <c r="A21" s="47"/>
      <c r="B21" s="7"/>
      <c r="C21" s="7"/>
      <c r="D21" s="151"/>
      <c r="E21" s="29">
        <f>+F21/'Wellstar Detail'!B$7</f>
        <v>24162.725601452566</v>
      </c>
      <c r="F21" s="47">
        <f>SUM(F19:F20)</f>
        <v>22427</v>
      </c>
      <c r="G21" s="139">
        <f>SUM(G19:G20)</f>
        <v>23436.874900000003</v>
      </c>
    </row>
    <row r="23" spans="1:7" x14ac:dyDescent="0.25">
      <c r="A23" s="7"/>
      <c r="D23" s="104"/>
      <c r="E23" s="104"/>
      <c r="F23" s="29"/>
      <c r="G23" s="139"/>
    </row>
    <row r="24" spans="1:7" ht="15" x14ac:dyDescent="0.4">
      <c r="A24" s="7"/>
      <c r="C24" s="177"/>
      <c r="D24" s="178"/>
      <c r="E24" s="178"/>
      <c r="F24" s="179"/>
      <c r="G24" s="139"/>
    </row>
    <row r="25" spans="1:7" x14ac:dyDescent="0.25">
      <c r="A25" s="175"/>
      <c r="C25" s="136"/>
      <c r="D25" s="176"/>
      <c r="E25" s="180"/>
      <c r="F25" s="29"/>
      <c r="G25" s="139"/>
    </row>
    <row r="26" spans="1:7" x14ac:dyDescent="0.25">
      <c r="A26" s="175"/>
      <c r="C26" s="136"/>
      <c r="D26" s="176"/>
      <c r="E26" s="180"/>
      <c r="F26" s="29"/>
      <c r="G26" s="139"/>
    </row>
    <row r="27" spans="1:7" x14ac:dyDescent="0.25">
      <c r="A27" s="175"/>
      <c r="C27" s="136"/>
      <c r="D27" s="176"/>
      <c r="E27" s="180"/>
      <c r="F27" s="29"/>
      <c r="G27" s="139"/>
    </row>
    <row r="28" spans="1:7" x14ac:dyDescent="0.25">
      <c r="A28" s="175"/>
      <c r="C28" s="136"/>
      <c r="D28" s="176"/>
      <c r="E28" s="180"/>
      <c r="F28" s="29"/>
      <c r="G28" s="139"/>
    </row>
    <row r="29" spans="1:7" x14ac:dyDescent="0.25">
      <c r="A29" s="175"/>
      <c r="C29" s="136"/>
      <c r="D29" s="176"/>
      <c r="E29" s="180"/>
      <c r="F29" s="29"/>
      <c r="G29" s="139"/>
    </row>
    <row r="30" spans="1:7" x14ac:dyDescent="0.25">
      <c r="A30" s="175"/>
      <c r="C30" s="136"/>
      <c r="D30" s="176"/>
      <c r="E30" s="180"/>
      <c r="F30" s="29"/>
      <c r="G30" s="139"/>
    </row>
    <row r="31" spans="1:7" x14ac:dyDescent="0.25">
      <c r="A31" s="175"/>
      <c r="C31" s="136"/>
      <c r="D31" s="176"/>
      <c r="E31" s="180"/>
      <c r="F31" s="29"/>
      <c r="G31" s="139"/>
    </row>
    <row r="32" spans="1:7" x14ac:dyDescent="0.25">
      <c r="A32" s="175"/>
      <c r="C32" s="136"/>
      <c r="D32" s="176"/>
      <c r="E32" s="180"/>
      <c r="F32" s="29"/>
      <c r="G32" s="139"/>
    </row>
    <row r="33" spans="1:7" x14ac:dyDescent="0.25">
      <c r="B33" s="64"/>
      <c r="C33" s="7"/>
    </row>
    <row r="34" spans="1:7" x14ac:dyDescent="0.25">
      <c r="A34" s="61"/>
      <c r="B34" s="63"/>
    </row>
    <row r="35" spans="1:7" x14ac:dyDescent="0.25">
      <c r="D35" s="7" t="s">
        <v>137</v>
      </c>
      <c r="E35" s="7"/>
      <c r="F35" s="97"/>
      <c r="G35" s="92">
        <f>SUM(G21:G32)</f>
        <v>23436.874900000003</v>
      </c>
    </row>
    <row r="36" spans="1:7" x14ac:dyDescent="0.25">
      <c r="B36" s="64"/>
    </row>
    <row r="37" spans="1:7" x14ac:dyDescent="0.25">
      <c r="B37" s="7"/>
      <c r="C37" s="7"/>
    </row>
    <row r="38" spans="1:7" x14ac:dyDescent="0.25">
      <c r="B38" s="63"/>
    </row>
    <row r="39" spans="1:7" x14ac:dyDescent="0.25">
      <c r="B39" s="64"/>
    </row>
    <row r="40" spans="1:7" x14ac:dyDescent="0.25">
      <c r="B40" s="64"/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7649" r:id="rId4">
          <objectPr defaultSize="0" autoPict="0" r:id="rId5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175260</xdr:colOff>
                <xdr:row>6</xdr:row>
                <xdr:rowOff>22860</xdr:rowOff>
              </to>
            </anchor>
          </objectPr>
        </oleObject>
      </mc:Choice>
      <mc:Fallback>
        <oleObject progId="Paint.Picture" shapeId="27649" r:id="rId4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M55"/>
  <sheetViews>
    <sheetView showGridLines="0" topLeftCell="A2" zoomScale="75" workbookViewId="0">
      <selection activeCell="A2" sqref="A1:IV65536"/>
    </sheetView>
  </sheetViews>
  <sheetFormatPr defaultRowHeight="13.2" x14ac:dyDescent="0.25"/>
  <cols>
    <col min="1" max="1" width="24.33203125" customWidth="1"/>
    <col min="2" max="2" width="17" bestFit="1" customWidth="1"/>
    <col min="3" max="3" width="19.44140625" customWidth="1"/>
    <col min="4" max="4" width="18.109375" bestFit="1" customWidth="1"/>
    <col min="5" max="5" width="17.44140625" bestFit="1" customWidth="1"/>
    <col min="6" max="6" width="22.6640625" bestFit="1" customWidth="1"/>
    <col min="7" max="7" width="15.5546875" bestFit="1" customWidth="1"/>
    <col min="8" max="8" width="14.109375" customWidth="1"/>
    <col min="9" max="9" width="13.109375" customWidth="1"/>
    <col min="10" max="11" width="19.33203125" bestFit="1" customWidth="1"/>
    <col min="12" max="12" width="18.6640625" bestFit="1" customWidth="1"/>
    <col min="13" max="13" width="19.33203125" bestFit="1" customWidth="1"/>
  </cols>
  <sheetData>
    <row r="1" spans="1:13" x14ac:dyDescent="0.25">
      <c r="A1" s="7" t="s">
        <v>264</v>
      </c>
      <c r="B1" s="7" t="s">
        <v>28</v>
      </c>
      <c r="C1" s="7" t="s">
        <v>287</v>
      </c>
      <c r="F1" t="s">
        <v>195</v>
      </c>
      <c r="H1" s="7"/>
      <c r="M1" s="149">
        <f ca="1">NOW()</f>
        <v>37238.587624189815</v>
      </c>
    </row>
    <row r="2" spans="1:13" x14ac:dyDescent="0.25">
      <c r="A2" s="8">
        <f>+'Index Pricing'!A1</f>
        <v>37196</v>
      </c>
      <c r="B2" s="7" t="s">
        <v>36</v>
      </c>
      <c r="C2" s="7" t="s">
        <v>288</v>
      </c>
      <c r="H2" s="7"/>
    </row>
    <row r="3" spans="1:13" x14ac:dyDescent="0.25">
      <c r="A3" s="8"/>
      <c r="B3" s="7" t="s">
        <v>37</v>
      </c>
      <c r="C3" s="7"/>
      <c r="F3" t="s">
        <v>41</v>
      </c>
      <c r="G3" t="s">
        <v>42</v>
      </c>
      <c r="H3" s="7"/>
    </row>
    <row r="4" spans="1:13" x14ac:dyDescent="0.25">
      <c r="A4" s="8"/>
      <c r="B4" s="7"/>
      <c r="C4" s="7"/>
      <c r="H4" s="7"/>
    </row>
    <row r="5" spans="1:13" x14ac:dyDescent="0.25">
      <c r="A5" s="8" t="s">
        <v>65</v>
      </c>
      <c r="B5" s="168">
        <v>0</v>
      </c>
      <c r="C5" s="7"/>
      <c r="H5" s="7"/>
    </row>
    <row r="6" spans="1:13" x14ac:dyDescent="0.25">
      <c r="A6" s="8" t="s">
        <v>290</v>
      </c>
      <c r="B6" s="168">
        <v>704</v>
      </c>
      <c r="C6" s="7" t="s">
        <v>155</v>
      </c>
      <c r="H6" s="7"/>
    </row>
    <row r="7" spans="1:13" x14ac:dyDescent="0.25">
      <c r="A7" s="1" t="s">
        <v>56</v>
      </c>
      <c r="B7" s="133">
        <f>'[1]Enron Detail'!$X$9</f>
        <v>0.93805420779655346</v>
      </c>
    </row>
    <row r="8" spans="1:13" x14ac:dyDescent="0.25">
      <c r="A8" s="1" t="s">
        <v>43</v>
      </c>
      <c r="B8" s="3">
        <v>0.48499999999999999</v>
      </c>
      <c r="C8" t="s">
        <v>8</v>
      </c>
    </row>
    <row r="9" spans="1:13" x14ac:dyDescent="0.25">
      <c r="A9" s="1" t="s">
        <v>0</v>
      </c>
      <c r="B9" s="2">
        <f>'Index Pricing'!B3</f>
        <v>2.54</v>
      </c>
    </row>
    <row r="10" spans="1:13" x14ac:dyDescent="0.25">
      <c r="A10" s="1"/>
      <c r="B10" s="2"/>
    </row>
    <row r="11" spans="1:13" ht="13.8" thickBot="1" x14ac:dyDescent="0.3">
      <c r="A11" s="1"/>
    </row>
    <row r="12" spans="1:13" s="67" customFormat="1" ht="26.4" x14ac:dyDescent="0.25">
      <c r="A12" s="221"/>
      <c r="B12" s="222"/>
      <c r="C12" s="210" t="s">
        <v>14</v>
      </c>
      <c r="D12" s="210" t="s">
        <v>378</v>
      </c>
      <c r="E12" s="210" t="s">
        <v>216</v>
      </c>
      <c r="F12" s="223" t="s">
        <v>9</v>
      </c>
      <c r="G12" s="90"/>
      <c r="H12" s="90"/>
      <c r="I12" s="90"/>
    </row>
    <row r="13" spans="1:13" x14ac:dyDescent="0.25">
      <c r="A13" s="182" t="s">
        <v>4</v>
      </c>
      <c r="B13" s="183" t="s">
        <v>3</v>
      </c>
      <c r="C13" s="244">
        <v>-0.08</v>
      </c>
      <c r="D13" s="183">
        <f>-B8/B7</f>
        <v>-0.51702768983814151</v>
      </c>
      <c r="E13" s="183">
        <f>-F51*D13/(D51)</f>
        <v>-4.923592299576969E-2</v>
      </c>
      <c r="F13" s="185">
        <f>ROUND(SUM(C13:E13),4)</f>
        <v>-0.64629999999999999</v>
      </c>
    </row>
    <row r="14" spans="1:13" x14ac:dyDescent="0.25">
      <c r="A14" s="182"/>
      <c r="B14" s="183"/>
      <c r="C14" s="184"/>
      <c r="D14" s="183"/>
      <c r="E14" s="183"/>
      <c r="F14" s="185"/>
    </row>
    <row r="15" spans="1:13" ht="13.8" thickBot="1" x14ac:dyDescent="0.3">
      <c r="A15" s="186"/>
      <c r="B15" s="187"/>
      <c r="C15" s="188"/>
      <c r="D15" s="187"/>
      <c r="E15" s="187"/>
      <c r="F15" s="189"/>
    </row>
    <row r="16" spans="1:13" ht="13.8" thickBot="1" x14ac:dyDescent="0.3"/>
    <row r="17" spans="1:9" ht="26.4" x14ac:dyDescent="0.25">
      <c r="A17" s="6"/>
      <c r="B17" s="75"/>
      <c r="C17" s="20"/>
      <c r="D17" s="167" t="s">
        <v>384</v>
      </c>
      <c r="E17" s="40"/>
      <c r="F17" s="166" t="s">
        <v>266</v>
      </c>
      <c r="G17" s="166" t="s">
        <v>34</v>
      </c>
      <c r="H17" s="250" t="s">
        <v>386</v>
      </c>
      <c r="I17" s="111" t="s">
        <v>26</v>
      </c>
    </row>
    <row r="18" spans="1:9" ht="27" thickBot="1" x14ac:dyDescent="0.3">
      <c r="B18" s="15" t="s">
        <v>3</v>
      </c>
      <c r="C18" s="249" t="s">
        <v>385</v>
      </c>
      <c r="D18" s="12"/>
      <c r="E18" s="49"/>
      <c r="F18" s="49"/>
      <c r="G18" s="49"/>
      <c r="H18" s="15"/>
      <c r="I18" s="114"/>
    </row>
    <row r="19" spans="1:9" ht="13.8" thickBot="1" x14ac:dyDescent="0.3">
      <c r="A19" s="5">
        <f>+'Index Pricing'!A7</f>
        <v>37196</v>
      </c>
      <c r="B19" s="134">
        <f>+'Index Pricing'!B7</f>
        <v>2.67</v>
      </c>
      <c r="C19" s="236">
        <f>+B19+$F$13</f>
        <v>2.0236999999999998</v>
      </c>
      <c r="D19" s="233">
        <f>+G19+F19</f>
        <v>790</v>
      </c>
      <c r="E19" s="30"/>
      <c r="F19" s="19">
        <f>'[1]Enron Detail'!Y14</f>
        <v>-74</v>
      </c>
      <c r="G19" s="32">
        <f>'[1]Enron Detail'!X14</f>
        <v>864</v>
      </c>
      <c r="H19" s="76">
        <f>+C19*D19</f>
        <v>1598.723</v>
      </c>
      <c r="I19" s="239">
        <f>+C19*D19</f>
        <v>1598.723</v>
      </c>
    </row>
    <row r="20" spans="1:9" x14ac:dyDescent="0.25">
      <c r="A20" s="5">
        <f>+'Index Pricing'!A8</f>
        <v>37197</v>
      </c>
      <c r="B20" s="135">
        <f>+'Index Pricing'!B8</f>
        <v>2.36</v>
      </c>
      <c r="C20" s="237">
        <f t="shared" ref="C20:C48" si="0">+B20+$F$13</f>
        <v>1.7136999999999998</v>
      </c>
      <c r="D20" s="234">
        <f t="shared" ref="D20:D48" si="1">+G20+F20</f>
        <v>565</v>
      </c>
      <c r="E20" s="30"/>
      <c r="F20" s="19">
        <f>'[1]Enron Detail'!Y15</f>
        <v>-59</v>
      </c>
      <c r="G20" s="32">
        <f>'[1]Enron Detail'!X15</f>
        <v>624</v>
      </c>
      <c r="H20" s="240">
        <f t="shared" ref="H20:H48" si="2">+C20*D20</f>
        <v>968.24049999999988</v>
      </c>
      <c r="I20" s="242">
        <f t="shared" ref="I20:I48" si="3">+C20*D20</f>
        <v>968.24049999999988</v>
      </c>
    </row>
    <row r="21" spans="1:9" x14ac:dyDescent="0.25">
      <c r="A21" s="5">
        <f>+'Index Pricing'!A9</f>
        <v>37198</v>
      </c>
      <c r="B21" s="135">
        <f>+'Index Pricing'!B9</f>
        <v>2.0150000000000001</v>
      </c>
      <c r="C21" s="237">
        <f t="shared" si="0"/>
        <v>1.3687</v>
      </c>
      <c r="D21" s="234">
        <f t="shared" si="1"/>
        <v>775</v>
      </c>
      <c r="E21" s="30"/>
      <c r="F21" s="19">
        <f>'[1]Enron Detail'!Y16</f>
        <v>-73</v>
      </c>
      <c r="G21" s="32">
        <f>'[1]Enron Detail'!X16</f>
        <v>848</v>
      </c>
      <c r="H21" s="76">
        <f t="shared" si="2"/>
        <v>1060.7425000000001</v>
      </c>
      <c r="I21" s="242">
        <f t="shared" si="3"/>
        <v>1060.7425000000001</v>
      </c>
    </row>
    <row r="22" spans="1:9" x14ac:dyDescent="0.25">
      <c r="A22" s="5">
        <f>+'Index Pricing'!A10</f>
        <v>37199</v>
      </c>
      <c r="B22" s="135">
        <f>+'Index Pricing'!B10</f>
        <v>2.0150000000000001</v>
      </c>
      <c r="C22" s="237">
        <f t="shared" si="0"/>
        <v>1.3687</v>
      </c>
      <c r="D22" s="234">
        <f t="shared" si="1"/>
        <v>138</v>
      </c>
      <c r="E22" s="30"/>
      <c r="F22" s="19">
        <f>'[1]Enron Detail'!Y17</f>
        <v>-13</v>
      </c>
      <c r="G22" s="32">
        <f>'[1]Enron Detail'!X17</f>
        <v>151</v>
      </c>
      <c r="H22" s="76">
        <f t="shared" si="2"/>
        <v>188.88060000000002</v>
      </c>
      <c r="I22" s="242">
        <f t="shared" si="3"/>
        <v>188.88060000000002</v>
      </c>
    </row>
    <row r="23" spans="1:9" x14ac:dyDescent="0.25">
      <c r="A23" s="5">
        <f>+'Index Pricing'!A11</f>
        <v>37200</v>
      </c>
      <c r="B23" s="135">
        <f>+'Index Pricing'!B11</f>
        <v>2.0150000000000001</v>
      </c>
      <c r="C23" s="237">
        <f t="shared" si="0"/>
        <v>1.3687</v>
      </c>
      <c r="D23" s="234">
        <f t="shared" si="1"/>
        <v>712</v>
      </c>
      <c r="E23" s="30"/>
      <c r="F23" s="19">
        <f>'[1]Enron Detail'!Y18</f>
        <v>-64</v>
      </c>
      <c r="G23" s="32">
        <f>'[1]Enron Detail'!X18</f>
        <v>776</v>
      </c>
      <c r="H23" s="76">
        <f t="shared" si="2"/>
        <v>974.51440000000002</v>
      </c>
      <c r="I23" s="242">
        <f t="shared" si="3"/>
        <v>974.51440000000002</v>
      </c>
    </row>
    <row r="24" spans="1:9" x14ac:dyDescent="0.25">
      <c r="A24" s="5">
        <f>+'Index Pricing'!A12</f>
        <v>37201</v>
      </c>
      <c r="B24" s="135">
        <f>+'Index Pricing'!B12</f>
        <v>2.16</v>
      </c>
      <c r="C24" s="237">
        <f t="shared" si="0"/>
        <v>1.5137</v>
      </c>
      <c r="D24" s="234">
        <f t="shared" si="1"/>
        <v>774</v>
      </c>
      <c r="E24" s="30"/>
      <c r="F24" s="19">
        <f>'[1]Enron Detail'!Y19</f>
        <v>-73</v>
      </c>
      <c r="G24" s="32">
        <f>'[1]Enron Detail'!X19</f>
        <v>847</v>
      </c>
      <c r="H24" s="76">
        <f t="shared" si="2"/>
        <v>1171.6038000000001</v>
      </c>
      <c r="I24" s="242">
        <f t="shared" si="3"/>
        <v>1171.6038000000001</v>
      </c>
    </row>
    <row r="25" spans="1:9" x14ac:dyDescent="0.25">
      <c r="A25" s="5">
        <f>+'Index Pricing'!A13</f>
        <v>37202</v>
      </c>
      <c r="B25" s="135">
        <f>+'Index Pricing'!B13</f>
        <v>2.1349999999999998</v>
      </c>
      <c r="C25" s="237">
        <f t="shared" si="0"/>
        <v>1.4886999999999997</v>
      </c>
      <c r="D25" s="234">
        <f t="shared" si="1"/>
        <v>809</v>
      </c>
      <c r="E25" s="30"/>
      <c r="F25" s="19">
        <f>'[1]Enron Detail'!Y20</f>
        <v>-75</v>
      </c>
      <c r="G25" s="32">
        <f>'[1]Enron Detail'!X20</f>
        <v>884</v>
      </c>
      <c r="H25" s="76">
        <f t="shared" si="2"/>
        <v>1204.3582999999996</v>
      </c>
      <c r="I25" s="242">
        <f t="shared" si="3"/>
        <v>1204.3582999999996</v>
      </c>
    </row>
    <row r="26" spans="1:9" x14ac:dyDescent="0.25">
      <c r="A26" s="5">
        <f>+'Index Pricing'!A14</f>
        <v>37203</v>
      </c>
      <c r="B26" s="135">
        <f>+'Index Pricing'!B14</f>
        <v>2.13</v>
      </c>
      <c r="C26" s="237">
        <f t="shared" si="0"/>
        <v>1.4836999999999998</v>
      </c>
      <c r="D26" s="234">
        <f t="shared" si="1"/>
        <v>824</v>
      </c>
      <c r="E26" s="30"/>
      <c r="F26" s="19">
        <f>'[1]Enron Detail'!Y21</f>
        <v>-74</v>
      </c>
      <c r="G26" s="32">
        <f>'[1]Enron Detail'!X21</f>
        <v>898</v>
      </c>
      <c r="H26" s="76">
        <f t="shared" si="2"/>
        <v>1222.5687999999998</v>
      </c>
      <c r="I26" s="242">
        <f t="shared" si="3"/>
        <v>1222.5687999999998</v>
      </c>
    </row>
    <row r="27" spans="1:9" x14ac:dyDescent="0.25">
      <c r="A27" s="5">
        <f>+'Index Pricing'!A15</f>
        <v>37204</v>
      </c>
      <c r="B27" s="135">
        <f>+'Index Pricing'!B15</f>
        <v>1.9350000000000001</v>
      </c>
      <c r="C27" s="237">
        <f t="shared" si="0"/>
        <v>1.2887</v>
      </c>
      <c r="D27" s="234">
        <f t="shared" si="1"/>
        <v>228</v>
      </c>
      <c r="E27" s="30"/>
      <c r="F27" s="19">
        <f>'[1]Enron Detail'!Y22</f>
        <v>-22</v>
      </c>
      <c r="G27" s="32">
        <f>'[1]Enron Detail'!X22</f>
        <v>250</v>
      </c>
      <c r="H27" s="76">
        <f t="shared" si="2"/>
        <v>293.8236</v>
      </c>
      <c r="I27" s="242">
        <f t="shared" si="3"/>
        <v>293.8236</v>
      </c>
    </row>
    <row r="28" spans="1:9" x14ac:dyDescent="0.25">
      <c r="A28" s="5">
        <f>+'Index Pricing'!A16</f>
        <v>37205</v>
      </c>
      <c r="B28" s="135">
        <f>+'Index Pricing'!B16</f>
        <v>1.7</v>
      </c>
      <c r="C28" s="237">
        <f t="shared" si="0"/>
        <v>1.0537000000000001</v>
      </c>
      <c r="D28" s="234">
        <f t="shared" si="1"/>
        <v>771</v>
      </c>
      <c r="E28" s="30"/>
      <c r="F28" s="19">
        <f>'[1]Enron Detail'!Y23</f>
        <v>-69</v>
      </c>
      <c r="G28" s="32">
        <f>'[1]Enron Detail'!X23</f>
        <v>840</v>
      </c>
      <c r="H28" s="76">
        <f t="shared" si="2"/>
        <v>812.4027000000001</v>
      </c>
      <c r="I28" s="242">
        <f t="shared" si="3"/>
        <v>812.4027000000001</v>
      </c>
    </row>
    <row r="29" spans="1:9" x14ac:dyDescent="0.25">
      <c r="A29" s="5">
        <f>+'Index Pricing'!A17</f>
        <v>37206</v>
      </c>
      <c r="B29" s="135">
        <f>+'Index Pricing'!B17</f>
        <v>1.7</v>
      </c>
      <c r="C29" s="237">
        <f t="shared" si="0"/>
        <v>1.0537000000000001</v>
      </c>
      <c r="D29" s="234">
        <f t="shared" si="1"/>
        <v>821</v>
      </c>
      <c r="E29" s="30"/>
      <c r="F29" s="19">
        <f>'[1]Enron Detail'!Y24</f>
        <v>-75</v>
      </c>
      <c r="G29" s="32">
        <f>'[1]Enron Detail'!X24</f>
        <v>896</v>
      </c>
      <c r="H29" s="76">
        <f t="shared" si="2"/>
        <v>865.08770000000004</v>
      </c>
      <c r="I29" s="242">
        <f t="shared" si="3"/>
        <v>865.08770000000004</v>
      </c>
    </row>
    <row r="30" spans="1:9" x14ac:dyDescent="0.25">
      <c r="A30" s="5">
        <f>+'Index Pricing'!A18</f>
        <v>37207</v>
      </c>
      <c r="B30" s="135">
        <f>+'Index Pricing'!B18</f>
        <v>1.7</v>
      </c>
      <c r="C30" s="237">
        <f t="shared" si="0"/>
        <v>1.0537000000000001</v>
      </c>
      <c r="D30" s="234">
        <f t="shared" si="1"/>
        <v>725</v>
      </c>
      <c r="E30" s="30"/>
      <c r="F30" s="19">
        <f>'[1]Enron Detail'!Y25</f>
        <v>-69</v>
      </c>
      <c r="G30" s="32">
        <f>'[1]Enron Detail'!X25</f>
        <v>794</v>
      </c>
      <c r="H30" s="76">
        <f t="shared" si="2"/>
        <v>763.9325</v>
      </c>
      <c r="I30" s="242">
        <f t="shared" si="3"/>
        <v>763.9325</v>
      </c>
    </row>
    <row r="31" spans="1:9" x14ac:dyDescent="0.25">
      <c r="A31" s="5">
        <f>+'Index Pricing'!A19</f>
        <v>37208</v>
      </c>
      <c r="B31" s="135">
        <f>+'Index Pricing'!B19</f>
        <v>1.52</v>
      </c>
      <c r="C31" s="237">
        <f t="shared" si="0"/>
        <v>0.87370000000000003</v>
      </c>
      <c r="D31" s="234">
        <f t="shared" si="1"/>
        <v>802</v>
      </c>
      <c r="E31" s="30"/>
      <c r="F31" s="19">
        <f>'[1]Enron Detail'!Y26</f>
        <v>-74</v>
      </c>
      <c r="G31" s="32">
        <f>'[1]Enron Detail'!X26</f>
        <v>876</v>
      </c>
      <c r="H31" s="76">
        <f t="shared" si="2"/>
        <v>700.70740000000001</v>
      </c>
      <c r="I31" s="242">
        <f t="shared" si="3"/>
        <v>700.70740000000001</v>
      </c>
    </row>
    <row r="32" spans="1:9" x14ac:dyDescent="0.25">
      <c r="A32" s="5">
        <f>+'Index Pricing'!A20</f>
        <v>37209</v>
      </c>
      <c r="B32" s="135">
        <f>+'Index Pricing'!B20</f>
        <v>1.595</v>
      </c>
      <c r="C32" s="237">
        <f t="shared" si="0"/>
        <v>0.94869999999999999</v>
      </c>
      <c r="D32" s="234">
        <f t="shared" si="1"/>
        <v>847</v>
      </c>
      <c r="E32" s="30"/>
      <c r="F32" s="19">
        <f>'[1]Enron Detail'!Y27</f>
        <v>-76</v>
      </c>
      <c r="G32" s="32">
        <f>'[1]Enron Detail'!X27</f>
        <v>923</v>
      </c>
      <c r="H32" s="76">
        <f t="shared" si="2"/>
        <v>803.5489</v>
      </c>
      <c r="I32" s="242">
        <f t="shared" si="3"/>
        <v>803.5489</v>
      </c>
    </row>
    <row r="33" spans="1:9" x14ac:dyDescent="0.25">
      <c r="A33" s="5">
        <f>+'Index Pricing'!A21</f>
        <v>37210</v>
      </c>
      <c r="B33" s="135">
        <f>+'Index Pricing'!B21</f>
        <v>1.84</v>
      </c>
      <c r="C33" s="237">
        <f t="shared" si="0"/>
        <v>1.1937000000000002</v>
      </c>
      <c r="D33" s="234">
        <f t="shared" si="1"/>
        <v>847</v>
      </c>
      <c r="E33" s="30"/>
      <c r="F33" s="19">
        <f>'[1]Enron Detail'!Y28</f>
        <v>-78</v>
      </c>
      <c r="G33" s="32">
        <f>'[1]Enron Detail'!X28</f>
        <v>925</v>
      </c>
      <c r="H33" s="76">
        <f t="shared" si="2"/>
        <v>1011.0639000000002</v>
      </c>
      <c r="I33" s="242">
        <f t="shared" si="3"/>
        <v>1011.0639000000002</v>
      </c>
    </row>
    <row r="34" spans="1:9" x14ac:dyDescent="0.25">
      <c r="A34" s="5">
        <f>+'Index Pricing'!A22</f>
        <v>37211</v>
      </c>
      <c r="B34" s="135">
        <f>+'Index Pricing'!B22</f>
        <v>1.4350000000000001</v>
      </c>
      <c r="C34" s="237">
        <f t="shared" si="0"/>
        <v>0.78870000000000007</v>
      </c>
      <c r="D34" s="234">
        <f t="shared" si="1"/>
        <v>835</v>
      </c>
      <c r="E34" s="30"/>
      <c r="F34" s="19">
        <f>'[1]Enron Detail'!Y29</f>
        <v>-77</v>
      </c>
      <c r="G34" s="32">
        <f>'[1]Enron Detail'!X29</f>
        <v>912</v>
      </c>
      <c r="H34" s="76">
        <f t="shared" si="2"/>
        <v>658.56450000000007</v>
      </c>
      <c r="I34" s="242">
        <f t="shared" si="3"/>
        <v>658.56450000000007</v>
      </c>
    </row>
    <row r="35" spans="1:9" x14ac:dyDescent="0.25">
      <c r="A35" s="5">
        <f>+'Index Pricing'!A23</f>
        <v>37212</v>
      </c>
      <c r="B35" s="135">
        <f>+'Index Pricing'!B23</f>
        <v>1.135</v>
      </c>
      <c r="C35" s="237">
        <f t="shared" si="0"/>
        <v>0.48870000000000002</v>
      </c>
      <c r="D35" s="234">
        <f t="shared" si="1"/>
        <v>845</v>
      </c>
      <c r="E35" s="30"/>
      <c r="F35" s="19">
        <f>'[1]Enron Detail'!Y30</f>
        <v>-76</v>
      </c>
      <c r="G35" s="32">
        <f>'[1]Enron Detail'!X30</f>
        <v>921</v>
      </c>
      <c r="H35" s="76">
        <f t="shared" si="2"/>
        <v>412.95150000000001</v>
      </c>
      <c r="I35" s="242">
        <f t="shared" si="3"/>
        <v>412.95150000000001</v>
      </c>
    </row>
    <row r="36" spans="1:9" x14ac:dyDescent="0.25">
      <c r="A36" s="5">
        <f>+'Index Pricing'!A24</f>
        <v>37213</v>
      </c>
      <c r="B36" s="135">
        <f>+'Index Pricing'!B24</f>
        <v>1.135</v>
      </c>
      <c r="C36" s="237">
        <f t="shared" si="0"/>
        <v>0.48870000000000002</v>
      </c>
      <c r="D36" s="234">
        <f t="shared" si="1"/>
        <v>681</v>
      </c>
      <c r="E36" s="30"/>
      <c r="F36" s="19">
        <f>'[1]Enron Detail'!Y31</f>
        <v>-68</v>
      </c>
      <c r="G36" s="32">
        <f>'[1]Enron Detail'!X31</f>
        <v>749</v>
      </c>
      <c r="H36" s="76">
        <f t="shared" si="2"/>
        <v>332.80470000000003</v>
      </c>
      <c r="I36" s="242">
        <f t="shared" si="3"/>
        <v>332.80470000000003</v>
      </c>
    </row>
    <row r="37" spans="1:9" x14ac:dyDescent="0.25">
      <c r="A37" s="5">
        <f>+'Index Pricing'!A25</f>
        <v>37214</v>
      </c>
      <c r="B37" s="135">
        <f>+'Index Pricing'!B25</f>
        <v>1.135</v>
      </c>
      <c r="C37" s="237">
        <f t="shared" si="0"/>
        <v>0.48870000000000002</v>
      </c>
      <c r="D37" s="234">
        <f t="shared" si="1"/>
        <v>782</v>
      </c>
      <c r="E37" s="30"/>
      <c r="F37" s="19">
        <f>'[1]Enron Detail'!Y32</f>
        <v>-70</v>
      </c>
      <c r="G37" s="32">
        <f>'[1]Enron Detail'!X32</f>
        <v>852</v>
      </c>
      <c r="H37" s="76">
        <f t="shared" si="2"/>
        <v>382.16340000000002</v>
      </c>
      <c r="I37" s="242">
        <f t="shared" si="3"/>
        <v>382.16340000000002</v>
      </c>
    </row>
    <row r="38" spans="1:9" x14ac:dyDescent="0.25">
      <c r="A38" s="5">
        <f>+'Index Pricing'!A26</f>
        <v>37215</v>
      </c>
      <c r="B38" s="135">
        <f>+'Index Pricing'!B26</f>
        <v>1.5349999999999999</v>
      </c>
      <c r="C38" s="237">
        <f t="shared" si="0"/>
        <v>0.88869999999999993</v>
      </c>
      <c r="D38" s="234">
        <f t="shared" si="1"/>
        <v>740</v>
      </c>
      <c r="E38" s="30"/>
      <c r="F38" s="19">
        <f>'[1]Enron Detail'!Y33</f>
        <v>-70</v>
      </c>
      <c r="G38" s="32">
        <f>'[1]Enron Detail'!X33</f>
        <v>810</v>
      </c>
      <c r="H38" s="76">
        <f t="shared" si="2"/>
        <v>657.63799999999992</v>
      </c>
      <c r="I38" s="242">
        <f t="shared" si="3"/>
        <v>657.63799999999992</v>
      </c>
    </row>
    <row r="39" spans="1:9" x14ac:dyDescent="0.25">
      <c r="A39" s="5">
        <f>+'Index Pricing'!A27</f>
        <v>37216</v>
      </c>
      <c r="B39" s="135">
        <f>+'Index Pricing'!B27</f>
        <v>2.2050000000000001</v>
      </c>
      <c r="C39" s="237">
        <f t="shared" si="0"/>
        <v>1.5587</v>
      </c>
      <c r="D39" s="234">
        <f t="shared" si="1"/>
        <v>770</v>
      </c>
      <c r="E39" s="30"/>
      <c r="F39" s="19">
        <f>'[1]Enron Detail'!Y34</f>
        <v>-69</v>
      </c>
      <c r="G39" s="32">
        <f>'[1]Enron Detail'!X34</f>
        <v>839</v>
      </c>
      <c r="H39" s="76">
        <f t="shared" si="2"/>
        <v>1200.1990000000001</v>
      </c>
      <c r="I39" s="242">
        <f t="shared" si="3"/>
        <v>1200.1990000000001</v>
      </c>
    </row>
    <row r="40" spans="1:9" x14ac:dyDescent="0.25">
      <c r="A40" s="5">
        <f>+'Index Pricing'!A28</f>
        <v>37217</v>
      </c>
      <c r="B40" s="135">
        <f>+'Index Pricing'!B28</f>
        <v>1.43</v>
      </c>
      <c r="C40" s="237">
        <f t="shared" si="0"/>
        <v>0.78369999999999995</v>
      </c>
      <c r="D40" s="234">
        <f t="shared" si="1"/>
        <v>779</v>
      </c>
      <c r="E40" s="30"/>
      <c r="F40" s="19">
        <f>'[1]Enron Detail'!Y35</f>
        <v>-71</v>
      </c>
      <c r="G40" s="32">
        <f>'[1]Enron Detail'!X35</f>
        <v>850</v>
      </c>
      <c r="H40" s="76">
        <f t="shared" si="2"/>
        <v>610.50229999999999</v>
      </c>
      <c r="I40" s="242">
        <f t="shared" si="3"/>
        <v>610.50229999999999</v>
      </c>
    </row>
    <row r="41" spans="1:9" x14ac:dyDescent="0.25">
      <c r="A41" s="5">
        <f>+'Index Pricing'!A29</f>
        <v>37218</v>
      </c>
      <c r="B41" s="135">
        <f>+'Index Pricing'!B29</f>
        <v>1.43</v>
      </c>
      <c r="C41" s="237">
        <f t="shared" si="0"/>
        <v>0.78369999999999995</v>
      </c>
      <c r="D41" s="234">
        <f t="shared" si="1"/>
        <v>321</v>
      </c>
      <c r="E41" s="30"/>
      <c r="F41" s="19">
        <f>'[1]Enron Detail'!Y36</f>
        <v>-29</v>
      </c>
      <c r="G41" s="32">
        <f>'[1]Enron Detail'!X36</f>
        <v>350</v>
      </c>
      <c r="H41" s="76">
        <f t="shared" si="2"/>
        <v>251.56769999999997</v>
      </c>
      <c r="I41" s="242">
        <f t="shared" si="3"/>
        <v>251.56769999999997</v>
      </c>
    </row>
    <row r="42" spans="1:9" x14ac:dyDescent="0.25">
      <c r="A42" s="5">
        <f>+'Index Pricing'!A30</f>
        <v>37219</v>
      </c>
      <c r="B42" s="135">
        <f>+'Index Pricing'!B30</f>
        <v>1.43</v>
      </c>
      <c r="C42" s="237">
        <f t="shared" si="0"/>
        <v>0.78369999999999995</v>
      </c>
      <c r="D42" s="234">
        <f t="shared" si="1"/>
        <v>622</v>
      </c>
      <c r="E42" s="30"/>
      <c r="F42" s="19">
        <f>'[1]Enron Detail'!Y37</f>
        <v>-62</v>
      </c>
      <c r="G42" s="32">
        <f>'[1]Enron Detail'!X37</f>
        <v>684</v>
      </c>
      <c r="H42" s="76">
        <f t="shared" si="2"/>
        <v>487.46139999999997</v>
      </c>
      <c r="I42" s="242">
        <f t="shared" si="3"/>
        <v>487.46139999999997</v>
      </c>
    </row>
    <row r="43" spans="1:9" x14ac:dyDescent="0.25">
      <c r="A43" s="5">
        <f>+'Index Pricing'!A31</f>
        <v>37220</v>
      </c>
      <c r="B43" s="135">
        <f>+'Index Pricing'!B31</f>
        <v>1.43</v>
      </c>
      <c r="C43" s="237">
        <f t="shared" si="0"/>
        <v>0.78369999999999995</v>
      </c>
      <c r="D43" s="234">
        <f t="shared" si="1"/>
        <v>669</v>
      </c>
      <c r="E43" s="30"/>
      <c r="F43" s="19">
        <f>'[1]Enron Detail'!Y38</f>
        <v>-65</v>
      </c>
      <c r="G43" s="32">
        <f>'[1]Enron Detail'!X38</f>
        <v>734</v>
      </c>
      <c r="H43" s="76">
        <f t="shared" si="2"/>
        <v>524.2953</v>
      </c>
      <c r="I43" s="242">
        <f t="shared" si="3"/>
        <v>524.2953</v>
      </c>
    </row>
    <row r="44" spans="1:9" x14ac:dyDescent="0.25">
      <c r="A44" s="5">
        <f>+'Index Pricing'!A32</f>
        <v>37221</v>
      </c>
      <c r="B44" s="135">
        <f>+'Index Pricing'!B32</f>
        <v>1.43</v>
      </c>
      <c r="C44" s="237">
        <f t="shared" si="0"/>
        <v>0.78369999999999995</v>
      </c>
      <c r="D44" s="234">
        <f t="shared" si="1"/>
        <v>273</v>
      </c>
      <c r="E44" s="30"/>
      <c r="F44" s="19">
        <f>'[1]Enron Detail'!Y39</f>
        <v>-33</v>
      </c>
      <c r="G44" s="32">
        <f>'[1]Enron Detail'!X39</f>
        <v>306</v>
      </c>
      <c r="H44" s="76">
        <f t="shared" si="2"/>
        <v>213.95009999999999</v>
      </c>
      <c r="I44" s="242">
        <f t="shared" si="3"/>
        <v>213.95009999999999</v>
      </c>
    </row>
    <row r="45" spans="1:9" x14ac:dyDescent="0.25">
      <c r="A45" s="5">
        <f>+'Index Pricing'!A33</f>
        <v>37222</v>
      </c>
      <c r="B45" s="135">
        <f>+'Index Pricing'!B33</f>
        <v>1.88</v>
      </c>
      <c r="C45" s="237">
        <f t="shared" si="0"/>
        <v>1.2336999999999998</v>
      </c>
      <c r="D45" s="234">
        <f t="shared" si="1"/>
        <v>531</v>
      </c>
      <c r="E45" s="30"/>
      <c r="F45" s="19">
        <f>'[1]Enron Detail'!Y40</f>
        <v>-67</v>
      </c>
      <c r="G45" s="32">
        <f>'[1]Enron Detail'!X40</f>
        <v>598</v>
      </c>
      <c r="H45" s="76">
        <f t="shared" si="2"/>
        <v>655.09469999999988</v>
      </c>
      <c r="I45" s="242">
        <f t="shared" si="3"/>
        <v>655.09469999999988</v>
      </c>
    </row>
    <row r="46" spans="1:9" x14ac:dyDescent="0.25">
      <c r="A46" s="5">
        <f>+'Index Pricing'!A34</f>
        <v>37223</v>
      </c>
      <c r="B46" s="135">
        <f>+'Index Pricing'!B34</f>
        <v>2.16</v>
      </c>
      <c r="C46" s="237">
        <f t="shared" si="0"/>
        <v>1.5137</v>
      </c>
      <c r="D46" s="234">
        <f t="shared" si="1"/>
        <v>708</v>
      </c>
      <c r="E46" s="30"/>
      <c r="F46" s="19">
        <f>'[1]Enron Detail'!Y41</f>
        <v>-76</v>
      </c>
      <c r="G46" s="32">
        <f>'[1]Enron Detail'!X41</f>
        <v>784</v>
      </c>
      <c r="H46" s="76">
        <f t="shared" si="2"/>
        <v>1071.6995999999999</v>
      </c>
      <c r="I46" s="242">
        <f t="shared" si="3"/>
        <v>1071.6995999999999</v>
      </c>
    </row>
    <row r="47" spans="1:9" x14ac:dyDescent="0.25">
      <c r="A47" s="5">
        <f>+'Index Pricing'!A35</f>
        <v>37224</v>
      </c>
      <c r="B47" s="135">
        <f>+'Index Pricing'!B35</f>
        <v>2.38</v>
      </c>
      <c r="C47" s="237">
        <f t="shared" si="0"/>
        <v>1.7336999999999998</v>
      </c>
      <c r="D47" s="234">
        <f t="shared" si="1"/>
        <v>787</v>
      </c>
      <c r="E47" s="30"/>
      <c r="F47" s="19">
        <f>'[1]Enron Detail'!Y42</f>
        <v>-76</v>
      </c>
      <c r="G47" s="32">
        <f>'[1]Enron Detail'!X42</f>
        <v>863</v>
      </c>
      <c r="H47" s="76">
        <f t="shared" si="2"/>
        <v>1364.4218999999998</v>
      </c>
      <c r="I47" s="242">
        <f t="shared" si="3"/>
        <v>1364.4218999999998</v>
      </c>
    </row>
    <row r="48" spans="1:9" x14ac:dyDescent="0.25">
      <c r="A48" s="5">
        <f>+'Index Pricing'!A36</f>
        <v>37225</v>
      </c>
      <c r="B48" s="135">
        <f>+'Index Pricing'!B36</f>
        <v>2.0249999999999999</v>
      </c>
      <c r="C48" s="237">
        <f t="shared" si="0"/>
        <v>1.3786999999999998</v>
      </c>
      <c r="D48" s="234">
        <f t="shared" si="1"/>
        <v>706</v>
      </c>
      <c r="E48" s="30"/>
      <c r="F48" s="19">
        <f>'[1]Enron Detail'!Y43</f>
        <v>-73</v>
      </c>
      <c r="G48" s="32">
        <f>'[1]Enron Detail'!X43</f>
        <v>779</v>
      </c>
      <c r="H48" s="76">
        <f t="shared" si="2"/>
        <v>973.36219999999992</v>
      </c>
      <c r="I48" s="242">
        <f t="shared" si="3"/>
        <v>973.36219999999992</v>
      </c>
    </row>
    <row r="49" spans="1:9" x14ac:dyDescent="0.25">
      <c r="A49" s="5"/>
      <c r="B49" s="135"/>
      <c r="C49" s="237"/>
      <c r="D49" s="234"/>
      <c r="E49" s="30"/>
      <c r="F49" s="19"/>
      <c r="G49" s="32"/>
      <c r="H49" s="76"/>
      <c r="I49" s="242"/>
    </row>
    <row r="50" spans="1:9" ht="13.8" thickBot="1" x14ac:dyDescent="0.3">
      <c r="A50" s="5"/>
      <c r="B50" s="241"/>
      <c r="C50" s="238"/>
      <c r="D50" s="235"/>
      <c r="E50" s="30"/>
      <c r="F50" s="19"/>
      <c r="G50" s="32"/>
      <c r="H50" s="76"/>
      <c r="I50" s="242"/>
    </row>
    <row r="51" spans="1:9" ht="13.8" thickBot="1" x14ac:dyDescent="0.3">
      <c r="D51" s="29">
        <f>SUM(D19:D50)</f>
        <v>20477</v>
      </c>
      <c r="F51" s="19">
        <f>SUM(F19:F50)</f>
        <v>-1950</v>
      </c>
      <c r="G51" s="29">
        <f>SUM(G19:G50)</f>
        <v>22427</v>
      </c>
      <c r="H51" s="78">
        <f>SUM(H19:H50)</f>
        <v>23436.874900000003</v>
      </c>
      <c r="I51" s="80">
        <f>SUM(I19:I50)</f>
        <v>23436.874900000003</v>
      </c>
    </row>
    <row r="52" spans="1:9" x14ac:dyDescent="0.25">
      <c r="B52" s="170"/>
    </row>
    <row r="53" spans="1:9" x14ac:dyDescent="0.25">
      <c r="F53" s="44">
        <f>+F51/G51</f>
        <v>-8.6948767111071482E-2</v>
      </c>
      <c r="G53" t="s">
        <v>138</v>
      </c>
      <c r="H53" s="4">
        <f>+H51/D51</f>
        <v>1.1445463153782294</v>
      </c>
      <c r="I53" s="4">
        <f>+I51/(G51+F51)</f>
        <v>1.1445463153782294</v>
      </c>
    </row>
    <row r="55" spans="1:9" x14ac:dyDescent="0.25">
      <c r="A55" t="s">
        <v>217</v>
      </c>
    </row>
  </sheetData>
  <phoneticPr fontId="0" type="noConversion"/>
  <pageMargins left="0.75" right="0.75" top="1" bottom="1" header="0.5" footer="0.5"/>
  <pageSetup scale="51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8673" r:id="rId4">
          <objectPr defaultSize="0" autoPict="0" r:id="rId5">
            <anchor moveWithCells="1">
              <from>
                <xdr:col>4</xdr:col>
                <xdr:colOff>601980</xdr:colOff>
                <xdr:row>0</xdr:row>
                <xdr:rowOff>22860</xdr:rowOff>
              </from>
              <to>
                <xdr:col>5</xdr:col>
                <xdr:colOff>7620</xdr:colOff>
                <xdr:row>3</xdr:row>
                <xdr:rowOff>68580</xdr:rowOff>
              </to>
            </anchor>
          </objectPr>
        </oleObject>
      </mc:Choice>
      <mc:Fallback>
        <oleObject progId="Paint.Picture" shapeId="2867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I36"/>
  <sheetViews>
    <sheetView showGridLines="0" tabSelected="1" zoomScale="75" workbookViewId="0">
      <selection activeCell="G36" sqref="G36"/>
    </sheetView>
  </sheetViews>
  <sheetFormatPr defaultRowHeight="13.2" x14ac:dyDescent="0.25"/>
  <cols>
    <col min="1" max="1" width="22.109375" customWidth="1"/>
    <col min="2" max="2" width="34" bestFit="1" customWidth="1"/>
    <col min="3" max="3" width="31.109375" bestFit="1" customWidth="1"/>
    <col min="4" max="5" width="13.88671875" customWidth="1"/>
    <col min="6" max="6" width="46.44140625" bestFit="1" customWidth="1"/>
    <col min="7" max="7" width="29.44140625" customWidth="1"/>
  </cols>
  <sheetData>
    <row r="1" spans="1:9" x14ac:dyDescent="0.25">
      <c r="C1" s="54" t="s">
        <v>74</v>
      </c>
      <c r="D1" s="55"/>
      <c r="E1" s="55"/>
      <c r="F1" s="56" t="s">
        <v>75</v>
      </c>
      <c r="G1" s="66"/>
    </row>
    <row r="2" spans="1:9" x14ac:dyDescent="0.25">
      <c r="C2" s="50"/>
      <c r="D2" s="51"/>
      <c r="E2" s="51"/>
      <c r="F2" s="57"/>
      <c r="G2" s="58" t="s">
        <v>82</v>
      </c>
    </row>
    <row r="3" spans="1:9" x14ac:dyDescent="0.25">
      <c r="C3" s="50" t="s">
        <v>71</v>
      </c>
      <c r="D3" s="51"/>
      <c r="E3" s="51"/>
      <c r="F3" s="57" t="s">
        <v>77</v>
      </c>
      <c r="G3" s="230">
        <f ca="1">TODAY()</f>
        <v>37238</v>
      </c>
    </row>
    <row r="4" spans="1:9" x14ac:dyDescent="0.25">
      <c r="C4" s="50"/>
      <c r="D4" s="51"/>
      <c r="E4" s="51"/>
      <c r="F4" s="57" t="s">
        <v>78</v>
      </c>
      <c r="G4" s="57"/>
    </row>
    <row r="5" spans="1:9" x14ac:dyDescent="0.25">
      <c r="C5" s="50"/>
      <c r="D5" s="51"/>
      <c r="E5" s="51"/>
      <c r="F5" s="57" t="s">
        <v>79</v>
      </c>
      <c r="G5" s="58" t="s">
        <v>83</v>
      </c>
    </row>
    <row r="6" spans="1:9" x14ac:dyDescent="0.25">
      <c r="C6" s="50"/>
      <c r="D6" s="51"/>
      <c r="E6" s="51"/>
      <c r="F6" s="57" t="s">
        <v>80</v>
      </c>
      <c r="G6" s="126">
        <v>37251</v>
      </c>
    </row>
    <row r="7" spans="1:9" x14ac:dyDescent="0.25">
      <c r="C7" s="50"/>
      <c r="D7" s="51"/>
      <c r="E7" s="51"/>
      <c r="F7" s="57" t="s">
        <v>337</v>
      </c>
      <c r="G7" s="57"/>
    </row>
    <row r="8" spans="1:9" x14ac:dyDescent="0.25">
      <c r="C8" s="50"/>
      <c r="D8" s="51"/>
      <c r="E8" s="51"/>
      <c r="F8" s="57" t="s">
        <v>268</v>
      </c>
      <c r="G8" s="58" t="s">
        <v>84</v>
      </c>
    </row>
    <row r="9" spans="1:9" x14ac:dyDescent="0.25">
      <c r="C9" s="50" t="s">
        <v>163</v>
      </c>
      <c r="D9" s="51"/>
      <c r="E9" s="51"/>
      <c r="F9" s="57"/>
      <c r="G9" s="102" t="s">
        <v>85</v>
      </c>
    </row>
    <row r="10" spans="1:9" x14ac:dyDescent="0.25">
      <c r="C10" s="50" t="s">
        <v>164</v>
      </c>
      <c r="D10" s="51"/>
      <c r="E10" s="51"/>
      <c r="F10" s="57"/>
      <c r="G10" s="58" t="s">
        <v>139</v>
      </c>
    </row>
    <row r="11" spans="1:9" x14ac:dyDescent="0.25">
      <c r="A11" s="68" t="s">
        <v>71</v>
      </c>
      <c r="B11" s="67"/>
      <c r="C11" s="52" t="s">
        <v>76</v>
      </c>
      <c r="D11" s="53"/>
      <c r="E11" s="53"/>
      <c r="F11" s="60" t="s">
        <v>81</v>
      </c>
      <c r="G11" s="59" t="s">
        <v>151</v>
      </c>
    </row>
    <row r="12" spans="1:9" ht="13.8" thickBot="1" x14ac:dyDescent="0.3">
      <c r="A12" s="150">
        <f ca="1">NOW()</f>
        <v>37238.587624189815</v>
      </c>
      <c r="B12" s="49"/>
      <c r="C12" s="49"/>
      <c r="D12" s="49"/>
      <c r="E12" s="49"/>
      <c r="F12" s="49"/>
      <c r="G12" s="49"/>
      <c r="H12" s="30"/>
    </row>
    <row r="13" spans="1:9" x14ac:dyDescent="0.25">
      <c r="A13" s="7" t="s">
        <v>86</v>
      </c>
      <c r="B13" s="7" t="s">
        <v>72</v>
      </c>
      <c r="C13" s="7" t="s">
        <v>73</v>
      </c>
      <c r="D13" s="7"/>
      <c r="E13" s="7"/>
    </row>
    <row r="14" spans="1:9" x14ac:dyDescent="0.25">
      <c r="A14" s="119">
        <f>+'Index Pricing'!A1</f>
        <v>37196</v>
      </c>
      <c r="B14" s="63">
        <v>96023736</v>
      </c>
      <c r="C14" s="62" t="s">
        <v>150</v>
      </c>
      <c r="D14" s="62"/>
      <c r="E14" s="62"/>
    </row>
    <row r="16" spans="1:9" x14ac:dyDescent="0.25">
      <c r="B16" s="101" t="s">
        <v>10</v>
      </c>
      <c r="C16" s="98" t="s">
        <v>135</v>
      </c>
      <c r="D16" s="100" t="s">
        <v>88</v>
      </c>
      <c r="E16" s="99" t="s">
        <v>180</v>
      </c>
      <c r="F16" s="99" t="s">
        <v>87</v>
      </c>
      <c r="G16" s="100" t="s">
        <v>89</v>
      </c>
      <c r="I16" s="69"/>
    </row>
    <row r="17" spans="1:7" x14ac:dyDescent="0.25">
      <c r="A17" s="212" t="s">
        <v>422</v>
      </c>
      <c r="B17" t="s">
        <v>11</v>
      </c>
      <c r="C17" s="4">
        <f>+'Independent Detail'!J13</f>
        <v>-0.41149999999999998</v>
      </c>
      <c r="D17" s="65">
        <f>+'Independent Detail'!L53</f>
        <v>1.3393049596402842</v>
      </c>
      <c r="E17" s="29">
        <f>+F17/'Independent Detail'!B$5</f>
        <v>78800.690036986198</v>
      </c>
      <c r="F17" s="29">
        <f>+'Independent Detail'!D51</f>
        <v>73836</v>
      </c>
      <c r="G17" s="83">
        <f>+'Independent Detail'!L51</f>
        <v>98888.921000000017</v>
      </c>
    </row>
    <row r="18" spans="1:7" x14ac:dyDescent="0.25">
      <c r="A18" t="str">
        <f>+A17</f>
        <v>11/01/01 - 11/30/01</v>
      </c>
      <c r="B18" t="s">
        <v>111</v>
      </c>
      <c r="C18" s="4">
        <f>+'Independent Detail'!J14</f>
        <v>-0.65600000000000003</v>
      </c>
      <c r="D18" s="64">
        <f>+'Independent Detail'!M53</f>
        <v>2.3839999999999999</v>
      </c>
      <c r="E18" s="29">
        <f>+F18/'Independent Detail'!B$5</f>
        <v>298483.38734715083</v>
      </c>
      <c r="F18" s="29">
        <f>+'Independent Detail'!F51</f>
        <v>279678</v>
      </c>
      <c r="G18" s="83">
        <f>+'Independent Detail'!M51</f>
        <v>666752.35199999996</v>
      </c>
    </row>
    <row r="19" spans="1:7" x14ac:dyDescent="0.25">
      <c r="A19" t="str">
        <f>+A18</f>
        <v>11/01/01 - 11/30/01</v>
      </c>
      <c r="B19" t="s">
        <v>136</v>
      </c>
      <c r="C19" s="4">
        <f>+'Independent Detail'!J15</f>
        <v>-0.41839999999999999</v>
      </c>
      <c r="D19" s="64">
        <f>+'Independent Detail'!N53</f>
        <v>2.1215999999999999</v>
      </c>
      <c r="E19" s="29">
        <f>+F19/'Independent Detail'!B$5</f>
        <v>16716.171082524987</v>
      </c>
      <c r="F19" s="29">
        <f>+'Independent Detail'!H51</f>
        <v>15663</v>
      </c>
      <c r="G19" s="83">
        <f>+'Independent Detail'!N51</f>
        <v>33230.620799999997</v>
      </c>
    </row>
    <row r="20" spans="1:7" x14ac:dyDescent="0.25">
      <c r="A20" t="str">
        <f>+A19</f>
        <v>11/01/01 - 11/30/01</v>
      </c>
      <c r="C20" t="s">
        <v>142</v>
      </c>
      <c r="D20" s="104" t="s">
        <v>143</v>
      </c>
      <c r="E20" s="29">
        <f>+F20/'Independent Detail'!B$5</f>
        <v>18915.751533337985</v>
      </c>
      <c r="F20" s="29">
        <f>+-'Independent Detail'!J51</f>
        <v>17724</v>
      </c>
      <c r="G20" s="105" t="s">
        <v>144</v>
      </c>
    </row>
    <row r="21" spans="1:7" x14ac:dyDescent="0.25">
      <c r="A21" s="47" t="s">
        <v>239</v>
      </c>
      <c r="B21" s="7"/>
      <c r="C21" s="7"/>
      <c r="D21" s="151"/>
      <c r="E21" s="29">
        <f>+F21/'Independent Detail'!B$5</f>
        <v>412916</v>
      </c>
      <c r="F21" s="47">
        <f>SUM(F17:F20)</f>
        <v>386901</v>
      </c>
      <c r="G21" s="139">
        <f>SUM(G17:G20)</f>
        <v>798871.89379999996</v>
      </c>
    </row>
    <row r="22" spans="1:7" x14ac:dyDescent="0.25">
      <c r="D22" s="104"/>
      <c r="E22" s="104"/>
      <c r="F22" s="29"/>
      <c r="G22" s="105"/>
    </row>
    <row r="23" spans="1:7" x14ac:dyDescent="0.25">
      <c r="A23" s="7"/>
      <c r="D23" s="104"/>
      <c r="E23" s="104"/>
      <c r="F23" s="29"/>
      <c r="G23" s="83"/>
    </row>
    <row r="24" spans="1:7" ht="15" x14ac:dyDescent="0.4">
      <c r="A24" s="7"/>
      <c r="B24" t="s">
        <v>394</v>
      </c>
      <c r="C24" s="177"/>
      <c r="D24" s="178"/>
      <c r="E24" s="178"/>
      <c r="F24" s="179"/>
      <c r="G24" s="139">
        <v>0</v>
      </c>
    </row>
    <row r="25" spans="1:7" x14ac:dyDescent="0.25">
      <c r="A25" s="175"/>
      <c r="B25" t="str">
        <f>'[1]Enron Summary'!$B$23</f>
        <v>Facility Fee</v>
      </c>
      <c r="C25" s="2"/>
      <c r="D25" s="176"/>
      <c r="E25" s="180"/>
      <c r="F25" s="29"/>
      <c r="G25" s="139">
        <f>-'[1]Enron Summary'!$G$23</f>
        <v>0</v>
      </c>
    </row>
    <row r="26" spans="1:7" x14ac:dyDescent="0.25">
      <c r="A26" s="175"/>
      <c r="B26" t="s">
        <v>413</v>
      </c>
      <c r="C26" s="2"/>
      <c r="D26" s="176"/>
      <c r="E26" s="180"/>
      <c r="F26" s="29"/>
      <c r="G26" s="139">
        <v>-15000</v>
      </c>
    </row>
    <row r="27" spans="1:7" x14ac:dyDescent="0.25">
      <c r="A27" s="175" t="s">
        <v>247</v>
      </c>
      <c r="C27" s="2"/>
      <c r="D27" s="176"/>
      <c r="E27" s="180"/>
      <c r="F27" s="29"/>
      <c r="G27" s="139"/>
    </row>
    <row r="28" spans="1:7" x14ac:dyDescent="0.25">
      <c r="A28" s="175"/>
      <c r="C28" s="2"/>
      <c r="D28" s="176"/>
      <c r="E28" s="180"/>
      <c r="F28" s="215"/>
    </row>
    <row r="29" spans="1:7" x14ac:dyDescent="0.25">
      <c r="A29" s="175"/>
      <c r="C29" s="2"/>
      <c r="D29" s="176"/>
      <c r="E29" s="180"/>
      <c r="F29" s="215"/>
    </row>
    <row r="30" spans="1:7" x14ac:dyDescent="0.25">
      <c r="A30" s="175"/>
      <c r="C30" s="2"/>
      <c r="D30" s="176"/>
      <c r="E30" s="180"/>
      <c r="F30" s="138" t="s">
        <v>248</v>
      </c>
      <c r="G30" s="139">
        <f>SUM(F28:F29)</f>
        <v>0</v>
      </c>
    </row>
    <row r="31" spans="1:7" x14ac:dyDescent="0.25">
      <c r="A31" s="175"/>
      <c r="C31" s="2"/>
      <c r="D31" s="176"/>
      <c r="E31" s="180"/>
      <c r="F31" s="29"/>
      <c r="G31" s="139"/>
    </row>
    <row r="32" spans="1:7" x14ac:dyDescent="0.25">
      <c r="A32" s="175"/>
      <c r="C32" s="2"/>
      <c r="D32" s="176"/>
      <c r="E32" s="180"/>
      <c r="F32" s="29"/>
      <c r="G32" s="139"/>
    </row>
    <row r="33" spans="1:7" x14ac:dyDescent="0.25">
      <c r="A33" s="175"/>
      <c r="C33" s="2"/>
      <c r="D33" s="176"/>
      <c r="E33" s="180"/>
      <c r="F33" s="29"/>
      <c r="G33" s="139"/>
    </row>
    <row r="34" spans="1:7" x14ac:dyDescent="0.25">
      <c r="A34" s="175"/>
      <c r="C34" s="2"/>
      <c r="D34" s="176"/>
      <c r="E34" s="180"/>
      <c r="F34" s="29"/>
      <c r="G34" s="139"/>
    </row>
    <row r="35" spans="1:7" x14ac:dyDescent="0.25">
      <c r="D35" s="137"/>
      <c r="E35" s="137"/>
      <c r="F35" s="29"/>
      <c r="G35" s="105"/>
    </row>
    <row r="36" spans="1:7" x14ac:dyDescent="0.25">
      <c r="D36" s="91" t="s">
        <v>137</v>
      </c>
      <c r="E36" s="91"/>
      <c r="F36" s="97"/>
      <c r="G36" s="92">
        <f>SUM(G21:G32)</f>
        <v>783871.89379999996</v>
      </c>
    </row>
  </sheetData>
  <phoneticPr fontId="0" type="noConversion"/>
  <pageMargins left="0.5" right="0.5" top="0.75" bottom="0.75" header="0.5" footer="0.5"/>
  <pageSetup scale="68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7169" r:id="rId4">
          <objectPr defaultSize="0" autoPict="0" r:id="rId5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175260</xdr:colOff>
                <xdr:row>6</xdr:row>
                <xdr:rowOff>22860</xdr:rowOff>
              </to>
            </anchor>
          </objectPr>
        </oleObject>
      </mc:Choice>
      <mc:Fallback>
        <oleObject progId="Paint.Picture" shapeId="7169" r:id="rId4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40"/>
  <sheetViews>
    <sheetView showGridLines="0" zoomScale="75" workbookViewId="0">
      <selection activeCell="B34" sqref="B34"/>
    </sheetView>
  </sheetViews>
  <sheetFormatPr defaultRowHeight="13.2" x14ac:dyDescent="0.25"/>
  <cols>
    <col min="1" max="1" width="22.109375" customWidth="1"/>
    <col min="2" max="2" width="34.109375" bestFit="1" customWidth="1"/>
    <col min="3" max="3" width="32.88671875" customWidth="1"/>
    <col min="4" max="4" width="19.5546875" bestFit="1" customWidth="1"/>
    <col min="5" max="5" width="19.5546875" customWidth="1"/>
    <col min="6" max="6" width="46.44140625" bestFit="1" customWidth="1"/>
    <col min="7" max="7" width="29.44140625" customWidth="1"/>
  </cols>
  <sheetData>
    <row r="1" spans="1:8" x14ac:dyDescent="0.25">
      <c r="C1" s="54" t="s">
        <v>74</v>
      </c>
      <c r="D1" s="55"/>
      <c r="E1" s="55"/>
      <c r="F1" s="56" t="s">
        <v>75</v>
      </c>
      <c r="G1" s="66"/>
    </row>
    <row r="2" spans="1:8" x14ac:dyDescent="0.25">
      <c r="C2" s="50"/>
      <c r="D2" s="51"/>
      <c r="E2" s="51"/>
      <c r="F2" s="510" t="s">
        <v>363</v>
      </c>
      <c r="G2" s="58" t="s">
        <v>82</v>
      </c>
    </row>
    <row r="3" spans="1:8" x14ac:dyDescent="0.25">
      <c r="C3" s="50" t="s">
        <v>71</v>
      </c>
      <c r="D3" s="51"/>
      <c r="E3" s="51"/>
      <c r="F3" s="510" t="s">
        <v>364</v>
      </c>
      <c r="G3" s="232">
        <f ca="1">TODAY()</f>
        <v>37238</v>
      </c>
    </row>
    <row r="4" spans="1:8" x14ac:dyDescent="0.25">
      <c r="C4" s="50"/>
      <c r="D4" s="51"/>
      <c r="E4" s="51"/>
      <c r="F4" s="510" t="s">
        <v>365</v>
      </c>
      <c r="G4" s="57"/>
    </row>
    <row r="5" spans="1:8" x14ac:dyDescent="0.25">
      <c r="C5" s="50"/>
      <c r="D5" s="51"/>
      <c r="E5" s="51"/>
      <c r="F5" s="510" t="s">
        <v>366</v>
      </c>
      <c r="G5" s="58" t="s">
        <v>83</v>
      </c>
    </row>
    <row r="6" spans="1:8" x14ac:dyDescent="0.25">
      <c r="C6" s="50"/>
      <c r="D6" s="51"/>
      <c r="E6" s="51"/>
      <c r="F6" s="510" t="s">
        <v>367</v>
      </c>
      <c r="G6" s="127">
        <v>37256</v>
      </c>
    </row>
    <row r="7" spans="1:8" x14ac:dyDescent="0.25">
      <c r="C7" s="50"/>
      <c r="D7" s="51"/>
      <c r="E7" s="51"/>
      <c r="G7" s="57"/>
    </row>
    <row r="8" spans="1:8" x14ac:dyDescent="0.25">
      <c r="C8" s="50"/>
      <c r="D8" s="51"/>
      <c r="E8" s="51"/>
      <c r="F8" s="275"/>
      <c r="G8" s="58" t="s">
        <v>84</v>
      </c>
    </row>
    <row r="9" spans="1:8" x14ac:dyDescent="0.25">
      <c r="C9" s="50" t="s">
        <v>203</v>
      </c>
      <c r="D9" s="51"/>
      <c r="E9" s="51"/>
      <c r="F9" s="510" t="s">
        <v>368</v>
      </c>
      <c r="G9" s="102" t="s">
        <v>85</v>
      </c>
    </row>
    <row r="10" spans="1:8" x14ac:dyDescent="0.25">
      <c r="C10" s="50" t="s">
        <v>164</v>
      </c>
      <c r="D10" s="51"/>
      <c r="E10" s="51"/>
      <c r="F10" s="510" t="s">
        <v>369</v>
      </c>
      <c r="G10" s="58" t="s">
        <v>139</v>
      </c>
    </row>
    <row r="11" spans="1:8" x14ac:dyDescent="0.25">
      <c r="A11" s="68" t="s">
        <v>71</v>
      </c>
      <c r="B11" s="67"/>
      <c r="C11" s="52" t="s">
        <v>76</v>
      </c>
      <c r="D11" s="53"/>
      <c r="E11" s="53"/>
      <c r="F11" s="511" t="s">
        <v>370</v>
      </c>
      <c r="G11" s="59" t="s">
        <v>286</v>
      </c>
    </row>
    <row r="12" spans="1:8" ht="13.8" thickBot="1" x14ac:dyDescent="0.3">
      <c r="A12" s="150">
        <f ca="1">NOW()</f>
        <v>37238.587624189815</v>
      </c>
      <c r="B12" s="49"/>
      <c r="C12" s="49"/>
      <c r="D12" s="49"/>
      <c r="E12" s="49"/>
      <c r="F12" s="49"/>
      <c r="G12" s="49"/>
      <c r="H12" s="30"/>
    </row>
    <row r="13" spans="1:8" x14ac:dyDescent="0.25">
      <c r="A13" s="7" t="s">
        <v>86</v>
      </c>
      <c r="B13" s="7" t="s">
        <v>72</v>
      </c>
      <c r="C13" s="7" t="s">
        <v>73</v>
      </c>
      <c r="D13" s="7"/>
      <c r="E13" s="7"/>
    </row>
    <row r="14" spans="1:8" x14ac:dyDescent="0.25">
      <c r="A14" s="119">
        <f>+'Index Pricing'!A1</f>
        <v>37196</v>
      </c>
      <c r="B14" s="63" t="s">
        <v>348</v>
      </c>
      <c r="C14" s="275" t="s">
        <v>359</v>
      </c>
      <c r="D14" s="62"/>
      <c r="E14" s="62"/>
    </row>
    <row r="18" spans="1:7" x14ac:dyDescent="0.25">
      <c r="B18" s="101" t="s">
        <v>10</v>
      </c>
      <c r="C18" s="98" t="s">
        <v>135</v>
      </c>
      <c r="D18" s="100" t="s">
        <v>88</v>
      </c>
      <c r="E18" s="99" t="s">
        <v>180</v>
      </c>
      <c r="F18" s="99" t="s">
        <v>87</v>
      </c>
      <c r="G18" s="100" t="s">
        <v>89</v>
      </c>
    </row>
    <row r="19" spans="1:7" x14ac:dyDescent="0.25">
      <c r="A19" t="str">
        <f>+'Phillips Summary'!A22</f>
        <v>11/01/01 - 11/30/01</v>
      </c>
      <c r="B19" t="s">
        <v>11</v>
      </c>
      <c r="C19" s="4">
        <f>+'Citation Detail'!F14</f>
        <v>-0.14195903467856422</v>
      </c>
      <c r="D19" s="65" t="e">
        <f>+'Citation Detail'!H54</f>
        <v>#DIV/0!</v>
      </c>
      <c r="E19" s="29">
        <f>+F19/'Citation Detail'!$B$7</f>
        <v>0</v>
      </c>
      <c r="F19" s="29">
        <f>+'Citation Detail'!D52</f>
        <v>0</v>
      </c>
      <c r="G19" s="83" t="e">
        <f>+'Citation Detail'!I52</f>
        <v>#DIV/0!</v>
      </c>
    </row>
    <row r="20" spans="1:7" x14ac:dyDescent="0.25">
      <c r="A20" t="str">
        <f>+A19</f>
        <v>11/01/01 - 11/30/01</v>
      </c>
      <c r="C20" t="s">
        <v>142</v>
      </c>
      <c r="D20" s="474" t="s">
        <v>143</v>
      </c>
      <c r="E20" s="29">
        <f>+F20/'Citation Detail'!$B$7</f>
        <v>0</v>
      </c>
      <c r="F20" s="29">
        <f>-+'Citation Detail'!F52</f>
        <v>0</v>
      </c>
      <c r="G20" s="475" t="s">
        <v>144</v>
      </c>
    </row>
    <row r="21" spans="1:7" x14ac:dyDescent="0.25">
      <c r="A21" s="47"/>
      <c r="B21" s="7"/>
      <c r="C21" s="7"/>
      <c r="D21" s="151"/>
      <c r="E21" s="29">
        <f>+F21/'Wellstar Detail'!B$7</f>
        <v>0</v>
      </c>
      <c r="F21" s="47">
        <f>SUM(F19:F20)</f>
        <v>0</v>
      </c>
      <c r="G21" s="139" t="e">
        <f>SUM(G19:G20)</f>
        <v>#DIV/0!</v>
      </c>
    </row>
    <row r="23" spans="1:7" x14ac:dyDescent="0.25">
      <c r="A23" t="s">
        <v>390</v>
      </c>
      <c r="B23" t="s">
        <v>360</v>
      </c>
      <c r="D23" s="474"/>
      <c r="E23" s="474"/>
      <c r="F23" s="29"/>
      <c r="G23" s="215">
        <v>-1010.68</v>
      </c>
    </row>
    <row r="24" spans="1:7" ht="15" x14ac:dyDescent="0.4">
      <c r="A24" s="7"/>
      <c r="C24" s="177"/>
      <c r="D24" s="178"/>
      <c r="E24" s="178"/>
      <c r="F24" s="179"/>
      <c r="G24" s="139"/>
    </row>
    <row r="25" spans="1:7" x14ac:dyDescent="0.25">
      <c r="A25" s="175"/>
      <c r="C25" s="136"/>
      <c r="D25" s="176"/>
      <c r="E25" s="180"/>
      <c r="F25" s="29"/>
      <c r="G25" s="139"/>
    </row>
    <row r="26" spans="1:7" x14ac:dyDescent="0.25">
      <c r="A26" s="175"/>
      <c r="C26" s="136"/>
      <c r="D26" s="176"/>
      <c r="E26" s="180"/>
      <c r="F26" s="29"/>
      <c r="G26" s="139"/>
    </row>
    <row r="27" spans="1:7" x14ac:dyDescent="0.25">
      <c r="A27" s="175"/>
      <c r="C27" s="136"/>
      <c r="D27" s="176"/>
      <c r="E27" s="180"/>
      <c r="F27" s="29"/>
      <c r="G27" s="139"/>
    </row>
    <row r="28" spans="1:7" x14ac:dyDescent="0.25">
      <c r="A28" s="175"/>
      <c r="C28" s="136"/>
      <c r="D28" s="176"/>
      <c r="E28" s="180"/>
      <c r="F28" s="29"/>
      <c r="G28" s="139"/>
    </row>
    <row r="29" spans="1:7" x14ac:dyDescent="0.25">
      <c r="A29" s="175"/>
      <c r="C29" s="136"/>
      <c r="D29" s="176"/>
      <c r="E29" s="180"/>
      <c r="F29" s="29"/>
      <c r="G29" s="139"/>
    </row>
    <row r="30" spans="1:7" x14ac:dyDescent="0.25">
      <c r="A30" s="175"/>
      <c r="C30" s="136"/>
      <c r="D30" s="176"/>
      <c r="E30" s="180"/>
      <c r="F30" s="29"/>
      <c r="G30" s="139"/>
    </row>
    <row r="31" spans="1:7" x14ac:dyDescent="0.25">
      <c r="A31" s="175"/>
      <c r="C31" s="136"/>
      <c r="D31" s="176"/>
      <c r="E31" s="180"/>
      <c r="F31" s="29"/>
      <c r="G31" s="139"/>
    </row>
    <row r="32" spans="1:7" x14ac:dyDescent="0.25">
      <c r="A32" s="175"/>
      <c r="C32" s="136"/>
      <c r="D32" s="176"/>
      <c r="E32" s="180"/>
      <c r="F32" s="29"/>
      <c r="G32" s="139"/>
    </row>
    <row r="33" spans="1:7" x14ac:dyDescent="0.25">
      <c r="B33" s="64"/>
      <c r="C33" s="7"/>
    </row>
    <row r="34" spans="1:7" x14ac:dyDescent="0.25">
      <c r="A34" s="61"/>
      <c r="B34" s="63"/>
    </row>
    <row r="35" spans="1:7" x14ac:dyDescent="0.25">
      <c r="D35" s="7" t="s">
        <v>137</v>
      </c>
      <c r="E35" s="7"/>
      <c r="F35" s="97"/>
      <c r="G35" s="92" t="e">
        <f>SUM(G21:G34)</f>
        <v>#DIV/0!</v>
      </c>
    </row>
    <row r="36" spans="1:7" x14ac:dyDescent="0.25">
      <c r="B36" s="64"/>
    </row>
    <row r="37" spans="1:7" x14ac:dyDescent="0.25">
      <c r="B37" s="7"/>
      <c r="C37" s="7"/>
    </row>
    <row r="38" spans="1:7" x14ac:dyDescent="0.25">
      <c r="B38" s="63"/>
    </row>
    <row r="39" spans="1:7" x14ac:dyDescent="0.25">
      <c r="B39" s="64"/>
    </row>
    <row r="40" spans="1:7" x14ac:dyDescent="0.25">
      <c r="B40" s="64"/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31745" r:id="rId4">
          <objectPr defaultSize="0" autoPict="0" r:id="rId5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175260</xdr:colOff>
                <xdr:row>6</xdr:row>
                <xdr:rowOff>22860</xdr:rowOff>
              </to>
            </anchor>
          </objectPr>
        </oleObject>
      </mc:Choice>
      <mc:Fallback>
        <oleObject progId="Paint.Picture" shapeId="31745" r:id="rId4"/>
      </mc:Fallback>
    </mc:AlternateContent>
  </oleObjec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6"/>
  <sheetViews>
    <sheetView showGridLines="0" topLeftCell="A4" zoomScale="75" zoomScaleNormal="75" workbookViewId="0">
      <selection activeCell="I41" sqref="I41"/>
    </sheetView>
  </sheetViews>
  <sheetFormatPr defaultRowHeight="13.2" x14ac:dyDescent="0.25"/>
  <cols>
    <col min="1" max="1" width="24.33203125" customWidth="1"/>
    <col min="2" max="2" width="17" bestFit="1" customWidth="1"/>
    <col min="3" max="3" width="19.44140625" customWidth="1"/>
    <col min="4" max="4" width="18.109375" bestFit="1" customWidth="1"/>
    <col min="5" max="5" width="17.44140625" bestFit="1" customWidth="1"/>
    <col min="6" max="6" width="22.6640625" bestFit="1" customWidth="1"/>
    <col min="7" max="7" width="15.5546875" bestFit="1" customWidth="1"/>
    <col min="8" max="8" width="14.88671875" customWidth="1"/>
    <col min="9" max="9" width="15.44140625" customWidth="1"/>
    <col min="10" max="11" width="19.33203125" bestFit="1" customWidth="1"/>
    <col min="12" max="12" width="18.6640625" bestFit="1" customWidth="1"/>
    <col min="13" max="13" width="19.33203125" bestFit="1" customWidth="1"/>
  </cols>
  <sheetData>
    <row r="1" spans="1:13" x14ac:dyDescent="0.25">
      <c r="A1" s="7" t="s">
        <v>348</v>
      </c>
      <c r="B1" s="7" t="s">
        <v>28</v>
      </c>
      <c r="C1" s="304" t="s">
        <v>395</v>
      </c>
      <c r="F1" t="s">
        <v>195</v>
      </c>
      <c r="H1" s="7"/>
      <c r="M1" s="149">
        <f ca="1">NOW()</f>
        <v>37238.587624189815</v>
      </c>
    </row>
    <row r="2" spans="1:13" x14ac:dyDescent="0.25">
      <c r="A2" s="8">
        <f>+'Index Pricing'!A1</f>
        <v>37196</v>
      </c>
      <c r="B2" s="7" t="s">
        <v>36</v>
      </c>
      <c r="C2" s="304"/>
      <c r="H2" s="7"/>
    </row>
    <row r="3" spans="1:13" x14ac:dyDescent="0.25">
      <c r="A3" s="8"/>
      <c r="B3" s="7" t="s">
        <v>37</v>
      </c>
      <c r="C3" s="7"/>
      <c r="F3" t="s">
        <v>41</v>
      </c>
      <c r="G3" t="s">
        <v>42</v>
      </c>
      <c r="H3" s="7"/>
    </row>
    <row r="4" spans="1:13" x14ac:dyDescent="0.25">
      <c r="A4" s="8"/>
      <c r="B4" s="7"/>
      <c r="C4" s="7"/>
      <c r="H4" s="7"/>
    </row>
    <row r="5" spans="1:13" x14ac:dyDescent="0.25">
      <c r="A5" s="8" t="s">
        <v>65</v>
      </c>
      <c r="B5" s="168">
        <v>0</v>
      </c>
      <c r="C5" s="7"/>
      <c r="H5" s="7"/>
    </row>
    <row r="6" spans="1:13" x14ac:dyDescent="0.25">
      <c r="A6" s="8" t="s">
        <v>290</v>
      </c>
      <c r="B6" s="168">
        <v>580</v>
      </c>
      <c r="C6" s="7" t="s">
        <v>155</v>
      </c>
      <c r="H6" s="7"/>
    </row>
    <row r="7" spans="1:13" x14ac:dyDescent="0.25">
      <c r="A7" s="1" t="s">
        <v>418</v>
      </c>
      <c r="B7" s="503">
        <v>0.97599999999999998</v>
      </c>
    </row>
    <row r="8" spans="1:13" x14ac:dyDescent="0.25">
      <c r="A8" s="1" t="s">
        <v>417</v>
      </c>
      <c r="B8" s="503">
        <v>0.98619999999999997</v>
      </c>
    </row>
    <row r="9" spans="1:13" x14ac:dyDescent="0.25">
      <c r="A9" s="1" t="s">
        <v>419</v>
      </c>
      <c r="B9" s="548">
        <v>0.45500000000000002</v>
      </c>
      <c r="C9" t="s">
        <v>8</v>
      </c>
    </row>
    <row r="10" spans="1:13" x14ac:dyDescent="0.25">
      <c r="A10" s="1" t="s">
        <v>420</v>
      </c>
      <c r="B10" s="548">
        <v>0.14000000000000001</v>
      </c>
      <c r="C10" t="s">
        <v>8</v>
      </c>
    </row>
    <row r="11" spans="1:13" x14ac:dyDescent="0.25">
      <c r="A11" s="1" t="s">
        <v>0</v>
      </c>
      <c r="B11" s="2">
        <f>'Index Pricing'!B3</f>
        <v>2.54</v>
      </c>
    </row>
    <row r="12" spans="1:13" ht="13.8" thickBot="1" x14ac:dyDescent="0.3">
      <c r="A12" s="1"/>
    </row>
    <row r="13" spans="1:13" s="67" customFormat="1" ht="26.4" x14ac:dyDescent="0.25">
      <c r="A13" s="221"/>
      <c r="B13" s="222"/>
      <c r="C13" s="210" t="s">
        <v>14</v>
      </c>
      <c r="D13" s="210" t="s">
        <v>371</v>
      </c>
      <c r="E13" s="210" t="s">
        <v>216</v>
      </c>
      <c r="F13" s="223" t="s">
        <v>421</v>
      </c>
      <c r="G13" s="223" t="s">
        <v>9</v>
      </c>
      <c r="H13" s="90"/>
      <c r="I13" s="90"/>
    </row>
    <row r="14" spans="1:13" x14ac:dyDescent="0.25">
      <c r="A14" s="182" t="s">
        <v>4</v>
      </c>
      <c r="B14" s="476" t="s">
        <v>3</v>
      </c>
      <c r="C14" s="244">
        <v>-0.1</v>
      </c>
      <c r="D14" s="476">
        <f>-B9/B7</f>
        <v>-0.46618852459016397</v>
      </c>
      <c r="E14" s="476" t="e">
        <f>-F52*D14/(D52)</f>
        <v>#DIV/0!</v>
      </c>
      <c r="F14" s="512">
        <f>-B10/B8</f>
        <v>-0.14195903467856422</v>
      </c>
      <c r="G14" s="185" t="e">
        <f>ROUND(SUM(C14:F14),4)</f>
        <v>#DIV/0!</v>
      </c>
      <c r="I14" s="82"/>
    </row>
    <row r="15" spans="1:13" x14ac:dyDescent="0.25">
      <c r="A15" s="182"/>
      <c r="B15" s="476"/>
      <c r="C15" s="184"/>
      <c r="D15" s="476"/>
      <c r="E15" s="476"/>
      <c r="F15" s="185"/>
      <c r="G15" s="185"/>
    </row>
    <row r="16" spans="1:13" ht="13.8" thickBot="1" x14ac:dyDescent="0.3">
      <c r="A16" s="186"/>
      <c r="B16" s="477"/>
      <c r="C16" s="188"/>
      <c r="D16" s="477"/>
      <c r="E16" s="477"/>
      <c r="F16" s="189"/>
      <c r="G16" s="189"/>
    </row>
    <row r="17" spans="1:9" ht="13.8" thickBot="1" x14ac:dyDescent="0.3"/>
    <row r="18" spans="1:9" ht="26.4" x14ac:dyDescent="0.25">
      <c r="A18" s="6"/>
      <c r="B18" s="75"/>
      <c r="C18" s="20"/>
      <c r="D18" s="167" t="s">
        <v>349</v>
      </c>
      <c r="E18" s="40"/>
      <c r="F18" s="166" t="s">
        <v>266</v>
      </c>
      <c r="G18" s="166" t="s">
        <v>34</v>
      </c>
      <c r="H18" s="75" t="s">
        <v>350</v>
      </c>
      <c r="I18" s="111" t="s">
        <v>26</v>
      </c>
    </row>
    <row r="19" spans="1:9" ht="27" thickBot="1" x14ac:dyDescent="0.3">
      <c r="B19" s="15" t="s">
        <v>3</v>
      </c>
      <c r="C19" s="249" t="s">
        <v>389</v>
      </c>
      <c r="D19" s="12"/>
      <c r="E19" s="49"/>
      <c r="F19" s="49"/>
      <c r="G19" s="49"/>
      <c r="H19" s="15"/>
      <c r="I19" s="114"/>
    </row>
    <row r="20" spans="1:9" x14ac:dyDescent="0.25">
      <c r="A20" s="5">
        <f>+'Index Pricing'!A7</f>
        <v>37196</v>
      </c>
      <c r="B20" s="134">
        <f>+'Index Pricing'!B7</f>
        <v>2.67</v>
      </c>
      <c r="C20" s="236" t="e">
        <f>+B20+$G$14</f>
        <v>#DIV/0!</v>
      </c>
      <c r="D20" s="233">
        <f t="shared" ref="D20:D49" si="0">+G20+F20</f>
        <v>0</v>
      </c>
      <c r="E20" s="30"/>
      <c r="F20" s="504">
        <f>'[1]Enron Detail'!AB14</f>
        <v>0</v>
      </c>
      <c r="G20" s="505">
        <f>'[1]Enron Detail'!AA14</f>
        <v>0</v>
      </c>
      <c r="H20" s="240" t="e">
        <f t="shared" ref="H20:H49" si="1">+C20*D20</f>
        <v>#DIV/0!</v>
      </c>
      <c r="I20" s="2" t="e">
        <f t="shared" ref="I20:I49" si="2">+C20*D20</f>
        <v>#DIV/0!</v>
      </c>
    </row>
    <row r="21" spans="1:9" x14ac:dyDescent="0.25">
      <c r="A21" s="5">
        <f>+'Index Pricing'!A8</f>
        <v>37197</v>
      </c>
      <c r="B21" s="135">
        <f>+'Index Pricing'!B8</f>
        <v>2.36</v>
      </c>
      <c r="C21" s="237" t="e">
        <f t="shared" ref="C21:C49" si="3">+B21+$G$14</f>
        <v>#DIV/0!</v>
      </c>
      <c r="D21" s="234">
        <f t="shared" si="0"/>
        <v>0</v>
      </c>
      <c r="E21" s="30"/>
      <c r="F21" s="504">
        <f>'[1]Enron Detail'!AB15</f>
        <v>0</v>
      </c>
      <c r="G21" s="505">
        <f>'[1]Enron Detail'!AA15</f>
        <v>0</v>
      </c>
      <c r="H21" s="76" t="e">
        <f t="shared" si="1"/>
        <v>#DIV/0!</v>
      </c>
      <c r="I21" s="506" t="e">
        <f t="shared" si="2"/>
        <v>#DIV/0!</v>
      </c>
    </row>
    <row r="22" spans="1:9" x14ac:dyDescent="0.25">
      <c r="A22" s="5">
        <f>+'Index Pricing'!A9</f>
        <v>37198</v>
      </c>
      <c r="B22" s="135">
        <f>+'Index Pricing'!B9</f>
        <v>2.0150000000000001</v>
      </c>
      <c r="C22" s="237" t="e">
        <f t="shared" si="3"/>
        <v>#DIV/0!</v>
      </c>
      <c r="D22" s="234">
        <f t="shared" si="0"/>
        <v>0</v>
      </c>
      <c r="E22" s="30"/>
      <c r="F22" s="504">
        <f>'[1]Enron Detail'!AB16</f>
        <v>0</v>
      </c>
      <c r="G22" s="505">
        <f>'[1]Enron Detail'!AA16</f>
        <v>0</v>
      </c>
      <c r="H22" s="76" t="e">
        <f t="shared" si="1"/>
        <v>#DIV/0!</v>
      </c>
      <c r="I22" s="506" t="e">
        <f t="shared" si="2"/>
        <v>#DIV/0!</v>
      </c>
    </row>
    <row r="23" spans="1:9" x14ac:dyDescent="0.25">
      <c r="A23" s="5">
        <f>+'Index Pricing'!A10</f>
        <v>37199</v>
      </c>
      <c r="B23" s="135">
        <f>+'Index Pricing'!B10</f>
        <v>2.0150000000000001</v>
      </c>
      <c r="C23" s="237" t="e">
        <f t="shared" si="3"/>
        <v>#DIV/0!</v>
      </c>
      <c r="D23" s="234">
        <f t="shared" si="0"/>
        <v>0</v>
      </c>
      <c r="E23" s="30"/>
      <c r="F23" s="504">
        <f>'[1]Enron Detail'!AB17</f>
        <v>0</v>
      </c>
      <c r="G23" s="505">
        <f>'[1]Enron Detail'!AA17</f>
        <v>0</v>
      </c>
      <c r="H23" s="76" t="e">
        <f t="shared" si="1"/>
        <v>#DIV/0!</v>
      </c>
      <c r="I23" s="506" t="e">
        <f t="shared" si="2"/>
        <v>#DIV/0!</v>
      </c>
    </row>
    <row r="24" spans="1:9" x14ac:dyDescent="0.25">
      <c r="A24" s="5">
        <v>37047</v>
      </c>
      <c r="B24" s="135">
        <f>+'Index Pricing'!B11</f>
        <v>2.0150000000000001</v>
      </c>
      <c r="C24" s="237" t="e">
        <f t="shared" si="3"/>
        <v>#DIV/0!</v>
      </c>
      <c r="D24" s="234">
        <f t="shared" si="0"/>
        <v>0</v>
      </c>
      <c r="E24" s="30"/>
      <c r="F24" s="504">
        <f>'[1]Enron Detail'!AB18</f>
        <v>0</v>
      </c>
      <c r="G24" s="505">
        <f>'[1]Enron Detail'!AA18</f>
        <v>0</v>
      </c>
      <c r="H24" s="76" t="e">
        <f t="shared" si="1"/>
        <v>#DIV/0!</v>
      </c>
      <c r="I24" s="506" t="e">
        <f t="shared" si="2"/>
        <v>#DIV/0!</v>
      </c>
    </row>
    <row r="25" spans="1:9" x14ac:dyDescent="0.25">
      <c r="A25" s="5">
        <f>+'Index Pricing'!A12</f>
        <v>37201</v>
      </c>
      <c r="B25" s="135">
        <f>+'Index Pricing'!B12</f>
        <v>2.16</v>
      </c>
      <c r="C25" s="237" t="e">
        <f t="shared" si="3"/>
        <v>#DIV/0!</v>
      </c>
      <c r="D25" s="234">
        <f t="shared" si="0"/>
        <v>0</v>
      </c>
      <c r="E25" s="30"/>
      <c r="F25" s="504">
        <f>'[1]Enron Detail'!AB19</f>
        <v>0</v>
      </c>
      <c r="G25" s="505">
        <f>'[1]Enron Detail'!AA19</f>
        <v>0</v>
      </c>
      <c r="H25" s="76" t="e">
        <f t="shared" si="1"/>
        <v>#DIV/0!</v>
      </c>
      <c r="I25" s="506" t="e">
        <f t="shared" si="2"/>
        <v>#DIV/0!</v>
      </c>
    </row>
    <row r="26" spans="1:9" x14ac:dyDescent="0.25">
      <c r="A26" s="5">
        <f>+'Index Pricing'!A13</f>
        <v>37202</v>
      </c>
      <c r="B26" s="135">
        <f>+'Index Pricing'!B13</f>
        <v>2.1349999999999998</v>
      </c>
      <c r="C26" s="237" t="e">
        <f t="shared" si="3"/>
        <v>#DIV/0!</v>
      </c>
      <c r="D26" s="234">
        <f t="shared" si="0"/>
        <v>0</v>
      </c>
      <c r="E26" s="30"/>
      <c r="F26" s="504">
        <f>'[1]Enron Detail'!AB20</f>
        <v>0</v>
      </c>
      <c r="G26" s="505">
        <f>'[1]Enron Detail'!AA20</f>
        <v>0</v>
      </c>
      <c r="H26" s="76" t="e">
        <f t="shared" si="1"/>
        <v>#DIV/0!</v>
      </c>
      <c r="I26" s="506" t="e">
        <f t="shared" si="2"/>
        <v>#DIV/0!</v>
      </c>
    </row>
    <row r="27" spans="1:9" x14ac:dyDescent="0.25">
      <c r="A27" s="5">
        <f>+'Index Pricing'!A14</f>
        <v>37203</v>
      </c>
      <c r="B27" s="135">
        <f>+'Index Pricing'!B14</f>
        <v>2.13</v>
      </c>
      <c r="C27" s="237" t="e">
        <f t="shared" si="3"/>
        <v>#DIV/0!</v>
      </c>
      <c r="D27" s="234">
        <f t="shared" si="0"/>
        <v>0</v>
      </c>
      <c r="E27" s="30"/>
      <c r="F27" s="504">
        <f>'[1]Enron Detail'!AB21</f>
        <v>0</v>
      </c>
      <c r="G27" s="505">
        <f>'[1]Enron Detail'!AA21</f>
        <v>0</v>
      </c>
      <c r="H27" s="76" t="e">
        <f t="shared" si="1"/>
        <v>#DIV/0!</v>
      </c>
      <c r="I27" s="506" t="e">
        <f t="shared" si="2"/>
        <v>#DIV/0!</v>
      </c>
    </row>
    <row r="28" spans="1:9" x14ac:dyDescent="0.25">
      <c r="A28" s="5">
        <f>+'Index Pricing'!A15</f>
        <v>37204</v>
      </c>
      <c r="B28" s="135">
        <f>+'Index Pricing'!B15</f>
        <v>1.9350000000000001</v>
      </c>
      <c r="C28" s="237" t="e">
        <f t="shared" si="3"/>
        <v>#DIV/0!</v>
      </c>
      <c r="D28" s="234">
        <f t="shared" si="0"/>
        <v>0</v>
      </c>
      <c r="E28" s="30"/>
      <c r="F28" s="504">
        <f>'[1]Enron Detail'!AB22</f>
        <v>0</v>
      </c>
      <c r="G28" s="505">
        <f>'[1]Enron Detail'!AA22</f>
        <v>0</v>
      </c>
      <c r="H28" s="76" t="e">
        <f t="shared" si="1"/>
        <v>#DIV/0!</v>
      </c>
      <c r="I28" s="506" t="e">
        <f t="shared" si="2"/>
        <v>#DIV/0!</v>
      </c>
    </row>
    <row r="29" spans="1:9" x14ac:dyDescent="0.25">
      <c r="A29" s="5">
        <f>+'Index Pricing'!A16</f>
        <v>37205</v>
      </c>
      <c r="B29" s="135">
        <f>+'Index Pricing'!B16</f>
        <v>1.7</v>
      </c>
      <c r="C29" s="237" t="e">
        <f t="shared" si="3"/>
        <v>#DIV/0!</v>
      </c>
      <c r="D29" s="234">
        <f t="shared" si="0"/>
        <v>0</v>
      </c>
      <c r="E29" s="30"/>
      <c r="F29" s="504">
        <f>'[1]Enron Detail'!AB23</f>
        <v>0</v>
      </c>
      <c r="G29" s="505">
        <f>'[1]Enron Detail'!AA23</f>
        <v>0</v>
      </c>
      <c r="H29" s="76" t="e">
        <f t="shared" si="1"/>
        <v>#DIV/0!</v>
      </c>
      <c r="I29" s="506" t="e">
        <f t="shared" si="2"/>
        <v>#DIV/0!</v>
      </c>
    </row>
    <row r="30" spans="1:9" x14ac:dyDescent="0.25">
      <c r="A30" s="5">
        <f>+'Index Pricing'!A17</f>
        <v>37206</v>
      </c>
      <c r="B30" s="135">
        <f>+'Index Pricing'!B17</f>
        <v>1.7</v>
      </c>
      <c r="C30" s="237" t="e">
        <f t="shared" si="3"/>
        <v>#DIV/0!</v>
      </c>
      <c r="D30" s="234">
        <f t="shared" si="0"/>
        <v>0</v>
      </c>
      <c r="E30" s="30"/>
      <c r="F30" s="504">
        <f>'[1]Enron Detail'!AB24</f>
        <v>0</v>
      </c>
      <c r="G30" s="505">
        <f>'[1]Enron Detail'!AA24</f>
        <v>0</v>
      </c>
      <c r="H30" s="76" t="e">
        <f t="shared" si="1"/>
        <v>#DIV/0!</v>
      </c>
      <c r="I30" s="506" t="e">
        <f t="shared" si="2"/>
        <v>#DIV/0!</v>
      </c>
    </row>
    <row r="31" spans="1:9" x14ac:dyDescent="0.25">
      <c r="A31" s="5">
        <f>+'Index Pricing'!A18</f>
        <v>37207</v>
      </c>
      <c r="B31" s="135">
        <f>+'Index Pricing'!B18</f>
        <v>1.7</v>
      </c>
      <c r="C31" s="237" t="e">
        <f t="shared" si="3"/>
        <v>#DIV/0!</v>
      </c>
      <c r="D31" s="234">
        <f t="shared" si="0"/>
        <v>0</v>
      </c>
      <c r="E31" s="30"/>
      <c r="F31" s="504">
        <f>'[1]Enron Detail'!AB25</f>
        <v>0</v>
      </c>
      <c r="G31" s="505">
        <f>'[1]Enron Detail'!AA25</f>
        <v>0</v>
      </c>
      <c r="H31" s="76" t="e">
        <f t="shared" si="1"/>
        <v>#DIV/0!</v>
      </c>
      <c r="I31" s="506" t="e">
        <f t="shared" si="2"/>
        <v>#DIV/0!</v>
      </c>
    </row>
    <row r="32" spans="1:9" x14ac:dyDescent="0.25">
      <c r="A32" s="5">
        <f>+'Index Pricing'!A19</f>
        <v>37208</v>
      </c>
      <c r="B32" s="135">
        <f>+'Index Pricing'!B19</f>
        <v>1.52</v>
      </c>
      <c r="C32" s="237" t="e">
        <f t="shared" si="3"/>
        <v>#DIV/0!</v>
      </c>
      <c r="D32" s="234">
        <f t="shared" si="0"/>
        <v>0</v>
      </c>
      <c r="E32" s="30"/>
      <c r="F32" s="504">
        <f>'[1]Enron Detail'!AB26</f>
        <v>0</v>
      </c>
      <c r="G32" s="505">
        <f>'[1]Enron Detail'!AA26</f>
        <v>0</v>
      </c>
      <c r="H32" s="76" t="e">
        <f t="shared" si="1"/>
        <v>#DIV/0!</v>
      </c>
      <c r="I32" s="506" t="e">
        <f t="shared" si="2"/>
        <v>#DIV/0!</v>
      </c>
    </row>
    <row r="33" spans="1:9" x14ac:dyDescent="0.25">
      <c r="A33" s="5">
        <f>+'Index Pricing'!A20</f>
        <v>37209</v>
      </c>
      <c r="B33" s="135">
        <f>+'Index Pricing'!B20</f>
        <v>1.595</v>
      </c>
      <c r="C33" s="237" t="e">
        <f t="shared" si="3"/>
        <v>#DIV/0!</v>
      </c>
      <c r="D33" s="234">
        <f t="shared" si="0"/>
        <v>0</v>
      </c>
      <c r="E33" s="30"/>
      <c r="F33" s="504">
        <f>'[1]Enron Detail'!AB27</f>
        <v>0</v>
      </c>
      <c r="G33" s="505">
        <f>'[1]Enron Detail'!AA27</f>
        <v>0</v>
      </c>
      <c r="H33" s="76" t="e">
        <f t="shared" si="1"/>
        <v>#DIV/0!</v>
      </c>
      <c r="I33" s="506" t="e">
        <f t="shared" si="2"/>
        <v>#DIV/0!</v>
      </c>
    </row>
    <row r="34" spans="1:9" x14ac:dyDescent="0.25">
      <c r="A34" s="5">
        <f>+'Index Pricing'!A21</f>
        <v>37210</v>
      </c>
      <c r="B34" s="135">
        <f>+'Index Pricing'!B21</f>
        <v>1.84</v>
      </c>
      <c r="C34" s="237" t="e">
        <f t="shared" si="3"/>
        <v>#DIV/0!</v>
      </c>
      <c r="D34" s="234">
        <f t="shared" si="0"/>
        <v>0</v>
      </c>
      <c r="E34" s="30"/>
      <c r="F34" s="504">
        <f>'[1]Enron Detail'!AB28</f>
        <v>0</v>
      </c>
      <c r="G34" s="505">
        <f>'[1]Enron Detail'!AA28</f>
        <v>0</v>
      </c>
      <c r="H34" s="76" t="e">
        <f t="shared" si="1"/>
        <v>#DIV/0!</v>
      </c>
      <c r="I34" s="506" t="e">
        <f t="shared" si="2"/>
        <v>#DIV/0!</v>
      </c>
    </row>
    <row r="35" spans="1:9" x14ac:dyDescent="0.25">
      <c r="A35" s="5">
        <f>+'Index Pricing'!A22</f>
        <v>37211</v>
      </c>
      <c r="B35" s="135">
        <f>+'Index Pricing'!B22</f>
        <v>1.4350000000000001</v>
      </c>
      <c r="C35" s="237" t="e">
        <f t="shared" si="3"/>
        <v>#DIV/0!</v>
      </c>
      <c r="D35" s="234">
        <f t="shared" si="0"/>
        <v>0</v>
      </c>
      <c r="E35" s="30"/>
      <c r="F35" s="504">
        <f>'[1]Enron Detail'!AB29</f>
        <v>0</v>
      </c>
      <c r="G35" s="505">
        <f>'[1]Enron Detail'!AA29</f>
        <v>0</v>
      </c>
      <c r="H35" s="76" t="e">
        <f t="shared" si="1"/>
        <v>#DIV/0!</v>
      </c>
      <c r="I35" s="506" t="e">
        <f t="shared" si="2"/>
        <v>#DIV/0!</v>
      </c>
    </row>
    <row r="36" spans="1:9" x14ac:dyDescent="0.25">
      <c r="A36" s="5">
        <f>+'Index Pricing'!A23</f>
        <v>37212</v>
      </c>
      <c r="B36" s="135">
        <f>+'Index Pricing'!B23</f>
        <v>1.135</v>
      </c>
      <c r="C36" s="237" t="e">
        <f t="shared" si="3"/>
        <v>#DIV/0!</v>
      </c>
      <c r="D36" s="234">
        <f t="shared" si="0"/>
        <v>0</v>
      </c>
      <c r="E36" s="30"/>
      <c r="F36" s="504">
        <f>'[1]Enron Detail'!AB30</f>
        <v>0</v>
      </c>
      <c r="G36" s="505">
        <f>'[1]Enron Detail'!AA30</f>
        <v>0</v>
      </c>
      <c r="H36" s="76" t="e">
        <f t="shared" si="1"/>
        <v>#DIV/0!</v>
      </c>
      <c r="I36" s="506" t="e">
        <f t="shared" si="2"/>
        <v>#DIV/0!</v>
      </c>
    </row>
    <row r="37" spans="1:9" x14ac:dyDescent="0.25">
      <c r="A37" s="5">
        <f>+'Index Pricing'!A24</f>
        <v>37213</v>
      </c>
      <c r="B37" s="135">
        <f>+'Index Pricing'!B24</f>
        <v>1.135</v>
      </c>
      <c r="C37" s="237" t="e">
        <f t="shared" si="3"/>
        <v>#DIV/0!</v>
      </c>
      <c r="D37" s="234">
        <f t="shared" si="0"/>
        <v>0</v>
      </c>
      <c r="E37" s="30"/>
      <c r="F37" s="504">
        <f>'[1]Enron Detail'!AB31</f>
        <v>0</v>
      </c>
      <c r="G37" s="505">
        <f>'[1]Enron Detail'!AA31</f>
        <v>0</v>
      </c>
      <c r="H37" s="76" t="e">
        <f t="shared" si="1"/>
        <v>#DIV/0!</v>
      </c>
      <c r="I37" s="506" t="e">
        <f t="shared" si="2"/>
        <v>#DIV/0!</v>
      </c>
    </row>
    <row r="38" spans="1:9" x14ac:dyDescent="0.25">
      <c r="A38" s="5">
        <f>+'Index Pricing'!A25</f>
        <v>37214</v>
      </c>
      <c r="B38" s="135">
        <f>+'Index Pricing'!B25</f>
        <v>1.135</v>
      </c>
      <c r="C38" s="237" t="e">
        <f t="shared" si="3"/>
        <v>#DIV/0!</v>
      </c>
      <c r="D38" s="234">
        <f t="shared" si="0"/>
        <v>0</v>
      </c>
      <c r="E38" s="30"/>
      <c r="F38" s="504">
        <f>'[1]Enron Detail'!AB32</f>
        <v>0</v>
      </c>
      <c r="G38" s="505">
        <f>'[1]Enron Detail'!AA32</f>
        <v>0</v>
      </c>
      <c r="H38" s="76" t="e">
        <f t="shared" si="1"/>
        <v>#DIV/0!</v>
      </c>
      <c r="I38" s="506" t="e">
        <f t="shared" si="2"/>
        <v>#DIV/0!</v>
      </c>
    </row>
    <row r="39" spans="1:9" x14ac:dyDescent="0.25">
      <c r="A39" s="5">
        <f>+'Index Pricing'!A26</f>
        <v>37215</v>
      </c>
      <c r="B39" s="135">
        <f>+'Index Pricing'!B26</f>
        <v>1.5349999999999999</v>
      </c>
      <c r="C39" s="237" t="e">
        <f t="shared" si="3"/>
        <v>#DIV/0!</v>
      </c>
      <c r="D39" s="234">
        <f t="shared" si="0"/>
        <v>0</v>
      </c>
      <c r="E39" s="30"/>
      <c r="F39" s="504">
        <f>'[1]Enron Detail'!AB33</f>
        <v>0</v>
      </c>
      <c r="G39" s="505">
        <f>'[1]Enron Detail'!AA33</f>
        <v>0</v>
      </c>
      <c r="H39" s="76" t="e">
        <f t="shared" si="1"/>
        <v>#DIV/0!</v>
      </c>
      <c r="I39" s="506" t="e">
        <f t="shared" si="2"/>
        <v>#DIV/0!</v>
      </c>
    </row>
    <row r="40" spans="1:9" x14ac:dyDescent="0.25">
      <c r="A40" s="5">
        <f>+'Index Pricing'!A27</f>
        <v>37216</v>
      </c>
      <c r="B40" s="135">
        <f>+'Index Pricing'!B27</f>
        <v>2.2050000000000001</v>
      </c>
      <c r="C40" s="237" t="e">
        <f t="shared" si="3"/>
        <v>#DIV/0!</v>
      </c>
      <c r="D40" s="234">
        <f t="shared" si="0"/>
        <v>0</v>
      </c>
      <c r="E40" s="30"/>
      <c r="F40" s="504">
        <f>'[1]Enron Detail'!AB34</f>
        <v>0</v>
      </c>
      <c r="G40" s="505">
        <f>'[1]Enron Detail'!AA34</f>
        <v>0</v>
      </c>
      <c r="H40" s="76" t="e">
        <f t="shared" si="1"/>
        <v>#DIV/0!</v>
      </c>
      <c r="I40" s="506" t="e">
        <f t="shared" si="2"/>
        <v>#DIV/0!</v>
      </c>
    </row>
    <row r="41" spans="1:9" x14ac:dyDescent="0.25">
      <c r="A41" s="5">
        <f>+'Index Pricing'!A28</f>
        <v>37217</v>
      </c>
      <c r="B41" s="135">
        <f>+'Index Pricing'!B28</f>
        <v>1.43</v>
      </c>
      <c r="C41" s="237" t="e">
        <f t="shared" si="3"/>
        <v>#DIV/0!</v>
      </c>
      <c r="D41" s="234">
        <f t="shared" si="0"/>
        <v>0</v>
      </c>
      <c r="E41" s="30"/>
      <c r="F41" s="504">
        <f>'[1]Enron Detail'!AB35</f>
        <v>0</v>
      </c>
      <c r="G41" s="505">
        <f>'[1]Enron Detail'!AA35</f>
        <v>0</v>
      </c>
      <c r="H41" s="76" t="e">
        <f t="shared" si="1"/>
        <v>#DIV/0!</v>
      </c>
      <c r="I41" s="506" t="e">
        <f t="shared" si="2"/>
        <v>#DIV/0!</v>
      </c>
    </row>
    <row r="42" spans="1:9" x14ac:dyDescent="0.25">
      <c r="A42" s="5">
        <f>+'Index Pricing'!A29</f>
        <v>37218</v>
      </c>
      <c r="B42" s="135">
        <f>+'Index Pricing'!B29</f>
        <v>1.43</v>
      </c>
      <c r="C42" s="237" t="e">
        <f t="shared" si="3"/>
        <v>#DIV/0!</v>
      </c>
      <c r="D42" s="234">
        <f t="shared" si="0"/>
        <v>0</v>
      </c>
      <c r="E42" s="30"/>
      <c r="F42" s="504">
        <f>'[1]Enron Detail'!AB36</f>
        <v>0</v>
      </c>
      <c r="G42" s="505">
        <f>'[1]Enron Detail'!AA36</f>
        <v>0</v>
      </c>
      <c r="H42" s="76" t="e">
        <f t="shared" si="1"/>
        <v>#DIV/0!</v>
      </c>
      <c r="I42" s="506" t="e">
        <f t="shared" si="2"/>
        <v>#DIV/0!</v>
      </c>
    </row>
    <row r="43" spans="1:9" x14ac:dyDescent="0.25">
      <c r="A43" s="5">
        <f>+'Index Pricing'!A30</f>
        <v>37219</v>
      </c>
      <c r="B43" s="135">
        <f>+'Index Pricing'!B30</f>
        <v>1.43</v>
      </c>
      <c r="C43" s="237" t="e">
        <f t="shared" si="3"/>
        <v>#DIV/0!</v>
      </c>
      <c r="D43" s="234">
        <f t="shared" si="0"/>
        <v>0</v>
      </c>
      <c r="E43" s="30"/>
      <c r="F43" s="504">
        <f>'[1]Enron Detail'!AB37</f>
        <v>0</v>
      </c>
      <c r="G43" s="505">
        <f>'[1]Enron Detail'!AA37</f>
        <v>0</v>
      </c>
      <c r="H43" s="76" t="e">
        <f t="shared" si="1"/>
        <v>#DIV/0!</v>
      </c>
      <c r="I43" s="506" t="e">
        <f t="shared" si="2"/>
        <v>#DIV/0!</v>
      </c>
    </row>
    <row r="44" spans="1:9" x14ac:dyDescent="0.25">
      <c r="A44" s="5">
        <f>+'Index Pricing'!A31</f>
        <v>37220</v>
      </c>
      <c r="B44" s="135">
        <f>+'Index Pricing'!B31</f>
        <v>1.43</v>
      </c>
      <c r="C44" s="237" t="e">
        <f t="shared" si="3"/>
        <v>#DIV/0!</v>
      </c>
      <c r="D44" s="234">
        <f t="shared" si="0"/>
        <v>0</v>
      </c>
      <c r="E44" s="30"/>
      <c r="F44" s="504">
        <f>'[1]Enron Detail'!AB38</f>
        <v>0</v>
      </c>
      <c r="G44" s="505">
        <f>'[1]Enron Detail'!AA38</f>
        <v>0</v>
      </c>
      <c r="H44" s="76" t="e">
        <f t="shared" si="1"/>
        <v>#DIV/0!</v>
      </c>
      <c r="I44" s="506" t="e">
        <f t="shared" si="2"/>
        <v>#DIV/0!</v>
      </c>
    </row>
    <row r="45" spans="1:9" x14ac:dyDescent="0.25">
      <c r="A45" s="5">
        <f>+'Index Pricing'!A32</f>
        <v>37221</v>
      </c>
      <c r="B45" s="135">
        <f>+'Index Pricing'!B32</f>
        <v>1.43</v>
      </c>
      <c r="C45" s="237" t="e">
        <f t="shared" si="3"/>
        <v>#DIV/0!</v>
      </c>
      <c r="D45" s="234">
        <f t="shared" si="0"/>
        <v>0</v>
      </c>
      <c r="E45" s="30"/>
      <c r="F45" s="504">
        <f>'[1]Enron Detail'!AB39</f>
        <v>0</v>
      </c>
      <c r="G45" s="505">
        <f>'[1]Enron Detail'!AA39</f>
        <v>0</v>
      </c>
      <c r="H45" s="76" t="e">
        <f t="shared" si="1"/>
        <v>#DIV/0!</v>
      </c>
      <c r="I45" s="506" t="e">
        <f t="shared" si="2"/>
        <v>#DIV/0!</v>
      </c>
    </row>
    <row r="46" spans="1:9" x14ac:dyDescent="0.25">
      <c r="A46" s="5">
        <f>+'Index Pricing'!A33</f>
        <v>37222</v>
      </c>
      <c r="B46" s="135">
        <f>+'Index Pricing'!B33</f>
        <v>1.88</v>
      </c>
      <c r="C46" s="237" t="e">
        <f t="shared" si="3"/>
        <v>#DIV/0!</v>
      </c>
      <c r="D46" s="234">
        <f t="shared" si="0"/>
        <v>0</v>
      </c>
      <c r="E46" s="30"/>
      <c r="F46" s="504">
        <f>'[1]Enron Detail'!AB40</f>
        <v>0</v>
      </c>
      <c r="G46" s="505">
        <f>'[1]Enron Detail'!AA40</f>
        <v>0</v>
      </c>
      <c r="H46" s="76" t="e">
        <f t="shared" si="1"/>
        <v>#DIV/0!</v>
      </c>
      <c r="I46" s="506" t="e">
        <f t="shared" si="2"/>
        <v>#DIV/0!</v>
      </c>
    </row>
    <row r="47" spans="1:9" x14ac:dyDescent="0.25">
      <c r="A47" s="5">
        <f>+'Index Pricing'!A34</f>
        <v>37223</v>
      </c>
      <c r="B47" s="135">
        <f>+'Index Pricing'!B34</f>
        <v>2.16</v>
      </c>
      <c r="C47" s="237" t="e">
        <f t="shared" si="3"/>
        <v>#DIV/0!</v>
      </c>
      <c r="D47" s="234">
        <f t="shared" si="0"/>
        <v>0</v>
      </c>
      <c r="E47" s="30"/>
      <c r="F47" s="504">
        <f>'[1]Enron Detail'!AB41</f>
        <v>0</v>
      </c>
      <c r="G47" s="505">
        <f>'[1]Enron Detail'!AA41</f>
        <v>0</v>
      </c>
      <c r="H47" s="76" t="e">
        <f t="shared" si="1"/>
        <v>#DIV/0!</v>
      </c>
      <c r="I47" s="506" t="e">
        <f t="shared" si="2"/>
        <v>#DIV/0!</v>
      </c>
    </row>
    <row r="48" spans="1:9" x14ac:dyDescent="0.25">
      <c r="A48" s="5">
        <f>+'Index Pricing'!A35</f>
        <v>37224</v>
      </c>
      <c r="B48" s="135">
        <f>+'Index Pricing'!B35</f>
        <v>2.38</v>
      </c>
      <c r="C48" s="237" t="e">
        <f t="shared" si="3"/>
        <v>#DIV/0!</v>
      </c>
      <c r="D48" s="234">
        <f t="shared" si="0"/>
        <v>0</v>
      </c>
      <c r="E48" s="30"/>
      <c r="F48" s="504">
        <f>'[1]Enron Detail'!AB42</f>
        <v>0</v>
      </c>
      <c r="G48" s="505">
        <f>'[1]Enron Detail'!AA42</f>
        <v>0</v>
      </c>
      <c r="H48" s="76" t="e">
        <f t="shared" si="1"/>
        <v>#DIV/0!</v>
      </c>
      <c r="I48" s="506" t="e">
        <f t="shared" si="2"/>
        <v>#DIV/0!</v>
      </c>
    </row>
    <row r="49" spans="1:9" x14ac:dyDescent="0.25">
      <c r="A49" s="5">
        <f>+'Index Pricing'!A36</f>
        <v>37225</v>
      </c>
      <c r="B49" s="135">
        <f>+'Index Pricing'!B36</f>
        <v>2.0249999999999999</v>
      </c>
      <c r="C49" s="237" t="e">
        <f t="shared" si="3"/>
        <v>#DIV/0!</v>
      </c>
      <c r="D49" s="234">
        <f t="shared" si="0"/>
        <v>0</v>
      </c>
      <c r="E49" s="30"/>
      <c r="F49" s="504">
        <f>'[1]Enron Detail'!AB43</f>
        <v>0</v>
      </c>
      <c r="G49" s="505">
        <f>'[1]Enron Detail'!AA43</f>
        <v>0</v>
      </c>
      <c r="H49" s="76" t="e">
        <f t="shared" si="1"/>
        <v>#DIV/0!</v>
      </c>
      <c r="I49" s="506" t="e">
        <f t="shared" si="2"/>
        <v>#DIV/0!</v>
      </c>
    </row>
    <row r="50" spans="1:9" x14ac:dyDescent="0.25">
      <c r="A50" s="5"/>
      <c r="B50" s="135"/>
      <c r="C50" s="237"/>
      <c r="D50" s="234"/>
      <c r="E50" s="30"/>
      <c r="F50" s="504"/>
      <c r="G50" s="505"/>
      <c r="H50" s="76"/>
      <c r="I50" s="506"/>
    </row>
    <row r="51" spans="1:9" ht="13.8" thickBot="1" x14ac:dyDescent="0.3">
      <c r="A51" s="5"/>
      <c r="B51" s="241"/>
      <c r="C51" s="238"/>
      <c r="D51" s="235"/>
      <c r="E51" s="49"/>
      <c r="F51" s="484"/>
      <c r="G51" s="507"/>
      <c r="H51" s="508"/>
      <c r="I51" s="509"/>
    </row>
    <row r="52" spans="1:9" ht="13.8" thickBot="1" x14ac:dyDescent="0.3">
      <c r="D52" s="29">
        <f>SUM(D20:D51)</f>
        <v>0</v>
      </c>
      <c r="F52" s="19">
        <f>SUM(F20:F51)</f>
        <v>0</v>
      </c>
      <c r="G52" s="29">
        <f>SUM(G20:G51)</f>
        <v>0</v>
      </c>
      <c r="H52" s="78" t="e">
        <f>SUM(H20:H51)</f>
        <v>#DIV/0!</v>
      </c>
      <c r="I52" s="80" t="e">
        <f>SUM(I20:I51)</f>
        <v>#DIV/0!</v>
      </c>
    </row>
    <row r="53" spans="1:9" x14ac:dyDescent="0.25">
      <c r="B53" s="170"/>
    </row>
    <row r="54" spans="1:9" x14ac:dyDescent="0.25">
      <c r="F54" s="478" t="e">
        <f>+F52/G52</f>
        <v>#DIV/0!</v>
      </c>
      <c r="G54" t="s">
        <v>138</v>
      </c>
      <c r="H54" s="4" t="e">
        <f>+H52/D52</f>
        <v>#DIV/0!</v>
      </c>
      <c r="I54" s="4" t="e">
        <f>+I52/(G52+F52)</f>
        <v>#DIV/0!</v>
      </c>
    </row>
    <row r="56" spans="1:9" x14ac:dyDescent="0.25">
      <c r="A56" t="s">
        <v>217</v>
      </c>
    </row>
  </sheetData>
  <phoneticPr fontId="0" type="noConversion"/>
  <pageMargins left="0.75" right="0.75" top="1" bottom="1" header="0.5" footer="0.5"/>
  <pageSetup scale="6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32769" r:id="rId4">
          <objectPr defaultSize="0" autoPict="0" r:id="rId5">
            <anchor moveWithCells="1">
              <from>
                <xdr:col>4</xdr:col>
                <xdr:colOff>601980</xdr:colOff>
                <xdr:row>0</xdr:row>
                <xdr:rowOff>22860</xdr:rowOff>
              </from>
              <to>
                <xdr:col>5</xdr:col>
                <xdr:colOff>7620</xdr:colOff>
                <xdr:row>3</xdr:row>
                <xdr:rowOff>68580</xdr:rowOff>
              </to>
            </anchor>
          </objectPr>
        </oleObject>
      </mc:Choice>
      <mc:Fallback>
        <oleObject progId="Paint.Picture" shapeId="32769" r:id="rId4"/>
      </mc:Fallback>
    </mc:AlternateContent>
  </oleObjec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pageSetUpPr fitToPage="1"/>
  </sheetPr>
  <dimension ref="A1:CF63"/>
  <sheetViews>
    <sheetView showGridLines="0" topLeftCell="A4" zoomScale="75" workbookViewId="0">
      <pane xSplit="5" topLeftCell="I1" activePane="topRight" state="frozen"/>
      <selection activeCell="I41" sqref="I41"/>
      <selection pane="topRight" activeCell="I41" sqref="I41"/>
    </sheetView>
  </sheetViews>
  <sheetFormatPr defaultRowHeight="13.2" x14ac:dyDescent="0.25"/>
  <cols>
    <col min="1" max="1" width="28" customWidth="1"/>
    <col min="2" max="2" width="14.88671875" customWidth="1"/>
    <col min="3" max="3" width="24.88671875" customWidth="1"/>
    <col min="4" max="4" width="14.88671875" bestFit="1" customWidth="1"/>
    <col min="5" max="5" width="16.6640625" customWidth="1"/>
    <col min="6" max="6" width="24" bestFit="1" customWidth="1"/>
    <col min="7" max="7" width="16.5546875" customWidth="1"/>
    <col min="8" max="8" width="20" bestFit="1" customWidth="1"/>
    <col min="9" max="9" width="17" bestFit="1" customWidth="1"/>
    <col min="10" max="10" width="17.109375" bestFit="1" customWidth="1"/>
    <col min="11" max="11" width="14.33203125" customWidth="1"/>
    <col min="12" max="12" width="31" bestFit="1" customWidth="1"/>
    <col min="13" max="13" width="14.6640625" bestFit="1" customWidth="1"/>
    <col min="14" max="14" width="19.88671875" bestFit="1" customWidth="1"/>
    <col min="15" max="15" width="11.44140625" customWidth="1"/>
    <col min="16" max="16" width="15.109375" style="2" bestFit="1" customWidth="1"/>
    <col min="17" max="17" width="11.6640625" customWidth="1"/>
    <col min="18" max="18" width="13.109375" bestFit="1" customWidth="1"/>
    <col min="19" max="19" width="12.33203125" bestFit="1" customWidth="1"/>
    <col min="20" max="20" width="12.33203125" style="29" bestFit="1" customWidth="1"/>
    <col min="21" max="22" width="15.109375" bestFit="1" customWidth="1"/>
    <col min="23" max="23" width="14.109375" bestFit="1" customWidth="1"/>
    <col min="24" max="24" width="15.109375" bestFit="1" customWidth="1"/>
    <col min="25" max="25" width="15" bestFit="1" customWidth="1"/>
    <col min="26" max="26" width="10.44140625" bestFit="1" customWidth="1"/>
    <col min="27" max="27" width="10.88671875" customWidth="1"/>
    <col min="28" max="28" width="10.33203125" bestFit="1" customWidth="1"/>
    <col min="29" max="29" width="12" bestFit="1" customWidth="1"/>
    <col min="30" max="30" width="10.33203125" bestFit="1" customWidth="1"/>
  </cols>
  <sheetData>
    <row r="1" spans="1:27" x14ac:dyDescent="0.25">
      <c r="A1" s="149"/>
    </row>
    <row r="5" spans="1:27" x14ac:dyDescent="0.25">
      <c r="A5" s="7" t="s">
        <v>105</v>
      </c>
    </row>
    <row r="6" spans="1:27" x14ac:dyDescent="0.25">
      <c r="A6" s="7" t="s">
        <v>154</v>
      </c>
      <c r="B6" s="115">
        <f>+'Index Pricing'!A7</f>
        <v>37196</v>
      </c>
      <c r="C6" s="115"/>
    </row>
    <row r="7" spans="1:27" x14ac:dyDescent="0.25">
      <c r="A7" t="s">
        <v>0</v>
      </c>
      <c r="B7" s="2">
        <f>+'Index Pricing'!B3</f>
        <v>2.54</v>
      </c>
      <c r="C7" s="2"/>
    </row>
    <row r="8" spans="1:27" x14ac:dyDescent="0.25">
      <c r="A8" t="s">
        <v>115</v>
      </c>
      <c r="B8">
        <f>+'Index Pricing'!B4</f>
        <v>3.04</v>
      </c>
    </row>
    <row r="10" spans="1:27" ht="13.8" thickBot="1" x14ac:dyDescent="0.3"/>
    <row r="11" spans="1:27" ht="26.4" x14ac:dyDescent="0.25">
      <c r="E11" s="85" t="s">
        <v>114</v>
      </c>
      <c r="F11" s="86"/>
      <c r="G11" s="87"/>
      <c r="H11" s="87"/>
      <c r="I11" s="88" t="s">
        <v>122</v>
      </c>
      <c r="J11" s="116"/>
      <c r="K11" s="116"/>
      <c r="L11" s="116"/>
      <c r="M11" s="116"/>
      <c r="N11" s="117"/>
      <c r="T11" s="140" t="s">
        <v>155</v>
      </c>
      <c r="Y11" s="107" t="s">
        <v>197</v>
      </c>
      <c r="Z11" s="6" t="s">
        <v>256</v>
      </c>
    </row>
    <row r="12" spans="1:27" s="90" customFormat="1" ht="26.4" x14ac:dyDescent="0.25">
      <c r="B12" s="450" t="s">
        <v>106</v>
      </c>
      <c r="C12" s="450" t="s">
        <v>322</v>
      </c>
      <c r="D12" s="450" t="s">
        <v>108</v>
      </c>
      <c r="E12" s="451" t="s">
        <v>10</v>
      </c>
      <c r="F12" s="452" t="s">
        <v>356</v>
      </c>
      <c r="G12" s="453" t="s">
        <v>109</v>
      </c>
      <c r="H12" s="453" t="s">
        <v>113</v>
      </c>
      <c r="I12" s="454" t="s">
        <v>10</v>
      </c>
      <c r="J12" s="118" t="s">
        <v>110</v>
      </c>
      <c r="K12" s="118" t="s">
        <v>177</v>
      </c>
      <c r="L12" s="118" t="s">
        <v>124</v>
      </c>
      <c r="M12" s="118" t="s">
        <v>125</v>
      </c>
      <c r="N12" s="449" t="s">
        <v>119</v>
      </c>
      <c r="O12" s="90" t="s">
        <v>126</v>
      </c>
      <c r="P12" s="455"/>
      <c r="Q12" s="90" t="s">
        <v>127</v>
      </c>
      <c r="S12" s="90" t="s">
        <v>336</v>
      </c>
      <c r="T12" s="456" t="s">
        <v>156</v>
      </c>
      <c r="U12" s="90" t="s">
        <v>157</v>
      </c>
      <c r="V12" s="90" t="s">
        <v>158</v>
      </c>
      <c r="W12" s="90" t="s">
        <v>159</v>
      </c>
      <c r="X12" s="90" t="s">
        <v>160</v>
      </c>
      <c r="Y12" s="90" t="s">
        <v>161</v>
      </c>
      <c r="AA12" s="90" t="s">
        <v>162</v>
      </c>
    </row>
    <row r="13" spans="1:27" s="259" customFormat="1" x14ac:dyDescent="0.25">
      <c r="A13" s="469"/>
      <c r="B13" s="201" t="s">
        <v>19</v>
      </c>
      <c r="C13" s="344" t="s">
        <v>323</v>
      </c>
      <c r="D13" s="260">
        <f>'Box Draw Detail'!D57</f>
        <v>36696.893408863536</v>
      </c>
      <c r="E13" s="261" t="s">
        <v>11</v>
      </c>
      <c r="F13" s="290">
        <f>'Box Draw Detail'!K16</f>
        <v>-0.51339999999999997</v>
      </c>
      <c r="G13" s="263">
        <f>IF(D13=0,0,+H13/D13)</f>
        <v>1.2365026039812888</v>
      </c>
      <c r="H13" s="264">
        <f>+'Box Draw Detail'!P57</f>
        <v>45375.804258083554</v>
      </c>
      <c r="I13" s="261" t="s">
        <v>11</v>
      </c>
      <c r="J13" s="263">
        <f>'Box Draw Detail'!C16</f>
        <v>0</v>
      </c>
      <c r="K13" s="265">
        <f t="shared" ref="K13:K37" si="0">+J13-F13</f>
        <v>0.51339999999999997</v>
      </c>
      <c r="L13" s="265">
        <f t="shared" ref="L13:L37" si="1">+G13+K13</f>
        <v>1.7499026039812886</v>
      </c>
      <c r="M13" s="266">
        <f>+O13-($M$48*Q13)</f>
        <v>36696.893408863536</v>
      </c>
      <c r="N13" s="267">
        <f>+M13*L13</f>
        <v>64215.989334194091</v>
      </c>
      <c r="O13" s="268">
        <f>+D13</f>
        <v>36696.893408863536</v>
      </c>
      <c r="P13" s="352">
        <f>+N13</f>
        <v>64215.989334194091</v>
      </c>
      <c r="Q13" s="269">
        <f>+O13/$O$46</f>
        <v>4.7533235161592399E-2</v>
      </c>
      <c r="R13" s="270" t="str">
        <f>+B13</f>
        <v>Kennedy</v>
      </c>
      <c r="S13" s="268">
        <f>SUM(D13:D22)</f>
        <v>1113110</v>
      </c>
      <c r="T13" s="260">
        <f>'[1]Enron Summary'!$C$17+'[1]Enron Summary'!$C$18</f>
        <v>1201452</v>
      </c>
      <c r="U13" s="271">
        <f>SUM(N13:N22)</f>
        <v>2314582.6777607291</v>
      </c>
      <c r="V13" s="271">
        <f>SUM(H13:H22)</f>
        <v>1634455.1735512684</v>
      </c>
      <c r="W13" s="271">
        <f>+U13+L13*AA13+L14*AA14+L19*AA19+L20*AA20+L21*AA21+L22*AA22-V13</f>
        <v>680127.50420946069</v>
      </c>
      <c r="X13" s="271">
        <f>'[1]Enron Summary'!$G$17+'[1]Enron Summary'!$G$18</f>
        <v>680112.58</v>
      </c>
      <c r="Y13" s="526">
        <f>+W13-X13</f>
        <v>14.924209460732527</v>
      </c>
      <c r="Z13" s="272">
        <f>+(W13)/T13</f>
        <v>0.56608795375051246</v>
      </c>
      <c r="AA13" s="268">
        <f>+D13-M13</f>
        <v>0</v>
      </c>
    </row>
    <row r="14" spans="1:27" s="259" customFormat="1" x14ac:dyDescent="0.25">
      <c r="A14" s="469"/>
      <c r="B14" s="201"/>
      <c r="C14" s="344" t="s">
        <v>333</v>
      </c>
      <c r="D14" s="260">
        <f>+'S Kitty Detail'!D57</f>
        <v>81071.106591136471</v>
      </c>
      <c r="E14" s="261" t="s">
        <v>11</v>
      </c>
      <c r="F14" s="290">
        <f>+'S Kitty Detail'!K16</f>
        <v>-0.65490000000000004</v>
      </c>
      <c r="G14" s="263">
        <f>IF(D14=0,0,+H14/D14)</f>
        <v>0</v>
      </c>
      <c r="H14" s="264">
        <f>+'S Kitty Detail'!P58</f>
        <v>0</v>
      </c>
      <c r="I14" s="261" t="s">
        <v>11</v>
      </c>
      <c r="J14" s="263">
        <f>+'S Kitty Detail'!C16</f>
        <v>0</v>
      </c>
      <c r="K14" s="265">
        <f t="shared" si="0"/>
        <v>0.65490000000000004</v>
      </c>
      <c r="L14" s="265">
        <f t="shared" si="1"/>
        <v>0.65490000000000004</v>
      </c>
      <c r="M14" s="266">
        <f>+O14-($M$48*Q14)</f>
        <v>81071.106591136471</v>
      </c>
      <c r="N14" s="267">
        <f>+M14*L14</f>
        <v>53093.467706535281</v>
      </c>
      <c r="O14" s="268">
        <f>+D14</f>
        <v>81071.106591136471</v>
      </c>
      <c r="P14" s="352">
        <f>+N14</f>
        <v>53093.467706535281</v>
      </c>
      <c r="Q14" s="269">
        <f>+O14/$O$46</f>
        <v>0.10501085014123419</v>
      </c>
      <c r="R14" s="270"/>
      <c r="S14" s="268"/>
      <c r="T14" s="260"/>
      <c r="U14" s="271"/>
      <c r="V14" s="271"/>
      <c r="W14" s="271"/>
      <c r="X14" s="271"/>
      <c r="Y14" s="526"/>
      <c r="Z14" s="272"/>
      <c r="AA14" s="268">
        <f>+D14-M14</f>
        <v>0</v>
      </c>
    </row>
    <row r="15" spans="1:27" s="259" customFormat="1" x14ac:dyDescent="0.25">
      <c r="A15" s="275"/>
      <c r="B15" s="201"/>
      <c r="C15" s="344" t="s">
        <v>323</v>
      </c>
      <c r="D15" s="260">
        <f>+'Box Draw Detail'!F57</f>
        <v>108511.50897578748</v>
      </c>
      <c r="E15" s="261" t="s">
        <v>111</v>
      </c>
      <c r="F15" s="262">
        <f>+'Box Draw Detail'!K17</f>
        <v>-0.77800000000000002</v>
      </c>
      <c r="G15" s="263">
        <f>+$B$8+F15</f>
        <v>2.262</v>
      </c>
      <c r="H15" s="264">
        <f>+G15*D15</f>
        <v>245453.03330323129</v>
      </c>
      <c r="I15" s="261" t="s">
        <v>111</v>
      </c>
      <c r="J15" s="263">
        <f>+'Box Draw Detail'!C17+'Box Draw Detail'!E17+'Box Draw Detail'!F17+'Box Draw Detail'!G17+'Box Draw Detail'!H17</f>
        <v>-0.26457200000000003</v>
      </c>
      <c r="K15" s="265">
        <f t="shared" si="0"/>
        <v>0.513428</v>
      </c>
      <c r="L15" s="265">
        <f t="shared" si="1"/>
        <v>2.7754279999999998</v>
      </c>
      <c r="M15" s="273">
        <f>+D15</f>
        <v>108511.50897578748</v>
      </c>
      <c r="N15" s="267">
        <f t="shared" ref="N15:N37" si="2">+M15*L15</f>
        <v>301165.88033365185</v>
      </c>
      <c r="P15" s="352"/>
      <c r="Q15" s="269"/>
      <c r="R15" s="270">
        <f>+B15</f>
        <v>0</v>
      </c>
      <c r="T15" s="260"/>
      <c r="Y15" s="527"/>
    </row>
    <row r="16" spans="1:27" s="259" customFormat="1" x14ac:dyDescent="0.25">
      <c r="A16" s="275"/>
      <c r="B16" s="201"/>
      <c r="C16" s="344" t="s">
        <v>333</v>
      </c>
      <c r="D16" s="260">
        <f>+'S Kitty Detail'!F57</f>
        <v>239488.49102421248</v>
      </c>
      <c r="E16" s="261" t="s">
        <v>111</v>
      </c>
      <c r="F16" s="262">
        <f>+'S Kitty Detail'!K17</f>
        <v>-0.9194</v>
      </c>
      <c r="G16" s="263">
        <f>+$B$8+F16</f>
        <v>2.1206</v>
      </c>
      <c r="H16" s="264">
        <f>+G16*D16</f>
        <v>507859.29406594497</v>
      </c>
      <c r="I16" s="261" t="s">
        <v>111</v>
      </c>
      <c r="J16" s="263">
        <f>+'S Kitty Detail'!C17+'S Kitty Detail'!E17+'S Kitty Detail'!F17+'S Kitty Detail'!G17+'S Kitty Detail'!H17</f>
        <v>-0.26457200000000003</v>
      </c>
      <c r="K16" s="265">
        <f>+J16-F16</f>
        <v>0.65482799999999997</v>
      </c>
      <c r="L16" s="265">
        <f>+G16+K16</f>
        <v>2.7754279999999998</v>
      </c>
      <c r="M16" s="273">
        <f>+D16</f>
        <v>239488.49102421248</v>
      </c>
      <c r="N16" s="267">
        <f>+M16*L16</f>
        <v>664683.06366634788</v>
      </c>
      <c r="P16" s="352"/>
      <c r="Q16" s="269"/>
      <c r="R16" s="270">
        <f>+B16</f>
        <v>0</v>
      </c>
      <c r="T16" s="260"/>
      <c r="Y16" s="527"/>
    </row>
    <row r="17" spans="1:34" s="259" customFormat="1" x14ac:dyDescent="0.25">
      <c r="A17" s="275"/>
      <c r="B17" s="201"/>
      <c r="C17" s="344" t="s">
        <v>333</v>
      </c>
      <c r="D17" s="260">
        <f>'S Kitty Detail'!H57</f>
        <v>95506.485557447537</v>
      </c>
      <c r="E17" s="261" t="s">
        <v>112</v>
      </c>
      <c r="F17" s="262">
        <f>+'S Kitty Detail'!K18</f>
        <v>-0.65490000000000004</v>
      </c>
      <c r="G17" s="263">
        <f>+$B$7+F17</f>
        <v>1.8851</v>
      </c>
      <c r="H17" s="264">
        <f>+G17*D17</f>
        <v>180039.27592434434</v>
      </c>
      <c r="I17" s="261" t="s">
        <v>112</v>
      </c>
      <c r="J17" s="263">
        <f>+'S Kitty Detail'!C18+'S Kitty Detail'!E18+'S Kitty Detail'!F18</f>
        <v>0</v>
      </c>
      <c r="K17" s="265">
        <f>+J17-F17</f>
        <v>0.65490000000000004</v>
      </c>
      <c r="L17" s="265">
        <f>+G17+K17</f>
        <v>2.54</v>
      </c>
      <c r="M17" s="273">
        <f>+D17</f>
        <v>95506.485557447537</v>
      </c>
      <c r="N17" s="267">
        <f>+M17*L17</f>
        <v>242586.47331591675</v>
      </c>
      <c r="P17" s="352"/>
      <c r="Q17" s="269"/>
      <c r="R17" s="270"/>
      <c r="T17" s="260"/>
      <c r="Y17" s="527"/>
    </row>
    <row r="18" spans="1:34" s="259" customFormat="1" x14ac:dyDescent="0.25">
      <c r="A18" s="275"/>
      <c r="B18" s="201"/>
      <c r="C18" s="344" t="s">
        <v>323</v>
      </c>
      <c r="D18" s="260">
        <f>+'Box Draw Detail'!H57</f>
        <v>43263.514442552463</v>
      </c>
      <c r="E18" s="261" t="s">
        <v>112</v>
      </c>
      <c r="F18" s="262">
        <f>+'Box Draw Detail'!K18</f>
        <v>-0.51339999999999997</v>
      </c>
      <c r="G18" s="263">
        <f>+$B$7+F18</f>
        <v>2.0266000000000002</v>
      </c>
      <c r="H18" s="264">
        <f>+G18*D18</f>
        <v>87677.838369276826</v>
      </c>
      <c r="I18" s="261" t="s">
        <v>112</v>
      </c>
      <c r="J18" s="263">
        <f>+'Box Draw Detail'!C18+'Box Draw Detail'!E18+'Box Draw Detail'!F18</f>
        <v>0</v>
      </c>
      <c r="K18" s="265">
        <f t="shared" si="0"/>
        <v>0.51339999999999997</v>
      </c>
      <c r="L18" s="265">
        <f t="shared" si="1"/>
        <v>2.54</v>
      </c>
      <c r="M18" s="273">
        <f>+D18</f>
        <v>43263.514442552463</v>
      </c>
      <c r="N18" s="267">
        <f t="shared" si="2"/>
        <v>109889.32668408325</v>
      </c>
      <c r="P18" s="352"/>
      <c r="Q18" s="269"/>
      <c r="R18" s="270">
        <f>+B18</f>
        <v>0</v>
      </c>
      <c r="T18" s="260"/>
      <c r="Y18" s="527"/>
    </row>
    <row r="19" spans="1:34" s="259" customFormat="1" x14ac:dyDescent="0.25">
      <c r="A19" s="275"/>
      <c r="B19" s="201"/>
      <c r="C19" s="344" t="s">
        <v>379</v>
      </c>
      <c r="D19" s="260">
        <f>+'Box Draw Detail'!J57</f>
        <v>19238.385631608195</v>
      </c>
      <c r="E19" s="261" t="s">
        <v>11</v>
      </c>
      <c r="F19" s="262">
        <f>+'Box Draw Detail'!K20</f>
        <v>-0.68069999999999997</v>
      </c>
      <c r="G19" s="263">
        <f>IF(D19=0,0,+H19/D19)</f>
        <v>1.069202603981289</v>
      </c>
      <c r="H19" s="264">
        <f>+'Box Draw Detail'!S57</f>
        <v>20569.732013711699</v>
      </c>
      <c r="I19" s="261" t="s">
        <v>11</v>
      </c>
      <c r="J19" s="263">
        <f>+'Box Draw Detail'!C20+SUM('Box Draw Detail'!E20:F20)</f>
        <v>-0.167272</v>
      </c>
      <c r="K19" s="265">
        <f t="shared" si="0"/>
        <v>0.513428</v>
      </c>
      <c r="L19" s="265">
        <f>G19+K19</f>
        <v>1.582630603981289</v>
      </c>
      <c r="M19" s="266">
        <f>+O19-($M$48*Q19)</f>
        <v>19238.385631608195</v>
      </c>
      <c r="N19" s="267">
        <f t="shared" si="2"/>
        <v>30447.25787177703</v>
      </c>
      <c r="O19" s="268">
        <f>+D19</f>
        <v>19238.385631608195</v>
      </c>
      <c r="P19" s="352">
        <f>+N19</f>
        <v>30447.25787177703</v>
      </c>
      <c r="Q19" s="269">
        <f>+O19/$O$46</f>
        <v>2.4919349389279886E-2</v>
      </c>
      <c r="R19" s="270"/>
      <c r="T19" s="260"/>
      <c r="Y19" s="527"/>
      <c r="AA19" s="268">
        <f>+D19-M19</f>
        <v>0</v>
      </c>
    </row>
    <row r="20" spans="1:34" s="259" customFormat="1" x14ac:dyDescent="0.25">
      <c r="A20" s="275"/>
      <c r="B20" s="201"/>
      <c r="C20" s="344" t="s">
        <v>380</v>
      </c>
      <c r="D20" s="260">
        <f>+'S Kitty Detail'!J57</f>
        <v>42501.614368391798</v>
      </c>
      <c r="E20" s="261" t="s">
        <v>11</v>
      </c>
      <c r="F20" s="262">
        <f>+'S Kitty Detail'!K20</f>
        <v>-0.82210000000000005</v>
      </c>
      <c r="G20" s="263">
        <f>IF(D20=0,0,+H20/D20)</f>
        <v>0.94143298576335266</v>
      </c>
      <c r="H20" s="264">
        <f>+'S Kitty Detail'!S57</f>
        <v>40012.421714597702</v>
      </c>
      <c r="I20" s="261" t="s">
        <v>11</v>
      </c>
      <c r="J20" s="263">
        <f>+'S Kitty Detail'!C20+SUM('S Kitty Detail'!E20:F20)</f>
        <v>-0.167272</v>
      </c>
      <c r="K20" s="265">
        <f t="shared" si="0"/>
        <v>0.65482800000000008</v>
      </c>
      <c r="L20" s="265">
        <f>G20+K20</f>
        <v>1.5962609857633527</v>
      </c>
      <c r="M20" s="266">
        <f>+O20-($M$48*Q20)</f>
        <v>42501.614368391798</v>
      </c>
      <c r="N20" s="267">
        <f t="shared" si="2"/>
        <v>67843.668848222966</v>
      </c>
      <c r="O20" s="268">
        <f>+D20</f>
        <v>42501.614368391798</v>
      </c>
      <c r="P20" s="352">
        <f>+N20</f>
        <v>67843.668848222966</v>
      </c>
      <c r="Q20" s="269">
        <f>+O20/$O$46</f>
        <v>5.505205053766557E-2</v>
      </c>
      <c r="R20" s="270"/>
      <c r="T20" s="260"/>
      <c r="Y20" s="527"/>
      <c r="AA20" s="268">
        <f>+D20-M20</f>
        <v>0</v>
      </c>
    </row>
    <row r="21" spans="1:34" s="259" customFormat="1" x14ac:dyDescent="0.25">
      <c r="A21" s="275"/>
      <c r="B21" s="201"/>
      <c r="C21" s="344" t="s">
        <v>405</v>
      </c>
      <c r="D21" s="260">
        <f>'Box Draw Detail'!L57</f>
        <v>137388.69754118833</v>
      </c>
      <c r="E21" s="261" t="s">
        <v>11</v>
      </c>
      <c r="F21" s="552">
        <f>J21-K21</f>
        <v>-0.56340000000000001</v>
      </c>
      <c r="G21" s="263">
        <f>IF(D21=0,0,+H21/D21)</f>
        <v>1.2259560110479306</v>
      </c>
      <c r="H21" s="264">
        <f>'Box Draw Detail'!T57</f>
        <v>168432.49960066588</v>
      </c>
      <c r="I21" s="261" t="s">
        <v>11</v>
      </c>
      <c r="J21" s="551">
        <f>SUMPRODUCT('Internal Kennedy Total'!$O$18:$O$48,'Kennedy Gas Daily Pricing'!$B$7:$B$37)/SUM('Internal Kennedy Total'!$O$18:$O$48)</f>
        <v>-5.000000000000001E-2</v>
      </c>
      <c r="K21" s="553">
        <f>-'Box Draw Detail'!$K$19</f>
        <v>0.51339999999999997</v>
      </c>
      <c r="L21" s="265">
        <f>G21+K21</f>
        <v>1.7393560110479305</v>
      </c>
      <c r="M21" s="266">
        <f>+O21-($M$48*Q21)</f>
        <v>137388.69754118833</v>
      </c>
      <c r="N21" s="267">
        <f>+M21*L21</f>
        <v>238967.85691831194</v>
      </c>
      <c r="O21" s="268">
        <f>+D21</f>
        <v>137388.69754118833</v>
      </c>
      <c r="P21" s="352">
        <f>+N21</f>
        <v>238967.85691831194</v>
      </c>
      <c r="Q21" s="269">
        <f>+O21/$O$46</f>
        <v>0.17795864069498737</v>
      </c>
      <c r="R21" s="270"/>
      <c r="T21" s="260"/>
      <c r="Y21" s="527"/>
      <c r="AA21" s="268">
        <f>+D21-M21</f>
        <v>0</v>
      </c>
    </row>
    <row r="22" spans="1:34" s="259" customFormat="1" x14ac:dyDescent="0.25">
      <c r="A22" s="275"/>
      <c r="B22" s="201"/>
      <c r="C22" s="344" t="s">
        <v>406</v>
      </c>
      <c r="D22" s="260">
        <f>'S Kitty Detail'!L57</f>
        <v>309443.30245881167</v>
      </c>
      <c r="E22" s="261" t="s">
        <v>11</v>
      </c>
      <c r="F22" s="552">
        <f>J22-K22</f>
        <v>-0.70490000000000008</v>
      </c>
      <c r="G22" s="263">
        <f>IF(D22=0,0,+H22/D22)</f>
        <v>1.0956297053691746</v>
      </c>
      <c r="H22" s="264">
        <f>'S Kitty Detail'!T57</f>
        <v>339035.27430141222</v>
      </c>
      <c r="I22" s="261" t="s">
        <v>11</v>
      </c>
      <c r="J22" s="551">
        <f>SUMPRODUCT('Internal Kennedy Total'!$O$18:$O$48,'Kennedy Gas Daily Pricing'!$B$7:$B$37)/SUM('Internal Kennedy Total'!$O$18:$O$48)</f>
        <v>-5.000000000000001E-2</v>
      </c>
      <c r="K22" s="553">
        <f>-'S Kitty Detail'!$K$19</f>
        <v>0.65490000000000004</v>
      </c>
      <c r="L22" s="265">
        <f>G22+K22</f>
        <v>1.7505297053691746</v>
      </c>
      <c r="M22" s="266">
        <f>+O22-($M$48*Q22)</f>
        <v>309443.30245881167</v>
      </c>
      <c r="N22" s="267">
        <f>+M22*L22</f>
        <v>541689.69308168802</v>
      </c>
      <c r="O22" s="268">
        <f>+D22</f>
        <v>309443.30245881167</v>
      </c>
      <c r="P22" s="352">
        <f>+N22</f>
        <v>541689.69308168802</v>
      </c>
      <c r="Q22" s="269">
        <f>+O22/$O$46</f>
        <v>0.40081979422818875</v>
      </c>
      <c r="R22" s="270"/>
      <c r="T22" s="260"/>
      <c r="Y22" s="527"/>
      <c r="AA22" s="268">
        <f>+D22-M22</f>
        <v>0</v>
      </c>
    </row>
    <row r="23" spans="1:34" s="275" customFormat="1" x14ac:dyDescent="0.25">
      <c r="B23" s="304" t="s">
        <v>45</v>
      </c>
      <c r="C23" s="304"/>
      <c r="D23" s="276">
        <f>+'Independent Detail'!D51</f>
        <v>73836</v>
      </c>
      <c r="E23" s="277" t="s">
        <v>11</v>
      </c>
      <c r="F23" s="278">
        <f>+'Independent Detail'!J13</f>
        <v>-0.41149999999999998</v>
      </c>
      <c r="G23" s="279">
        <f>+H23/D23</f>
        <v>1.3393049596402842</v>
      </c>
      <c r="H23" s="280">
        <f>+'Independent Detail'!L51</f>
        <v>98888.921000000017</v>
      </c>
      <c r="I23" s="277" t="s">
        <v>11</v>
      </c>
      <c r="J23" s="279">
        <f>+'Independent Detail'!C13</f>
        <v>-0.02</v>
      </c>
      <c r="K23" s="184">
        <f t="shared" si="0"/>
        <v>0.39149999999999996</v>
      </c>
      <c r="L23" s="184">
        <f t="shared" si="1"/>
        <v>1.7308049596402841</v>
      </c>
      <c r="M23" s="281">
        <f>+O23-($M$48*Q23)</f>
        <v>73836</v>
      </c>
      <c r="N23" s="282">
        <f t="shared" si="2"/>
        <v>127795.71500000003</v>
      </c>
      <c r="O23" s="283">
        <f>+D23</f>
        <v>73836</v>
      </c>
      <c r="P23" s="2">
        <f>+N23</f>
        <v>127795.71500000003</v>
      </c>
      <c r="Q23" s="284">
        <f>+O23/$O$46</f>
        <v>9.5639266035081716E-2</v>
      </c>
      <c r="R23" s="285" t="str">
        <f>+B23</f>
        <v>Independent</v>
      </c>
      <c r="S23" s="283">
        <f>+D23+D24+D25</f>
        <v>369177</v>
      </c>
      <c r="T23" s="276">
        <f>'[1]Enron Summary'!$C$21</f>
        <v>386901</v>
      </c>
      <c r="U23" s="286">
        <f>SUM(N23:N25)</f>
        <v>943383.42474799987</v>
      </c>
      <c r="V23" s="286">
        <f>SUM(H23:H25)</f>
        <v>798871.89379999996</v>
      </c>
      <c r="W23" s="286">
        <f>+U23+AA23*L23-V23</f>
        <v>144511.53094799991</v>
      </c>
      <c r="X23" s="286">
        <f>'[1]Enron Summary'!$G$21</f>
        <v>144520.6</v>
      </c>
      <c r="Y23" s="528">
        <f t="shared" ref="Y23:Y36" si="3">+W23-X23</f>
        <v>-9.0690520000935066</v>
      </c>
      <c r="Z23" s="287">
        <f>+W23/T23</f>
        <v>0.37351035781246344</v>
      </c>
      <c r="AA23" s="283">
        <f>+D23-M23</f>
        <v>0</v>
      </c>
    </row>
    <row r="24" spans="1:34" s="275" customFormat="1" x14ac:dyDescent="0.25">
      <c r="B24" s="304"/>
      <c r="C24" s="304"/>
      <c r="D24" s="276">
        <f>+'Independent Detail'!F51</f>
        <v>279678</v>
      </c>
      <c r="E24" s="277" t="s">
        <v>111</v>
      </c>
      <c r="F24" s="278">
        <f>+'Independent Detail'!J14</f>
        <v>-0.65600000000000003</v>
      </c>
      <c r="G24" s="279">
        <f>+$B$8+F24</f>
        <v>2.3839999999999999</v>
      </c>
      <c r="H24" s="280">
        <f>+G24*D24</f>
        <v>666752.35199999996</v>
      </c>
      <c r="I24" s="277" t="s">
        <v>111</v>
      </c>
      <c r="J24" s="279">
        <f>+'Independent Detail'!C14+'Independent Detail'!E14+'Independent Detail'!F14+'Independent Detail'!G14+'Independent Detail'!H14</f>
        <v>-0.26457200000000003</v>
      </c>
      <c r="K24" s="184">
        <f t="shared" si="0"/>
        <v>0.391428</v>
      </c>
      <c r="L24" s="184">
        <f t="shared" si="1"/>
        <v>2.7754279999999998</v>
      </c>
      <c r="M24" s="288">
        <f>+D24</f>
        <v>279678</v>
      </c>
      <c r="N24" s="282">
        <f t="shared" si="2"/>
        <v>776226.15218399989</v>
      </c>
      <c r="P24" s="2"/>
      <c r="Q24" s="284"/>
      <c r="R24" s="285">
        <f>+B24</f>
        <v>0</v>
      </c>
      <c r="T24" s="276"/>
      <c r="Y24" s="528">
        <f t="shared" si="3"/>
        <v>0</v>
      </c>
    </row>
    <row r="25" spans="1:34" s="275" customFormat="1" x14ac:dyDescent="0.25">
      <c r="B25" s="304"/>
      <c r="C25" s="304"/>
      <c r="D25" s="276">
        <f>+'Independent Detail'!H51</f>
        <v>15663</v>
      </c>
      <c r="E25" s="277" t="s">
        <v>112</v>
      </c>
      <c r="F25" s="278">
        <f>+'Independent Detail'!J15</f>
        <v>-0.41839999999999999</v>
      </c>
      <c r="G25" s="279">
        <f>+$B$7+F25</f>
        <v>2.1215999999999999</v>
      </c>
      <c r="H25" s="280">
        <f>+G25*D25</f>
        <v>33230.620799999997</v>
      </c>
      <c r="I25" s="277" t="s">
        <v>112</v>
      </c>
      <c r="J25" s="279">
        <f>+'Independent Detail'!C15+'Independent Detail'!E15+'Independent Detail'!F15</f>
        <v>-2.6972000000000013E-2</v>
      </c>
      <c r="K25" s="184">
        <f t="shared" si="0"/>
        <v>0.391428</v>
      </c>
      <c r="L25" s="184">
        <f t="shared" si="1"/>
        <v>2.5130279999999998</v>
      </c>
      <c r="M25" s="288">
        <f>+D25</f>
        <v>15663</v>
      </c>
      <c r="N25" s="282">
        <f t="shared" si="2"/>
        <v>39361.557563999995</v>
      </c>
      <c r="P25" s="2"/>
      <c r="Q25" s="284"/>
      <c r="R25" s="285">
        <f>+B25</f>
        <v>0</v>
      </c>
      <c r="T25" s="276"/>
      <c r="Y25" s="528">
        <f t="shared" si="3"/>
        <v>0</v>
      </c>
    </row>
    <row r="26" spans="1:34" s="275" customFormat="1" x14ac:dyDescent="0.25">
      <c r="B26" s="304"/>
      <c r="C26" s="304"/>
      <c r="D26" s="276"/>
      <c r="E26" s="277"/>
      <c r="F26" s="278"/>
      <c r="G26" s="279"/>
      <c r="H26" s="280"/>
      <c r="I26" s="277"/>
      <c r="J26" s="279"/>
      <c r="K26" s="184"/>
      <c r="L26" s="184"/>
      <c r="M26" s="288"/>
      <c r="N26" s="282"/>
      <c r="P26" s="2"/>
      <c r="Q26" s="284"/>
      <c r="R26" s="285"/>
      <c r="T26" s="276"/>
      <c r="Y26" s="528"/>
    </row>
    <row r="27" spans="1:34" s="259" customFormat="1" x14ac:dyDescent="0.25">
      <c r="A27" s="275"/>
      <c r="B27" s="201" t="s">
        <v>107</v>
      </c>
      <c r="C27" s="201"/>
      <c r="D27" s="260">
        <f>+'MTG Detail'!D48</f>
        <v>4881</v>
      </c>
      <c r="E27" s="261" t="s">
        <v>11</v>
      </c>
      <c r="F27" s="262">
        <f>+'MTG Detail'!H11</f>
        <v>-0.48049999999999998</v>
      </c>
      <c r="G27" s="274">
        <f>+H27/D27</f>
        <v>1.1806493546404426</v>
      </c>
      <c r="H27" s="264">
        <f>+'MTG Detail'!J48</f>
        <v>5762.7495000000008</v>
      </c>
      <c r="I27" s="261" t="s">
        <v>11</v>
      </c>
      <c r="J27" s="263">
        <v>0</v>
      </c>
      <c r="K27" s="265">
        <f t="shared" si="0"/>
        <v>0.48049999999999998</v>
      </c>
      <c r="L27" s="265">
        <f t="shared" si="1"/>
        <v>1.6611493546404426</v>
      </c>
      <c r="M27" s="266">
        <f>+O27-($M$48*Q27)</f>
        <v>4881</v>
      </c>
      <c r="N27" s="267">
        <f t="shared" si="2"/>
        <v>8108.07</v>
      </c>
      <c r="O27" s="268">
        <f>+D27</f>
        <v>4881</v>
      </c>
      <c r="P27" s="352">
        <f>+N27</f>
        <v>8108.07</v>
      </c>
      <c r="Q27" s="269">
        <f>+O27/$O$46</f>
        <v>6.3223259320281961E-3</v>
      </c>
      <c r="R27" s="270" t="str">
        <f>+B27</f>
        <v>MTG</v>
      </c>
      <c r="S27" s="268">
        <f>+D27+D28</f>
        <v>11883</v>
      </c>
      <c r="T27" s="260">
        <f>'[1]Enron Summary'!$C$19</f>
        <v>11907</v>
      </c>
      <c r="U27" s="271">
        <f>SUM(N27:N28)</f>
        <v>25893.15</v>
      </c>
      <c r="V27" s="271">
        <f>SUM(H27:H28)</f>
        <v>20183.3685</v>
      </c>
      <c r="W27" s="271">
        <f>+U27+AA27*L27-V27</f>
        <v>5709.781500000001</v>
      </c>
      <c r="X27" s="271">
        <f>'[1]Enron Summary'!$G$19</f>
        <v>5709.7950000000001</v>
      </c>
      <c r="Y27" s="527">
        <f t="shared" si="3"/>
        <v>-1.3499999999112333E-2</v>
      </c>
      <c r="Z27" s="272">
        <f>+W27/T27</f>
        <v>0.47953149407911322</v>
      </c>
      <c r="AA27" s="268">
        <f>+D27-M27</f>
        <v>0</v>
      </c>
    </row>
    <row r="28" spans="1:34" s="259" customFormat="1" x14ac:dyDescent="0.25">
      <c r="A28" s="275"/>
      <c r="B28" s="201"/>
      <c r="C28" s="201"/>
      <c r="D28" s="260">
        <f>+'MTG Detail'!F48</f>
        <v>7002</v>
      </c>
      <c r="E28" s="261" t="s">
        <v>112</v>
      </c>
      <c r="F28" s="262">
        <f>+'MTG Detail'!H12</f>
        <v>-0.48049999999999998</v>
      </c>
      <c r="G28" s="263">
        <f>+$B$7+F28</f>
        <v>2.0594999999999999</v>
      </c>
      <c r="H28" s="264">
        <f>+G28*D28</f>
        <v>14420.618999999999</v>
      </c>
      <c r="I28" s="261" t="s">
        <v>112</v>
      </c>
      <c r="J28" s="263">
        <v>0</v>
      </c>
      <c r="K28" s="265">
        <f t="shared" si="0"/>
        <v>0.48049999999999998</v>
      </c>
      <c r="L28" s="265">
        <f t="shared" si="1"/>
        <v>2.54</v>
      </c>
      <c r="M28" s="273">
        <f>+D28</f>
        <v>7002</v>
      </c>
      <c r="N28" s="267">
        <f t="shared" si="2"/>
        <v>17785.080000000002</v>
      </c>
      <c r="P28" s="352"/>
      <c r="Q28" s="269"/>
      <c r="R28" s="270">
        <f>+B28</f>
        <v>0</v>
      </c>
      <c r="T28" s="260"/>
      <c r="Y28" s="527">
        <f t="shared" si="3"/>
        <v>0</v>
      </c>
    </row>
    <row r="29" spans="1:34" s="259" customFormat="1" x14ac:dyDescent="0.25">
      <c r="A29" s="275"/>
      <c r="B29" s="201"/>
      <c r="C29" s="201"/>
      <c r="D29" s="260"/>
      <c r="E29" s="261"/>
      <c r="F29" s="262"/>
      <c r="G29" s="263"/>
      <c r="H29" s="264"/>
      <c r="I29" s="261"/>
      <c r="J29" s="263"/>
      <c r="K29" s="265"/>
      <c r="L29" s="265"/>
      <c r="M29" s="273"/>
      <c r="N29" s="267"/>
      <c r="P29" s="352"/>
      <c r="Q29" s="269"/>
      <c r="R29" s="270"/>
      <c r="T29" s="260"/>
      <c r="Y29" s="527"/>
    </row>
    <row r="30" spans="1:34" x14ac:dyDescent="0.25">
      <c r="A30" s="283"/>
      <c r="B30" s="7" t="s">
        <v>214</v>
      </c>
      <c r="C30" s="7"/>
      <c r="D30" s="29">
        <f>+'Phillips Detail'!D51</f>
        <v>42557</v>
      </c>
      <c r="E30" s="277" t="s">
        <v>11</v>
      </c>
      <c r="F30" s="278">
        <f>+'Phillips Detail'!J12</f>
        <v>-0.53549999999999998</v>
      </c>
      <c r="G30" s="289">
        <f>+H30/D30</f>
        <v>1.2233995934863833</v>
      </c>
      <c r="H30" s="280">
        <f>+'Phillips Detail'!L51</f>
        <v>52064.21650000001</v>
      </c>
      <c r="I30" s="277" t="s">
        <v>11</v>
      </c>
      <c r="J30" s="279">
        <f>+'Phillips Detail'!C12</f>
        <v>-2.5000000000000001E-2</v>
      </c>
      <c r="K30" s="184">
        <f t="shared" si="0"/>
        <v>0.51049999999999995</v>
      </c>
      <c r="L30" s="184">
        <f t="shared" si="1"/>
        <v>1.7338995934863832</v>
      </c>
      <c r="M30" s="281">
        <f>+O30-($M$48*Q30)</f>
        <v>42557</v>
      </c>
      <c r="N30" s="282">
        <f t="shared" si="2"/>
        <v>73789.565000000017</v>
      </c>
      <c r="O30" s="283">
        <f>+D30</f>
        <v>42557</v>
      </c>
      <c r="P30" s="2">
        <f>+N30</f>
        <v>73789.565000000017</v>
      </c>
      <c r="Q30" s="284">
        <f>+O30/$O$46</f>
        <v>5.5123791167654979E-2</v>
      </c>
      <c r="R30" s="285" t="str">
        <f>+B30</f>
        <v>Phillips</v>
      </c>
      <c r="S30" s="283">
        <f>+D30+D31+D32</f>
        <v>300007</v>
      </c>
      <c r="T30" s="276">
        <f>'[1]Enron Summary'!$C$25</f>
        <v>321181</v>
      </c>
      <c r="U30" s="286">
        <f>SUM(N30:N32)</f>
        <v>788323.50360000017</v>
      </c>
      <c r="V30" s="286">
        <f>SUM(H30:H32)</f>
        <v>635188.46649999998</v>
      </c>
      <c r="W30" s="286">
        <f>+U30+AA30*L30-V30</f>
        <v>153135.03710000019</v>
      </c>
      <c r="X30" s="286">
        <f>'[1]Enron Summary'!$G$25</f>
        <v>153137.70000000001</v>
      </c>
      <c r="Y30" s="528">
        <f t="shared" si="3"/>
        <v>-2.6628999998210929</v>
      </c>
      <c r="Z30" s="287">
        <f>+W30/T30</f>
        <v>0.47678734763264385</v>
      </c>
      <c r="AA30" s="283">
        <f>+D30-M30</f>
        <v>0</v>
      </c>
      <c r="AB30" s="291"/>
      <c r="AC30" s="286"/>
      <c r="AD30" s="292"/>
      <c r="AE30" s="275"/>
      <c r="AF30" s="275"/>
      <c r="AG30" s="275"/>
      <c r="AH30" s="275"/>
    </row>
    <row r="31" spans="1:34" x14ac:dyDescent="0.25">
      <c r="A31" s="275"/>
      <c r="B31" s="7"/>
      <c r="C31" s="7"/>
      <c r="D31" s="29">
        <f>+'Phillips Detail'!F51</f>
        <v>257450</v>
      </c>
      <c r="E31" s="277" t="s">
        <v>111</v>
      </c>
      <c r="F31" s="278">
        <f>'Phillips Detail'!J13</f>
        <v>-0.77500000000000002</v>
      </c>
      <c r="G31" s="279">
        <f>+$B$8+F31</f>
        <v>2.2650000000000001</v>
      </c>
      <c r="H31" s="280">
        <f>+G31*D31</f>
        <v>583124.25</v>
      </c>
      <c r="I31" s="277" t="s">
        <v>111</v>
      </c>
      <c r="J31" s="279">
        <f>+'Phillips Detail'!C13+'Phillips Detail'!E13+'Phillips Detail'!F13+'Phillips Detail'!G13+'Phillips Detail'!H13</f>
        <v>-0.26457200000000003</v>
      </c>
      <c r="K31" s="184">
        <f t="shared" si="0"/>
        <v>0.51042799999999999</v>
      </c>
      <c r="L31" s="184">
        <f t="shared" si="1"/>
        <v>2.7754280000000002</v>
      </c>
      <c r="M31" s="288">
        <f>+D31</f>
        <v>257450</v>
      </c>
      <c r="N31" s="282">
        <f t="shared" si="2"/>
        <v>714533.93860000011</v>
      </c>
      <c r="O31" s="275"/>
      <c r="Q31" s="284"/>
      <c r="R31" s="285">
        <f>+B31</f>
        <v>0</v>
      </c>
      <c r="S31" s="275"/>
      <c r="T31" s="276"/>
      <c r="U31" s="275"/>
      <c r="V31" s="275"/>
      <c r="W31" s="275"/>
      <c r="X31" s="275"/>
      <c r="Y31" s="528">
        <f t="shared" si="3"/>
        <v>0</v>
      </c>
      <c r="Z31" s="275"/>
      <c r="AA31" s="275"/>
      <c r="AB31" s="275"/>
      <c r="AC31" s="275"/>
      <c r="AD31" s="292"/>
      <c r="AE31" s="275"/>
      <c r="AF31" s="275"/>
      <c r="AG31" s="275"/>
      <c r="AH31" s="275"/>
    </row>
    <row r="32" spans="1:34" x14ac:dyDescent="0.25">
      <c r="A32" s="275"/>
      <c r="B32" s="7"/>
      <c r="C32" s="7"/>
      <c r="D32" s="29">
        <f>+'Phillips Detail'!H51</f>
        <v>0</v>
      </c>
      <c r="E32" s="277" t="s">
        <v>112</v>
      </c>
      <c r="F32" s="278">
        <f>+'Phillips Detail'!J14</f>
        <v>-0.66239999999999999</v>
      </c>
      <c r="G32" s="279">
        <f>+$B$7+F32</f>
        <v>1.8776000000000002</v>
      </c>
      <c r="H32" s="280">
        <f>+G32*D32</f>
        <v>0</v>
      </c>
      <c r="I32" s="277" t="s">
        <v>112</v>
      </c>
      <c r="J32" s="279">
        <f>+'Phillips Detail'!C14+'Phillips Detail'!E14+'Phillips Detail'!F14</f>
        <v>-0.15197200000000002</v>
      </c>
      <c r="K32" s="184">
        <f t="shared" si="0"/>
        <v>0.51042799999999999</v>
      </c>
      <c r="L32" s="184">
        <f t="shared" si="1"/>
        <v>2.3880280000000003</v>
      </c>
      <c r="M32" s="288">
        <f>+D32</f>
        <v>0</v>
      </c>
      <c r="N32" s="282">
        <f t="shared" si="2"/>
        <v>0</v>
      </c>
      <c r="O32" s="275"/>
      <c r="Q32" s="284"/>
      <c r="R32" s="285">
        <f>+B32</f>
        <v>0</v>
      </c>
      <c r="S32" s="275"/>
      <c r="T32" s="276"/>
      <c r="U32" s="275"/>
      <c r="V32" s="275"/>
      <c r="W32" s="275"/>
      <c r="X32" s="275"/>
      <c r="Y32" s="528">
        <f t="shared" si="3"/>
        <v>0</v>
      </c>
      <c r="Z32" s="275"/>
      <c r="AA32" s="275"/>
      <c r="AB32" s="275"/>
      <c r="AC32" s="275"/>
      <c r="AD32" s="275"/>
      <c r="AE32" s="275"/>
      <c r="AF32" s="275"/>
      <c r="AG32" s="275"/>
      <c r="AH32" s="275"/>
    </row>
    <row r="33" spans="1:84" x14ac:dyDescent="0.25">
      <c r="A33" s="275"/>
      <c r="B33" s="7"/>
      <c r="C33" s="7"/>
      <c r="D33" s="29"/>
      <c r="E33" s="277"/>
      <c r="F33" s="278"/>
      <c r="G33" s="279"/>
      <c r="H33" s="280"/>
      <c r="I33" s="277"/>
      <c r="J33" s="279"/>
      <c r="K33" s="184"/>
      <c r="L33" s="184"/>
      <c r="M33" s="288"/>
      <c r="N33" s="282"/>
      <c r="O33" s="275"/>
      <c r="Q33" s="284"/>
      <c r="R33" s="285"/>
      <c r="S33" s="275"/>
      <c r="T33" s="276"/>
      <c r="U33" s="275"/>
      <c r="V33" s="275"/>
      <c r="W33" s="275"/>
      <c r="X33" s="275"/>
      <c r="Y33" s="528"/>
      <c r="Z33" s="275"/>
      <c r="AA33" s="275"/>
      <c r="AB33" s="275"/>
      <c r="AC33" s="275"/>
      <c r="AD33" s="275"/>
      <c r="AE33" s="275"/>
      <c r="AF33" s="275"/>
      <c r="AG33" s="275"/>
      <c r="AH33" s="275"/>
    </row>
    <row r="34" spans="1:84" s="259" customFormat="1" x14ac:dyDescent="0.25">
      <c r="A34" s="275"/>
      <c r="B34" s="201" t="s">
        <v>52</v>
      </c>
      <c r="C34" s="344" t="s">
        <v>357</v>
      </c>
      <c r="D34" s="260">
        <f>+'Wellstar Detail'!D54</f>
        <v>3729</v>
      </c>
      <c r="E34" s="261" t="s">
        <v>11</v>
      </c>
      <c r="F34" s="262">
        <f>+'Wellstar Detail'!J15</f>
        <v>-0.46539999999999998</v>
      </c>
      <c r="G34" s="263">
        <f>+H34/D34</f>
        <v>1.2725082864038615</v>
      </c>
      <c r="H34" s="264">
        <f>+'Wellstar Detail'!N54</f>
        <v>4745.1833999999999</v>
      </c>
      <c r="I34" s="261" t="s">
        <v>11</v>
      </c>
      <c r="J34" s="263">
        <f>+'Wellstar Detail'!C15</f>
        <v>-1.4999999999999999E-2</v>
      </c>
      <c r="K34" s="265">
        <f t="shared" si="0"/>
        <v>0.45039999999999997</v>
      </c>
      <c r="L34" s="265">
        <f t="shared" si="1"/>
        <v>1.7229082864038614</v>
      </c>
      <c r="M34" s="266">
        <f>+O34-($M$48*Q34)</f>
        <v>3729</v>
      </c>
      <c r="N34" s="267">
        <f t="shared" si="2"/>
        <v>6424.7249999999995</v>
      </c>
      <c r="O34" s="268">
        <f>+D34</f>
        <v>3729</v>
      </c>
      <c r="P34" s="352">
        <f>+N34</f>
        <v>6424.7249999999995</v>
      </c>
      <c r="Q34" s="269">
        <f>+O34/$O$46</f>
        <v>4.8301482074437907E-3</v>
      </c>
      <c r="R34" s="270" t="str">
        <f>+B34</f>
        <v>Wellstar</v>
      </c>
      <c r="S34" s="268">
        <f>SUM(D34:D37)</f>
        <v>49325</v>
      </c>
      <c r="T34" s="260">
        <f>'[1]Enron Summary'!$C$27</f>
        <v>52872</v>
      </c>
      <c r="U34" s="271">
        <f>SUM(N34:N37)</f>
        <v>132973.14008800001</v>
      </c>
      <c r="V34" s="271">
        <f>SUM(H34:H37)</f>
        <v>110755.88340000001</v>
      </c>
      <c r="W34" s="271">
        <f>+U34+AA34*L34-V34</f>
        <v>22217.256688000009</v>
      </c>
      <c r="X34" s="271">
        <f>'[1]Enron Summary'!$G$27</f>
        <v>22215.96</v>
      </c>
      <c r="Y34" s="527">
        <f t="shared" si="3"/>
        <v>1.2966880000094534</v>
      </c>
      <c r="Z34" s="272">
        <f>+W34/T34</f>
        <v>0.42020836525949479</v>
      </c>
      <c r="AA34" s="268">
        <f>+D34-M34</f>
        <v>0</v>
      </c>
    </row>
    <row r="35" spans="1:84" s="259" customFormat="1" x14ac:dyDescent="0.25">
      <c r="A35" s="275"/>
      <c r="B35" s="201"/>
      <c r="C35" s="344" t="s">
        <v>357</v>
      </c>
      <c r="D35" s="260">
        <f>+'Wellstar Detail'!F54</f>
        <v>45596</v>
      </c>
      <c r="E35" s="261" t="s">
        <v>111</v>
      </c>
      <c r="F35" s="262">
        <f>+'Wellstar Detail'!J16</f>
        <v>-0.71499999999999997</v>
      </c>
      <c r="G35" s="263">
        <f>+$B$8+F35</f>
        <v>2.3250000000000002</v>
      </c>
      <c r="H35" s="264">
        <f>+G35*D35</f>
        <v>106010.70000000001</v>
      </c>
      <c r="I35" s="261" t="s">
        <v>111</v>
      </c>
      <c r="J35" s="263">
        <f>+'Wellstar Detail'!C16+'Wellstar Detail'!E16+'Wellstar Detail'!F16+'Wellstar Detail'!G16+'Wellstar Detail'!H16</f>
        <v>-0.26457200000000003</v>
      </c>
      <c r="K35" s="265">
        <f t="shared" si="0"/>
        <v>0.45042799999999994</v>
      </c>
      <c r="L35" s="265">
        <f t="shared" si="1"/>
        <v>2.7754280000000002</v>
      </c>
      <c r="M35" s="273">
        <f>+D35</f>
        <v>45596</v>
      </c>
      <c r="N35" s="267">
        <f t="shared" si="2"/>
        <v>126548.41508800001</v>
      </c>
      <c r="P35" s="352"/>
      <c r="Q35" s="269"/>
      <c r="R35" s="270">
        <f>+B35</f>
        <v>0</v>
      </c>
      <c r="T35" s="260"/>
      <c r="Y35" s="527">
        <f t="shared" si="3"/>
        <v>0</v>
      </c>
    </row>
    <row r="36" spans="1:84" s="259" customFormat="1" x14ac:dyDescent="0.25">
      <c r="A36" s="275"/>
      <c r="B36" s="201"/>
      <c r="C36" s="344" t="s">
        <v>357</v>
      </c>
      <c r="D36" s="260">
        <f>+'Wellstar Detail'!H54</f>
        <v>0</v>
      </c>
      <c r="E36" s="261" t="s">
        <v>112</v>
      </c>
      <c r="F36" s="262">
        <f>+'Wellstar Detail'!J17</f>
        <v>-0.4924</v>
      </c>
      <c r="G36" s="263">
        <f>+$B$7+F36</f>
        <v>2.0476000000000001</v>
      </c>
      <c r="H36" s="264">
        <f>+G36*D36</f>
        <v>0</v>
      </c>
      <c r="I36" s="261" t="s">
        <v>112</v>
      </c>
      <c r="J36" s="263">
        <f>+'Wellstar Detail'!C17+'Wellstar Detail'!E17+'Wellstar Detail'!F17</f>
        <v>-4.1972000000000009E-2</v>
      </c>
      <c r="K36" s="265">
        <f t="shared" si="0"/>
        <v>0.450428</v>
      </c>
      <c r="L36" s="265">
        <f t="shared" si="1"/>
        <v>2.4980280000000001</v>
      </c>
      <c r="M36" s="273">
        <f>+D36</f>
        <v>0</v>
      </c>
      <c r="N36" s="267">
        <f t="shared" si="2"/>
        <v>0</v>
      </c>
      <c r="P36" s="352"/>
      <c r="Q36" s="269"/>
      <c r="R36" s="270">
        <f>+B36</f>
        <v>0</v>
      </c>
      <c r="T36" s="260"/>
      <c r="Y36" s="527">
        <f t="shared" si="3"/>
        <v>0</v>
      </c>
    </row>
    <row r="37" spans="1:84" s="259" customFormat="1" x14ac:dyDescent="0.25">
      <c r="A37" s="275"/>
      <c r="B37" s="201"/>
      <c r="C37" s="344" t="s">
        <v>358</v>
      </c>
      <c r="D37" s="260">
        <f>'Wellstar Detail'!J54</f>
        <v>0</v>
      </c>
      <c r="E37" s="261" t="s">
        <v>112</v>
      </c>
      <c r="F37" s="262">
        <f>+'Wellstar Detail'!J18</f>
        <v>-0.60040000000000004</v>
      </c>
      <c r="G37" s="263">
        <f>+$B$7+F37</f>
        <v>1.9396</v>
      </c>
      <c r="H37" s="264">
        <f>+G37*D37</f>
        <v>0</v>
      </c>
      <c r="I37" s="261" t="s">
        <v>112</v>
      </c>
      <c r="J37" s="263">
        <f>'Wellstar Detail'!C18</f>
        <v>-0.15</v>
      </c>
      <c r="K37" s="265">
        <f t="shared" si="0"/>
        <v>0.45040000000000002</v>
      </c>
      <c r="L37" s="265">
        <f t="shared" si="1"/>
        <v>2.39</v>
      </c>
      <c r="M37" s="273">
        <f>+D37</f>
        <v>0</v>
      </c>
      <c r="N37" s="267">
        <f t="shared" si="2"/>
        <v>0</v>
      </c>
      <c r="P37" s="352"/>
      <c r="Q37" s="269"/>
      <c r="R37" s="270"/>
      <c r="T37" s="260"/>
      <c r="Y37" s="527"/>
    </row>
    <row r="38" spans="1:84" s="275" customFormat="1" x14ac:dyDescent="0.25">
      <c r="B38" s="304" t="str">
        <f>+'Quantum Detail'!A1</f>
        <v>Quantum</v>
      </c>
      <c r="C38" s="502" t="s">
        <v>357</v>
      </c>
      <c r="D38" s="276">
        <f>+'Quantum Detail'!D53</f>
        <v>206</v>
      </c>
      <c r="E38" s="277" t="s">
        <v>11</v>
      </c>
      <c r="F38" s="278">
        <f>+'Quantum Detail'!I15</f>
        <v>-0.69059999999999999</v>
      </c>
      <c r="G38" s="279">
        <f>+H38/D38</f>
        <v>1.200904854368932</v>
      </c>
      <c r="H38" s="280">
        <f>+'Quantum Detail'!K53</f>
        <v>247.38640000000001</v>
      </c>
      <c r="I38" s="277" t="s">
        <v>11</v>
      </c>
      <c r="J38" s="279">
        <f>+'Quantum Detail'!C15</f>
        <v>-2.5000000000000001E-2</v>
      </c>
      <c r="K38" s="184">
        <f>+J38-F38</f>
        <v>0.66559999999999997</v>
      </c>
      <c r="L38" s="184">
        <f>+G38+K38</f>
        <v>1.866504854368932</v>
      </c>
      <c r="M38" s="281">
        <f>+O38-($M$48*Q38)</f>
        <v>206</v>
      </c>
      <c r="N38" s="282">
        <f>+M38*L38</f>
        <v>384.5</v>
      </c>
      <c r="O38" s="283">
        <f>+D38</f>
        <v>206</v>
      </c>
      <c r="P38" s="2">
        <f>+N38</f>
        <v>384.5</v>
      </c>
      <c r="Q38" s="284">
        <f>+O38/$O$46</f>
        <v>2.6683039172255854E-4</v>
      </c>
      <c r="R38" s="285" t="str">
        <f>+B38</f>
        <v>Quantum</v>
      </c>
      <c r="S38" s="283">
        <f>+D38+D39+D40</f>
        <v>20833</v>
      </c>
      <c r="T38" s="276">
        <f>'[1]Enron Summary'!$C$26</f>
        <v>23734</v>
      </c>
      <c r="U38" s="286">
        <f>N38</f>
        <v>384.5</v>
      </c>
      <c r="V38" s="286">
        <f>H38</f>
        <v>247.38640000000001</v>
      </c>
      <c r="W38" s="286">
        <f>+U38+AA38*L38-V38</f>
        <v>137.11359999999999</v>
      </c>
      <c r="X38" s="286">
        <f>'[1]Enron Summary'!$G$26</f>
        <v>13867.36</v>
      </c>
      <c r="Y38" s="528" t="e">
        <f>SUM(W38:W40)-X38</f>
        <v>#DIV/0!</v>
      </c>
      <c r="Z38" s="287" t="e">
        <f>+SUM(W38:W40)/T38</f>
        <v>#DIV/0!</v>
      </c>
      <c r="AA38" s="283">
        <f>+D38-M38</f>
        <v>0</v>
      </c>
    </row>
    <row r="39" spans="1:84" s="275" customFormat="1" x14ac:dyDescent="0.25">
      <c r="B39" s="304"/>
      <c r="C39" s="502" t="s">
        <v>357</v>
      </c>
      <c r="D39" s="276">
        <f>+'Quantum Detail'!F53</f>
        <v>20627</v>
      </c>
      <c r="E39" s="277" t="s">
        <v>112</v>
      </c>
      <c r="F39" s="278">
        <f>+'Quantum Detail'!I16</f>
        <v>-0.7026</v>
      </c>
      <c r="G39" s="279">
        <f>+$B$7+F39</f>
        <v>1.8374000000000001</v>
      </c>
      <c r="H39" s="280">
        <f>+'Quantum Detail'!L53</f>
        <v>37900.049800000008</v>
      </c>
      <c r="I39" s="277" t="s">
        <v>112</v>
      </c>
      <c r="J39" s="279">
        <f>+'Quantum Detail'!C16+'Quantum Detail'!E16+'Quantum Detail'!F16</f>
        <v>-3.6972000000000005E-2</v>
      </c>
      <c r="K39" s="184">
        <f>+J39-F39</f>
        <v>0.665628</v>
      </c>
      <c r="L39" s="184">
        <f>+G39+K39</f>
        <v>2.503028</v>
      </c>
      <c r="M39" s="288">
        <f>+D39</f>
        <v>20627</v>
      </c>
      <c r="N39" s="282">
        <f>+M39*L39</f>
        <v>51629.958555999998</v>
      </c>
      <c r="O39" s="283"/>
      <c r="P39" s="2"/>
      <c r="Q39" s="284"/>
      <c r="R39" s="285"/>
      <c r="S39" s="283"/>
      <c r="T39" s="276"/>
      <c r="U39" s="286">
        <f>N39</f>
        <v>51629.958555999998</v>
      </c>
      <c r="V39" s="286">
        <f>H39</f>
        <v>37900.049800000008</v>
      </c>
      <c r="W39" s="286">
        <f>+U39+AA39*L39-V39</f>
        <v>13729.90875599999</v>
      </c>
      <c r="Y39" s="528"/>
      <c r="Z39" s="287"/>
      <c r="AA39" s="283">
        <f>+D39-M39</f>
        <v>0</v>
      </c>
    </row>
    <row r="40" spans="1:84" s="275" customFormat="1" x14ac:dyDescent="0.25">
      <c r="B40" s="304"/>
      <c r="C40" s="502" t="s">
        <v>358</v>
      </c>
      <c r="D40" s="276">
        <f>'Quantum Detail'!H53</f>
        <v>0</v>
      </c>
      <c r="E40" s="277" t="s">
        <v>112</v>
      </c>
      <c r="F40" s="278">
        <f>+'Quantum Detail'!I17</f>
        <v>-0.66559999999999997</v>
      </c>
      <c r="G40" s="279" t="e">
        <f>+H40/D40</f>
        <v>#DIV/0!</v>
      </c>
      <c r="H40" s="280">
        <f>'Quantum Detail'!M53</f>
        <v>0</v>
      </c>
      <c r="I40" s="277" t="s">
        <v>112</v>
      </c>
      <c r="J40" s="279">
        <f>'Quantum Detail'!C17</f>
        <v>0</v>
      </c>
      <c r="K40" s="184">
        <f>+J40-F40</f>
        <v>0.66559999999999997</v>
      </c>
      <c r="L40" s="184" t="e">
        <f>+G40+K40</f>
        <v>#DIV/0!</v>
      </c>
      <c r="M40" s="288">
        <f>+D40</f>
        <v>0</v>
      </c>
      <c r="N40" s="282" t="e">
        <f>+M40*L40</f>
        <v>#DIV/0!</v>
      </c>
      <c r="O40" s="283"/>
      <c r="P40" s="2"/>
      <c r="Q40" s="284"/>
      <c r="R40" s="285"/>
      <c r="S40" s="283"/>
      <c r="T40" s="276"/>
      <c r="U40" s="286" t="e">
        <f>N40</f>
        <v>#DIV/0!</v>
      </c>
      <c r="V40" s="286">
        <f>H40</f>
        <v>0</v>
      </c>
      <c r="W40" s="286" t="e">
        <f>+U40+AA40*L40-V40</f>
        <v>#DIV/0!</v>
      </c>
      <c r="Y40" s="528"/>
      <c r="Z40" s="287"/>
      <c r="AA40" s="283">
        <f>+D40-M40</f>
        <v>0</v>
      </c>
    </row>
    <row r="41" spans="1:84" s="275" customFormat="1" x14ac:dyDescent="0.25">
      <c r="B41" s="304"/>
      <c r="C41" s="304"/>
      <c r="D41" s="276"/>
      <c r="E41" s="277"/>
      <c r="F41" s="278"/>
      <c r="G41" s="279"/>
      <c r="H41" s="280"/>
      <c r="I41" s="277"/>
      <c r="J41" s="279"/>
      <c r="K41" s="184"/>
      <c r="L41" s="184"/>
      <c r="M41" s="281"/>
      <c r="N41" s="282"/>
      <c r="O41" s="283"/>
      <c r="P41" s="2"/>
      <c r="Q41" s="284"/>
      <c r="R41" s="285"/>
      <c r="S41" s="283"/>
      <c r="T41" s="276"/>
      <c r="U41" s="286"/>
      <c r="V41" s="286"/>
      <c r="W41" s="286"/>
      <c r="Y41" s="528"/>
      <c r="Z41" s="287"/>
      <c r="AA41" s="283"/>
    </row>
    <row r="42" spans="1:84" s="259" customFormat="1" x14ac:dyDescent="0.25">
      <c r="A42" s="275"/>
      <c r="B42" s="201" t="str">
        <f>+'North Finn Detail'!A1</f>
        <v>North Finn</v>
      </c>
      <c r="C42" s="201"/>
      <c r="D42" s="260">
        <f>+'North Finn Detail'!D51</f>
        <v>20477</v>
      </c>
      <c r="E42" s="261" t="s">
        <v>11</v>
      </c>
      <c r="F42" s="262">
        <f>+'North Finn Detail'!F13</f>
        <v>-0.64629999999999999</v>
      </c>
      <c r="G42" s="263">
        <f>+H42/D42</f>
        <v>1.1445463153782294</v>
      </c>
      <c r="H42" s="264">
        <f>+'North Finn Detail'!H51</f>
        <v>23436.874900000003</v>
      </c>
      <c r="I42" s="261" t="s">
        <v>11</v>
      </c>
      <c r="J42" s="263">
        <f>+'North Finn Detail'!C13</f>
        <v>-0.08</v>
      </c>
      <c r="K42" s="265">
        <f>+J42-F42</f>
        <v>0.56630000000000003</v>
      </c>
      <c r="L42" s="265">
        <f>+G42+K42</f>
        <v>1.7108463153782294</v>
      </c>
      <c r="M42" s="266">
        <f>+O42-($M$48*Q42)</f>
        <v>20477</v>
      </c>
      <c r="N42" s="267">
        <f>+M42*L42</f>
        <v>35033</v>
      </c>
      <c r="O42" s="268">
        <f>+D42</f>
        <v>20477</v>
      </c>
      <c r="P42" s="352">
        <f>+N42</f>
        <v>35033</v>
      </c>
      <c r="Q42" s="269">
        <f>+O42/$O$46</f>
        <v>2.6523718113120542E-2</v>
      </c>
      <c r="R42" s="270" t="str">
        <f>+B42</f>
        <v>North Finn</v>
      </c>
      <c r="S42" s="268">
        <f>+D42</f>
        <v>20477</v>
      </c>
      <c r="T42" s="260">
        <f>'[1]Enron Summary'!$C$28</f>
        <v>22427</v>
      </c>
      <c r="U42" s="271">
        <f>N42</f>
        <v>35033</v>
      </c>
      <c r="V42" s="271">
        <f>H42</f>
        <v>23436.874900000003</v>
      </c>
      <c r="W42" s="271">
        <f>+U42+AA42*L42-V42</f>
        <v>11596.125099999997</v>
      </c>
      <c r="X42" s="271">
        <f>'[1]Enron Summary'!$G$28</f>
        <v>11595.38</v>
      </c>
      <c r="Y42" s="527">
        <f>+W42-X42</f>
        <v>0.74509999999827414</v>
      </c>
      <c r="Z42" s="272">
        <f>+W42/T42</f>
        <v>0.51706091318500014</v>
      </c>
      <c r="AA42" s="268">
        <f>+D42-M42</f>
        <v>0</v>
      </c>
    </row>
    <row r="43" spans="1:84" s="259" customFormat="1" x14ac:dyDescent="0.25">
      <c r="A43" s="275"/>
      <c r="B43" s="7"/>
      <c r="C43" s="304"/>
      <c r="D43" s="29"/>
      <c r="E43" s="277"/>
      <c r="F43" s="278"/>
      <c r="G43" s="279"/>
      <c r="H43" s="280"/>
      <c r="I43" s="277"/>
      <c r="J43" s="279"/>
      <c r="K43" s="184"/>
      <c r="L43" s="184"/>
      <c r="M43" s="281"/>
      <c r="N43" s="282"/>
      <c r="O43" s="283"/>
      <c r="P43" s="291"/>
      <c r="Q43" s="284"/>
      <c r="R43" s="285"/>
      <c r="S43" s="283"/>
      <c r="T43" s="554"/>
      <c r="U43" s="286"/>
      <c r="V43" s="286"/>
      <c r="W43" s="286"/>
      <c r="X43" s="555"/>
      <c r="Y43" s="528"/>
      <c r="Z43" s="287"/>
      <c r="AA43" s="283"/>
      <c r="AB43" s="275"/>
      <c r="AC43" s="275"/>
      <c r="AD43" s="275"/>
      <c r="AE43" s="275"/>
      <c r="AF43" s="275"/>
      <c r="AG43" s="275"/>
      <c r="AH43" s="275"/>
      <c r="AI43" s="275"/>
      <c r="AJ43" s="275"/>
      <c r="AK43" s="275"/>
      <c r="AL43" s="275"/>
      <c r="AM43" s="275"/>
      <c r="AN43" s="275"/>
      <c r="AO43" s="275"/>
      <c r="AP43" s="275"/>
      <c r="AQ43" s="275"/>
      <c r="AR43" s="275"/>
      <c r="AS43" s="275"/>
      <c r="AT43" s="275"/>
      <c r="AU43" s="275"/>
      <c r="AV43" s="275"/>
      <c r="AW43" s="275"/>
      <c r="AX43" s="275"/>
      <c r="AY43" s="275"/>
      <c r="AZ43" s="275"/>
      <c r="BA43" s="275"/>
      <c r="BB43" s="275"/>
      <c r="BC43" s="275"/>
      <c r="BD43" s="275"/>
      <c r="BE43" s="275"/>
      <c r="BF43" s="275"/>
      <c r="BG43" s="275"/>
      <c r="BH43" s="275"/>
      <c r="BI43" s="275"/>
      <c r="BJ43" s="275"/>
      <c r="BK43" s="275"/>
      <c r="BL43" s="275"/>
      <c r="BM43" s="275"/>
      <c r="BN43" s="275"/>
      <c r="BO43" s="275"/>
      <c r="BP43" s="275"/>
      <c r="BQ43" s="275"/>
      <c r="BR43" s="275"/>
      <c r="BS43" s="275"/>
      <c r="BT43" s="275"/>
      <c r="BU43" s="275"/>
      <c r="BV43" s="275"/>
      <c r="BW43" s="275"/>
      <c r="BX43" s="275"/>
      <c r="BY43" s="275"/>
      <c r="BZ43" s="275"/>
      <c r="CA43" s="275"/>
      <c r="CB43" s="275"/>
      <c r="CC43" s="275"/>
      <c r="CD43" s="275"/>
      <c r="CE43" s="275"/>
      <c r="CF43" s="275"/>
    </row>
    <row r="44" spans="1:84" x14ac:dyDescent="0.25">
      <c r="A44" s="283"/>
      <c r="B44" s="201" t="s">
        <v>348</v>
      </c>
      <c r="C44" s="201"/>
      <c r="D44" s="260">
        <f>'Citation Detail'!D52</f>
        <v>0</v>
      </c>
      <c r="E44" s="261" t="s">
        <v>11</v>
      </c>
      <c r="F44" s="262" t="e">
        <f>+'Citation Detail'!G14</f>
        <v>#DIV/0!</v>
      </c>
      <c r="G44" s="265" t="e">
        <f>+H44/D44</f>
        <v>#DIV/0!</v>
      </c>
      <c r="H44" s="264" t="e">
        <f>'Citation Detail'!H52</f>
        <v>#DIV/0!</v>
      </c>
      <c r="I44" s="261" t="s">
        <v>112</v>
      </c>
      <c r="J44" s="263">
        <f>'Citation Detail'!C14</f>
        <v>-0.1</v>
      </c>
      <c r="K44" s="265" t="e">
        <f>+J44-F44</f>
        <v>#DIV/0!</v>
      </c>
      <c r="L44" s="265" t="e">
        <f>+G44+K44</f>
        <v>#DIV/0!</v>
      </c>
      <c r="M44" s="266">
        <f>+O44-($M$48*Q44)</f>
        <v>0</v>
      </c>
      <c r="N44" s="267" t="e">
        <f>+M44*L44</f>
        <v>#DIV/0!</v>
      </c>
      <c r="O44" s="268">
        <f>+D44</f>
        <v>0</v>
      </c>
      <c r="P44" s="352" t="e">
        <f>+N44</f>
        <v>#DIV/0!</v>
      </c>
      <c r="Q44" s="269">
        <f>+O44/$O$46</f>
        <v>0</v>
      </c>
      <c r="R44" s="270" t="s">
        <v>348</v>
      </c>
      <c r="S44" s="268">
        <f>D44</f>
        <v>0</v>
      </c>
      <c r="T44" s="260">
        <f>'[1]Enron Summary'!$C$30</f>
        <v>20020</v>
      </c>
      <c r="U44" s="271" t="e">
        <f>N44</f>
        <v>#DIV/0!</v>
      </c>
      <c r="V44" s="271" t="e">
        <f>H44+'Citation Summary'!G23</f>
        <v>#DIV/0!</v>
      </c>
      <c r="W44" s="271" t="e">
        <f>+U44+AA44*L44-V44</f>
        <v>#DIV/0!</v>
      </c>
      <c r="X44" s="271">
        <f>SUM('[1]Enron Summary'!$G$30:$G$32)</f>
        <v>14043.7</v>
      </c>
      <c r="Y44" s="527" t="e">
        <f>+W44-X44</f>
        <v>#DIV/0!</v>
      </c>
      <c r="Z44" s="272" t="e">
        <f>+W44/T44</f>
        <v>#DIV/0!</v>
      </c>
      <c r="AA44" s="268">
        <f>+D44-M44</f>
        <v>0</v>
      </c>
      <c r="AB44" s="352"/>
      <c r="AC44" s="271"/>
      <c r="AD44" s="549"/>
      <c r="AE44" s="259"/>
      <c r="AF44" s="259"/>
      <c r="AG44" s="259"/>
      <c r="AH44" s="259"/>
      <c r="AI44" s="259"/>
      <c r="AJ44" s="259"/>
      <c r="AK44" s="259"/>
      <c r="AL44" s="259"/>
      <c r="AM44" s="259"/>
      <c r="AN44" s="259"/>
      <c r="AO44" s="259"/>
      <c r="AP44" s="259"/>
    </row>
    <row r="45" spans="1:84" x14ac:dyDescent="0.25">
      <c r="A45" s="283"/>
      <c r="C45" s="7"/>
      <c r="E45" s="277"/>
      <c r="F45" s="278"/>
      <c r="G45" s="279"/>
      <c r="H45" s="280"/>
      <c r="I45" s="277"/>
      <c r="J45" s="279"/>
      <c r="K45" s="184"/>
      <c r="L45" s="184"/>
      <c r="M45" s="288"/>
      <c r="N45" s="282"/>
      <c r="O45" s="283"/>
      <c r="Q45" s="284"/>
      <c r="R45" s="285"/>
      <c r="S45" s="283"/>
      <c r="T45" s="276"/>
      <c r="U45" s="286"/>
      <c r="V45" s="286"/>
      <c r="W45" s="286"/>
      <c r="X45" s="286"/>
      <c r="Y45" s="566" t="e">
        <f>Y44/D44</f>
        <v>#DIV/0!</v>
      </c>
      <c r="Z45" s="287"/>
      <c r="AA45" s="283"/>
      <c r="AB45" s="291"/>
      <c r="AC45" s="286"/>
      <c r="AD45" s="292"/>
      <c r="AE45" s="275"/>
      <c r="AF45" s="275"/>
      <c r="AG45" s="275"/>
      <c r="AH45" s="275"/>
    </row>
    <row r="46" spans="1:84" s="275" customFormat="1" ht="13.8" thickBot="1" x14ac:dyDescent="0.3">
      <c r="A46" s="293" t="s">
        <v>231</v>
      </c>
      <c r="B46" s="275" t="s">
        <v>232</v>
      </c>
      <c r="D46" s="283"/>
      <c r="E46" s="294"/>
      <c r="F46" s="295"/>
      <c r="G46" s="296"/>
      <c r="H46" s="297"/>
      <c r="I46" s="294"/>
      <c r="J46" s="298"/>
      <c r="K46" s="299"/>
      <c r="L46" s="188"/>
      <c r="M46" s="300"/>
      <c r="N46" s="301"/>
      <c r="O46" s="350">
        <f>SUM(O13:O45)</f>
        <v>772026</v>
      </c>
      <c r="P46" s="350" t="e">
        <f>SUM(P13:P45)</f>
        <v>#DIV/0!</v>
      </c>
      <c r="Q46" s="351">
        <f>SUM(Q13:Q45)</f>
        <v>1</v>
      </c>
      <c r="R46" s="285" t="str">
        <f>+B46</f>
        <v>CGS (gain)</v>
      </c>
      <c r="S46" s="350">
        <f>SUM(S13:S45)</f>
        <v>1884812</v>
      </c>
      <c r="T46" s="350">
        <f>SUM(T13:T45)</f>
        <v>2040494</v>
      </c>
      <c r="Y46" s="304"/>
    </row>
    <row r="47" spans="1:84" x14ac:dyDescent="0.25">
      <c r="A47" s="275"/>
      <c r="D47" s="97">
        <f>SUM(D13:D46)</f>
        <v>1884812</v>
      </c>
      <c r="E47" s="30"/>
      <c r="F47" s="30"/>
      <c r="G47" s="84" t="s">
        <v>123</v>
      </c>
      <c r="H47" s="95" t="e">
        <f>SUM(H13:H46)</f>
        <v>#DIV/0!</v>
      </c>
      <c r="I47" s="30"/>
      <c r="J47" s="30"/>
      <c r="L47" s="91" t="s">
        <v>133</v>
      </c>
      <c r="M47" s="97">
        <f>SUM(M13:M46)</f>
        <v>1884812</v>
      </c>
      <c r="N47" s="92" t="e">
        <f>SUM(N13:N46)</f>
        <v>#DIV/0!</v>
      </c>
      <c r="X47" s="83">
        <f>SUM(X13:X46)</f>
        <v>1045203.075</v>
      </c>
      <c r="Y47" s="92" t="e">
        <f>SUM(Y13:Y46)</f>
        <v>#DIV/0!</v>
      </c>
      <c r="AA47" s="45">
        <f>SUM(AA13:AA46)</f>
        <v>0</v>
      </c>
    </row>
    <row r="48" spans="1:84" s="275" customFormat="1" ht="15.6" x14ac:dyDescent="0.3">
      <c r="A48" s="293" t="s">
        <v>233</v>
      </c>
      <c r="B48" s="275" t="s">
        <v>234</v>
      </c>
      <c r="D48" s="276"/>
      <c r="E48" s="277"/>
      <c r="F48" s="278"/>
      <c r="G48" s="279"/>
      <c r="H48" s="280"/>
      <c r="I48" s="277" t="s">
        <v>128</v>
      </c>
      <c r="J48" s="278">
        <v>0.14000000000000001</v>
      </c>
      <c r="L48" s="302" t="e">
        <f>+P46/O46</f>
        <v>#DIV/0!</v>
      </c>
      <c r="M48" s="501">
        <f>+'[1]Enron Fuel Sale'!$E$19</f>
        <v>0</v>
      </c>
      <c r="N48" s="286" t="e">
        <f>+M48*L48</f>
        <v>#DIV/0!</v>
      </c>
      <c r="P48" s="2" t="e">
        <f>+P46/O46</f>
        <v>#DIV/0!</v>
      </c>
      <c r="T48" s="276"/>
      <c r="Y48" s="304"/>
    </row>
    <row r="49" spans="1:20" x14ac:dyDescent="0.25">
      <c r="A49" s="275"/>
      <c r="L49" s="103" t="s">
        <v>141</v>
      </c>
      <c r="M49" s="303"/>
    </row>
    <row r="50" spans="1:20" ht="13.8" thickBot="1" x14ac:dyDescent="0.3">
      <c r="A50" s="275"/>
      <c r="K50" s="171"/>
      <c r="L50" s="172"/>
    </row>
    <row r="51" spans="1:20" x14ac:dyDescent="0.25">
      <c r="A51" s="305"/>
      <c r="B51" s="72"/>
      <c r="C51" s="72"/>
      <c r="D51" s="72" t="s">
        <v>108</v>
      </c>
      <c r="E51" s="72"/>
      <c r="F51" s="72"/>
      <c r="G51" s="73"/>
      <c r="H51" s="83"/>
      <c r="L51" s="170"/>
    </row>
    <row r="52" spans="1:20" x14ac:dyDescent="0.25">
      <c r="A52" s="277" t="s">
        <v>132</v>
      </c>
      <c r="B52" s="30"/>
      <c r="C52" s="30"/>
      <c r="D52" s="93">
        <f>+D47</f>
        <v>1884812</v>
      </c>
      <c r="E52" s="89" t="e">
        <f>-H47</f>
        <v>#DIV/0!</v>
      </c>
      <c r="F52" s="89"/>
      <c r="G52" s="12"/>
      <c r="L52" s="128"/>
      <c r="M52" s="45"/>
      <c r="N52" s="82"/>
    </row>
    <row r="53" spans="1:20" x14ac:dyDescent="0.25">
      <c r="A53" s="277" t="s">
        <v>134</v>
      </c>
      <c r="B53" s="30"/>
      <c r="C53" s="30"/>
      <c r="D53" s="43">
        <f>-M47</f>
        <v>-1884812</v>
      </c>
      <c r="E53" s="89" t="e">
        <f>+N47</f>
        <v>#DIV/0!</v>
      </c>
      <c r="F53" s="30"/>
      <c r="G53" s="81"/>
      <c r="H53" s="83"/>
      <c r="I53" s="54" t="s">
        <v>345</v>
      </c>
      <c r="J53" s="457"/>
      <c r="K53" s="457"/>
      <c r="L53" s="458"/>
    </row>
    <row r="54" spans="1:20" s="6" customFormat="1" ht="26.4" x14ac:dyDescent="0.25">
      <c r="A54" s="442"/>
      <c r="B54" s="41"/>
      <c r="C54" s="41"/>
      <c r="D54" s="443"/>
      <c r="E54" s="444"/>
      <c r="F54" s="41"/>
      <c r="G54" s="445"/>
      <c r="H54" s="446"/>
      <c r="I54" s="459"/>
      <c r="J54" s="460" t="s">
        <v>340</v>
      </c>
      <c r="K54" s="460" t="s">
        <v>341</v>
      </c>
      <c r="L54" s="461" t="s">
        <v>342</v>
      </c>
      <c r="P54" s="9"/>
      <c r="T54" s="447"/>
    </row>
    <row r="55" spans="1:20" x14ac:dyDescent="0.25">
      <c r="A55" s="277" t="s">
        <v>235</v>
      </c>
      <c r="B55" s="30"/>
      <c r="C55" s="30"/>
      <c r="D55" s="43">
        <f>+-M48</f>
        <v>0</v>
      </c>
      <c r="E55" s="89" t="e">
        <f>+N48</f>
        <v>#DIV/0!</v>
      </c>
      <c r="F55" s="30"/>
      <c r="G55" s="12"/>
      <c r="H55" s="83"/>
      <c r="I55" s="462" t="s">
        <v>343</v>
      </c>
      <c r="J55" s="463">
        <v>265881</v>
      </c>
      <c r="K55" s="464">
        <f>SUMPRODUCT($D$15:$D$16,$F$15:$F$16)/SUM($D$15:$D$16)</f>
        <v>-0.87530940411156233</v>
      </c>
      <c r="L55" s="465">
        <f>SUMPRODUCT($D$15:$D$16,$K$15:$K$16)/SUM($D$15:$D$16)</f>
        <v>0.61073740411156219</v>
      </c>
      <c r="N55" s="83"/>
    </row>
    <row r="56" spans="1:20" x14ac:dyDescent="0.25">
      <c r="A56" s="277"/>
      <c r="B56" s="30" t="s">
        <v>121</v>
      </c>
      <c r="C56" s="30"/>
      <c r="D56" s="93">
        <f>SUM(D52:D55)</f>
        <v>0</v>
      </c>
      <c r="E56" s="94" t="s">
        <v>129</v>
      </c>
      <c r="F56" s="95" t="e">
        <f>SUM(E52:E55)</f>
        <v>#DIV/0!</v>
      </c>
      <c r="G56" s="12"/>
      <c r="H56" s="83"/>
      <c r="I56" s="462" t="s">
        <v>344</v>
      </c>
      <c r="J56" s="463">
        <v>272502</v>
      </c>
      <c r="K56" s="464">
        <f>SUMPRODUCT($D$17:$D$18,$F$17:$F$18)/SUM($D$17:$D$18)</f>
        <v>-0.61078536936210159</v>
      </c>
      <c r="L56" s="465">
        <f>SUMPRODUCT($D$17:$D$18,$K$17:$K$18)/SUM($D$17:$D$18)</f>
        <v>0.61078536936210159</v>
      </c>
      <c r="N56" s="64"/>
    </row>
    <row r="57" spans="1:20" x14ac:dyDescent="0.25">
      <c r="A57" s="277"/>
      <c r="B57" s="30"/>
      <c r="C57" s="30"/>
      <c r="D57" s="93"/>
      <c r="E57" s="89"/>
      <c r="F57" s="30"/>
      <c r="G57" s="12"/>
      <c r="I57" s="462" t="s">
        <v>332</v>
      </c>
      <c r="J57" s="463">
        <v>265902</v>
      </c>
      <c r="K57" s="464">
        <f>SUMPRODUCT($D$13:$D$14,$F$13:$F$14)/SUM($D$13:$D$14)</f>
        <v>-0.61080813788674193</v>
      </c>
      <c r="L57" s="465">
        <f>SUMPRODUCT($D$13:$D$14,$K$13:$K$14)/SUM($D$13:$D$14)</f>
        <v>0.61080813788674193</v>
      </c>
    </row>
    <row r="58" spans="1:20" x14ac:dyDescent="0.25">
      <c r="A58" s="277" t="s">
        <v>236</v>
      </c>
      <c r="B58" s="30"/>
      <c r="C58" s="30"/>
      <c r="D58" s="30"/>
      <c r="E58" s="217">
        <f>'[1]Enron Summary'!$G$48-'[1]Enron Summary'!$G$20</f>
        <v>0</v>
      </c>
      <c r="F58" s="30"/>
      <c r="G58" s="12"/>
      <c r="I58" s="462" t="s">
        <v>381</v>
      </c>
      <c r="J58" s="558">
        <v>1019833</v>
      </c>
      <c r="K58" s="529">
        <f>IF(SUM($D$19:$D$20)=0,"NA",SUMPRODUCT($D$19:$D$20,$F$19:$F$20)/SUM($D$19:$D$20))</f>
        <v>-0.77803929821332363</v>
      </c>
      <c r="L58" s="530">
        <f>IF(SUM($D$19:$D$20)=0,"NA",SUMPRODUCT($D$19:$D$20,$K$19:$K$20)/SUM($D$19:$D$20))</f>
        <v>0.61076729821332365</v>
      </c>
    </row>
    <row r="59" spans="1:20" x14ac:dyDescent="0.25">
      <c r="A59" s="14" t="s">
        <v>120</v>
      </c>
      <c r="B59" s="30"/>
      <c r="C59" s="30"/>
      <c r="D59" s="30"/>
      <c r="E59" s="89"/>
      <c r="F59" s="30"/>
      <c r="G59" s="12"/>
      <c r="I59" s="466" t="s">
        <v>412</v>
      </c>
      <c r="J59" s="559">
        <v>1073420</v>
      </c>
      <c r="K59" s="499">
        <f>IF(SUM($D$21:$D$22)=0,"NA",SUMPRODUCT($D$21:$D$22,$F$21:$F$22)/SUM($D$21:$D$22))</f>
        <v>-0.66139259519891558</v>
      </c>
      <c r="L59" s="498">
        <f>IF(SUM($D$21:$D$22)=0,"NA",SUMPRODUCT($D$21:$D$22,$K$21:$K$22)/SUM($D$21:$D$22))</f>
        <v>0.61139259519891564</v>
      </c>
    </row>
    <row r="60" spans="1:20" x14ac:dyDescent="0.25">
      <c r="A60" s="14"/>
      <c r="B60" s="30"/>
      <c r="C60" s="30"/>
      <c r="D60" s="30"/>
      <c r="E60" s="94" t="s">
        <v>130</v>
      </c>
      <c r="F60" s="96">
        <f>SUM(E58:E59)</f>
        <v>0</v>
      </c>
      <c r="G60" s="12"/>
      <c r="J60" s="67"/>
      <c r="K60" s="448"/>
      <c r="L60" s="448"/>
    </row>
    <row r="61" spans="1:20" x14ac:dyDescent="0.25">
      <c r="A61" s="14"/>
      <c r="B61" s="30"/>
      <c r="C61" s="30"/>
      <c r="D61" s="30"/>
      <c r="E61" s="30"/>
      <c r="F61" s="30"/>
      <c r="G61" s="12"/>
      <c r="J61" s="67"/>
      <c r="K61" s="448"/>
      <c r="L61" s="448"/>
    </row>
    <row r="62" spans="1:20" x14ac:dyDescent="0.25">
      <c r="A62" s="14"/>
      <c r="B62" s="30"/>
      <c r="C62" s="30"/>
      <c r="D62" s="30"/>
      <c r="E62" s="94" t="s">
        <v>131</v>
      </c>
      <c r="F62" s="89" t="e">
        <f>SUM(F56:F60)</f>
        <v>#DIV/0!</v>
      </c>
      <c r="G62" s="12"/>
      <c r="L62" s="29"/>
    </row>
    <row r="63" spans="1:20" ht="13.8" thickBot="1" x14ac:dyDescent="0.3">
      <c r="A63" s="15"/>
      <c r="B63" s="49"/>
      <c r="C63" s="49"/>
      <c r="D63" s="49"/>
      <c r="E63" s="49"/>
      <c r="F63" s="49"/>
      <c r="G63" s="16"/>
    </row>
  </sheetData>
  <phoneticPr fontId="0" type="noConversion"/>
  <pageMargins left="0.25" right="0.25" top="0.25" bottom="0.25" header="0.5" footer="0.5"/>
  <pageSetup paperSize="5" scale="56" orientation="landscape" horizontalDpi="4294967293" r:id="rId1"/>
  <headerFooter alignWithMargins="0">
    <oddHeader>&amp;L&amp;F&amp;C&amp;A</oddHeader>
    <oddFooter>&amp;LScott Sitter&amp;CPage &amp;P&amp;R&amp;D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Q58"/>
  <sheetViews>
    <sheetView showGridLines="0" zoomScale="75" workbookViewId="0">
      <selection activeCell="E52" sqref="E52"/>
    </sheetView>
  </sheetViews>
  <sheetFormatPr defaultRowHeight="13.2" x14ac:dyDescent="0.25"/>
  <cols>
    <col min="1" max="1" width="16" customWidth="1"/>
    <col min="2" max="2" width="17" bestFit="1" customWidth="1"/>
    <col min="3" max="3" width="17.88671875" bestFit="1" customWidth="1"/>
    <col min="4" max="4" width="10.88671875" customWidth="1"/>
    <col min="5" max="5" width="17.44140625" bestFit="1" customWidth="1"/>
    <col min="6" max="6" width="22.6640625" bestFit="1" customWidth="1"/>
    <col min="7" max="7" width="15.44140625" customWidth="1"/>
    <col min="8" max="8" width="16.109375" customWidth="1"/>
    <col min="9" max="9" width="12.44140625" customWidth="1"/>
    <col min="10" max="10" width="18" bestFit="1" customWidth="1"/>
    <col min="11" max="11" width="16.109375" bestFit="1" customWidth="1"/>
    <col min="12" max="12" width="17.33203125" bestFit="1" customWidth="1"/>
    <col min="13" max="13" width="18" bestFit="1" customWidth="1"/>
    <col min="14" max="14" width="14.5546875" bestFit="1" customWidth="1"/>
    <col min="15" max="15" width="19.44140625" bestFit="1" customWidth="1"/>
    <col min="17" max="17" width="10.33203125" bestFit="1" customWidth="1"/>
  </cols>
  <sheetData>
    <row r="1" spans="1:15" x14ac:dyDescent="0.25">
      <c r="A1" s="7" t="s">
        <v>45</v>
      </c>
      <c r="B1" s="7" t="s">
        <v>28</v>
      </c>
      <c r="C1" s="7" t="s">
        <v>240</v>
      </c>
      <c r="F1" t="s">
        <v>195</v>
      </c>
      <c r="H1" s="7"/>
      <c r="I1" s="7"/>
      <c r="J1" s="7"/>
      <c r="N1" s="149">
        <f ca="1">NOW()</f>
        <v>37238.587624189815</v>
      </c>
    </row>
    <row r="2" spans="1:15" x14ac:dyDescent="0.25">
      <c r="A2" s="8">
        <f>+'Index Pricing'!A1</f>
        <v>37196</v>
      </c>
      <c r="B2" s="7" t="s">
        <v>36</v>
      </c>
      <c r="C2" s="7" t="s">
        <v>46</v>
      </c>
      <c r="H2" s="7"/>
      <c r="I2" s="7"/>
      <c r="J2" s="7"/>
    </row>
    <row r="3" spans="1:15" x14ac:dyDescent="0.25">
      <c r="A3" s="8"/>
      <c r="B3" s="7" t="s">
        <v>37</v>
      </c>
      <c r="C3" s="7" t="s">
        <v>47</v>
      </c>
      <c r="F3" t="s">
        <v>41</v>
      </c>
      <c r="G3" t="s">
        <v>42</v>
      </c>
      <c r="H3" s="7"/>
      <c r="I3" s="7"/>
      <c r="J3" s="7"/>
    </row>
    <row r="4" spans="1:15" x14ac:dyDescent="0.25">
      <c r="A4" s="8"/>
      <c r="B4" s="7"/>
      <c r="C4" s="7"/>
      <c r="H4" s="7"/>
      <c r="I4" s="7"/>
      <c r="J4" s="7"/>
    </row>
    <row r="5" spans="1:15" x14ac:dyDescent="0.25">
      <c r="A5" s="1" t="s">
        <v>48</v>
      </c>
      <c r="B5" s="131">
        <f>'[1]Enron Detail'!$L$9</f>
        <v>0.9369968710343024</v>
      </c>
    </row>
    <row r="6" spans="1:15" x14ac:dyDescent="0.25">
      <c r="A6" s="1" t="s">
        <v>43</v>
      </c>
      <c r="B6" s="129">
        <f>0.35</f>
        <v>0.35</v>
      </c>
      <c r="C6" t="s">
        <v>8</v>
      </c>
    </row>
    <row r="7" spans="1:15" x14ac:dyDescent="0.25">
      <c r="A7" s="1" t="str">
        <f>+'Index Pricing'!A3</f>
        <v>IF CIG Rockies</v>
      </c>
      <c r="B7" s="2">
        <f>+'Index Pricing'!B3</f>
        <v>2.54</v>
      </c>
    </row>
    <row r="8" spans="1:15" x14ac:dyDescent="0.25">
      <c r="A8" s="1" t="str">
        <f>+'Index Pricing'!A4</f>
        <v>IF NGPL Midcont.</v>
      </c>
      <c r="B8" s="2">
        <f>+'Index Pricing'!B4</f>
        <v>3.04</v>
      </c>
    </row>
    <row r="9" spans="1:15" x14ac:dyDescent="0.25">
      <c r="A9" s="1"/>
      <c r="B9" s="2"/>
    </row>
    <row r="10" spans="1:15" x14ac:dyDescent="0.25">
      <c r="A10" s="46"/>
      <c r="B10" s="2"/>
    </row>
    <row r="11" spans="1:15" ht="13.8" thickBot="1" x14ac:dyDescent="0.3">
      <c r="A11" s="1"/>
    </row>
    <row r="12" spans="1:15" s="67" customFormat="1" ht="39.6" x14ac:dyDescent="0.25">
      <c r="A12" s="221"/>
      <c r="B12" s="222"/>
      <c r="C12" s="210" t="s">
        <v>14</v>
      </c>
      <c r="D12" s="210" t="s">
        <v>355</v>
      </c>
      <c r="E12" s="210" t="s">
        <v>15</v>
      </c>
      <c r="F12" s="220" t="str">
        <f>"WIC Med.Bow Fuel ("&amp;'Index Pricing'!$F$3*100&amp;"%*CIGindex)"</f>
        <v>WIC Med.Bow Fuel (0.68%*CIGindex)</v>
      </c>
      <c r="G12" s="210" t="s">
        <v>16</v>
      </c>
      <c r="H12" s="210" t="s">
        <v>260</v>
      </c>
      <c r="I12" s="210" t="s">
        <v>216</v>
      </c>
      <c r="J12" s="223" t="s">
        <v>9</v>
      </c>
      <c r="K12" s="90"/>
      <c r="L12" s="90"/>
      <c r="M12" s="90"/>
      <c r="N12" s="90"/>
      <c r="O12" s="90"/>
    </row>
    <row r="13" spans="1:15" x14ac:dyDescent="0.25">
      <c r="A13" s="182" t="s">
        <v>4</v>
      </c>
      <c r="B13" s="183" t="s">
        <v>11</v>
      </c>
      <c r="C13" s="184">
        <v>-0.02</v>
      </c>
      <c r="D13" s="183">
        <f>-B6/B5</f>
        <v>-0.37353379805169795</v>
      </c>
      <c r="E13" s="183">
        <v>0</v>
      </c>
      <c r="F13" s="183">
        <v>0</v>
      </c>
      <c r="G13" s="183">
        <v>0</v>
      </c>
      <c r="H13" s="219">
        <v>0</v>
      </c>
      <c r="I13" s="183">
        <f>-+J51*D13/(D51+F51+H51)</f>
        <v>-1.7933167658516901E-2</v>
      </c>
      <c r="J13" s="185">
        <f>ROUND(SUM(C13:I13),4)</f>
        <v>-0.41149999999999998</v>
      </c>
    </row>
    <row r="14" spans="1:15" x14ac:dyDescent="0.25">
      <c r="A14" s="182"/>
      <c r="B14" s="183" t="s">
        <v>1</v>
      </c>
      <c r="C14" s="184">
        <v>0.01</v>
      </c>
      <c r="D14" s="183">
        <f>-B6/B5</f>
        <v>-0.37353379805169795</v>
      </c>
      <c r="E14" s="183">
        <f>-0.13-0.0025-0.0022</f>
        <v>-0.13470000000000001</v>
      </c>
      <c r="F14" s="183">
        <f>-'Index Pricing'!$F$3*'Index Pricing'!B3</f>
        <v>-1.7271999999999999E-2</v>
      </c>
      <c r="G14" s="183">
        <v>-0.1226</v>
      </c>
      <c r="H14" s="183">
        <v>0</v>
      </c>
      <c r="I14" s="183">
        <f>+I13</f>
        <v>-1.7933167658516901E-2</v>
      </c>
      <c r="J14" s="185">
        <f>ROUND(SUM(C14:I14),4)</f>
        <v>-0.65600000000000003</v>
      </c>
    </row>
    <row r="15" spans="1:15" ht="13.8" thickBot="1" x14ac:dyDescent="0.3">
      <c r="A15" s="186"/>
      <c r="B15" s="187" t="s">
        <v>0</v>
      </c>
      <c r="C15" s="188">
        <v>0.125</v>
      </c>
      <c r="D15" s="187">
        <f>-B6/B5</f>
        <v>-0.37353379805169795</v>
      </c>
      <c r="E15" s="187">
        <f>-0.13-0.0025-0.0022</f>
        <v>-0.13470000000000001</v>
      </c>
      <c r="F15" s="187">
        <f>-'Index Pricing'!$F$3*'Index Pricing'!B3</f>
        <v>-1.7271999999999999E-2</v>
      </c>
      <c r="G15" s="187"/>
      <c r="H15" s="187"/>
      <c r="I15" s="187">
        <f>+I14</f>
        <v>-1.7933167658516901E-2</v>
      </c>
      <c r="J15" s="189">
        <f>ROUND(SUM(C15:I15),4)</f>
        <v>-0.41839999999999999</v>
      </c>
    </row>
    <row r="16" spans="1:15" ht="13.8" thickBot="1" x14ac:dyDescent="0.3"/>
    <row r="17" spans="1:15" ht="40.200000000000003" thickBot="1" x14ac:dyDescent="0.3">
      <c r="A17" s="6"/>
      <c r="B17" s="6"/>
      <c r="C17" s="20" t="s">
        <v>152</v>
      </c>
      <c r="D17" s="17" t="s">
        <v>31</v>
      </c>
      <c r="E17" s="20" t="s">
        <v>49</v>
      </c>
      <c r="F17" s="17" t="s">
        <v>32</v>
      </c>
      <c r="G17" s="20" t="s">
        <v>50</v>
      </c>
      <c r="H17" s="17" t="s">
        <v>33</v>
      </c>
      <c r="I17" s="41"/>
      <c r="J17" s="6" t="s">
        <v>51</v>
      </c>
      <c r="K17" s="6" t="s">
        <v>34</v>
      </c>
      <c r="L17" s="75" t="s">
        <v>116</v>
      </c>
      <c r="M17" s="40" t="s">
        <v>117</v>
      </c>
      <c r="N17" s="17" t="s">
        <v>118</v>
      </c>
      <c r="O17" s="9" t="s">
        <v>26</v>
      </c>
    </row>
    <row r="18" spans="1:15" ht="13.8" thickBot="1" x14ac:dyDescent="0.3">
      <c r="B18" s="106" t="s">
        <v>3</v>
      </c>
      <c r="C18" s="24" t="s">
        <v>12</v>
      </c>
      <c r="D18" s="73"/>
      <c r="E18" s="24" t="s">
        <v>18</v>
      </c>
      <c r="F18" s="73"/>
      <c r="G18" s="24" t="s">
        <v>22</v>
      </c>
      <c r="H18" s="73"/>
      <c r="I18" s="30"/>
      <c r="L18" s="14"/>
      <c r="M18" s="30"/>
      <c r="N18" s="12"/>
      <c r="O18" s="2"/>
    </row>
    <row r="19" spans="1:15" x14ac:dyDescent="0.25">
      <c r="A19" s="5">
        <f>+'Index Pricing'!A7</f>
        <v>37196</v>
      </c>
      <c r="B19" s="4">
        <f>+'Index Pricing'!B7</f>
        <v>2.67</v>
      </c>
      <c r="C19" s="122">
        <f>+B19+$J$13</f>
        <v>2.2584999999999997</v>
      </c>
      <c r="D19" s="470">
        <f>+K19+J19-F19-H19</f>
        <v>2606</v>
      </c>
      <c r="E19" s="124">
        <f>+'Index Pricing'!$B$4+$J$14</f>
        <v>2.3839999999999999</v>
      </c>
      <c r="F19" s="123">
        <f>ROUND(IF(((K19+J19)*0.8)&gt;=10000,10000,((K19+J19)*0.8)),0)</f>
        <v>10000</v>
      </c>
      <c r="G19" s="124">
        <f>+'Index Pricing'!$B$3+$J$15</f>
        <v>2.1215999999999999</v>
      </c>
      <c r="H19" s="208">
        <f>ROUND(+IF(((K19+J19)*0.8)&gt;=10000,((K19+J19)*0.8)-10000,0),0)</f>
        <v>425</v>
      </c>
      <c r="I19" s="30"/>
      <c r="J19" s="29">
        <f>'[1]Enron Detail'!M14</f>
        <v>-600</v>
      </c>
      <c r="K19" s="29">
        <f>'[1]Enron Detail'!L14</f>
        <v>13631</v>
      </c>
      <c r="L19" s="76">
        <f>+C19*D19</f>
        <v>5885.6509999999989</v>
      </c>
      <c r="M19" s="74">
        <f>+E19*F19</f>
        <v>23840</v>
      </c>
      <c r="N19" s="77">
        <f>+G19*H19</f>
        <v>901.68</v>
      </c>
      <c r="O19" s="2">
        <f>+C19*D19+E19*F19+G19*H19</f>
        <v>30627.330999999998</v>
      </c>
    </row>
    <row r="20" spans="1:15" x14ac:dyDescent="0.25">
      <c r="A20" s="5">
        <f>+'Index Pricing'!A8</f>
        <v>37197</v>
      </c>
      <c r="B20" s="4">
        <f>+'Index Pricing'!B8</f>
        <v>2.36</v>
      </c>
      <c r="C20" s="22">
        <f t="shared" ref="C20:C49" si="0">+B20+$J$13</f>
        <v>1.9484999999999999</v>
      </c>
      <c r="D20" s="27">
        <f t="shared" ref="D20:D46" si="1">+K20+J20-F20-H20</f>
        <v>2548</v>
      </c>
      <c r="E20" s="23">
        <f>+'Index Pricing'!$B$4+$J$14</f>
        <v>2.3839999999999999</v>
      </c>
      <c r="F20" s="121">
        <f t="shared" ref="F20:F48" si="2">ROUND(IF(((K20+J20)*0.8)&gt;=10000,10000,((K20+J20)*0.8)),0)</f>
        <v>10000</v>
      </c>
      <c r="G20" s="23">
        <f>+'Index Pricing'!$B$3+$J$15</f>
        <v>2.1215999999999999</v>
      </c>
      <c r="H20" s="209">
        <f t="shared" ref="H20:H48" si="3">ROUND(+IF(((K20+J20)*0.8)&gt;=10000,((K20+J20)*0.8)-10000,0),0)</f>
        <v>193</v>
      </c>
      <c r="I20" s="30"/>
      <c r="J20" s="29">
        <f>'[1]Enron Detail'!M15</f>
        <v>-603</v>
      </c>
      <c r="K20" s="29">
        <f>'[1]Enron Detail'!L15</f>
        <v>13344</v>
      </c>
      <c r="L20" s="76">
        <f t="shared" ref="L20:L46" si="4">+C20*D20</f>
        <v>4964.7779999999993</v>
      </c>
      <c r="M20" s="74">
        <f t="shared" ref="M20:M46" si="5">+E20*F20</f>
        <v>23840</v>
      </c>
      <c r="N20" s="77">
        <f t="shared" ref="N20:N46" si="6">+G20*H20</f>
        <v>409.46879999999999</v>
      </c>
      <c r="O20" s="2">
        <f t="shared" ref="O20:O46" si="7">+C20*D20+E20*F20+G20*H20</f>
        <v>29214.246799999997</v>
      </c>
    </row>
    <row r="21" spans="1:15" x14ac:dyDescent="0.25">
      <c r="A21" s="5">
        <f>+'Index Pricing'!A9</f>
        <v>37198</v>
      </c>
      <c r="B21" s="4">
        <f>+'Index Pricing'!B9</f>
        <v>2.0150000000000001</v>
      </c>
      <c r="C21" s="22">
        <f t="shared" si="0"/>
        <v>1.6035000000000001</v>
      </c>
      <c r="D21" s="27">
        <f t="shared" si="1"/>
        <v>2484</v>
      </c>
      <c r="E21" s="23">
        <f>+'Index Pricing'!$B$4+$J$14</f>
        <v>2.3839999999999999</v>
      </c>
      <c r="F21" s="121">
        <f t="shared" si="2"/>
        <v>9934</v>
      </c>
      <c r="G21" s="23">
        <f>+'Index Pricing'!$B$3+$J$15</f>
        <v>2.1215999999999999</v>
      </c>
      <c r="H21" s="209">
        <f t="shared" si="3"/>
        <v>0</v>
      </c>
      <c r="I21" s="30"/>
      <c r="J21" s="29">
        <f>'[1]Enron Detail'!M16</f>
        <v>-589</v>
      </c>
      <c r="K21" s="29">
        <f>'[1]Enron Detail'!L16</f>
        <v>13007</v>
      </c>
      <c r="L21" s="76">
        <f t="shared" si="4"/>
        <v>3983.0940000000005</v>
      </c>
      <c r="M21" s="74">
        <f t="shared" si="5"/>
        <v>23682.655999999999</v>
      </c>
      <c r="N21" s="77">
        <f t="shared" si="6"/>
        <v>0</v>
      </c>
      <c r="O21" s="2">
        <f t="shared" si="7"/>
        <v>27665.75</v>
      </c>
    </row>
    <row r="22" spans="1:15" x14ac:dyDescent="0.25">
      <c r="A22" s="5">
        <f>+'Index Pricing'!A10</f>
        <v>37199</v>
      </c>
      <c r="B22" s="4">
        <f>+'Index Pricing'!B10</f>
        <v>2.0150000000000001</v>
      </c>
      <c r="C22" s="22">
        <f t="shared" si="0"/>
        <v>1.6035000000000001</v>
      </c>
      <c r="D22" s="27">
        <f t="shared" si="1"/>
        <v>2596</v>
      </c>
      <c r="E22" s="23">
        <f>+'Index Pricing'!$B$4+$J$14</f>
        <v>2.3839999999999999</v>
      </c>
      <c r="F22" s="121">
        <f t="shared" si="2"/>
        <v>10000</v>
      </c>
      <c r="G22" s="23">
        <f>+'Index Pricing'!$B$3+$J$15</f>
        <v>2.1215999999999999</v>
      </c>
      <c r="H22" s="209">
        <f t="shared" si="3"/>
        <v>382</v>
      </c>
      <c r="I22" s="30"/>
      <c r="J22" s="29">
        <f>'[1]Enron Detail'!M17</f>
        <v>-616</v>
      </c>
      <c r="K22" s="29">
        <f>'[1]Enron Detail'!L17</f>
        <v>13594</v>
      </c>
      <c r="L22" s="76">
        <f t="shared" si="4"/>
        <v>4162.6860000000006</v>
      </c>
      <c r="M22" s="74">
        <f t="shared" si="5"/>
        <v>23840</v>
      </c>
      <c r="N22" s="77">
        <f t="shared" si="6"/>
        <v>810.45119999999997</v>
      </c>
      <c r="O22" s="2">
        <f t="shared" si="7"/>
        <v>28813.137200000001</v>
      </c>
    </row>
    <row r="23" spans="1:15" x14ac:dyDescent="0.25">
      <c r="A23" s="5">
        <f>+'Index Pricing'!A11</f>
        <v>37200</v>
      </c>
      <c r="B23" s="4">
        <f>+'Index Pricing'!B11</f>
        <v>2.0150000000000001</v>
      </c>
      <c r="C23" s="22">
        <f t="shared" si="0"/>
        <v>1.6035000000000001</v>
      </c>
      <c r="D23" s="27">
        <f t="shared" si="1"/>
        <v>2542</v>
      </c>
      <c r="E23" s="23">
        <f>+'Index Pricing'!$B$4+$J$14</f>
        <v>2.3839999999999999</v>
      </c>
      <c r="F23" s="121">
        <f t="shared" si="2"/>
        <v>10000</v>
      </c>
      <c r="G23" s="23">
        <f>+'Index Pricing'!$B$3+$J$15</f>
        <v>2.1215999999999999</v>
      </c>
      <c r="H23" s="209">
        <f t="shared" si="3"/>
        <v>168</v>
      </c>
      <c r="I23" s="30"/>
      <c r="J23" s="29">
        <f>'[1]Enron Detail'!M18</f>
        <v>-601</v>
      </c>
      <c r="K23" s="29">
        <f>'[1]Enron Detail'!L18</f>
        <v>13311</v>
      </c>
      <c r="L23" s="76">
        <f t="shared" si="4"/>
        <v>4076.0970000000002</v>
      </c>
      <c r="M23" s="74">
        <f t="shared" si="5"/>
        <v>23840</v>
      </c>
      <c r="N23" s="77">
        <f t="shared" si="6"/>
        <v>356.42879999999997</v>
      </c>
      <c r="O23" s="2">
        <f t="shared" si="7"/>
        <v>28272.525800000003</v>
      </c>
    </row>
    <row r="24" spans="1:15" x14ac:dyDescent="0.25">
      <c r="A24" s="5">
        <f>+'Index Pricing'!A12</f>
        <v>37201</v>
      </c>
      <c r="B24" s="4">
        <f>+'Index Pricing'!B12</f>
        <v>2.16</v>
      </c>
      <c r="C24" s="22">
        <f t="shared" si="0"/>
        <v>1.7485000000000002</v>
      </c>
      <c r="D24" s="27">
        <f t="shared" si="1"/>
        <v>2493</v>
      </c>
      <c r="E24" s="23">
        <f>+'Index Pricing'!$B$4+$J$14</f>
        <v>2.3839999999999999</v>
      </c>
      <c r="F24" s="121">
        <f t="shared" si="2"/>
        <v>9973</v>
      </c>
      <c r="G24" s="23">
        <f>+'Index Pricing'!$B$3+$J$15</f>
        <v>2.1215999999999999</v>
      </c>
      <c r="H24" s="209">
        <f t="shared" si="3"/>
        <v>0</v>
      </c>
      <c r="I24" s="30"/>
      <c r="J24" s="29">
        <f>'[1]Enron Detail'!M19</f>
        <v>-624</v>
      </c>
      <c r="K24" s="29">
        <f>'[1]Enron Detail'!L19</f>
        <v>13090</v>
      </c>
      <c r="L24" s="76">
        <f t="shared" si="4"/>
        <v>4359.0105000000003</v>
      </c>
      <c r="M24" s="74">
        <f t="shared" si="5"/>
        <v>23775.631999999998</v>
      </c>
      <c r="N24" s="77">
        <f t="shared" si="6"/>
        <v>0</v>
      </c>
      <c r="O24" s="2">
        <f t="shared" si="7"/>
        <v>28134.642499999998</v>
      </c>
    </row>
    <row r="25" spans="1:15" x14ac:dyDescent="0.25">
      <c r="A25" s="5">
        <f>+'Index Pricing'!A13</f>
        <v>37202</v>
      </c>
      <c r="B25" s="4">
        <f>+'Index Pricing'!B13</f>
        <v>2.1349999999999998</v>
      </c>
      <c r="C25" s="22">
        <f t="shared" si="0"/>
        <v>1.7234999999999998</v>
      </c>
      <c r="D25" s="27">
        <f t="shared" si="1"/>
        <v>2520</v>
      </c>
      <c r="E25" s="23">
        <f>+'Index Pricing'!$B$4+$J$14</f>
        <v>2.3839999999999999</v>
      </c>
      <c r="F25" s="121">
        <f t="shared" si="2"/>
        <v>10000</v>
      </c>
      <c r="G25" s="23">
        <f>+'Index Pricing'!$B$3+$J$15</f>
        <v>2.1215999999999999</v>
      </c>
      <c r="H25" s="209">
        <f t="shared" si="3"/>
        <v>79</v>
      </c>
      <c r="I25" s="30"/>
      <c r="J25" s="29">
        <f>'[1]Enron Detail'!M20</f>
        <v>-615</v>
      </c>
      <c r="K25" s="29">
        <f>'[1]Enron Detail'!L20</f>
        <v>13214</v>
      </c>
      <c r="L25" s="76">
        <f t="shared" si="4"/>
        <v>4343.2199999999993</v>
      </c>
      <c r="M25" s="74">
        <f t="shared" si="5"/>
        <v>23840</v>
      </c>
      <c r="N25" s="77">
        <f t="shared" si="6"/>
        <v>167.60640000000001</v>
      </c>
      <c r="O25" s="2">
        <f t="shared" si="7"/>
        <v>28350.826400000002</v>
      </c>
    </row>
    <row r="26" spans="1:15" x14ac:dyDescent="0.25">
      <c r="A26" s="5">
        <f>+'Index Pricing'!A14</f>
        <v>37203</v>
      </c>
      <c r="B26" s="4">
        <f>+'Index Pricing'!B14</f>
        <v>2.13</v>
      </c>
      <c r="C26" s="22">
        <f t="shared" si="0"/>
        <v>1.7184999999999999</v>
      </c>
      <c r="D26" s="27">
        <f t="shared" si="1"/>
        <v>2577</v>
      </c>
      <c r="E26" s="23">
        <f>+'Index Pricing'!$B$4+$J$14</f>
        <v>2.3839999999999999</v>
      </c>
      <c r="F26" s="121">
        <f t="shared" si="2"/>
        <v>10000</v>
      </c>
      <c r="G26" s="23">
        <f>+'Index Pricing'!$B$3+$J$15</f>
        <v>2.1215999999999999</v>
      </c>
      <c r="H26" s="209">
        <f t="shared" si="3"/>
        <v>306</v>
      </c>
      <c r="I26" s="30"/>
      <c r="J26" s="29">
        <f>'[1]Enron Detail'!M21</f>
        <v>-617</v>
      </c>
      <c r="K26" s="29">
        <f>'[1]Enron Detail'!L21</f>
        <v>13500</v>
      </c>
      <c r="L26" s="76">
        <f t="shared" si="4"/>
        <v>4428.5744999999997</v>
      </c>
      <c r="M26" s="74">
        <f t="shared" si="5"/>
        <v>23840</v>
      </c>
      <c r="N26" s="77">
        <f t="shared" si="6"/>
        <v>649.20960000000002</v>
      </c>
      <c r="O26" s="2">
        <f t="shared" si="7"/>
        <v>28917.784099999997</v>
      </c>
    </row>
    <row r="27" spans="1:15" x14ac:dyDescent="0.25">
      <c r="A27" s="5">
        <f>+'Index Pricing'!A15</f>
        <v>37204</v>
      </c>
      <c r="B27" s="4">
        <f>+'Index Pricing'!B15</f>
        <v>1.9350000000000001</v>
      </c>
      <c r="C27" s="22">
        <f t="shared" si="0"/>
        <v>1.5235000000000001</v>
      </c>
      <c r="D27" s="27">
        <f t="shared" si="1"/>
        <v>2605</v>
      </c>
      <c r="E27" s="23">
        <f>+'Index Pricing'!$B$4+$J$14</f>
        <v>2.3839999999999999</v>
      </c>
      <c r="F27" s="121">
        <f t="shared" si="2"/>
        <v>10000</v>
      </c>
      <c r="G27" s="23">
        <f>+'Index Pricing'!$B$3+$J$15</f>
        <v>2.1215999999999999</v>
      </c>
      <c r="H27" s="209">
        <f t="shared" si="3"/>
        <v>420</v>
      </c>
      <c r="I27" s="30"/>
      <c r="J27" s="29">
        <f>'[1]Enron Detail'!M22</f>
        <v>-624</v>
      </c>
      <c r="K27" s="29">
        <f>'[1]Enron Detail'!L22</f>
        <v>13649</v>
      </c>
      <c r="L27" s="76">
        <f t="shared" si="4"/>
        <v>3968.7175000000002</v>
      </c>
      <c r="M27" s="74">
        <f t="shared" si="5"/>
        <v>23840</v>
      </c>
      <c r="N27" s="77">
        <f t="shared" si="6"/>
        <v>891.072</v>
      </c>
      <c r="O27" s="2">
        <f t="shared" si="7"/>
        <v>28699.789499999999</v>
      </c>
    </row>
    <row r="28" spans="1:15" x14ac:dyDescent="0.25">
      <c r="A28" s="5">
        <f>+'Index Pricing'!A16</f>
        <v>37205</v>
      </c>
      <c r="B28" s="4">
        <f>+'Index Pricing'!B16</f>
        <v>1.7</v>
      </c>
      <c r="C28" s="22">
        <f t="shared" si="0"/>
        <v>1.2885</v>
      </c>
      <c r="D28" s="27">
        <f t="shared" si="1"/>
        <v>2587</v>
      </c>
      <c r="E28" s="23">
        <f>+'Index Pricing'!$B$4+$J$14</f>
        <v>2.3839999999999999</v>
      </c>
      <c r="F28" s="121">
        <f t="shared" si="2"/>
        <v>10000</v>
      </c>
      <c r="G28" s="23">
        <f>+'Index Pricing'!$B$3+$J$15</f>
        <v>2.1215999999999999</v>
      </c>
      <c r="H28" s="209">
        <f t="shared" si="3"/>
        <v>346</v>
      </c>
      <c r="I28" s="30"/>
      <c r="J28" s="29">
        <f>'[1]Enron Detail'!M23</f>
        <v>-624</v>
      </c>
      <c r="K28" s="29">
        <f>'[1]Enron Detail'!L23</f>
        <v>13557</v>
      </c>
      <c r="L28" s="76">
        <f t="shared" si="4"/>
        <v>3333.3494999999998</v>
      </c>
      <c r="M28" s="74">
        <f t="shared" si="5"/>
        <v>23840</v>
      </c>
      <c r="N28" s="77">
        <f t="shared" si="6"/>
        <v>734.07359999999994</v>
      </c>
      <c r="O28" s="2">
        <f t="shared" si="7"/>
        <v>27907.4231</v>
      </c>
    </row>
    <row r="29" spans="1:15" x14ac:dyDescent="0.25">
      <c r="A29" s="5">
        <f>+'Index Pricing'!A17</f>
        <v>37206</v>
      </c>
      <c r="B29" s="4">
        <f>+'Index Pricing'!B17</f>
        <v>1.7</v>
      </c>
      <c r="C29" s="22">
        <f t="shared" si="0"/>
        <v>1.2885</v>
      </c>
      <c r="D29" s="27">
        <f t="shared" si="1"/>
        <v>2615</v>
      </c>
      <c r="E29" s="23">
        <f>+'Index Pricing'!$B$4+$J$14</f>
        <v>2.3839999999999999</v>
      </c>
      <c r="F29" s="121">
        <f t="shared" si="2"/>
        <v>10000</v>
      </c>
      <c r="G29" s="23">
        <f>+'Index Pricing'!$B$3+$J$15</f>
        <v>2.1215999999999999</v>
      </c>
      <c r="H29" s="209">
        <f t="shared" si="3"/>
        <v>459</v>
      </c>
      <c r="I29" s="30"/>
      <c r="J29" s="29">
        <f>'[1]Enron Detail'!M24</f>
        <v>-647</v>
      </c>
      <c r="K29" s="29">
        <f>'[1]Enron Detail'!L24</f>
        <v>13721</v>
      </c>
      <c r="L29" s="76">
        <f t="shared" si="4"/>
        <v>3369.4274999999998</v>
      </c>
      <c r="M29" s="74">
        <f t="shared" si="5"/>
        <v>23840</v>
      </c>
      <c r="N29" s="77">
        <f t="shared" si="6"/>
        <v>973.81439999999998</v>
      </c>
      <c r="O29" s="2">
        <f t="shared" si="7"/>
        <v>28183.241899999997</v>
      </c>
    </row>
    <row r="30" spans="1:15" x14ac:dyDescent="0.25">
      <c r="A30" s="5">
        <f>+'Index Pricing'!A18</f>
        <v>37207</v>
      </c>
      <c r="B30" s="4">
        <f>+'Index Pricing'!B18</f>
        <v>1.7</v>
      </c>
      <c r="C30" s="22">
        <f t="shared" si="0"/>
        <v>1.2885</v>
      </c>
      <c r="D30" s="27">
        <f t="shared" si="1"/>
        <v>2601</v>
      </c>
      <c r="E30" s="23">
        <f>+'Index Pricing'!$B$4+$J$14</f>
        <v>2.3839999999999999</v>
      </c>
      <c r="F30" s="121">
        <f t="shared" si="2"/>
        <v>10000</v>
      </c>
      <c r="G30" s="23">
        <f>+'Index Pricing'!$B$3+$J$15</f>
        <v>2.1215999999999999</v>
      </c>
      <c r="H30" s="209">
        <f t="shared" si="3"/>
        <v>406</v>
      </c>
      <c r="I30" s="30"/>
      <c r="J30" s="29">
        <f>'[1]Enron Detail'!M25</f>
        <v>-625</v>
      </c>
      <c r="K30" s="29">
        <f>'[1]Enron Detail'!L25</f>
        <v>13632</v>
      </c>
      <c r="L30" s="76">
        <f t="shared" si="4"/>
        <v>3351.3885</v>
      </c>
      <c r="M30" s="74">
        <f t="shared" si="5"/>
        <v>23840</v>
      </c>
      <c r="N30" s="77">
        <f t="shared" si="6"/>
        <v>861.36959999999999</v>
      </c>
      <c r="O30" s="2">
        <f t="shared" si="7"/>
        <v>28052.758099999999</v>
      </c>
    </row>
    <row r="31" spans="1:15" x14ac:dyDescent="0.25">
      <c r="A31" s="5">
        <f>+'Index Pricing'!A19</f>
        <v>37208</v>
      </c>
      <c r="B31" s="4">
        <f>+'Index Pricing'!B19</f>
        <v>1.52</v>
      </c>
      <c r="C31" s="22">
        <f t="shared" si="0"/>
        <v>1.1085</v>
      </c>
      <c r="D31" s="27">
        <f t="shared" si="1"/>
        <v>2605</v>
      </c>
      <c r="E31" s="23">
        <f>+'Index Pricing'!$B$4+$J$14</f>
        <v>2.3839999999999999</v>
      </c>
      <c r="F31" s="121">
        <f t="shared" si="2"/>
        <v>10000</v>
      </c>
      <c r="G31" s="23">
        <f>+'Index Pricing'!$B$3+$J$15</f>
        <v>2.1215999999999999</v>
      </c>
      <c r="H31" s="209">
        <f t="shared" si="3"/>
        <v>420</v>
      </c>
      <c r="I31" s="30"/>
      <c r="J31" s="29">
        <f>'[1]Enron Detail'!M26</f>
        <v>-624</v>
      </c>
      <c r="K31" s="29">
        <f>'[1]Enron Detail'!L26</f>
        <v>13649</v>
      </c>
      <c r="L31" s="76">
        <f t="shared" si="4"/>
        <v>2887.6424999999999</v>
      </c>
      <c r="M31" s="74">
        <f t="shared" si="5"/>
        <v>23840</v>
      </c>
      <c r="N31" s="77">
        <f t="shared" si="6"/>
        <v>891.072</v>
      </c>
      <c r="O31" s="2">
        <f t="shared" si="7"/>
        <v>27618.714500000002</v>
      </c>
    </row>
    <row r="32" spans="1:15" x14ac:dyDescent="0.25">
      <c r="A32" s="5">
        <f>+'Index Pricing'!A20</f>
        <v>37209</v>
      </c>
      <c r="B32" s="4">
        <f>+'Index Pricing'!B20</f>
        <v>1.595</v>
      </c>
      <c r="C32" s="22">
        <f t="shared" si="0"/>
        <v>1.1835</v>
      </c>
      <c r="D32" s="27">
        <f t="shared" si="1"/>
        <v>2575</v>
      </c>
      <c r="E32" s="23">
        <f>+'Index Pricing'!$B$4+$J$14</f>
        <v>2.3839999999999999</v>
      </c>
      <c r="F32" s="121">
        <f t="shared" si="2"/>
        <v>10000</v>
      </c>
      <c r="G32" s="23">
        <f>+'Index Pricing'!$B$3+$J$15</f>
        <v>2.1215999999999999</v>
      </c>
      <c r="H32" s="209">
        <f t="shared" si="3"/>
        <v>299</v>
      </c>
      <c r="I32" s="30"/>
      <c r="J32" s="29">
        <f>'[1]Enron Detail'!M27</f>
        <v>-612</v>
      </c>
      <c r="K32" s="29">
        <f>'[1]Enron Detail'!L27</f>
        <v>13486</v>
      </c>
      <c r="L32" s="76">
        <f t="shared" si="4"/>
        <v>3047.5124999999998</v>
      </c>
      <c r="M32" s="74">
        <f t="shared" si="5"/>
        <v>23840</v>
      </c>
      <c r="N32" s="77">
        <f t="shared" si="6"/>
        <v>634.35839999999996</v>
      </c>
      <c r="O32" s="2">
        <f t="shared" si="7"/>
        <v>27521.870900000002</v>
      </c>
    </row>
    <row r="33" spans="1:15" x14ac:dyDescent="0.25">
      <c r="A33" s="5">
        <f>+'Index Pricing'!A21</f>
        <v>37210</v>
      </c>
      <c r="B33" s="4">
        <f>+'Index Pricing'!B21</f>
        <v>1.84</v>
      </c>
      <c r="C33" s="22">
        <f t="shared" si="0"/>
        <v>1.4285000000000001</v>
      </c>
      <c r="D33" s="27">
        <f t="shared" si="1"/>
        <v>2652</v>
      </c>
      <c r="E33" s="23">
        <f>+'Index Pricing'!$B$4+$J$14</f>
        <v>2.3839999999999999</v>
      </c>
      <c r="F33" s="121">
        <f t="shared" si="2"/>
        <v>10000</v>
      </c>
      <c r="G33" s="23">
        <f>+'Index Pricing'!$B$3+$J$15</f>
        <v>2.1215999999999999</v>
      </c>
      <c r="H33" s="209">
        <f t="shared" si="3"/>
        <v>610</v>
      </c>
      <c r="I33" s="30"/>
      <c r="J33" s="29">
        <f>'[1]Enron Detail'!M28</f>
        <v>-666</v>
      </c>
      <c r="K33" s="29">
        <f>'[1]Enron Detail'!L28</f>
        <v>13928</v>
      </c>
      <c r="L33" s="76">
        <f t="shared" si="4"/>
        <v>3788.3820000000001</v>
      </c>
      <c r="M33" s="74">
        <f t="shared" si="5"/>
        <v>23840</v>
      </c>
      <c r="N33" s="77">
        <f t="shared" si="6"/>
        <v>1294.1759999999999</v>
      </c>
      <c r="O33" s="2">
        <f t="shared" si="7"/>
        <v>28922.558000000001</v>
      </c>
    </row>
    <row r="34" spans="1:15" x14ac:dyDescent="0.25">
      <c r="A34" s="5">
        <f>+'Index Pricing'!A22</f>
        <v>37211</v>
      </c>
      <c r="B34" s="4">
        <f>+'Index Pricing'!B22</f>
        <v>1.4350000000000001</v>
      </c>
      <c r="C34" s="22">
        <f t="shared" si="0"/>
        <v>1.0235000000000001</v>
      </c>
      <c r="D34" s="27">
        <f t="shared" si="1"/>
        <v>2678</v>
      </c>
      <c r="E34" s="23">
        <f>+'Index Pricing'!$B$4+$J$14</f>
        <v>2.3839999999999999</v>
      </c>
      <c r="F34" s="121">
        <f t="shared" si="2"/>
        <v>10000</v>
      </c>
      <c r="G34" s="23">
        <f>+'Index Pricing'!$B$3+$J$15</f>
        <v>2.1215999999999999</v>
      </c>
      <c r="H34" s="209">
        <f t="shared" si="3"/>
        <v>710</v>
      </c>
      <c r="I34" s="30"/>
      <c r="J34" s="29">
        <f>'[1]Enron Detail'!M29</f>
        <v>-636</v>
      </c>
      <c r="K34" s="29">
        <f>'[1]Enron Detail'!L29</f>
        <v>14024</v>
      </c>
      <c r="L34" s="76">
        <f t="shared" si="4"/>
        <v>2740.933</v>
      </c>
      <c r="M34" s="74">
        <f t="shared" si="5"/>
        <v>23840</v>
      </c>
      <c r="N34" s="77">
        <f t="shared" si="6"/>
        <v>1506.336</v>
      </c>
      <c r="O34" s="2">
        <f t="shared" si="7"/>
        <v>28087.269</v>
      </c>
    </row>
    <row r="35" spans="1:15" x14ac:dyDescent="0.25">
      <c r="A35" s="5">
        <f>+'Index Pricing'!A23</f>
        <v>37212</v>
      </c>
      <c r="B35" s="4">
        <f>+'Index Pricing'!B23</f>
        <v>1.135</v>
      </c>
      <c r="C35" s="22">
        <f t="shared" si="0"/>
        <v>0.72350000000000003</v>
      </c>
      <c r="D35" s="27">
        <f t="shared" si="1"/>
        <v>2712</v>
      </c>
      <c r="E35" s="23">
        <f>+'Index Pricing'!$B$4+$J$14</f>
        <v>2.3839999999999999</v>
      </c>
      <c r="F35" s="121">
        <f t="shared" si="2"/>
        <v>10000</v>
      </c>
      <c r="G35" s="23">
        <f>+'Index Pricing'!$B$3+$J$15</f>
        <v>2.1215999999999999</v>
      </c>
      <c r="H35" s="209">
        <f t="shared" si="3"/>
        <v>848</v>
      </c>
      <c r="I35" s="30"/>
      <c r="J35" s="29">
        <f>'[1]Enron Detail'!M30</f>
        <v>-647</v>
      </c>
      <c r="K35" s="29">
        <f>'[1]Enron Detail'!L30</f>
        <v>14207</v>
      </c>
      <c r="L35" s="76">
        <f t="shared" si="4"/>
        <v>1962.1320000000001</v>
      </c>
      <c r="M35" s="74">
        <f t="shared" si="5"/>
        <v>23840</v>
      </c>
      <c r="N35" s="77">
        <f t="shared" si="6"/>
        <v>1799.1168</v>
      </c>
      <c r="O35" s="2">
        <f t="shared" si="7"/>
        <v>27601.248800000001</v>
      </c>
    </row>
    <row r="36" spans="1:15" x14ac:dyDescent="0.25">
      <c r="A36" s="5">
        <f>+'Index Pricing'!A24</f>
        <v>37213</v>
      </c>
      <c r="B36" s="4">
        <f>+'Index Pricing'!B24</f>
        <v>1.135</v>
      </c>
      <c r="C36" s="22">
        <f t="shared" si="0"/>
        <v>0.72350000000000003</v>
      </c>
      <c r="D36" s="27">
        <f t="shared" si="1"/>
        <v>2649</v>
      </c>
      <c r="E36" s="23">
        <f>+'Index Pricing'!$B$4+$J$14</f>
        <v>2.3839999999999999</v>
      </c>
      <c r="F36" s="121">
        <f t="shared" si="2"/>
        <v>10000</v>
      </c>
      <c r="G36" s="23">
        <f>+'Index Pricing'!$B$3+$J$15</f>
        <v>2.1215999999999999</v>
      </c>
      <c r="H36" s="209">
        <f t="shared" si="3"/>
        <v>594</v>
      </c>
      <c r="I36" s="30"/>
      <c r="J36" s="29">
        <f>'[1]Enron Detail'!M31</f>
        <v>-626</v>
      </c>
      <c r="K36" s="29">
        <f>'[1]Enron Detail'!L31</f>
        <v>13869</v>
      </c>
      <c r="L36" s="76">
        <f t="shared" si="4"/>
        <v>1916.5515</v>
      </c>
      <c r="M36" s="74">
        <f t="shared" si="5"/>
        <v>23840</v>
      </c>
      <c r="N36" s="77">
        <f t="shared" si="6"/>
        <v>1260.2303999999999</v>
      </c>
      <c r="O36" s="2">
        <f t="shared" si="7"/>
        <v>27016.781900000002</v>
      </c>
    </row>
    <row r="37" spans="1:15" x14ac:dyDescent="0.25">
      <c r="A37" s="5">
        <f>+'Index Pricing'!A25</f>
        <v>37214</v>
      </c>
      <c r="B37" s="4">
        <f>+'Index Pricing'!B25</f>
        <v>1.135</v>
      </c>
      <c r="C37" s="22">
        <f t="shared" si="0"/>
        <v>0.72350000000000003</v>
      </c>
      <c r="D37" s="27">
        <f t="shared" si="1"/>
        <v>2721</v>
      </c>
      <c r="E37" s="23">
        <f>+'Index Pricing'!$B$4+$J$14</f>
        <v>2.3839999999999999</v>
      </c>
      <c r="F37" s="121">
        <f t="shared" si="2"/>
        <v>10000</v>
      </c>
      <c r="G37" s="23">
        <f>+'Index Pricing'!$B$3+$J$15</f>
        <v>2.1215999999999999</v>
      </c>
      <c r="H37" s="209">
        <f t="shared" si="3"/>
        <v>886</v>
      </c>
      <c r="I37" s="30"/>
      <c r="J37" s="29">
        <f>'[1]Enron Detail'!M32</f>
        <v>-635</v>
      </c>
      <c r="K37" s="29">
        <f>'[1]Enron Detail'!L32</f>
        <v>14242</v>
      </c>
      <c r="L37" s="76">
        <f t="shared" si="4"/>
        <v>1968.6435000000001</v>
      </c>
      <c r="M37" s="74">
        <f t="shared" si="5"/>
        <v>23840</v>
      </c>
      <c r="N37" s="77">
        <f t="shared" si="6"/>
        <v>1879.7375999999999</v>
      </c>
      <c r="O37" s="2">
        <f t="shared" si="7"/>
        <v>27688.381099999999</v>
      </c>
    </row>
    <row r="38" spans="1:15" x14ac:dyDescent="0.25">
      <c r="A38" s="5">
        <f>+'Index Pricing'!A26</f>
        <v>37215</v>
      </c>
      <c r="B38" s="4">
        <f>+'Index Pricing'!B26</f>
        <v>1.5349999999999999</v>
      </c>
      <c r="C38" s="22">
        <f t="shared" si="0"/>
        <v>1.1234999999999999</v>
      </c>
      <c r="D38" s="27">
        <f t="shared" si="1"/>
        <v>2734</v>
      </c>
      <c r="E38" s="23">
        <f>+'Index Pricing'!$B$4+$J$14</f>
        <v>2.3839999999999999</v>
      </c>
      <c r="F38" s="121">
        <f t="shared" si="2"/>
        <v>10000</v>
      </c>
      <c r="G38" s="23">
        <f>+'Index Pricing'!$B$3+$J$15</f>
        <v>2.1215999999999999</v>
      </c>
      <c r="H38" s="209">
        <f t="shared" si="3"/>
        <v>936</v>
      </c>
      <c r="I38" s="30"/>
      <c r="J38" s="29">
        <f>'[1]Enron Detail'!M33</f>
        <v>-636</v>
      </c>
      <c r="K38" s="29">
        <f>'[1]Enron Detail'!L33</f>
        <v>14306</v>
      </c>
      <c r="L38" s="76">
        <f t="shared" si="4"/>
        <v>3071.6489999999999</v>
      </c>
      <c r="M38" s="74">
        <f t="shared" si="5"/>
        <v>23840</v>
      </c>
      <c r="N38" s="77">
        <f t="shared" si="6"/>
        <v>1985.8175999999999</v>
      </c>
      <c r="O38" s="2">
        <f t="shared" si="7"/>
        <v>28897.4666</v>
      </c>
    </row>
    <row r="39" spans="1:15" x14ac:dyDescent="0.25">
      <c r="A39" s="5">
        <f>+'Index Pricing'!A27</f>
        <v>37216</v>
      </c>
      <c r="B39" s="4">
        <f>+'Index Pricing'!B27</f>
        <v>2.2050000000000001</v>
      </c>
      <c r="C39" s="22">
        <f t="shared" si="0"/>
        <v>1.7935000000000001</v>
      </c>
      <c r="D39" s="27">
        <f t="shared" si="1"/>
        <v>2793</v>
      </c>
      <c r="E39" s="23">
        <f>+'Index Pricing'!$B$4+$J$14</f>
        <v>2.3839999999999999</v>
      </c>
      <c r="F39" s="121">
        <f t="shared" si="2"/>
        <v>10000</v>
      </c>
      <c r="G39" s="23">
        <f>+'Index Pricing'!$B$3+$J$15</f>
        <v>2.1215999999999999</v>
      </c>
      <c r="H39" s="209">
        <f t="shared" si="3"/>
        <v>1172</v>
      </c>
      <c r="I39" s="30"/>
      <c r="J39" s="29">
        <f>'[1]Enron Detail'!M34</f>
        <v>-659</v>
      </c>
      <c r="K39" s="29">
        <f>'[1]Enron Detail'!L34</f>
        <v>14624</v>
      </c>
      <c r="L39" s="76">
        <f t="shared" si="4"/>
        <v>5009.2455</v>
      </c>
      <c r="M39" s="74">
        <f t="shared" si="5"/>
        <v>23840</v>
      </c>
      <c r="N39" s="77">
        <f t="shared" si="6"/>
        <v>2486.5151999999998</v>
      </c>
      <c r="O39" s="2">
        <f t="shared" si="7"/>
        <v>31335.760699999999</v>
      </c>
    </row>
    <row r="40" spans="1:15" x14ac:dyDescent="0.25">
      <c r="A40" s="5">
        <f>+'Index Pricing'!A28</f>
        <v>37217</v>
      </c>
      <c r="B40" s="4">
        <f>+'Index Pricing'!B28</f>
        <v>1.43</v>
      </c>
      <c r="C40" s="22">
        <f t="shared" si="0"/>
        <v>1.0185</v>
      </c>
      <c r="D40" s="27">
        <f t="shared" si="1"/>
        <v>2803</v>
      </c>
      <c r="E40" s="23">
        <f>+'Index Pricing'!$B$4+$J$14</f>
        <v>2.3839999999999999</v>
      </c>
      <c r="F40" s="121">
        <f t="shared" si="2"/>
        <v>10000</v>
      </c>
      <c r="G40" s="23">
        <f>+'Index Pricing'!$B$3+$J$15</f>
        <v>2.1215999999999999</v>
      </c>
      <c r="H40" s="209">
        <f t="shared" si="3"/>
        <v>1213</v>
      </c>
      <c r="I40" s="30"/>
      <c r="J40" s="29">
        <f>'[1]Enron Detail'!M35</f>
        <v>-656</v>
      </c>
      <c r="K40" s="29">
        <f>'[1]Enron Detail'!L35</f>
        <v>14672</v>
      </c>
      <c r="L40" s="76">
        <f t="shared" si="4"/>
        <v>2854.8554999999997</v>
      </c>
      <c r="M40" s="74">
        <f t="shared" si="5"/>
        <v>23840</v>
      </c>
      <c r="N40" s="77">
        <f t="shared" si="6"/>
        <v>2573.5007999999998</v>
      </c>
      <c r="O40" s="2">
        <f t="shared" si="7"/>
        <v>29268.356299999999</v>
      </c>
    </row>
    <row r="41" spans="1:15" x14ac:dyDescent="0.25">
      <c r="A41" s="5">
        <f>+'Index Pricing'!A29</f>
        <v>37218</v>
      </c>
      <c r="B41" s="4">
        <f>+'Index Pricing'!B29</f>
        <v>1.43</v>
      </c>
      <c r="C41" s="22">
        <f t="shared" si="0"/>
        <v>1.0185</v>
      </c>
      <c r="D41" s="27">
        <f t="shared" si="1"/>
        <v>2789</v>
      </c>
      <c r="E41" s="23">
        <f>+'Index Pricing'!$B$4+$J$14</f>
        <v>2.3839999999999999</v>
      </c>
      <c r="F41" s="121">
        <f t="shared" si="2"/>
        <v>10000</v>
      </c>
      <c r="G41" s="23">
        <f>+'Index Pricing'!$B$3+$J$15</f>
        <v>2.1215999999999999</v>
      </c>
      <c r="H41" s="209">
        <f t="shared" si="3"/>
        <v>1155</v>
      </c>
      <c r="I41" s="30"/>
      <c r="J41" s="29">
        <f>'[1]Enron Detail'!M36</f>
        <v>-657</v>
      </c>
      <c r="K41" s="29">
        <f>'[1]Enron Detail'!L36</f>
        <v>14601</v>
      </c>
      <c r="L41" s="76">
        <f t="shared" si="4"/>
        <v>2840.5965000000001</v>
      </c>
      <c r="M41" s="74">
        <f t="shared" si="5"/>
        <v>23840</v>
      </c>
      <c r="N41" s="77">
        <f t="shared" si="6"/>
        <v>2450.4479999999999</v>
      </c>
      <c r="O41" s="2">
        <f t="shared" si="7"/>
        <v>29131.0445</v>
      </c>
    </row>
    <row r="42" spans="1:15" x14ac:dyDescent="0.25">
      <c r="A42" s="5">
        <f>+'Index Pricing'!A30</f>
        <v>37219</v>
      </c>
      <c r="B42" s="4">
        <f>+'Index Pricing'!B30</f>
        <v>1.43</v>
      </c>
      <c r="C42" s="22">
        <f t="shared" si="0"/>
        <v>1.0185</v>
      </c>
      <c r="D42" s="27">
        <f t="shared" si="1"/>
        <v>2776</v>
      </c>
      <c r="E42" s="23">
        <f>+'Index Pricing'!$B$4+$J$14</f>
        <v>2.3839999999999999</v>
      </c>
      <c r="F42" s="121">
        <f t="shared" si="2"/>
        <v>10000</v>
      </c>
      <c r="G42" s="23">
        <f>+'Index Pricing'!$B$3+$J$15</f>
        <v>2.1215999999999999</v>
      </c>
      <c r="H42" s="209">
        <f t="shared" si="3"/>
        <v>1103</v>
      </c>
      <c r="I42" s="30"/>
      <c r="J42" s="29">
        <f>'[1]Enron Detail'!M37</f>
        <v>-656</v>
      </c>
      <c r="K42" s="29">
        <f>'[1]Enron Detail'!L37</f>
        <v>14535</v>
      </c>
      <c r="L42" s="76">
        <f t="shared" si="4"/>
        <v>2827.3559999999998</v>
      </c>
      <c r="M42" s="74">
        <f t="shared" si="5"/>
        <v>23840</v>
      </c>
      <c r="N42" s="77">
        <f t="shared" si="6"/>
        <v>2340.1248000000001</v>
      </c>
      <c r="O42" s="2">
        <f t="shared" si="7"/>
        <v>29007.480800000001</v>
      </c>
    </row>
    <row r="43" spans="1:15" x14ac:dyDescent="0.25">
      <c r="A43" s="5">
        <f>+'Index Pricing'!A31</f>
        <v>37220</v>
      </c>
      <c r="B43" s="4">
        <f>+'Index Pricing'!B31</f>
        <v>1.43</v>
      </c>
      <c r="C43" s="22">
        <f t="shared" si="0"/>
        <v>1.0185</v>
      </c>
      <c r="D43" s="27">
        <f t="shared" si="1"/>
        <v>2760</v>
      </c>
      <c r="E43" s="23">
        <f>+'Index Pricing'!$B$4+$J$14</f>
        <v>2.3839999999999999</v>
      </c>
      <c r="F43" s="121">
        <f t="shared" si="2"/>
        <v>10000</v>
      </c>
      <c r="G43" s="23">
        <f>+'Index Pricing'!$B$3+$J$15</f>
        <v>2.1215999999999999</v>
      </c>
      <c r="H43" s="209">
        <f t="shared" si="3"/>
        <v>1042</v>
      </c>
      <c r="I43" s="30"/>
      <c r="J43" s="29">
        <f>'[1]Enron Detail'!M38</f>
        <v>-650</v>
      </c>
      <c r="K43" s="29">
        <f>'[1]Enron Detail'!L38</f>
        <v>14452</v>
      </c>
      <c r="L43" s="76">
        <f t="shared" si="4"/>
        <v>2811.06</v>
      </c>
      <c r="M43" s="74">
        <f t="shared" si="5"/>
        <v>23840</v>
      </c>
      <c r="N43" s="77">
        <f t="shared" si="6"/>
        <v>2210.7071999999998</v>
      </c>
      <c r="O43" s="2">
        <f t="shared" si="7"/>
        <v>28861.767200000002</v>
      </c>
    </row>
    <row r="44" spans="1:15" x14ac:dyDescent="0.25">
      <c r="A44" s="5">
        <f>+'Index Pricing'!A32</f>
        <v>37221</v>
      </c>
      <c r="B44" s="4">
        <f>+'Index Pricing'!B32</f>
        <v>1.43</v>
      </c>
      <c r="C44" s="22">
        <f t="shared" si="0"/>
        <v>1.0185</v>
      </c>
      <c r="D44" s="27">
        <f t="shared" si="1"/>
        <v>2720</v>
      </c>
      <c r="E44" s="23">
        <f>+'Index Pricing'!$B$4+$J$14</f>
        <v>2.3839999999999999</v>
      </c>
      <c r="F44" s="121">
        <f t="shared" si="2"/>
        <v>10000</v>
      </c>
      <c r="G44" s="23">
        <f>+'Index Pricing'!$B$3+$J$15</f>
        <v>2.1215999999999999</v>
      </c>
      <c r="H44" s="209">
        <f t="shared" si="3"/>
        <v>882</v>
      </c>
      <c r="I44" s="30"/>
      <c r="J44" s="29">
        <f>'[1]Enron Detail'!M39</f>
        <v>-667</v>
      </c>
      <c r="K44" s="29">
        <f>'[1]Enron Detail'!L39</f>
        <v>14269</v>
      </c>
      <c r="L44" s="76">
        <f t="shared" si="4"/>
        <v>2770.3199999999997</v>
      </c>
      <c r="M44" s="74">
        <f t="shared" si="5"/>
        <v>23840</v>
      </c>
      <c r="N44" s="77">
        <f t="shared" si="6"/>
        <v>1871.2511999999999</v>
      </c>
      <c r="O44" s="2">
        <f t="shared" si="7"/>
        <v>28481.571199999998</v>
      </c>
    </row>
    <row r="45" spans="1:15" x14ac:dyDescent="0.25">
      <c r="A45" s="5">
        <f>+'Index Pricing'!A33</f>
        <v>37222</v>
      </c>
      <c r="B45" s="4">
        <f>+'Index Pricing'!B33</f>
        <v>1.88</v>
      </c>
      <c r="C45" s="22">
        <f t="shared" si="0"/>
        <v>1.4684999999999999</v>
      </c>
      <c r="D45" s="27">
        <f t="shared" si="1"/>
        <v>2652</v>
      </c>
      <c r="E45" s="23">
        <f>+'Index Pricing'!$B$4+$J$14</f>
        <v>2.3839999999999999</v>
      </c>
      <c r="F45" s="121">
        <f t="shared" si="2"/>
        <v>10000</v>
      </c>
      <c r="G45" s="23">
        <f>+'Index Pricing'!$B$3+$J$15</f>
        <v>2.1215999999999999</v>
      </c>
      <c r="H45" s="209">
        <f t="shared" si="3"/>
        <v>609</v>
      </c>
      <c r="I45" s="30"/>
      <c r="J45" s="29">
        <f>'[1]Enron Detail'!M40</f>
        <v>-654</v>
      </c>
      <c r="K45" s="29">
        <f>'[1]Enron Detail'!L40</f>
        <v>13915</v>
      </c>
      <c r="L45" s="76">
        <f t="shared" si="4"/>
        <v>3894.462</v>
      </c>
      <c r="M45" s="74">
        <f t="shared" si="5"/>
        <v>23840</v>
      </c>
      <c r="N45" s="77">
        <f t="shared" si="6"/>
        <v>1292.0544</v>
      </c>
      <c r="O45" s="2">
        <f t="shared" si="7"/>
        <v>29026.5164</v>
      </c>
    </row>
    <row r="46" spans="1:15" x14ac:dyDescent="0.25">
      <c r="A46" s="5">
        <f>+'Index Pricing'!A34</f>
        <v>37223</v>
      </c>
      <c r="B46" s="4">
        <f>+'Index Pricing'!B34</f>
        <v>2.16</v>
      </c>
      <c r="C46" s="22">
        <f t="shared" si="0"/>
        <v>1.7485000000000002</v>
      </c>
      <c r="D46" s="27">
        <f t="shared" si="1"/>
        <v>2443</v>
      </c>
      <c r="E46" s="23">
        <f>+'Index Pricing'!$B$4+$J$14</f>
        <v>2.3839999999999999</v>
      </c>
      <c r="F46" s="121">
        <f t="shared" si="2"/>
        <v>9771</v>
      </c>
      <c r="G46" s="23">
        <f>+'Index Pricing'!$B$3+$J$15</f>
        <v>2.1215999999999999</v>
      </c>
      <c r="H46" s="209">
        <f t="shared" si="3"/>
        <v>0</v>
      </c>
      <c r="I46" s="30"/>
      <c r="J46" s="29">
        <f>'[1]Enron Detail'!M41</f>
        <v>-658</v>
      </c>
      <c r="K46" s="29">
        <f>'[1]Enron Detail'!L41</f>
        <v>12872</v>
      </c>
      <c r="L46" s="76">
        <f t="shared" si="4"/>
        <v>4271.5855000000001</v>
      </c>
      <c r="M46" s="74">
        <f t="shared" si="5"/>
        <v>23294.063999999998</v>
      </c>
      <c r="N46" s="77">
        <f t="shared" si="6"/>
        <v>0</v>
      </c>
      <c r="O46" s="2">
        <f t="shared" si="7"/>
        <v>27565.6495</v>
      </c>
    </row>
    <row r="47" spans="1:15" x14ac:dyDescent="0.25">
      <c r="A47" s="5">
        <f>+'Index Pricing'!A35</f>
        <v>37224</v>
      </c>
      <c r="B47" s="4">
        <f>+'Index Pricing'!B35</f>
        <v>2.38</v>
      </c>
      <c r="C47" s="22">
        <f t="shared" si="0"/>
        <v>1.9684999999999999</v>
      </c>
      <c r="D47" s="27">
        <f>+K47+J47-F47-H47</f>
        <v>0</v>
      </c>
      <c r="E47" s="23">
        <f>+'Index Pricing'!$B$4+$J$14</f>
        <v>2.3839999999999999</v>
      </c>
      <c r="F47" s="121">
        <f t="shared" si="2"/>
        <v>0</v>
      </c>
      <c r="G47" s="23">
        <f>+'Index Pricing'!$B$3+$J$15</f>
        <v>2.1215999999999999</v>
      </c>
      <c r="H47" s="209">
        <f t="shared" si="3"/>
        <v>0</v>
      </c>
      <c r="I47" s="30"/>
      <c r="J47" s="29">
        <f>'[1]Enron Detail'!M42</f>
        <v>0</v>
      </c>
      <c r="K47" s="29">
        <f>'[1]Enron Detail'!L42</f>
        <v>0</v>
      </c>
      <c r="L47" s="76">
        <f>+C47*D47</f>
        <v>0</v>
      </c>
      <c r="M47" s="74">
        <f>+E47*F47</f>
        <v>0</v>
      </c>
      <c r="N47" s="77">
        <f>+G47*H47</f>
        <v>0</v>
      </c>
      <c r="O47" s="2">
        <f>+C47*D47+E47*F47+G47*H47</f>
        <v>0</v>
      </c>
    </row>
    <row r="48" spans="1:15" x14ac:dyDescent="0.25">
      <c r="A48" s="5">
        <f>+'Index Pricing'!A36</f>
        <v>37225</v>
      </c>
      <c r="B48" s="4">
        <f>+'Index Pricing'!B36</f>
        <v>2.0249999999999999</v>
      </c>
      <c r="C48" s="22">
        <f t="shared" si="0"/>
        <v>1.6134999999999999</v>
      </c>
      <c r="D48" s="27">
        <f>+K48+J48-F48-H48</f>
        <v>0</v>
      </c>
      <c r="E48" s="23">
        <f>+'Index Pricing'!$B$4+$J$14</f>
        <v>2.3839999999999999</v>
      </c>
      <c r="F48" s="121">
        <f t="shared" si="2"/>
        <v>0</v>
      </c>
      <c r="G48" s="23">
        <f>+'Index Pricing'!$B$3+$J$15</f>
        <v>2.1215999999999999</v>
      </c>
      <c r="H48" s="209">
        <f t="shared" si="3"/>
        <v>0</v>
      </c>
      <c r="I48" s="30"/>
      <c r="J48" s="29">
        <f>'[1]Enron Detail'!M43</f>
        <v>0</v>
      </c>
      <c r="K48" s="29">
        <f>'[1]Enron Detail'!L43</f>
        <v>0</v>
      </c>
      <c r="L48" s="76">
        <f>+C48*D48</f>
        <v>0</v>
      </c>
      <c r="M48" s="74">
        <f>+E48*F48</f>
        <v>0</v>
      </c>
      <c r="N48" s="77">
        <f>+G48*H48</f>
        <v>0</v>
      </c>
      <c r="O48" s="2">
        <f>+C48*D48+E48*F48+G48*H48</f>
        <v>0</v>
      </c>
    </row>
    <row r="49" spans="1:17" x14ac:dyDescent="0.25">
      <c r="A49" s="5"/>
      <c r="B49" s="4">
        <f>+'Index Pricing'!B37</f>
        <v>0</v>
      </c>
      <c r="C49" s="22">
        <f t="shared" si="0"/>
        <v>-0.41149999999999998</v>
      </c>
      <c r="D49" s="27">
        <f>+K49+J49-F49-H49</f>
        <v>0</v>
      </c>
      <c r="E49" s="23">
        <f>+'Index Pricing'!$B$4+$J$14</f>
        <v>2.3839999999999999</v>
      </c>
      <c r="F49" s="121">
        <f>ROUND(IF(((K49+J49)*0.8)&gt;=10000,10000,((K49+J49)*0.8)),0)</f>
        <v>0</v>
      </c>
      <c r="G49" s="23">
        <f>+'Index Pricing'!$B$3+$J$15</f>
        <v>2.1215999999999999</v>
      </c>
      <c r="H49" s="209">
        <f>ROUND(+IF(((K49+J49)*0.8)&gt;=10000,((K49+J49)*0.8)-10000,0),0)</f>
        <v>0</v>
      </c>
      <c r="I49" s="30"/>
      <c r="J49" s="29">
        <f>'[1]Enron Detail'!M44</f>
        <v>0</v>
      </c>
      <c r="K49" s="29">
        <f>'[1]Enron Detail'!L44</f>
        <v>0</v>
      </c>
      <c r="L49" s="76">
        <f>+C49*D49</f>
        <v>0</v>
      </c>
      <c r="M49" s="74">
        <f>+E49*F49</f>
        <v>0</v>
      </c>
      <c r="N49" s="77">
        <f>+G49*H49</f>
        <v>0</v>
      </c>
      <c r="O49" s="2">
        <f>+C49*D49+E49*F49+G49*H49</f>
        <v>0</v>
      </c>
    </row>
    <row r="50" spans="1:17" ht="13.8" thickBot="1" x14ac:dyDescent="0.3">
      <c r="A50" s="5"/>
      <c r="B50" s="4"/>
      <c r="C50" s="322"/>
      <c r="D50" s="500"/>
      <c r="E50" s="243"/>
      <c r="F50" s="323"/>
      <c r="G50" s="243"/>
      <c r="H50" s="471"/>
      <c r="I50" s="30"/>
      <c r="J50" s="29"/>
      <c r="K50" s="29"/>
      <c r="L50" s="76"/>
      <c r="M50" s="74"/>
      <c r="N50" s="77"/>
      <c r="O50" s="2"/>
    </row>
    <row r="51" spans="1:17" ht="13.8" thickBot="1" x14ac:dyDescent="0.3">
      <c r="D51" s="29">
        <f>SUM(D19:D50)</f>
        <v>73836</v>
      </c>
      <c r="F51" s="29">
        <f>SUM(F19:F50)</f>
        <v>279678</v>
      </c>
      <c r="H51" s="29">
        <f>SUM(H19:H50)</f>
        <v>15663</v>
      </c>
      <c r="J51" s="29">
        <f t="shared" ref="J51:O51" si="8">SUM(J19:J50)</f>
        <v>-17724</v>
      </c>
      <c r="K51" s="29">
        <f t="shared" si="8"/>
        <v>386901</v>
      </c>
      <c r="L51" s="78">
        <f t="shared" si="8"/>
        <v>98888.921000000017</v>
      </c>
      <c r="M51" s="79">
        <f t="shared" si="8"/>
        <v>666752.35199999996</v>
      </c>
      <c r="N51" s="80">
        <f t="shared" si="8"/>
        <v>33230.620799999997</v>
      </c>
      <c r="O51" s="10">
        <f t="shared" si="8"/>
        <v>798871.89379999996</v>
      </c>
      <c r="Q51" s="45"/>
    </row>
    <row r="52" spans="1:17" x14ac:dyDescent="0.25">
      <c r="I52" t="s">
        <v>64</v>
      </c>
      <c r="J52" s="44">
        <f>+J51/K51</f>
        <v>-4.5810168492715193E-2</v>
      </c>
    </row>
    <row r="53" spans="1:17" x14ac:dyDescent="0.25">
      <c r="K53" t="s">
        <v>62</v>
      </c>
      <c r="L53" s="4">
        <f>+L51/D51</f>
        <v>1.3393049596402842</v>
      </c>
      <c r="M53" s="4">
        <f>+M51/F51</f>
        <v>2.3839999999999999</v>
      </c>
      <c r="N53" s="199">
        <f>+N51/H51</f>
        <v>2.1215999999999999</v>
      </c>
      <c r="O53" s="31">
        <f>+O51/(K51+J51)</f>
        <v>2.1639265008383513</v>
      </c>
    </row>
    <row r="55" spans="1:17" x14ac:dyDescent="0.25">
      <c r="A55" t="s">
        <v>217</v>
      </c>
    </row>
    <row r="58" spans="1:17" x14ac:dyDescent="0.25">
      <c r="H58" s="45"/>
      <c r="I58" s="45"/>
    </row>
  </sheetData>
  <phoneticPr fontId="0" type="noConversion"/>
  <pageMargins left="0.25" right="0.25" top="0.25" bottom="0.25" header="0.5" footer="0.5"/>
  <pageSetup paperSize="5" scale="68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r:id="rId5">
            <anchor moveWithCells="1">
              <from>
                <xdr:col>4</xdr:col>
                <xdr:colOff>601980</xdr:colOff>
                <xdr:row>0</xdr:row>
                <xdr:rowOff>22860</xdr:rowOff>
              </from>
              <to>
                <xdr:col>5</xdr:col>
                <xdr:colOff>7620</xdr:colOff>
                <xdr:row>3</xdr:row>
                <xdr:rowOff>68580</xdr:rowOff>
              </to>
            </anchor>
          </objectPr>
        </oleObject>
      </mc:Choice>
      <mc:Fallback>
        <oleObject progId="Paint.Picture" shapeId="5121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K41"/>
  <sheetViews>
    <sheetView showGridLines="0" zoomScale="75" workbookViewId="0">
      <selection activeCell="E53" sqref="E53"/>
    </sheetView>
  </sheetViews>
  <sheetFormatPr defaultRowHeight="13.2" x14ac:dyDescent="0.25"/>
  <cols>
    <col min="1" max="1" width="22.109375" customWidth="1"/>
    <col min="2" max="2" width="41.44140625" bestFit="1" customWidth="1"/>
    <col min="3" max="3" width="36.33203125" bestFit="1" customWidth="1"/>
    <col min="4" max="4" width="19.5546875" bestFit="1" customWidth="1"/>
    <col min="5" max="5" width="20.5546875" bestFit="1" customWidth="1"/>
    <col min="6" max="6" width="33" customWidth="1"/>
    <col min="7" max="7" width="29.44140625" customWidth="1"/>
    <col min="8" max="8" width="14" bestFit="1" customWidth="1"/>
  </cols>
  <sheetData>
    <row r="1" spans="1:8" x14ac:dyDescent="0.25">
      <c r="C1" s="54" t="s">
        <v>74</v>
      </c>
      <c r="D1" s="55"/>
      <c r="E1" s="55"/>
      <c r="F1" s="56" t="s">
        <v>75</v>
      </c>
      <c r="G1" s="66"/>
    </row>
    <row r="2" spans="1:8" x14ac:dyDescent="0.25">
      <c r="C2" s="50"/>
      <c r="D2" s="51"/>
      <c r="E2" s="51"/>
      <c r="F2" s="57"/>
      <c r="G2" s="58" t="s">
        <v>82</v>
      </c>
    </row>
    <row r="3" spans="1:8" x14ac:dyDescent="0.25">
      <c r="C3" s="50" t="s">
        <v>71</v>
      </c>
      <c r="D3" s="51"/>
      <c r="E3" s="51"/>
      <c r="F3" s="57" t="s">
        <v>90</v>
      </c>
      <c r="G3" s="231">
        <f ca="1">TODAY()</f>
        <v>37238</v>
      </c>
    </row>
    <row r="4" spans="1:8" x14ac:dyDescent="0.25">
      <c r="C4" s="50"/>
      <c r="D4" s="51"/>
      <c r="E4" s="51"/>
      <c r="F4" s="57" t="s">
        <v>91</v>
      </c>
      <c r="G4" s="57"/>
    </row>
    <row r="5" spans="1:8" x14ac:dyDescent="0.25">
      <c r="C5" s="50"/>
      <c r="D5" s="51"/>
      <c r="E5" s="51"/>
      <c r="F5" s="57" t="s">
        <v>92</v>
      </c>
      <c r="G5" s="58" t="s">
        <v>83</v>
      </c>
    </row>
    <row r="6" spans="1:8" x14ac:dyDescent="0.25">
      <c r="C6" s="50"/>
      <c r="D6" s="51"/>
      <c r="E6" s="51"/>
      <c r="F6" s="57" t="s">
        <v>93</v>
      </c>
      <c r="G6" s="539">
        <v>37256</v>
      </c>
    </row>
    <row r="7" spans="1:8" x14ac:dyDescent="0.25">
      <c r="C7" s="50"/>
      <c r="D7" s="51"/>
      <c r="E7" s="51"/>
      <c r="F7" s="57"/>
      <c r="G7" s="57"/>
    </row>
    <row r="8" spans="1:8" x14ac:dyDescent="0.25">
      <c r="C8" s="50"/>
      <c r="D8" s="51"/>
      <c r="E8" s="51"/>
      <c r="F8" s="57"/>
      <c r="G8" s="58" t="s">
        <v>84</v>
      </c>
    </row>
    <row r="9" spans="1:8" x14ac:dyDescent="0.25">
      <c r="C9" s="50" t="s">
        <v>163</v>
      </c>
      <c r="D9" s="51"/>
      <c r="E9" s="51"/>
      <c r="F9" s="57" t="s">
        <v>94</v>
      </c>
      <c r="G9" s="102" t="s">
        <v>85</v>
      </c>
    </row>
    <row r="10" spans="1:8" x14ac:dyDescent="0.25">
      <c r="C10" s="50" t="s">
        <v>164</v>
      </c>
      <c r="D10" s="51"/>
      <c r="E10" s="51"/>
      <c r="F10" s="57" t="s">
        <v>95</v>
      </c>
      <c r="G10" s="58" t="s">
        <v>139</v>
      </c>
    </row>
    <row r="11" spans="1:8" x14ac:dyDescent="0.25">
      <c r="A11" s="68" t="s">
        <v>71</v>
      </c>
      <c r="B11" s="67"/>
      <c r="C11" s="52" t="s">
        <v>76</v>
      </c>
      <c r="D11" s="53"/>
      <c r="E11" s="53"/>
      <c r="F11" s="60" t="s">
        <v>96</v>
      </c>
      <c r="G11" s="59" t="s">
        <v>153</v>
      </c>
    </row>
    <row r="12" spans="1:8" ht="13.8" thickBot="1" x14ac:dyDescent="0.3">
      <c r="A12" s="150">
        <f ca="1">NOW()</f>
        <v>37238.587624189815</v>
      </c>
      <c r="B12" s="49"/>
      <c r="C12" s="49"/>
      <c r="D12" s="49"/>
      <c r="E12" s="49"/>
      <c r="F12" s="49"/>
      <c r="G12" s="49"/>
      <c r="H12" s="30"/>
    </row>
    <row r="13" spans="1:8" x14ac:dyDescent="0.25">
      <c r="A13" s="7" t="s">
        <v>86</v>
      </c>
      <c r="B13" s="7" t="s">
        <v>72</v>
      </c>
      <c r="C13" s="7" t="s">
        <v>73</v>
      </c>
      <c r="D13" s="7"/>
      <c r="E13" s="7"/>
    </row>
    <row r="14" spans="1:8" x14ac:dyDescent="0.25">
      <c r="A14" s="7"/>
      <c r="B14" s="7"/>
      <c r="C14" s="7"/>
      <c r="D14" s="7"/>
      <c r="E14" s="7" t="s">
        <v>226</v>
      </c>
      <c r="F14" s="7" t="s">
        <v>227</v>
      </c>
    </row>
    <row r="15" spans="1:8" x14ac:dyDescent="0.25">
      <c r="A15" s="119">
        <v>37196</v>
      </c>
      <c r="B15" s="63">
        <v>96023720</v>
      </c>
      <c r="C15" t="s">
        <v>325</v>
      </c>
      <c r="D15" s="62"/>
      <c r="E15" s="198">
        <f>'Internal Kennedy Total'!M49</f>
        <v>345099</v>
      </c>
      <c r="F15" s="348">
        <f>SUM(G22:G26)/SUM(F22:F26)</f>
        <v>1.6444814605228333</v>
      </c>
    </row>
    <row r="16" spans="1:8" x14ac:dyDescent="0.25">
      <c r="A16" s="61"/>
      <c r="B16" s="63"/>
      <c r="C16" t="s">
        <v>307</v>
      </c>
      <c r="D16" s="62"/>
      <c r="E16" s="198">
        <f>'Internal Kennedy Total'!N49</f>
        <v>768011</v>
      </c>
      <c r="F16" s="348">
        <f>SUM(G27:G31)/SUM(F27:F31)</f>
        <v>1.5062601563852211</v>
      </c>
    </row>
    <row r="17" spans="1:7" x14ac:dyDescent="0.25">
      <c r="E17" s="200"/>
      <c r="F17" s="199"/>
    </row>
    <row r="18" spans="1:7" x14ac:dyDescent="0.25">
      <c r="C18" s="48" t="s">
        <v>27</v>
      </c>
      <c r="E18" s="28">
        <f>SUM(E15:E17)</f>
        <v>1113110</v>
      </c>
    </row>
    <row r="19" spans="1:7" x14ac:dyDescent="0.25">
      <c r="E19" s="28"/>
    </row>
    <row r="21" spans="1:7" x14ac:dyDescent="0.25">
      <c r="B21" s="101" t="s">
        <v>10</v>
      </c>
      <c r="C21" s="98" t="s">
        <v>135</v>
      </c>
      <c r="D21" s="100" t="s">
        <v>88</v>
      </c>
      <c r="E21" s="99" t="s">
        <v>180</v>
      </c>
      <c r="F21" s="99" t="s">
        <v>87</v>
      </c>
      <c r="G21" s="100" t="s">
        <v>89</v>
      </c>
    </row>
    <row r="22" spans="1:7" x14ac:dyDescent="0.25">
      <c r="A22" s="130" t="str">
        <f>'Independent Summary'!A17</f>
        <v>11/01/01 - 11/30/01</v>
      </c>
      <c r="B22" t="s">
        <v>326</v>
      </c>
      <c r="C22" s="4">
        <f>+'Box Draw Detail'!K16</f>
        <v>-0.51339999999999997</v>
      </c>
      <c r="D22" s="65">
        <f t="shared" ref="D22:D30" si="0">+G22/F22</f>
        <v>1.2365026039812888</v>
      </c>
      <c r="E22" s="29">
        <f>+F22/'Box Draw Detail'!B$12</f>
        <v>38398.507146175616</v>
      </c>
      <c r="F22" s="29">
        <f>+'Box Draw Detail'!D57</f>
        <v>36696.893408863536</v>
      </c>
      <c r="G22" s="83">
        <f>+'Box Draw Detail'!P57</f>
        <v>45375.804258083554</v>
      </c>
    </row>
    <row r="23" spans="1:7" x14ac:dyDescent="0.25">
      <c r="A23" t="str">
        <f>+A22</f>
        <v>11/01/01 - 11/30/01</v>
      </c>
      <c r="B23" t="s">
        <v>328</v>
      </c>
      <c r="C23" s="4">
        <f>+'Box Draw Detail'!K17</f>
        <v>-0.77800000000000002</v>
      </c>
      <c r="D23" s="65">
        <f>+G23/F23</f>
        <v>2.262</v>
      </c>
      <c r="E23" s="29">
        <f>+F23/'Box Draw Detail'!$B$12</f>
        <v>113543.1249295528</v>
      </c>
      <c r="F23" s="29">
        <f>+'Box Draw Detail'!F57</f>
        <v>108511.50897578748</v>
      </c>
      <c r="G23" s="83">
        <f>+'Box Draw Detail'!Q57</f>
        <v>245453.03330323126</v>
      </c>
    </row>
    <row r="24" spans="1:7" x14ac:dyDescent="0.25">
      <c r="A24" t="str">
        <f t="shared" ref="A24:A33" si="1">+A23</f>
        <v>11/01/01 - 11/30/01</v>
      </c>
      <c r="B24" t="s">
        <v>331</v>
      </c>
      <c r="C24" s="4">
        <f>+'Box Draw Detail'!K18</f>
        <v>-0.51339999999999997</v>
      </c>
      <c r="D24" s="65">
        <f>+G24/F24</f>
        <v>2.0266000000000002</v>
      </c>
      <c r="E24" s="29">
        <f>+F24/'Box Draw Detail'!$B$11</f>
        <v>39210.286886594418</v>
      </c>
      <c r="F24" s="29">
        <f>+'Box Draw Detail'!H57</f>
        <v>43263.514442552463</v>
      </c>
      <c r="G24" s="83">
        <f>+'Box Draw Detail'!R57</f>
        <v>87677.838369276826</v>
      </c>
    </row>
    <row r="25" spans="1:7" x14ac:dyDescent="0.25">
      <c r="A25" t="str">
        <f t="shared" si="1"/>
        <v>11/01/01 - 11/30/01</v>
      </c>
      <c r="B25" t="s">
        <v>387</v>
      </c>
      <c r="C25" s="4">
        <f>+'Box Draw Detail'!K20</f>
        <v>-0.68069999999999997</v>
      </c>
      <c r="D25" s="65">
        <f>+G25/F25</f>
        <v>1.069202603981289</v>
      </c>
      <c r="E25" s="29">
        <f>+F25/'Box Draw Detail'!$B$11</f>
        <v>17435.999584637269</v>
      </c>
      <c r="F25" s="29">
        <f>+'Box Draw Detail'!J57</f>
        <v>19238.385631608195</v>
      </c>
      <c r="G25" s="83">
        <f>+'Box Draw Detail'!S57</f>
        <v>20569.732013711699</v>
      </c>
    </row>
    <row r="26" spans="1:7" x14ac:dyDescent="0.25">
      <c r="A26" s="560" t="str">
        <f t="shared" si="1"/>
        <v>11/01/01 - 11/30/01</v>
      </c>
      <c r="B26" s="561" t="s">
        <v>414</v>
      </c>
      <c r="C26" s="562">
        <f>+'Box Draw Detail'!K19</f>
        <v>-0.51339999999999997</v>
      </c>
      <c r="D26" s="563">
        <f>+G26/F26</f>
        <v>1.2259560110479306</v>
      </c>
      <c r="E26" s="564">
        <f>+F26/'Box Draw Detail'!$B$11</f>
        <v>124517.16683162085</v>
      </c>
      <c r="F26" s="564">
        <f>+'Box Draw Detail'!L57</f>
        <v>137388.69754118833</v>
      </c>
      <c r="G26" s="565">
        <f>+'Box Draw Detail'!T57</f>
        <v>168432.49960066588</v>
      </c>
    </row>
    <row r="27" spans="1:7" x14ac:dyDescent="0.25">
      <c r="A27" t="str">
        <f t="shared" si="1"/>
        <v>11/01/01 - 11/30/01</v>
      </c>
      <c r="B27" t="s">
        <v>327</v>
      </c>
      <c r="C27" s="4">
        <f>+'S Kitty Detail'!K16</f>
        <v>-0.65490000000000004</v>
      </c>
      <c r="D27" s="65">
        <f t="shared" si="0"/>
        <v>1.1086329857633526</v>
      </c>
      <c r="E27" s="29">
        <f>+F27/'Box Draw Detail'!$B$11</f>
        <v>73475.800304506934</v>
      </c>
      <c r="F27" s="29">
        <f>+'S Kitty Detail'!D57</f>
        <v>81071.106591136471</v>
      </c>
      <c r="G27" s="83">
        <f>+'S Kitty Detail'!P57</f>
        <v>89878.102959270633</v>
      </c>
    </row>
    <row r="28" spans="1:7" x14ac:dyDescent="0.25">
      <c r="A28" t="str">
        <f t="shared" si="1"/>
        <v>11/01/01 - 11/30/01</v>
      </c>
      <c r="B28" t="s">
        <v>329</v>
      </c>
      <c r="C28" s="4">
        <f>+'S Kitty Detail'!K17</f>
        <v>-0.9194</v>
      </c>
      <c r="D28" s="65">
        <f t="shared" si="0"/>
        <v>2.1206000000000005</v>
      </c>
      <c r="E28" s="29">
        <f>+F28/'Box Draw Detail'!$B$11</f>
        <v>217051.54008156317</v>
      </c>
      <c r="F28" s="29">
        <f>+'S Kitty Detail'!F57</f>
        <v>239488.49102421248</v>
      </c>
      <c r="G28" s="83">
        <f>+'S Kitty Detail'!Q57</f>
        <v>507859.29406594508</v>
      </c>
    </row>
    <row r="29" spans="1:7" x14ac:dyDescent="0.25">
      <c r="A29" t="str">
        <f t="shared" si="1"/>
        <v>11/01/01 - 11/30/01</v>
      </c>
      <c r="B29" t="s">
        <v>330</v>
      </c>
      <c r="C29" s="4">
        <f>+'S Kitty Detail'!K18</f>
        <v>-0.65490000000000004</v>
      </c>
      <c r="D29" s="65">
        <f t="shared" si="0"/>
        <v>1.8850999999999996</v>
      </c>
      <c r="E29" s="29">
        <f>+F29/'Box Draw Detail'!$B$11</f>
        <v>86558.772362575692</v>
      </c>
      <c r="F29" s="29">
        <f>+'S Kitty Detail'!H57</f>
        <v>95506.485557447537</v>
      </c>
      <c r="G29" s="83">
        <f>+'S Kitty Detail'!R57</f>
        <v>180039.27592434431</v>
      </c>
    </row>
    <row r="30" spans="1:7" x14ac:dyDescent="0.25">
      <c r="A30" t="str">
        <f t="shared" si="1"/>
        <v>11/01/01 - 11/30/01</v>
      </c>
      <c r="B30" t="s">
        <v>415</v>
      </c>
      <c r="C30" s="4">
        <f>+'S Kitty Detail'!K19</f>
        <v>-0.65490000000000004</v>
      </c>
      <c r="D30" s="65">
        <f t="shared" si="0"/>
        <v>1.0956297053691746</v>
      </c>
      <c r="E30" s="29">
        <f>+F30/'Box Draw Detail'!$B$11</f>
        <v>280452.4972342808</v>
      </c>
      <c r="F30" s="29">
        <f>+'S Kitty Detail'!L57</f>
        <v>309443.30245881167</v>
      </c>
      <c r="G30" s="83">
        <f>+'S Kitty Detail'!T57</f>
        <v>339035.27430141222</v>
      </c>
    </row>
    <row r="31" spans="1:7" x14ac:dyDescent="0.25">
      <c r="A31" t="str">
        <f t="shared" si="1"/>
        <v>11/01/01 - 11/30/01</v>
      </c>
      <c r="B31" t="s">
        <v>388</v>
      </c>
      <c r="C31" s="4">
        <f>+'S Kitty Detail'!K20</f>
        <v>-0.82210000000000005</v>
      </c>
      <c r="D31" s="65">
        <f>+G31/F31</f>
        <v>0.94143298576335266</v>
      </c>
      <c r="E31" s="29">
        <f>+F31/'Box Draw Detail'!$B$11</f>
        <v>38519.766921406983</v>
      </c>
      <c r="F31" s="29">
        <f>+'S Kitty Detail'!J57</f>
        <v>42501.614368391798</v>
      </c>
      <c r="G31" s="83">
        <f>+'S Kitty Detail'!S57</f>
        <v>40012.421714597702</v>
      </c>
    </row>
    <row r="32" spans="1:7" x14ac:dyDescent="0.25">
      <c r="A32" t="str">
        <f t="shared" si="1"/>
        <v>11/01/01 - 11/30/01</v>
      </c>
      <c r="B32" t="s">
        <v>199</v>
      </c>
      <c r="C32" t="s">
        <v>142</v>
      </c>
      <c r="D32" s="104" t="s">
        <v>143</v>
      </c>
      <c r="E32" s="29">
        <f>+F32/'Box Draw Detail'!$B$12</f>
        <v>33328.435645481775</v>
      </c>
      <c r="F32" s="29">
        <f>-+'Box Draw Detail'!M57</f>
        <v>31851.5</v>
      </c>
      <c r="G32" s="105" t="s">
        <v>144</v>
      </c>
    </row>
    <row r="33" spans="1:11" x14ac:dyDescent="0.25">
      <c r="A33" t="str">
        <f t="shared" si="1"/>
        <v>11/01/01 - 11/30/01</v>
      </c>
      <c r="B33" t="s">
        <v>198</v>
      </c>
      <c r="C33" t="s">
        <v>142</v>
      </c>
      <c r="D33" s="104" t="s">
        <v>143</v>
      </c>
      <c r="E33" s="29">
        <f>+F33/'Box Draw Detail'!$B$11</f>
        <v>51197.16993915107</v>
      </c>
      <c r="F33" s="29">
        <f>-+'S Kitty Detail'!M57</f>
        <v>56489.5</v>
      </c>
      <c r="G33" s="105" t="s">
        <v>144</v>
      </c>
    </row>
    <row r="34" spans="1:11" x14ac:dyDescent="0.25">
      <c r="A34" s="47" t="s">
        <v>239</v>
      </c>
      <c r="B34" s="7"/>
      <c r="C34" s="7"/>
      <c r="D34" s="151"/>
      <c r="E34" s="47">
        <f>SUM(E22:E33)</f>
        <v>1113689.0678675473</v>
      </c>
      <c r="F34" s="47">
        <f>SUM(F22:F33)</f>
        <v>1201451</v>
      </c>
      <c r="G34" s="139">
        <f>SUM(G22:G32)</f>
        <v>1724333.2765105392</v>
      </c>
    </row>
    <row r="35" spans="1:11" x14ac:dyDescent="0.25">
      <c r="C35" s="4"/>
      <c r="D35" s="104"/>
      <c r="E35" s="104"/>
      <c r="F35" s="29"/>
      <c r="G35" s="105"/>
    </row>
    <row r="36" spans="1:11" x14ac:dyDescent="0.25">
      <c r="D36" s="104"/>
      <c r="E36" s="104"/>
      <c r="F36" s="29"/>
      <c r="G36" s="105"/>
      <c r="K36" s="45"/>
    </row>
    <row r="37" spans="1:11" x14ac:dyDescent="0.25">
      <c r="D37" s="91" t="s">
        <v>137</v>
      </c>
      <c r="E37" s="91"/>
      <c r="F37" s="97"/>
      <c r="G37" s="92">
        <f>SUM(G34:G35)</f>
        <v>1724333.2765105392</v>
      </c>
    </row>
    <row r="40" spans="1:11" x14ac:dyDescent="0.25">
      <c r="F40" s="45"/>
      <c r="G40" s="44"/>
    </row>
    <row r="41" spans="1:11" x14ac:dyDescent="0.25">
      <c r="F41" s="45"/>
    </row>
  </sheetData>
  <phoneticPr fontId="0" type="noConversion"/>
  <pageMargins left="0.75" right="0.75" top="1" bottom="1" header="0.5" footer="0.5"/>
  <pageSetup scale="5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8193" r:id="rId4">
          <objectPr defaultSize="0" autoPict="0" r:id="rId5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182880</xdr:colOff>
                <xdr:row>6</xdr:row>
                <xdr:rowOff>30480</xdr:rowOff>
              </to>
            </anchor>
          </objectPr>
        </oleObject>
      </mc:Choice>
      <mc:Fallback>
        <oleObject progId="Paint.Picture" shapeId="8193" r:id="rId4"/>
      </mc:Fallback>
    </mc:AlternateContent>
    <mc:AlternateContent xmlns:mc="http://schemas.openxmlformats.org/markup-compatibility/2006">
      <mc:Choice Requires="x14">
        <oleObject progId="Paint.Picture" shapeId="8194" r:id="rId6">
          <objectPr defaultSize="0" autoPict="0" r:id="rId5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182880</xdr:colOff>
                <xdr:row>6</xdr:row>
                <xdr:rowOff>30480</xdr:rowOff>
              </to>
            </anchor>
          </objectPr>
        </oleObject>
      </mc:Choice>
      <mc:Fallback>
        <oleObject progId="Paint.Picture" shapeId="8194" r:id="rId6"/>
      </mc:Fallback>
    </mc:AlternateContent>
    <mc:AlternateContent xmlns:mc="http://schemas.openxmlformats.org/markup-compatibility/2006">
      <mc:Choice Requires="x14">
        <oleObject progId="Paint.Picture" shapeId="8196" r:id="rId7">
          <objectPr defaultSize="0" autoPict="0" r:id="rId5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182880</xdr:colOff>
                <xdr:row>6</xdr:row>
                <xdr:rowOff>30480</xdr:rowOff>
              </to>
            </anchor>
          </objectPr>
        </oleObject>
      </mc:Choice>
      <mc:Fallback>
        <oleObject progId="Paint.Picture" shapeId="8196" r:id="rId7"/>
      </mc:Fallback>
    </mc:AlternateContent>
    <mc:AlternateContent xmlns:mc="http://schemas.openxmlformats.org/markup-compatibility/2006">
      <mc:Choice Requires="x14">
        <oleObject progId="Paint.Picture" shapeId="8197" r:id="rId8">
          <objectPr defaultSize="0" autoPict="0" r:id="rId5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182880</xdr:colOff>
                <xdr:row>6</xdr:row>
                <xdr:rowOff>30480</xdr:rowOff>
              </to>
            </anchor>
          </objectPr>
        </oleObject>
      </mc:Choice>
      <mc:Fallback>
        <oleObject progId="Paint.Picture" shapeId="8197" r:id="rId8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U64"/>
  <sheetViews>
    <sheetView showGridLines="0" zoomScale="90" zoomScaleNormal="90" workbookViewId="0">
      <selection activeCell="C3" sqref="C3"/>
    </sheetView>
  </sheetViews>
  <sheetFormatPr defaultColWidth="9.109375" defaultRowHeight="13.2" x14ac:dyDescent="0.25"/>
  <cols>
    <col min="1" max="1" width="16.6640625" style="357" customWidth="1"/>
    <col min="2" max="2" width="18.5546875" style="357" bestFit="1" customWidth="1"/>
    <col min="3" max="3" width="19.88671875" style="357" customWidth="1"/>
    <col min="4" max="4" width="17.5546875" style="357" bestFit="1" customWidth="1"/>
    <col min="5" max="5" width="21" style="357" customWidth="1"/>
    <col min="6" max="6" width="16.33203125" style="357" customWidth="1"/>
    <col min="7" max="7" width="15.5546875" style="357" customWidth="1"/>
    <col min="8" max="8" width="15.88671875" style="357" bestFit="1" customWidth="1"/>
    <col min="9" max="14" width="15.5546875" style="357" customWidth="1"/>
    <col min="15" max="15" width="14" style="357" bestFit="1" customWidth="1"/>
    <col min="16" max="16" width="13.33203125" style="357" bestFit="1" customWidth="1"/>
    <col min="17" max="17" width="13.33203125" style="357" customWidth="1"/>
    <col min="18" max="18" width="16.88671875" style="357" bestFit="1" customWidth="1"/>
    <col min="19" max="19" width="13.33203125" style="357" bestFit="1" customWidth="1"/>
    <col min="20" max="20" width="15.33203125" style="357" customWidth="1"/>
    <col min="21" max="21" width="13.33203125" style="357" bestFit="1" customWidth="1"/>
    <col min="22" max="22" width="12.109375" style="357" bestFit="1" customWidth="1"/>
    <col min="23" max="23" width="15" style="357" bestFit="1" customWidth="1"/>
    <col min="24" max="24" width="15" style="357" customWidth="1"/>
    <col min="25" max="25" width="12.109375" style="357" bestFit="1" customWidth="1"/>
    <col min="26" max="26" width="15.44140625" style="357" customWidth="1"/>
    <col min="27" max="27" width="16.44140625" style="357" customWidth="1"/>
    <col min="28" max="16384" width="9.109375" style="357"/>
  </cols>
  <sheetData>
    <row r="1" spans="1:19" x14ac:dyDescent="0.25">
      <c r="A1" s="356" t="s">
        <v>19</v>
      </c>
      <c r="B1" s="356" t="s">
        <v>28</v>
      </c>
      <c r="C1" s="356" t="s">
        <v>38</v>
      </c>
      <c r="F1" s="357" t="s">
        <v>195</v>
      </c>
      <c r="H1" s="356"/>
      <c r="I1" s="356"/>
      <c r="J1" s="356"/>
      <c r="K1" s="356"/>
      <c r="L1" s="356"/>
      <c r="M1" s="356"/>
      <c r="N1" s="356"/>
      <c r="O1" s="356"/>
      <c r="S1" s="358">
        <f ca="1">NOW()</f>
        <v>37238.587624189815</v>
      </c>
    </row>
    <row r="2" spans="1:19" x14ac:dyDescent="0.25">
      <c r="A2" s="8">
        <f>+'Index Pricing'!A1</f>
        <v>37196</v>
      </c>
      <c r="B2" s="356" t="s">
        <v>36</v>
      </c>
      <c r="C2" s="356" t="s">
        <v>39</v>
      </c>
      <c r="H2" s="356"/>
      <c r="I2" s="356"/>
      <c r="J2" s="356"/>
      <c r="K2" s="356"/>
      <c r="L2" s="356"/>
      <c r="M2" s="356"/>
      <c r="N2" s="356"/>
      <c r="O2" s="356"/>
    </row>
    <row r="3" spans="1:19" x14ac:dyDescent="0.25">
      <c r="A3" s="8"/>
      <c r="B3" s="356" t="s">
        <v>37</v>
      </c>
      <c r="C3" s="356" t="s">
        <v>40</v>
      </c>
      <c r="F3" s="357" t="s">
        <v>41</v>
      </c>
      <c r="G3" s="357" t="s">
        <v>42</v>
      </c>
      <c r="H3" s="356"/>
      <c r="I3" s="356"/>
      <c r="J3" s="356"/>
      <c r="K3" s="356"/>
      <c r="L3" s="356"/>
      <c r="M3" s="356"/>
      <c r="N3" s="356"/>
      <c r="O3" s="356"/>
    </row>
    <row r="4" spans="1:19" x14ac:dyDescent="0.25">
      <c r="A4" s="8"/>
      <c r="B4" s="356"/>
      <c r="C4" s="356"/>
      <c r="H4" s="356"/>
      <c r="I4" s="356"/>
      <c r="J4" s="356"/>
      <c r="K4" s="356"/>
      <c r="L4" s="356"/>
      <c r="M4" s="356"/>
      <c r="N4" s="356"/>
      <c r="O4" s="356"/>
    </row>
    <row r="5" spans="1:19" x14ac:dyDescent="0.25">
      <c r="A5" s="8" t="s">
        <v>263</v>
      </c>
      <c r="B5" s="356"/>
      <c r="C5" s="359">
        <f>+'Index Pricing'!B4</f>
        <v>3.04</v>
      </c>
      <c r="H5" s="356"/>
      <c r="I5" s="356"/>
      <c r="J5" s="356"/>
      <c r="K5" s="356"/>
      <c r="L5" s="356"/>
      <c r="M5" s="356"/>
      <c r="N5" s="356"/>
      <c r="O5" s="356"/>
    </row>
    <row r="6" spans="1:19" ht="12" customHeight="1" x14ac:dyDescent="0.25">
      <c r="A6" s="8" t="s">
        <v>262</v>
      </c>
      <c r="B6" s="356"/>
      <c r="C6" s="359">
        <f>+'Index Pricing'!B3</f>
        <v>2.54</v>
      </c>
      <c r="H6" s="356"/>
      <c r="I6" s="356"/>
      <c r="J6" s="356"/>
      <c r="K6" s="356"/>
      <c r="L6" s="356"/>
      <c r="M6" s="356"/>
      <c r="N6" s="356"/>
      <c r="O6" s="356"/>
    </row>
    <row r="7" spans="1:19" x14ac:dyDescent="0.25">
      <c r="A7" s="360" t="s">
        <v>65</v>
      </c>
      <c r="C7" s="361">
        <f>+'Internal Kennedy Total'!C7</f>
        <v>21032</v>
      </c>
      <c r="D7" s="356" t="s">
        <v>155</v>
      </c>
    </row>
    <row r="8" spans="1:19" x14ac:dyDescent="0.25">
      <c r="A8" s="360" t="s">
        <v>290</v>
      </c>
      <c r="C8" s="361">
        <f>+'Internal Kennedy Total'!C8</f>
        <v>21893</v>
      </c>
      <c r="D8" s="356" t="s">
        <v>155</v>
      </c>
    </row>
    <row r="9" spans="1:19" ht="13.8" thickBot="1" x14ac:dyDescent="0.3">
      <c r="A9" s="360"/>
      <c r="C9" s="362"/>
    </row>
    <row r="10" spans="1:19" x14ac:dyDescent="0.25">
      <c r="A10" s="363"/>
      <c r="B10" s="364" t="s">
        <v>181</v>
      </c>
      <c r="C10" s="365" t="s">
        <v>225</v>
      </c>
      <c r="D10" s="365" t="s">
        <v>249</v>
      </c>
      <c r="E10" s="366" t="s">
        <v>250</v>
      </c>
    </row>
    <row r="11" spans="1:19" x14ac:dyDescent="0.25">
      <c r="A11" s="367" t="s">
        <v>198</v>
      </c>
      <c r="B11" s="368">
        <f>'[1]Enron Detail'!$F$9</f>
        <v>1.1033715353239051</v>
      </c>
      <c r="C11" s="369">
        <f>+C7*D11</f>
        <v>14511.420571192426</v>
      </c>
      <c r="D11" s="437">
        <f>'Internal Kennedy Total'!H8</f>
        <v>0.68996864640511724</v>
      </c>
      <c r="E11" s="371">
        <v>0.61</v>
      </c>
    </row>
    <row r="12" spans="1:19" ht="13.8" thickBot="1" x14ac:dyDescent="0.3">
      <c r="A12" s="372" t="s">
        <v>199</v>
      </c>
      <c r="B12" s="373">
        <f>'[1]Enron Detail'!$C$9</f>
        <v>0.955685419466065</v>
      </c>
      <c r="C12" s="374">
        <f>+C7-C11</f>
        <v>6520.579428807574</v>
      </c>
      <c r="D12" s="438">
        <f>'Internal Kennedy Total'!H7</f>
        <v>0.31003135359488282</v>
      </c>
      <c r="E12" s="376">
        <v>0.47</v>
      </c>
    </row>
    <row r="13" spans="1:19" x14ac:dyDescent="0.25">
      <c r="A13" s="377"/>
      <c r="I13" s="378"/>
    </row>
    <row r="14" spans="1:19" ht="13.8" thickBot="1" x14ac:dyDescent="0.3">
      <c r="A14" s="377"/>
    </row>
    <row r="15" spans="1:19" s="90" customFormat="1" ht="57" customHeight="1" x14ac:dyDescent="0.25">
      <c r="A15" s="338" t="s">
        <v>315</v>
      </c>
      <c r="B15" s="210"/>
      <c r="C15" s="210" t="s">
        <v>14</v>
      </c>
      <c r="D15" s="210" t="s">
        <v>378</v>
      </c>
      <c r="E15" s="210" t="s">
        <v>15</v>
      </c>
      <c r="F15" s="220" t="str">
        <f>"WIC Med.Bow Fuel ("&amp;'Index Pricing'!$F$3*100&amp;"%*CIGindex)"</f>
        <v>WIC Med.Bow Fuel (0.68%*CIGindex)</v>
      </c>
      <c r="G15" s="210" t="s">
        <v>16</v>
      </c>
      <c r="H15" s="210" t="s">
        <v>17</v>
      </c>
      <c r="I15" s="210" t="s">
        <v>216</v>
      </c>
      <c r="J15" s="224"/>
      <c r="K15" s="223" t="s">
        <v>9</v>
      </c>
    </row>
    <row r="16" spans="1:19" x14ac:dyDescent="0.25">
      <c r="A16" s="379" t="s">
        <v>310</v>
      </c>
      <c r="B16" s="439" t="s">
        <v>11</v>
      </c>
      <c r="C16" s="381">
        <v>0</v>
      </c>
      <c r="D16" s="439">
        <f>-E12</f>
        <v>-0.47</v>
      </c>
      <c r="E16" s="439"/>
      <c r="F16" s="439"/>
      <c r="G16" s="439"/>
      <c r="H16" s="439"/>
      <c r="I16" s="439">
        <f>+-M57*D16/(O57)</f>
        <v>-4.3379450534484304E-2</v>
      </c>
      <c r="J16" s="382"/>
      <c r="K16" s="383">
        <f>ROUND(SUM(C16:J16),4)</f>
        <v>-0.51339999999999997</v>
      </c>
    </row>
    <row r="17" spans="1:21" x14ac:dyDescent="0.25">
      <c r="A17" s="379" t="s">
        <v>310</v>
      </c>
      <c r="B17" s="439" t="s">
        <v>1</v>
      </c>
      <c r="C17" s="381">
        <v>0.01</v>
      </c>
      <c r="D17" s="439">
        <f>-E12</f>
        <v>-0.47</v>
      </c>
      <c r="E17" s="439">
        <f>-0.13-0.0025-0.0022</f>
        <v>-0.13470000000000001</v>
      </c>
      <c r="F17" s="439">
        <f>-'Index Pricing'!$F$3*'Index Pricing'!B3</f>
        <v>-1.7271999999999999E-2</v>
      </c>
      <c r="G17" s="439">
        <v>-0.1226</v>
      </c>
      <c r="H17" s="439">
        <v>0</v>
      </c>
      <c r="I17" s="439">
        <f>+I16</f>
        <v>-4.3379450534484304E-2</v>
      </c>
      <c r="J17" s="382"/>
      <c r="K17" s="383">
        <f>ROUND(SUM(C17:J17),4)</f>
        <v>-0.77800000000000002</v>
      </c>
    </row>
    <row r="18" spans="1:21" x14ac:dyDescent="0.25">
      <c r="A18" s="379" t="s">
        <v>310</v>
      </c>
      <c r="B18" s="439" t="s">
        <v>0</v>
      </c>
      <c r="C18" s="381">
        <v>0</v>
      </c>
      <c r="D18" s="439">
        <f>-$E$12</f>
        <v>-0.47</v>
      </c>
      <c r="E18" s="439"/>
      <c r="F18" s="439"/>
      <c r="G18" s="439"/>
      <c r="H18" s="439"/>
      <c r="I18" s="439">
        <f>+I17</f>
        <v>-4.3379450534484304E-2</v>
      </c>
      <c r="J18" s="382"/>
      <c r="K18" s="383">
        <f>ROUND(SUM(C18:J18),4)</f>
        <v>-0.51339999999999997</v>
      </c>
    </row>
    <row r="19" spans="1:21" x14ac:dyDescent="0.25">
      <c r="A19" s="379" t="s">
        <v>311</v>
      </c>
      <c r="B19" s="439" t="s">
        <v>11</v>
      </c>
      <c r="C19" s="550" t="s">
        <v>398</v>
      </c>
      <c r="D19" s="439">
        <f>-$E$12</f>
        <v>-0.47</v>
      </c>
      <c r="E19" s="439"/>
      <c r="F19" s="439"/>
      <c r="G19" s="439"/>
      <c r="H19" s="439"/>
      <c r="I19" s="439">
        <f>I18</f>
        <v>-4.3379450534484304E-2</v>
      </c>
      <c r="J19" s="439"/>
      <c r="K19" s="383">
        <f>ROUND(SUM(C19:J19),4)</f>
        <v>-0.51339999999999997</v>
      </c>
      <c r="L19" s="384"/>
      <c r="N19" s="431"/>
    </row>
    <row r="20" spans="1:21" x14ac:dyDescent="0.25">
      <c r="A20" s="379" t="s">
        <v>311</v>
      </c>
      <c r="B20" s="439" t="s">
        <v>11</v>
      </c>
      <c r="C20" s="381">
        <v>0.1</v>
      </c>
      <c r="D20" s="439">
        <f>-$E$12</f>
        <v>-0.47</v>
      </c>
      <c r="E20" s="439">
        <v>-0.25</v>
      </c>
      <c r="F20" s="439">
        <f>-'Index Pricing'!$F$3*'Index Pricing'!B3</f>
        <v>-1.7271999999999999E-2</v>
      </c>
      <c r="G20" s="439"/>
      <c r="H20" s="439"/>
      <c r="I20" s="439">
        <f>I19</f>
        <v>-4.3379450534484304E-2</v>
      </c>
      <c r="J20" s="439"/>
      <c r="K20" s="383">
        <f>ROUND(SUM(C20:J20),4)</f>
        <v>-0.68069999999999997</v>
      </c>
      <c r="L20" s="384"/>
    </row>
    <row r="21" spans="1:21" ht="13.8" thickBot="1" x14ac:dyDescent="0.3"/>
    <row r="22" spans="1:21" ht="21.6" thickBot="1" x14ac:dyDescent="0.55000000000000004">
      <c r="C22" s="353" t="s">
        <v>224</v>
      </c>
      <c r="D22" s="354"/>
      <c r="E22" s="354"/>
      <c r="F22" s="354"/>
      <c r="G22" s="354"/>
      <c r="H22" s="354"/>
      <c r="I22" s="354"/>
      <c r="J22" s="354"/>
      <c r="K22" s="354"/>
      <c r="L22" s="354"/>
      <c r="M22" s="354"/>
      <c r="N22" s="354"/>
      <c r="O22" s="354"/>
      <c r="P22" s="524"/>
      <c r="Q22" s="524"/>
      <c r="R22" s="524"/>
      <c r="S22" s="524"/>
      <c r="T22" s="524"/>
      <c r="U22" s="355"/>
    </row>
    <row r="23" spans="1:21" s="90" customFormat="1" ht="57" customHeight="1" x14ac:dyDescent="0.25">
      <c r="B23" s="252"/>
      <c r="C23" s="248" t="s">
        <v>20</v>
      </c>
      <c r="D23" s="167" t="s">
        <v>291</v>
      </c>
      <c r="E23" s="248" t="s">
        <v>200</v>
      </c>
      <c r="F23" s="167" t="s">
        <v>32</v>
      </c>
      <c r="G23" s="248" t="s">
        <v>21</v>
      </c>
      <c r="H23" s="167" t="s">
        <v>302</v>
      </c>
      <c r="I23" s="248" t="s">
        <v>375</v>
      </c>
      <c r="J23" s="167" t="s">
        <v>376</v>
      </c>
      <c r="K23" s="248" t="s">
        <v>399</v>
      </c>
      <c r="L23" s="167" t="s">
        <v>400</v>
      </c>
      <c r="M23" s="333" t="s">
        <v>312</v>
      </c>
      <c r="N23" s="333" t="s">
        <v>320</v>
      </c>
      <c r="O23" s="342" t="s">
        <v>321</v>
      </c>
      <c r="P23" s="582" t="s">
        <v>319</v>
      </c>
      <c r="Q23" s="583"/>
      <c r="R23" s="583"/>
      <c r="S23" s="583"/>
      <c r="T23" s="584"/>
      <c r="U23" s="341"/>
    </row>
    <row r="24" spans="1:21" s="6" customFormat="1" x14ac:dyDescent="0.25">
      <c r="B24" s="26"/>
      <c r="C24" s="33"/>
      <c r="D24" s="26"/>
      <c r="E24" s="33"/>
      <c r="F24" s="34">
        <f>IF(+C7*0.8&gt;12000,12000,+C7*0.8)</f>
        <v>12000</v>
      </c>
      <c r="G24" s="33"/>
      <c r="H24" s="26"/>
      <c r="I24" s="33"/>
      <c r="J24" s="26"/>
      <c r="K24" s="33"/>
      <c r="L24" s="26"/>
      <c r="M24" s="334"/>
      <c r="N24" s="334"/>
      <c r="O24" s="343"/>
      <c r="P24" s="390"/>
      <c r="Q24" s="391"/>
      <c r="R24" s="391"/>
      <c r="S24" s="391"/>
      <c r="T24" s="385"/>
      <c r="U24" s="519"/>
    </row>
    <row r="25" spans="1:21" s="90" customFormat="1" ht="27" thickBot="1" x14ac:dyDescent="0.3">
      <c r="B25" s="252" t="s">
        <v>3</v>
      </c>
      <c r="C25" s="249" t="s">
        <v>61</v>
      </c>
      <c r="D25" s="252"/>
      <c r="E25" s="307" t="s">
        <v>18</v>
      </c>
      <c r="F25" s="256"/>
      <c r="G25" s="249" t="s">
        <v>22</v>
      </c>
      <c r="H25" s="252"/>
      <c r="I25" s="249" t="s">
        <v>61</v>
      </c>
      <c r="J25" s="252"/>
      <c r="K25" s="249" t="s">
        <v>61</v>
      </c>
      <c r="L25" s="252"/>
      <c r="M25" s="571"/>
      <c r="N25" s="571"/>
      <c r="O25" s="572"/>
      <c r="P25" s="335" t="s">
        <v>296</v>
      </c>
      <c r="Q25" s="336" t="s">
        <v>117</v>
      </c>
      <c r="R25" s="336" t="s">
        <v>313</v>
      </c>
      <c r="S25" s="336" t="s">
        <v>377</v>
      </c>
      <c r="T25" s="337" t="s">
        <v>401</v>
      </c>
      <c r="U25" s="520" t="s">
        <v>26</v>
      </c>
    </row>
    <row r="26" spans="1:21" x14ac:dyDescent="0.25">
      <c r="A26" s="392">
        <f>+'Index Pricing'!A7</f>
        <v>37196</v>
      </c>
      <c r="B26" s="393">
        <f>+'Index Pricing'!B7</f>
        <v>2.67</v>
      </c>
      <c r="C26" s="394">
        <f t="shared" ref="C26:C55" si="0">+B26+$K$16</f>
        <v>2.1566000000000001</v>
      </c>
      <c r="D26" s="395">
        <f>O26*'Internal Kennedy Total'!T18</f>
        <v>1356.3467500063009</v>
      </c>
      <c r="E26" s="396">
        <f>+'Index Pricing'!$B$4+'Box Draw Detail'!$K$17</f>
        <v>2.262</v>
      </c>
      <c r="F26" s="397">
        <f>O26*'Internal Kennedy Total'!U18</f>
        <v>3869.7482168510724</v>
      </c>
      <c r="G26" s="396">
        <f t="shared" ref="G26:G55" si="1">$C$6+$K$18</f>
        <v>2.0266000000000002</v>
      </c>
      <c r="H26" s="398">
        <f>O26*'Internal Kennedy Total'!V18</f>
        <v>1556.2837412102731</v>
      </c>
      <c r="I26" s="396">
        <f>B26+$K$20</f>
        <v>1.9893000000000001</v>
      </c>
      <c r="J26" s="399">
        <f>O26*'Internal Kennedy Total'!W18</f>
        <v>711.06623484638453</v>
      </c>
      <c r="K26" s="396">
        <f>B26+$K$19+'Kennedy Gas Daily Pricing'!B7</f>
        <v>2.1066000000000003</v>
      </c>
      <c r="L26" s="399">
        <f>'Internal Kennedy Total'!X18*'Internal Kennedy Total'!M18</f>
        <v>5301.5550570859696</v>
      </c>
      <c r="M26" s="400">
        <f>'[1]Enron Detail'!$D14</f>
        <v>-1199</v>
      </c>
      <c r="N26" s="401">
        <f>O26-M26</f>
        <v>13994</v>
      </c>
      <c r="O26" s="573">
        <f>'Internal Kennedy Total'!M18</f>
        <v>12795</v>
      </c>
      <c r="P26" s="409">
        <f>+C26*D26</f>
        <v>2925.0974010635887</v>
      </c>
      <c r="Q26" s="409">
        <f>+E26*F26</f>
        <v>8753.3704665171263</v>
      </c>
      <c r="R26" s="409">
        <f>+G26*H26</f>
        <v>3153.9646299367396</v>
      </c>
      <c r="S26" s="409">
        <f>I26*J26</f>
        <v>1414.5240609799127</v>
      </c>
      <c r="T26" s="410">
        <f>K26*L26</f>
        <v>11168.255883257305</v>
      </c>
      <c r="U26" s="521">
        <f t="shared" ref="U26:U57" si="2">SUM(P26:T26)</f>
        <v>27415.212441754673</v>
      </c>
    </row>
    <row r="27" spans="1:21" x14ac:dyDescent="0.25">
      <c r="A27" s="392">
        <f>+'Index Pricing'!A8</f>
        <v>37197</v>
      </c>
      <c r="B27" s="393">
        <f>+'Index Pricing'!B8</f>
        <v>2.36</v>
      </c>
      <c r="C27" s="402">
        <f t="shared" si="0"/>
        <v>1.8466</v>
      </c>
      <c r="D27" s="403">
        <f>O27*'Internal Kennedy Total'!T19</f>
        <v>1266.1062776389156</v>
      </c>
      <c r="E27" s="404">
        <f>+'Index Pricing'!$B$4+'Box Draw Detail'!$K$17</f>
        <v>2.262</v>
      </c>
      <c r="F27" s="387">
        <f>O27*'Internal Kennedy Total'!U19</f>
        <v>3612.2860988271482</v>
      </c>
      <c r="G27" s="404">
        <f t="shared" si="1"/>
        <v>2.0266000000000002</v>
      </c>
      <c r="H27" s="405">
        <f>O27*'Internal Kennedy Total'!V19</f>
        <v>1452.7410594116516</v>
      </c>
      <c r="I27" s="404">
        <f t="shared" ref="I27:I55" si="3">B27+$K$20</f>
        <v>1.6793</v>
      </c>
      <c r="J27" s="406">
        <f>O27*'Internal Kennedy Total'!W19</f>
        <v>663.75757065948858</v>
      </c>
      <c r="K27" s="404">
        <f>B27+$K$19+'Kennedy Gas Daily Pricing'!B8</f>
        <v>1.7966</v>
      </c>
      <c r="L27" s="406">
        <f>'Internal Kennedy Total'!X19*'Internal Kennedy Total'!M19</f>
        <v>5530.1089934627962</v>
      </c>
      <c r="M27" s="407">
        <f>'[1]Enron Detail'!$D15</f>
        <v>-1219</v>
      </c>
      <c r="N27" s="408">
        <f t="shared" ref="N27:N55" si="4">O27-M27</f>
        <v>13744</v>
      </c>
      <c r="O27" s="574">
        <f>'Internal Kennedy Total'!M19</f>
        <v>12525</v>
      </c>
      <c r="P27" s="409">
        <f t="shared" ref="P27:P55" si="5">+C27*D27</f>
        <v>2337.9918522880216</v>
      </c>
      <c r="Q27" s="409">
        <f t="shared" ref="Q27:Q55" si="6">+E27*F27</f>
        <v>8170.9911555470089</v>
      </c>
      <c r="R27" s="409">
        <f t="shared" ref="R27:R55" si="7">+G27*H27</f>
        <v>2944.1250310036535</v>
      </c>
      <c r="S27" s="409">
        <f t="shared" ref="S27:S55" si="8">I27*J27</f>
        <v>1114.6480884084792</v>
      </c>
      <c r="T27" s="410">
        <f t="shared" ref="T27:T55" si="9">K27*L27</f>
        <v>9935.3938176552601</v>
      </c>
      <c r="U27" s="522">
        <f t="shared" si="2"/>
        <v>24503.149944902427</v>
      </c>
    </row>
    <row r="28" spans="1:21" x14ac:dyDescent="0.25">
      <c r="A28" s="392">
        <f>+'Index Pricing'!A9</f>
        <v>37198</v>
      </c>
      <c r="B28" s="393">
        <f>+'Index Pricing'!B9</f>
        <v>2.0150000000000001</v>
      </c>
      <c r="C28" s="402">
        <f t="shared" si="0"/>
        <v>1.5016000000000003</v>
      </c>
      <c r="D28" s="403">
        <f>O28*'Internal Kennedy Total'!T20</f>
        <v>1218.9335037768737</v>
      </c>
      <c r="E28" s="404">
        <f>+'Index Pricing'!$B$4+'Box Draw Detail'!$K$17</f>
        <v>2.262</v>
      </c>
      <c r="F28" s="387">
        <f>O28*'Internal Kennedy Total'!U20</f>
        <v>3477.699012202208</v>
      </c>
      <c r="G28" s="404">
        <f t="shared" si="1"/>
        <v>2.0266000000000002</v>
      </c>
      <c r="H28" s="405">
        <f>O28*'Internal Kennedy Total'!V20</f>
        <v>1398.6146194073212</v>
      </c>
      <c r="I28" s="404">
        <f t="shared" si="3"/>
        <v>1.3343000000000003</v>
      </c>
      <c r="J28" s="406">
        <f>O28*'Internal Kennedy Total'!W20</f>
        <v>639.02719349215579</v>
      </c>
      <c r="K28" s="404">
        <f>B28+$K$19+'Kennedy Gas Daily Pricing'!B9</f>
        <v>1.4516000000000002</v>
      </c>
      <c r="L28" s="406">
        <f>'Internal Kennedy Total'!X20*'Internal Kennedy Total'!M20</f>
        <v>5734.7256711214404</v>
      </c>
      <c r="M28" s="407">
        <f>'[1]Enron Detail'!$D16</f>
        <v>-1098</v>
      </c>
      <c r="N28" s="408">
        <f t="shared" si="4"/>
        <v>13567</v>
      </c>
      <c r="O28" s="574">
        <f>'Internal Kennedy Total'!M20</f>
        <v>12469</v>
      </c>
      <c r="P28" s="409">
        <f t="shared" si="5"/>
        <v>1830.3505492713539</v>
      </c>
      <c r="Q28" s="409">
        <f t="shared" si="6"/>
        <v>7866.5551656013949</v>
      </c>
      <c r="R28" s="409">
        <f t="shared" si="7"/>
        <v>2834.4323876908775</v>
      </c>
      <c r="S28" s="409">
        <f t="shared" si="8"/>
        <v>852.65398427658363</v>
      </c>
      <c r="T28" s="410">
        <f t="shared" si="9"/>
        <v>8324.527784199885</v>
      </c>
      <c r="U28" s="522">
        <f t="shared" si="2"/>
        <v>21708.519871040095</v>
      </c>
    </row>
    <row r="29" spans="1:21" x14ac:dyDescent="0.25">
      <c r="A29" s="392">
        <f>+'Index Pricing'!A10</f>
        <v>37199</v>
      </c>
      <c r="B29" s="393">
        <f>+'Index Pricing'!B10</f>
        <v>2.0150000000000001</v>
      </c>
      <c r="C29" s="402">
        <f t="shared" si="0"/>
        <v>1.5016000000000003</v>
      </c>
      <c r="D29" s="403">
        <f>O29*'Internal Kennedy Total'!T21</f>
        <v>1238.023973331442</v>
      </c>
      <c r="E29" s="404">
        <f>+'Index Pricing'!$B$4+'Box Draw Detail'!$K$17</f>
        <v>2.262</v>
      </c>
      <c r="F29" s="387">
        <f>O29*'Internal Kennedy Total'!U21</f>
        <v>3532.1654018015465</v>
      </c>
      <c r="G29" s="404">
        <f t="shared" si="1"/>
        <v>2.0266000000000002</v>
      </c>
      <c r="H29" s="405">
        <f>O29*'Internal Kennedy Total'!V21</f>
        <v>1420.519185757855</v>
      </c>
      <c r="I29" s="404">
        <f t="shared" si="3"/>
        <v>1.3343000000000003</v>
      </c>
      <c r="J29" s="406">
        <f>O29*'Internal Kennedy Total'!W21</f>
        <v>649.0353925810341</v>
      </c>
      <c r="K29" s="404">
        <f>B29+$K$19+'Kennedy Gas Daily Pricing'!B10</f>
        <v>1.4516000000000002</v>
      </c>
      <c r="L29" s="406">
        <f>'Internal Kennedy Total'!X21*'Internal Kennedy Total'!M21</f>
        <v>5610.2560465281222</v>
      </c>
      <c r="M29" s="407">
        <f>'[1]Enron Detail'!$D17</f>
        <v>-1167</v>
      </c>
      <c r="N29" s="408">
        <f t="shared" si="4"/>
        <v>13617</v>
      </c>
      <c r="O29" s="574">
        <f>'Internal Kennedy Total'!M21</f>
        <v>12450</v>
      </c>
      <c r="P29" s="409">
        <f t="shared" si="5"/>
        <v>1859.0167983544936</v>
      </c>
      <c r="Q29" s="409">
        <f t="shared" si="6"/>
        <v>7989.7581388750987</v>
      </c>
      <c r="R29" s="409">
        <f t="shared" si="7"/>
        <v>2878.824181856869</v>
      </c>
      <c r="S29" s="409">
        <f t="shared" si="8"/>
        <v>866.00792432087394</v>
      </c>
      <c r="T29" s="410">
        <f t="shared" si="9"/>
        <v>8143.8476771402238</v>
      </c>
      <c r="U29" s="522">
        <f t="shared" si="2"/>
        <v>21737.454720547561</v>
      </c>
    </row>
    <row r="30" spans="1:21" x14ac:dyDescent="0.25">
      <c r="A30" s="392">
        <f>+'Index Pricing'!A11</f>
        <v>37200</v>
      </c>
      <c r="B30" s="393">
        <f>+'Index Pricing'!B11</f>
        <v>2.0150000000000001</v>
      </c>
      <c r="C30" s="402">
        <f t="shared" si="0"/>
        <v>1.5016000000000003</v>
      </c>
      <c r="D30" s="403">
        <f>O30*'Internal Kennedy Total'!T22</f>
        <v>1207.0142343771877</v>
      </c>
      <c r="E30" s="404">
        <f>+'Index Pricing'!$B$4+'Box Draw Detail'!$K$17</f>
        <v>2.262</v>
      </c>
      <c r="F30" s="387">
        <f>O30*'Internal Kennedy Total'!U22</f>
        <v>3443.6925374527468</v>
      </c>
      <c r="G30" s="404">
        <f t="shared" si="1"/>
        <v>2.0266000000000002</v>
      </c>
      <c r="H30" s="405">
        <f>O30*'Internal Kennedy Total'!V22</f>
        <v>1384.9383488122462</v>
      </c>
      <c r="I30" s="404">
        <f t="shared" si="3"/>
        <v>1.3343000000000003</v>
      </c>
      <c r="J30" s="406">
        <f>O30*'Internal Kennedy Total'!W22</f>
        <v>632.7785037569422</v>
      </c>
      <c r="K30" s="404">
        <f>B30+$K$19+'Kennedy Gas Daily Pricing'!B11</f>
        <v>1.4516000000000002</v>
      </c>
      <c r="L30" s="406">
        <f>'Internal Kennedy Total'!X22*'Internal Kennedy Total'!M22</f>
        <v>5629.5763756008773</v>
      </c>
      <c r="M30" s="407">
        <f>'[1]Enron Detail'!$D18</f>
        <v>-1199</v>
      </c>
      <c r="N30" s="408">
        <f t="shared" si="4"/>
        <v>13497</v>
      </c>
      <c r="O30" s="574">
        <f>'Internal Kennedy Total'!M22</f>
        <v>12298</v>
      </c>
      <c r="P30" s="409">
        <f t="shared" si="5"/>
        <v>1812.4525743407853</v>
      </c>
      <c r="Q30" s="409">
        <f t="shared" si="6"/>
        <v>7789.6325197181131</v>
      </c>
      <c r="R30" s="409">
        <f t="shared" si="7"/>
        <v>2806.7160577028985</v>
      </c>
      <c r="S30" s="409">
        <f t="shared" si="8"/>
        <v>844.31635756288813</v>
      </c>
      <c r="T30" s="410">
        <f t="shared" si="9"/>
        <v>8171.8930668222347</v>
      </c>
      <c r="U30" s="522">
        <f t="shared" si="2"/>
        <v>21425.01057614692</v>
      </c>
    </row>
    <row r="31" spans="1:21" x14ac:dyDescent="0.25">
      <c r="A31" s="392">
        <f>+'Index Pricing'!A12</f>
        <v>37201</v>
      </c>
      <c r="B31" s="393">
        <f>+'Index Pricing'!B12</f>
        <v>2.16</v>
      </c>
      <c r="C31" s="402">
        <f t="shared" si="0"/>
        <v>1.6466000000000003</v>
      </c>
      <c r="D31" s="403">
        <f>O31*'Internal Kennedy Total'!T23</f>
        <v>1257.4639175257732</v>
      </c>
      <c r="E31" s="404">
        <f>+'Index Pricing'!$B$4+'Box Draw Detail'!$K$17</f>
        <v>2.262</v>
      </c>
      <c r="F31" s="387">
        <f>O31*'Internal Kennedy Total'!U23</f>
        <v>3587.6288659793813</v>
      </c>
      <c r="G31" s="404">
        <f t="shared" si="1"/>
        <v>2.0266000000000002</v>
      </c>
      <c r="H31" s="405">
        <f>O31*'Internal Kennedy Total'!V23</f>
        <v>1442.8247422680413</v>
      </c>
      <c r="I31" s="404">
        <f t="shared" si="3"/>
        <v>1.4793000000000003</v>
      </c>
      <c r="J31" s="406">
        <f>O31*'Internal Kennedy Total'!W23</f>
        <v>659.2268041237113</v>
      </c>
      <c r="K31" s="404">
        <f>B31+$K$19+'Kennedy Gas Daily Pricing'!B12</f>
        <v>1.5966000000000002</v>
      </c>
      <c r="L31" s="406">
        <f>'Internal Kennedy Total'!X23*'Internal Kennedy Total'!M23</f>
        <v>5667.855670103093</v>
      </c>
      <c r="M31" s="407">
        <f>'[1]Enron Detail'!$D19</f>
        <v>-1207</v>
      </c>
      <c r="N31" s="408">
        <f t="shared" si="4"/>
        <v>13822</v>
      </c>
      <c r="O31" s="574">
        <f>'Internal Kennedy Total'!M23</f>
        <v>12615</v>
      </c>
      <c r="P31" s="409">
        <f t="shared" si="5"/>
        <v>2070.5400865979386</v>
      </c>
      <c r="Q31" s="409">
        <f t="shared" si="6"/>
        <v>8115.216494845361</v>
      </c>
      <c r="R31" s="409">
        <f t="shared" si="7"/>
        <v>2924.0286226804128</v>
      </c>
      <c r="S31" s="409">
        <f t="shared" si="8"/>
        <v>975.19421134020627</v>
      </c>
      <c r="T31" s="410">
        <f t="shared" si="9"/>
        <v>9049.2983628866004</v>
      </c>
      <c r="U31" s="522">
        <f t="shared" si="2"/>
        <v>23134.277778350519</v>
      </c>
    </row>
    <row r="32" spans="1:21" x14ac:dyDescent="0.25">
      <c r="A32" s="392">
        <f>+'Index Pricing'!A13</f>
        <v>37202</v>
      </c>
      <c r="B32" s="411">
        <f>+'Index Pricing'!B13</f>
        <v>2.1349999999999998</v>
      </c>
      <c r="C32" s="402">
        <f t="shared" si="0"/>
        <v>1.6215999999999999</v>
      </c>
      <c r="D32" s="403">
        <f>O32*'Internal Kennedy Total'!T24</f>
        <v>1214.0879581151833</v>
      </c>
      <c r="E32" s="404">
        <f>+'Index Pricing'!$B$4+'Box Draw Detail'!$K$17</f>
        <v>2.262</v>
      </c>
      <c r="F32" s="387">
        <f>O32*'Internal Kennedy Total'!U24</f>
        <v>3463.8743455497383</v>
      </c>
      <c r="G32" s="404">
        <f t="shared" si="1"/>
        <v>2.0266000000000002</v>
      </c>
      <c r="H32" s="405">
        <f>O32*'Internal Kennedy Total'!V24</f>
        <v>1393.0547993019197</v>
      </c>
      <c r="I32" s="404">
        <f t="shared" si="3"/>
        <v>1.4542999999999999</v>
      </c>
      <c r="J32" s="406">
        <f>O32*'Internal Kennedy Total'!W24</f>
        <v>636.48691099476434</v>
      </c>
      <c r="K32" s="404">
        <f>B32+$K$19+'Kennedy Gas Daily Pricing'!B13</f>
        <v>1.5715999999999999</v>
      </c>
      <c r="L32" s="406">
        <f>'Internal Kennedy Total'!X24*'Internal Kennedy Total'!M24</f>
        <v>5697.4959860383942</v>
      </c>
      <c r="M32" s="407">
        <f>'[1]Enron Detail'!$D20</f>
        <v>-1182</v>
      </c>
      <c r="N32" s="408">
        <f t="shared" si="4"/>
        <v>13587</v>
      </c>
      <c r="O32" s="574">
        <f>'Internal Kennedy Total'!M24</f>
        <v>12405</v>
      </c>
      <c r="P32" s="409">
        <f t="shared" si="5"/>
        <v>1968.765032879581</v>
      </c>
      <c r="Q32" s="409">
        <f t="shared" si="6"/>
        <v>7835.2837696335082</v>
      </c>
      <c r="R32" s="409">
        <f t="shared" si="7"/>
        <v>2823.1648562652708</v>
      </c>
      <c r="S32" s="409">
        <f t="shared" si="8"/>
        <v>925.64291465968574</v>
      </c>
      <c r="T32" s="410">
        <f t="shared" si="9"/>
        <v>8954.1846916579398</v>
      </c>
      <c r="U32" s="522">
        <f t="shared" si="2"/>
        <v>22507.041265095984</v>
      </c>
    </row>
    <row r="33" spans="1:21" x14ac:dyDescent="0.25">
      <c r="A33" s="392">
        <f>+'Index Pricing'!A14</f>
        <v>37203</v>
      </c>
      <c r="B33" s="393">
        <f>+'Index Pricing'!B14</f>
        <v>2.13</v>
      </c>
      <c r="C33" s="402">
        <f t="shared" si="0"/>
        <v>1.6166</v>
      </c>
      <c r="D33" s="403">
        <f>O33*'Internal Kennedy Total'!T25</f>
        <v>1171.7813833135185</v>
      </c>
      <c r="E33" s="404">
        <f>+'Index Pricing'!$B$4+'Box Draw Detail'!$K$17</f>
        <v>2.262</v>
      </c>
      <c r="F33" s="387">
        <f>O33*'Internal Kennedy Total'!U25</f>
        <v>3343.1708511084694</v>
      </c>
      <c r="G33" s="404">
        <f t="shared" si="1"/>
        <v>2.0266000000000002</v>
      </c>
      <c r="H33" s="405">
        <f>O33*'Internal Kennedy Total'!V25</f>
        <v>1344.5118772874559</v>
      </c>
      <c r="I33" s="404">
        <f t="shared" si="3"/>
        <v>1.4493</v>
      </c>
      <c r="J33" s="406">
        <f>O33*'Internal Kennedy Total'!W25</f>
        <v>614.30764389118121</v>
      </c>
      <c r="K33" s="404">
        <f>B33+$K$19+'Kennedy Gas Daily Pricing'!B14</f>
        <v>1.5666</v>
      </c>
      <c r="L33" s="406">
        <f>'Internal Kennedy Total'!X25*'Internal Kennedy Total'!M25</f>
        <v>5477.2282443993754</v>
      </c>
      <c r="M33" s="407">
        <f>'[1]Enron Detail'!$D21</f>
        <v>-1061</v>
      </c>
      <c r="N33" s="408">
        <f t="shared" si="4"/>
        <v>13012</v>
      </c>
      <c r="O33" s="574">
        <f>'Internal Kennedy Total'!M25</f>
        <v>11951</v>
      </c>
      <c r="P33" s="409">
        <f t="shared" si="5"/>
        <v>1894.3017842646341</v>
      </c>
      <c r="Q33" s="409">
        <f t="shared" si="6"/>
        <v>7562.252465207358</v>
      </c>
      <c r="R33" s="409">
        <f t="shared" si="7"/>
        <v>2724.7877705107585</v>
      </c>
      <c r="S33" s="409">
        <f t="shared" si="8"/>
        <v>890.31606829148893</v>
      </c>
      <c r="T33" s="410">
        <f t="shared" si="9"/>
        <v>8580.6257676760615</v>
      </c>
      <c r="U33" s="522">
        <f t="shared" si="2"/>
        <v>21652.2838559503</v>
      </c>
    </row>
    <row r="34" spans="1:21" x14ac:dyDescent="0.25">
      <c r="A34" s="392">
        <f>+'Index Pricing'!A15</f>
        <v>37204</v>
      </c>
      <c r="B34" s="393">
        <f>+'Index Pricing'!B15</f>
        <v>1.9350000000000001</v>
      </c>
      <c r="C34" s="402">
        <f t="shared" si="0"/>
        <v>1.4216000000000002</v>
      </c>
      <c r="D34" s="403">
        <f>O34*'Internal Kennedy Total'!T26</f>
        <v>1260.1579699104932</v>
      </c>
      <c r="E34" s="404">
        <f>+'Index Pricing'!$B$4+'Box Draw Detail'!$K$17</f>
        <v>2.262</v>
      </c>
      <c r="F34" s="387">
        <f>O34*'Internal Kennedy Total'!U26</f>
        <v>3595.3151780613211</v>
      </c>
      <c r="G34" s="404">
        <f t="shared" si="1"/>
        <v>2.0266000000000002</v>
      </c>
      <c r="H34" s="405">
        <f>O34*'Internal Kennedy Total'!V26</f>
        <v>1445.9159207769949</v>
      </c>
      <c r="I34" s="404">
        <f t="shared" si="3"/>
        <v>1.2543000000000002</v>
      </c>
      <c r="J34" s="406">
        <f>O34*'Internal Kennedy Total'!W26</f>
        <v>660.63916396876789</v>
      </c>
      <c r="K34" s="404">
        <f>B34+$K$19+'Kennedy Gas Daily Pricing'!B15</f>
        <v>1.3716000000000002</v>
      </c>
      <c r="L34" s="406">
        <f>'Internal Kennedy Total'!X26*'Internal Kennedy Total'!M26</f>
        <v>5623.9717672824218</v>
      </c>
      <c r="M34" s="407">
        <f>'[1]Enron Detail'!$D22</f>
        <v>-1078</v>
      </c>
      <c r="N34" s="408">
        <f t="shared" si="4"/>
        <v>13664</v>
      </c>
      <c r="O34" s="574">
        <f>'Internal Kennedy Total'!M26</f>
        <v>12586</v>
      </c>
      <c r="P34" s="409">
        <f t="shared" si="5"/>
        <v>1791.4405700247573</v>
      </c>
      <c r="Q34" s="409">
        <f t="shared" si="6"/>
        <v>8132.6029327747083</v>
      </c>
      <c r="R34" s="409">
        <f t="shared" si="7"/>
        <v>2930.2932050466579</v>
      </c>
      <c r="S34" s="409">
        <f t="shared" si="8"/>
        <v>828.63970336602574</v>
      </c>
      <c r="T34" s="410">
        <f t="shared" si="9"/>
        <v>7713.8396760045707</v>
      </c>
      <c r="U34" s="522">
        <f t="shared" si="2"/>
        <v>21396.816087216721</v>
      </c>
    </row>
    <row r="35" spans="1:21" x14ac:dyDescent="0.25">
      <c r="A35" s="392">
        <f>+'Index Pricing'!A16</f>
        <v>37205</v>
      </c>
      <c r="B35" s="393">
        <f>+'Index Pricing'!B16</f>
        <v>1.7</v>
      </c>
      <c r="C35" s="402">
        <f t="shared" si="0"/>
        <v>1.1865999999999999</v>
      </c>
      <c r="D35" s="403">
        <f>O35*'Internal Kennedy Total'!T27</f>
        <v>1371.8159416119497</v>
      </c>
      <c r="E35" s="404">
        <f>+'Index Pricing'!$B$4+'Box Draw Detail'!$K$17</f>
        <v>2.262</v>
      </c>
      <c r="F35" s="387">
        <f>O35*'Internal Kennedy Total'!U27</f>
        <v>3913.8828576660476</v>
      </c>
      <c r="G35" s="404">
        <f t="shared" si="1"/>
        <v>2.0266000000000002</v>
      </c>
      <c r="H35" s="405">
        <f>O35*'Internal Kennedy Total'!V27</f>
        <v>1574.0332225913621</v>
      </c>
      <c r="I35" s="404">
        <f t="shared" si="3"/>
        <v>1.0192999999999999</v>
      </c>
      <c r="J35" s="406">
        <f>O35*'Internal Kennedy Total'!W27</f>
        <v>719.1759750961362</v>
      </c>
      <c r="K35" s="404">
        <f>B35+$K$19+'Kennedy Gas Daily Pricing'!B16</f>
        <v>1.1365999999999998</v>
      </c>
      <c r="L35" s="406">
        <f>'Internal Kennedy Total'!X27*'Internal Kennedy Total'!M27</f>
        <v>4889.0920030345042</v>
      </c>
      <c r="M35" s="407">
        <f>'[1]Enron Detail'!$D23</f>
        <v>-1138</v>
      </c>
      <c r="N35" s="408">
        <f t="shared" si="4"/>
        <v>13606</v>
      </c>
      <c r="O35" s="574">
        <f>'Internal Kennedy Total'!M27</f>
        <v>12468</v>
      </c>
      <c r="P35" s="409">
        <f t="shared" si="5"/>
        <v>1627.7967963167393</v>
      </c>
      <c r="Q35" s="409">
        <f t="shared" si="6"/>
        <v>8853.2030240406002</v>
      </c>
      <c r="R35" s="409">
        <f t="shared" si="7"/>
        <v>3189.9357289036548</v>
      </c>
      <c r="S35" s="409">
        <f t="shared" si="8"/>
        <v>733.05607141549149</v>
      </c>
      <c r="T35" s="410">
        <f t="shared" si="9"/>
        <v>5556.9419706490162</v>
      </c>
      <c r="U35" s="522">
        <f t="shared" si="2"/>
        <v>19960.933591325502</v>
      </c>
    </row>
    <row r="36" spans="1:21" x14ac:dyDescent="0.25">
      <c r="A36" s="392">
        <f>+'Index Pricing'!A17</f>
        <v>37206</v>
      </c>
      <c r="B36" s="393">
        <f>+'Index Pricing'!B17</f>
        <v>1.7</v>
      </c>
      <c r="C36" s="402">
        <f t="shared" si="0"/>
        <v>1.1865999999999999</v>
      </c>
      <c r="D36" s="403">
        <f>O36*'Internal Kennedy Total'!T28</f>
        <v>1382.3398560383898</v>
      </c>
      <c r="E36" s="404">
        <f>+'Index Pricing'!$B$4+'Box Draw Detail'!$K$17</f>
        <v>2.262</v>
      </c>
      <c r="F36" s="387">
        <f>O36*'Internal Kennedy Total'!U28</f>
        <v>3943.9082911223672</v>
      </c>
      <c r="G36" s="404">
        <f t="shared" si="1"/>
        <v>2.0266000000000002</v>
      </c>
      <c r="H36" s="405">
        <f>O36*'Internal Kennedy Total'!V28</f>
        <v>1586.1084510797123</v>
      </c>
      <c r="I36" s="404">
        <f t="shared" si="3"/>
        <v>1.0192999999999999</v>
      </c>
      <c r="J36" s="406">
        <f>O36*'Internal Kennedy Total'!W28</f>
        <v>724.69314849373507</v>
      </c>
      <c r="K36" s="404">
        <f>B36+$K$19+'Kennedy Gas Daily Pricing'!B17</f>
        <v>1.1365999999999998</v>
      </c>
      <c r="L36" s="406">
        <f>'Internal Kennedy Total'!X28*'Internal Kennedy Total'!M28</f>
        <v>4690.9502532657962</v>
      </c>
      <c r="M36" s="407">
        <f>'[1]Enron Detail'!$D24</f>
        <v>-1118</v>
      </c>
      <c r="N36" s="408">
        <f t="shared" si="4"/>
        <v>13446</v>
      </c>
      <c r="O36" s="574">
        <f>'Internal Kennedy Total'!M28</f>
        <v>12328</v>
      </c>
      <c r="P36" s="409">
        <f t="shared" si="5"/>
        <v>1640.2844731751532</v>
      </c>
      <c r="Q36" s="409">
        <f t="shared" si="6"/>
        <v>8921.120554518795</v>
      </c>
      <c r="R36" s="409">
        <f t="shared" si="7"/>
        <v>3214.4073869581453</v>
      </c>
      <c r="S36" s="409">
        <f t="shared" si="8"/>
        <v>738.67972625966411</v>
      </c>
      <c r="T36" s="410">
        <f t="shared" si="9"/>
        <v>5331.7340578619032</v>
      </c>
      <c r="U36" s="522">
        <f t="shared" si="2"/>
        <v>19846.22619877366</v>
      </c>
    </row>
    <row r="37" spans="1:21" x14ac:dyDescent="0.25">
      <c r="A37" s="392">
        <f>+'Index Pricing'!A18</f>
        <v>37207</v>
      </c>
      <c r="B37" s="393">
        <f>+'Index Pricing'!B18</f>
        <v>1.7</v>
      </c>
      <c r="C37" s="402">
        <f t="shared" si="0"/>
        <v>1.1865999999999999</v>
      </c>
      <c r="D37" s="403">
        <f>O37*'Internal Kennedy Total'!T29</f>
        <v>1344.6575776791376</v>
      </c>
      <c r="E37" s="404">
        <f>+'Index Pricing'!$B$4+'Box Draw Detail'!$K$17</f>
        <v>2.262</v>
      </c>
      <c r="F37" s="387">
        <f>O37*'Internal Kennedy Total'!U29</f>
        <v>3836.3982244768549</v>
      </c>
      <c r="G37" s="404">
        <f t="shared" si="1"/>
        <v>2.0266000000000002</v>
      </c>
      <c r="H37" s="405">
        <f>O37*'Internal Kennedy Total'!V29</f>
        <v>1542.871485943775</v>
      </c>
      <c r="I37" s="404">
        <f t="shared" si="3"/>
        <v>1.0192999999999999</v>
      </c>
      <c r="J37" s="406">
        <f>O37*'Internal Kennedy Total'!W29</f>
        <v>704.93817374762205</v>
      </c>
      <c r="K37" s="404">
        <f>B37+$K$19+'Kennedy Gas Daily Pricing'!B18</f>
        <v>1.1365999999999998</v>
      </c>
      <c r="L37" s="406">
        <f>'Internal Kennedy Total'!X29*'Internal Kennedy Total'!M29</f>
        <v>4671.1345381526107</v>
      </c>
      <c r="M37" s="407">
        <f>'[1]Enron Detail'!$D25</f>
        <v>-1165</v>
      </c>
      <c r="N37" s="408">
        <f t="shared" si="4"/>
        <v>13265</v>
      </c>
      <c r="O37" s="574">
        <f>'Internal Kennedy Total'!M29</f>
        <v>12100</v>
      </c>
      <c r="P37" s="409">
        <f t="shared" si="5"/>
        <v>1595.5706816740644</v>
      </c>
      <c r="Q37" s="409">
        <f t="shared" si="6"/>
        <v>8677.932783766646</v>
      </c>
      <c r="R37" s="409">
        <f t="shared" si="7"/>
        <v>3126.7833534136548</v>
      </c>
      <c r="S37" s="409">
        <f t="shared" si="8"/>
        <v>718.54348050095109</v>
      </c>
      <c r="T37" s="410">
        <f t="shared" si="9"/>
        <v>5309.211516064257</v>
      </c>
      <c r="U37" s="522">
        <f t="shared" si="2"/>
        <v>19428.041815419572</v>
      </c>
    </row>
    <row r="38" spans="1:21" x14ac:dyDescent="0.25">
      <c r="A38" s="392">
        <f>+'Index Pricing'!A19</f>
        <v>37208</v>
      </c>
      <c r="B38" s="393">
        <f>+'Index Pricing'!B19</f>
        <v>1.52</v>
      </c>
      <c r="C38" s="402">
        <f t="shared" si="0"/>
        <v>1.0066000000000002</v>
      </c>
      <c r="D38" s="403">
        <f>O38*'Internal Kennedy Total'!T30</f>
        <v>1443.0023408970317</v>
      </c>
      <c r="E38" s="404">
        <f>+'Index Pricing'!$B$4+'Box Draw Detail'!$K$17</f>
        <v>2.262</v>
      </c>
      <c r="F38" s="387">
        <f>O38*'Internal Kennedy Total'!U30</f>
        <v>4116.9824276662821</v>
      </c>
      <c r="G38" s="404">
        <f t="shared" si="1"/>
        <v>2.0266000000000002</v>
      </c>
      <c r="H38" s="405">
        <f>O38*'Internal Kennedy Total'!V30</f>
        <v>1655.7130996597896</v>
      </c>
      <c r="I38" s="404">
        <f t="shared" si="3"/>
        <v>0.83930000000000005</v>
      </c>
      <c r="J38" s="406">
        <f>O38*'Internal Kennedy Total'!W30</f>
        <v>756.49552108367925</v>
      </c>
      <c r="K38" s="404">
        <f>B38+$K$19+'Kennedy Gas Daily Pricing'!B19</f>
        <v>0.95660000000000012</v>
      </c>
      <c r="L38" s="406">
        <f>'Internal Kennedy Total'!X30*'Internal Kennedy Total'!M30</f>
        <v>3019.8066106932174</v>
      </c>
      <c r="M38" s="407">
        <f>'[1]Enron Detail'!$D26</f>
        <v>-1179</v>
      </c>
      <c r="N38" s="408">
        <f t="shared" si="4"/>
        <v>12171</v>
      </c>
      <c r="O38" s="574">
        <f>'Internal Kennedy Total'!M30</f>
        <v>10992</v>
      </c>
      <c r="P38" s="409">
        <f t="shared" si="5"/>
        <v>1452.5261563469523</v>
      </c>
      <c r="Q38" s="409">
        <f t="shared" si="6"/>
        <v>9312.6142513811301</v>
      </c>
      <c r="R38" s="409">
        <f t="shared" si="7"/>
        <v>3355.4681677705298</v>
      </c>
      <c r="S38" s="409">
        <f t="shared" si="8"/>
        <v>634.92669084553199</v>
      </c>
      <c r="T38" s="410">
        <f t="shared" si="9"/>
        <v>2888.7470037891321</v>
      </c>
      <c r="U38" s="522">
        <f t="shared" si="2"/>
        <v>17644.282270133277</v>
      </c>
    </row>
    <row r="39" spans="1:21" x14ac:dyDescent="0.25">
      <c r="A39" s="392">
        <f>+'Index Pricing'!A20</f>
        <v>37209</v>
      </c>
      <c r="B39" s="393">
        <f>+'Index Pricing'!B20</f>
        <v>1.595</v>
      </c>
      <c r="C39" s="402">
        <f t="shared" si="0"/>
        <v>1.0815999999999999</v>
      </c>
      <c r="D39" s="403">
        <f>O39*'Internal Kennedy Total'!T31</f>
        <v>1398.3639848903422</v>
      </c>
      <c r="E39" s="404">
        <f>+'Index Pricing'!$B$4+'Box Draw Detail'!$K$17</f>
        <v>2.262</v>
      </c>
      <c r="F39" s="387">
        <f>O39*'Internal Kennedy Total'!U31</f>
        <v>3989.6262051079661</v>
      </c>
      <c r="G39" s="404">
        <f t="shared" si="1"/>
        <v>2.0266000000000002</v>
      </c>
      <c r="H39" s="405">
        <f>O39*'Internal Kennedy Total'!V31</f>
        <v>1604.4946721542537</v>
      </c>
      <c r="I39" s="404">
        <f t="shared" si="3"/>
        <v>0.9143</v>
      </c>
      <c r="J39" s="406">
        <f>O39*'Internal Kennedy Total'!W31</f>
        <v>733.09381518858879</v>
      </c>
      <c r="K39" s="404">
        <f>B39+$K$19+'Kennedy Gas Daily Pricing'!B20</f>
        <v>1.0315999999999999</v>
      </c>
      <c r="L39" s="406">
        <f>'Internal Kennedy Total'!X31*'Internal Kennedy Total'!M31</f>
        <v>4068.4213226588486</v>
      </c>
      <c r="M39" s="407">
        <f>'[1]Enron Detail'!$D27</f>
        <v>-1214</v>
      </c>
      <c r="N39" s="408">
        <f t="shared" si="4"/>
        <v>13008</v>
      </c>
      <c r="O39" s="574">
        <f>'Internal Kennedy Total'!M31</f>
        <v>11794</v>
      </c>
      <c r="P39" s="409">
        <f t="shared" si="5"/>
        <v>1512.4704860573941</v>
      </c>
      <c r="Q39" s="409">
        <f t="shared" si="6"/>
        <v>9024.5344759542186</v>
      </c>
      <c r="R39" s="409">
        <f t="shared" si="7"/>
        <v>3251.6689025878109</v>
      </c>
      <c r="S39" s="409">
        <f t="shared" si="8"/>
        <v>670.26767522692671</v>
      </c>
      <c r="T39" s="410">
        <f t="shared" si="9"/>
        <v>4196.9834364548678</v>
      </c>
      <c r="U39" s="522">
        <f t="shared" si="2"/>
        <v>18655.924976281218</v>
      </c>
    </row>
    <row r="40" spans="1:21" x14ac:dyDescent="0.25">
      <c r="A40" s="392">
        <f>+'Index Pricing'!A21</f>
        <v>37210</v>
      </c>
      <c r="B40" s="393">
        <f>+'Index Pricing'!B21</f>
        <v>1.84</v>
      </c>
      <c r="C40" s="402">
        <f t="shared" si="0"/>
        <v>1.3266</v>
      </c>
      <c r="D40" s="403">
        <f>O40*'Internal Kennedy Total'!T32</f>
        <v>1328.5178757375911</v>
      </c>
      <c r="E40" s="404">
        <f>+'Index Pricing'!$B$4+'Box Draw Detail'!$K$17</f>
        <v>2.262</v>
      </c>
      <c r="F40" s="387">
        <f>O40*'Internal Kennedy Total'!U32</f>
        <v>3790.3505727178067</v>
      </c>
      <c r="G40" s="404">
        <f t="shared" si="1"/>
        <v>2.0266000000000002</v>
      </c>
      <c r="H40" s="405">
        <f>O40*'Internal Kennedy Total'!V32</f>
        <v>1524.3526553280112</v>
      </c>
      <c r="I40" s="404">
        <f t="shared" si="3"/>
        <v>1.1593</v>
      </c>
      <c r="J40" s="406">
        <f>O40*'Internal Kennedy Total'!W32</f>
        <v>696.47691773689689</v>
      </c>
      <c r="K40" s="404">
        <f>B40+$K$19+'Kennedy Gas Daily Pricing'!B21</f>
        <v>1.2766</v>
      </c>
      <c r="L40" s="406">
        <f>'Internal Kennedy Total'!X32*'Internal Kennedy Total'!M32</f>
        <v>4490.3019784796943</v>
      </c>
      <c r="M40" s="407">
        <f>'[1]Enron Detail'!$D28</f>
        <v>-1370</v>
      </c>
      <c r="N40" s="408">
        <f t="shared" si="4"/>
        <v>13200</v>
      </c>
      <c r="O40" s="574">
        <f>'Internal Kennedy Total'!M32</f>
        <v>11830</v>
      </c>
      <c r="P40" s="409">
        <f t="shared" si="5"/>
        <v>1762.4118139534883</v>
      </c>
      <c r="Q40" s="409">
        <f t="shared" si="6"/>
        <v>8573.7729954876795</v>
      </c>
      <c r="R40" s="409">
        <f t="shared" si="7"/>
        <v>3089.2530912877478</v>
      </c>
      <c r="S40" s="409">
        <f t="shared" si="8"/>
        <v>807.42569073238462</v>
      </c>
      <c r="T40" s="410">
        <f t="shared" si="9"/>
        <v>5732.3195057271778</v>
      </c>
      <c r="U40" s="522">
        <f t="shared" si="2"/>
        <v>19965.183097188477</v>
      </c>
    </row>
    <row r="41" spans="1:21" x14ac:dyDescent="0.25">
      <c r="A41" s="392">
        <f>+'Index Pricing'!A22</f>
        <v>37211</v>
      </c>
      <c r="B41" s="393">
        <f>+'Index Pricing'!B22</f>
        <v>1.4350000000000001</v>
      </c>
      <c r="C41" s="402">
        <f t="shared" si="0"/>
        <v>0.92160000000000009</v>
      </c>
      <c r="D41" s="403">
        <f>O41*'Internal Kennedy Total'!T33</f>
        <v>1339.9142948004453</v>
      </c>
      <c r="E41" s="404">
        <f>+'Index Pricing'!$B$4+'Box Draw Detail'!$K$17</f>
        <v>2.262</v>
      </c>
      <c r="F41" s="387">
        <f>O41*'Internal Kennedy Total'!U33</f>
        <v>3822.8653204006996</v>
      </c>
      <c r="G41" s="404">
        <f t="shared" si="1"/>
        <v>2.0266000000000002</v>
      </c>
      <c r="H41" s="405">
        <f>O41*'Internal Kennedy Total'!V33</f>
        <v>1537.429003021148</v>
      </c>
      <c r="I41" s="404">
        <f t="shared" si="3"/>
        <v>0.75430000000000008</v>
      </c>
      <c r="J41" s="406">
        <f>O41*'Internal Kennedy Total'!W33</f>
        <v>702.45150262362858</v>
      </c>
      <c r="K41" s="404">
        <f>B41+$K$19+'Kennedy Gas Daily Pricing'!B22</f>
        <v>0.87160000000000004</v>
      </c>
      <c r="L41" s="406">
        <f>'Internal Kennedy Total'!X33*'Internal Kennedy Total'!M33</f>
        <v>4618.3398791540785</v>
      </c>
      <c r="M41" s="407">
        <f>'[1]Enron Detail'!$D29</f>
        <v>-979</v>
      </c>
      <c r="N41" s="408">
        <f t="shared" si="4"/>
        <v>13000</v>
      </c>
      <c r="O41" s="574">
        <f>'Internal Kennedy Total'!M33</f>
        <v>12021</v>
      </c>
      <c r="P41" s="409">
        <f t="shared" si="5"/>
        <v>1234.8650140880904</v>
      </c>
      <c r="Q41" s="409">
        <f t="shared" si="6"/>
        <v>8647.321354746382</v>
      </c>
      <c r="R41" s="409">
        <f t="shared" si="7"/>
        <v>3115.7536175226587</v>
      </c>
      <c r="S41" s="409">
        <f t="shared" si="8"/>
        <v>529.85916842900315</v>
      </c>
      <c r="T41" s="410">
        <f t="shared" si="9"/>
        <v>4025.345038670695</v>
      </c>
      <c r="U41" s="522">
        <f t="shared" si="2"/>
        <v>17553.144193456828</v>
      </c>
    </row>
    <row r="42" spans="1:21" x14ac:dyDescent="0.25">
      <c r="A42" s="392">
        <f>+'Index Pricing'!A23</f>
        <v>37212</v>
      </c>
      <c r="B42" s="393">
        <f>+'Index Pricing'!B23</f>
        <v>1.135</v>
      </c>
      <c r="C42" s="402">
        <f t="shared" si="0"/>
        <v>0.62160000000000004</v>
      </c>
      <c r="D42" s="403">
        <f>O42*'Internal Kennedy Total'!T34</f>
        <v>1390.3630871387363</v>
      </c>
      <c r="E42" s="404">
        <f>+'Index Pricing'!$B$4+'Box Draw Detail'!$K$17</f>
        <v>2.262</v>
      </c>
      <c r="F42" s="387">
        <f>O42*'Internal Kennedy Total'!U34</f>
        <v>3966.7991073858379</v>
      </c>
      <c r="G42" s="404">
        <f t="shared" si="1"/>
        <v>2.0266000000000002</v>
      </c>
      <c r="H42" s="405">
        <f>O42*'Internal Kennedy Total'!V34</f>
        <v>1595.3143743536712</v>
      </c>
      <c r="I42" s="404">
        <f t="shared" si="3"/>
        <v>0.45430000000000004</v>
      </c>
      <c r="J42" s="406">
        <f>O42*'Internal Kennedy Total'!W34</f>
        <v>728.8993359821477</v>
      </c>
      <c r="K42" s="404">
        <f>B42+$K$19+'Kennedy Gas Daily Pricing'!B23</f>
        <v>0.5716</v>
      </c>
      <c r="L42" s="406">
        <f>'Internal Kennedy Total'!X34*'Internal Kennedy Total'!M34</f>
        <v>4465.6240951396067</v>
      </c>
      <c r="M42" s="407">
        <f>'[1]Enron Detail'!$D30</f>
        <v>-1065</v>
      </c>
      <c r="N42" s="408">
        <f t="shared" si="4"/>
        <v>13212</v>
      </c>
      <c r="O42" s="574">
        <f>'Internal Kennedy Total'!M34</f>
        <v>12147</v>
      </c>
      <c r="P42" s="409">
        <f t="shared" si="5"/>
        <v>864.24969496543861</v>
      </c>
      <c r="Q42" s="409">
        <f t="shared" si="6"/>
        <v>8972.8995809067656</v>
      </c>
      <c r="R42" s="409">
        <f t="shared" si="7"/>
        <v>3233.0641110651504</v>
      </c>
      <c r="S42" s="409">
        <f t="shared" si="8"/>
        <v>331.13896833668974</v>
      </c>
      <c r="T42" s="410">
        <f t="shared" si="9"/>
        <v>2552.5507327817991</v>
      </c>
      <c r="U42" s="522">
        <f t="shared" si="2"/>
        <v>15953.903088055844</v>
      </c>
    </row>
    <row r="43" spans="1:21" x14ac:dyDescent="0.25">
      <c r="A43" s="392">
        <f>+'Index Pricing'!A24</f>
        <v>37213</v>
      </c>
      <c r="B43" s="393">
        <f>+'Index Pricing'!B24</f>
        <v>1.135</v>
      </c>
      <c r="C43" s="402">
        <f t="shared" si="0"/>
        <v>0.62160000000000004</v>
      </c>
      <c r="D43" s="403">
        <f>O43*'Internal Kennedy Total'!T35</f>
        <v>1458.2801802328984</v>
      </c>
      <c r="E43" s="404">
        <f>+'Index Pricing'!$B$4+'Box Draw Detail'!$K$17</f>
        <v>2.262</v>
      </c>
      <c r="F43" s="387">
        <f>O43*'Internal Kennedy Total'!U35</f>
        <v>4160.5711276259581</v>
      </c>
      <c r="G43" s="404">
        <f t="shared" si="1"/>
        <v>2.0266000000000002</v>
      </c>
      <c r="H43" s="405">
        <f>O43*'Internal Kennedy Total'!V35</f>
        <v>1673.2430218269062</v>
      </c>
      <c r="I43" s="404">
        <f t="shared" si="3"/>
        <v>0.45430000000000004</v>
      </c>
      <c r="J43" s="406">
        <f>O43*'Internal Kennedy Total'!W35</f>
        <v>764.50494470126978</v>
      </c>
      <c r="K43" s="404">
        <f>B43+$K$19+'Kennedy Gas Daily Pricing'!B24</f>
        <v>0.5716</v>
      </c>
      <c r="L43" s="406">
        <f>'Internal Kennedy Total'!X35*'Internal Kennedy Total'!M35</f>
        <v>3793.4007256129671</v>
      </c>
      <c r="M43" s="407">
        <f>'[1]Enron Detail'!$D31</f>
        <v>-931</v>
      </c>
      <c r="N43" s="408">
        <f t="shared" si="4"/>
        <v>12781</v>
      </c>
      <c r="O43" s="574">
        <f>'Internal Kennedy Total'!M35</f>
        <v>11850</v>
      </c>
      <c r="P43" s="409">
        <f t="shared" si="5"/>
        <v>906.46696003276963</v>
      </c>
      <c r="Q43" s="409">
        <f t="shared" si="6"/>
        <v>9411.2118906899177</v>
      </c>
      <c r="R43" s="409">
        <f t="shared" si="7"/>
        <v>3390.9943080344083</v>
      </c>
      <c r="S43" s="409">
        <f t="shared" si="8"/>
        <v>347.31459637778687</v>
      </c>
      <c r="T43" s="410">
        <f t="shared" si="9"/>
        <v>2168.3078547603718</v>
      </c>
      <c r="U43" s="522">
        <f t="shared" si="2"/>
        <v>16224.295609895253</v>
      </c>
    </row>
    <row r="44" spans="1:21" x14ac:dyDescent="0.25">
      <c r="A44" s="392">
        <f>+'Index Pricing'!A25</f>
        <v>37214</v>
      </c>
      <c r="B44" s="393">
        <f>+'Index Pricing'!B25</f>
        <v>1.135</v>
      </c>
      <c r="C44" s="402">
        <f t="shared" si="0"/>
        <v>0.62160000000000004</v>
      </c>
      <c r="D44" s="403">
        <f>O44*'Internal Kennedy Total'!T36</f>
        <v>1312.1455716586152</v>
      </c>
      <c r="E44" s="404">
        <f>+'Index Pricing'!$B$4+'Box Draw Detail'!$K$17</f>
        <v>2.262</v>
      </c>
      <c r="F44" s="387">
        <f>O44*'Internal Kennedy Total'!U36</f>
        <v>3743.6392914653784</v>
      </c>
      <c r="G44" s="404">
        <f t="shared" si="1"/>
        <v>2.0266000000000002</v>
      </c>
      <c r="H44" s="405">
        <f>O44*'Internal Kennedy Total'!V36</f>
        <v>1505.5669350509929</v>
      </c>
      <c r="I44" s="404">
        <f t="shared" si="3"/>
        <v>0.45430000000000004</v>
      </c>
      <c r="J44" s="406">
        <f>O44*'Internal Kennedy Total'!W36</f>
        <v>687.89371980676333</v>
      </c>
      <c r="K44" s="404">
        <f>B44+$K$19+'Kennedy Gas Daily Pricing'!B25</f>
        <v>0.5716</v>
      </c>
      <c r="L44" s="406">
        <f>'Internal Kennedy Total'!X36*'Internal Kennedy Total'!M36</f>
        <v>4374.7544820182502</v>
      </c>
      <c r="M44" s="407">
        <f>'[1]Enron Detail'!$D32</f>
        <v>-1105</v>
      </c>
      <c r="N44" s="408">
        <f t="shared" si="4"/>
        <v>12729</v>
      </c>
      <c r="O44" s="574">
        <f>'Internal Kennedy Total'!M36</f>
        <v>11624</v>
      </c>
      <c r="P44" s="409">
        <f t="shared" si="5"/>
        <v>815.62968734299523</v>
      </c>
      <c r="Q44" s="409">
        <f t="shared" si="6"/>
        <v>8468.1120772946852</v>
      </c>
      <c r="R44" s="409">
        <f t="shared" si="7"/>
        <v>3051.1819505743424</v>
      </c>
      <c r="S44" s="409">
        <f t="shared" si="8"/>
        <v>312.51011690821258</v>
      </c>
      <c r="T44" s="410">
        <f t="shared" si="9"/>
        <v>2500.6096619216319</v>
      </c>
      <c r="U44" s="522">
        <f t="shared" si="2"/>
        <v>15148.043494041865</v>
      </c>
    </row>
    <row r="45" spans="1:21" x14ac:dyDescent="0.25">
      <c r="A45" s="392">
        <f>+'Index Pricing'!A26</f>
        <v>37215</v>
      </c>
      <c r="B45" s="393">
        <f>+'Index Pricing'!B26</f>
        <v>1.5349999999999999</v>
      </c>
      <c r="C45" s="402">
        <f t="shared" si="0"/>
        <v>1.0215999999999998</v>
      </c>
      <c r="D45" s="403">
        <f>O45*'Internal Kennedy Total'!T37</f>
        <v>1243.7825402772573</v>
      </c>
      <c r="E45" s="404">
        <f>+'Index Pricing'!$B$4+'Box Draw Detail'!$K$17</f>
        <v>2.262</v>
      </c>
      <c r="F45" s="387">
        <f>O45*'Internal Kennedy Total'!U37</f>
        <v>3548.5949793930308</v>
      </c>
      <c r="G45" s="404">
        <f t="shared" si="1"/>
        <v>2.0266000000000002</v>
      </c>
      <c r="H45" s="405">
        <f>O45*'Internal Kennedy Total'!V37</f>
        <v>1427.1266142125639</v>
      </c>
      <c r="I45" s="404">
        <f t="shared" si="3"/>
        <v>0.85429999999999995</v>
      </c>
      <c r="J45" s="406">
        <f>O45*'Internal Kennedy Total'!W37</f>
        <v>652.05432746346946</v>
      </c>
      <c r="K45" s="404">
        <f>B45+$K$19+'Kennedy Gas Daily Pricing'!B26</f>
        <v>0.9715999999999998</v>
      </c>
      <c r="L45" s="406">
        <f>'Internal Kennedy Total'!X37*'Internal Kennedy Total'!M37</f>
        <v>4967.4415386536784</v>
      </c>
      <c r="M45" s="407">
        <f>'[1]Enron Detail'!$D33</f>
        <v>-1177</v>
      </c>
      <c r="N45" s="408">
        <f t="shared" si="4"/>
        <v>13016</v>
      </c>
      <c r="O45" s="574">
        <f>'Internal Kennedy Total'!M37</f>
        <v>11839</v>
      </c>
      <c r="P45" s="409">
        <f t="shared" si="5"/>
        <v>1270.6482431472459</v>
      </c>
      <c r="Q45" s="409">
        <f t="shared" si="6"/>
        <v>8026.9218433870356</v>
      </c>
      <c r="R45" s="409">
        <f t="shared" si="7"/>
        <v>2892.2147963631824</v>
      </c>
      <c r="S45" s="409">
        <f t="shared" si="8"/>
        <v>557.05001195204193</v>
      </c>
      <c r="T45" s="410">
        <f t="shared" si="9"/>
        <v>4826.3661989559132</v>
      </c>
      <c r="U45" s="522">
        <f t="shared" si="2"/>
        <v>17573.201093805419</v>
      </c>
    </row>
    <row r="46" spans="1:21" x14ac:dyDescent="0.25">
      <c r="A46" s="392">
        <f>+'Index Pricing'!A27</f>
        <v>37216</v>
      </c>
      <c r="B46" s="393">
        <f>+'Index Pricing'!B27</f>
        <v>2.2050000000000001</v>
      </c>
      <c r="C46" s="402">
        <f t="shared" si="0"/>
        <v>1.6916000000000002</v>
      </c>
      <c r="D46" s="403">
        <f>O46*'Internal Kennedy Total'!T38</f>
        <v>1225.3273803839174</v>
      </c>
      <c r="E46" s="404">
        <f>+'Index Pricing'!$B$4+'Box Draw Detail'!$K$17</f>
        <v>2.262</v>
      </c>
      <c r="F46" s="387">
        <f>O46*'Internal Kennedy Total'!U38</f>
        <v>3495.9411708528314</v>
      </c>
      <c r="G46" s="404">
        <f t="shared" si="1"/>
        <v>2.0266000000000002</v>
      </c>
      <c r="H46" s="405">
        <f>O46*'Internal Kennedy Total'!V38</f>
        <v>1405.9510075446472</v>
      </c>
      <c r="I46" s="404">
        <f t="shared" si="3"/>
        <v>1.5243000000000002</v>
      </c>
      <c r="J46" s="406">
        <f>O46*'Internal Kennedy Total'!W38</f>
        <v>642.37919014420788</v>
      </c>
      <c r="K46" s="404">
        <f>B46+$K$19+'Kennedy Gas Daily Pricing'!B27</f>
        <v>1.6416000000000002</v>
      </c>
      <c r="L46" s="406">
        <f>'Internal Kennedy Total'!X38*'Internal Kennedy Total'!M38</f>
        <v>5432.401251074396</v>
      </c>
      <c r="M46" s="407">
        <f>'[1]Enron Detail'!$D34</f>
        <v>-1205</v>
      </c>
      <c r="N46" s="408">
        <f t="shared" si="4"/>
        <v>13407</v>
      </c>
      <c r="O46" s="574">
        <f>'Internal Kennedy Total'!M38</f>
        <v>12202</v>
      </c>
      <c r="P46" s="409">
        <f t="shared" si="5"/>
        <v>2072.7637966574348</v>
      </c>
      <c r="Q46" s="409">
        <f t="shared" si="6"/>
        <v>7907.8189284691043</v>
      </c>
      <c r="R46" s="409">
        <f t="shared" si="7"/>
        <v>2849.3003118899824</v>
      </c>
      <c r="S46" s="409">
        <f t="shared" si="8"/>
        <v>979.17859953681625</v>
      </c>
      <c r="T46" s="410">
        <f t="shared" si="9"/>
        <v>8917.8298937637301</v>
      </c>
      <c r="U46" s="522">
        <f t="shared" si="2"/>
        <v>22726.891530317069</v>
      </c>
    </row>
    <row r="47" spans="1:21" x14ac:dyDescent="0.25">
      <c r="A47" s="392">
        <f>+'Index Pricing'!A28</f>
        <v>37217</v>
      </c>
      <c r="B47" s="393">
        <f>+'Index Pricing'!B28</f>
        <v>1.43</v>
      </c>
      <c r="C47" s="402">
        <f t="shared" si="0"/>
        <v>0.91659999999999997</v>
      </c>
      <c r="D47" s="403">
        <f>O47*'Internal Kennedy Total'!T39</f>
        <v>1201.9532957390552</v>
      </c>
      <c r="E47" s="404">
        <f>+'Index Pricing'!$B$4+'Box Draw Detail'!$K$17</f>
        <v>2.262</v>
      </c>
      <c r="F47" s="387">
        <f>O47*'Internal Kennedy Total'!U39</f>
        <v>3429.253340197019</v>
      </c>
      <c r="G47" s="404">
        <f t="shared" si="1"/>
        <v>2.0266000000000002</v>
      </c>
      <c r="H47" s="405">
        <f>O47*'Internal Kennedy Total'!V39</f>
        <v>1379.1313849825679</v>
      </c>
      <c r="I47" s="404">
        <f t="shared" si="3"/>
        <v>0.74929999999999997</v>
      </c>
      <c r="J47" s="406">
        <f>O47*'Internal Kennedy Total'!W39</f>
        <v>630.12530126120225</v>
      </c>
      <c r="K47" s="404">
        <f>B47+$K$19+'Kennedy Gas Daily Pricing'!B28</f>
        <v>0.86659999999999993</v>
      </c>
      <c r="L47" s="406">
        <f>'Internal Kennedy Total'!X39*'Internal Kennedy Total'!M39</f>
        <v>5572.536677820156</v>
      </c>
      <c r="M47" s="407">
        <f>'[1]Enron Detail'!$D35</f>
        <v>-1098</v>
      </c>
      <c r="N47" s="408">
        <f t="shared" si="4"/>
        <v>13311</v>
      </c>
      <c r="O47" s="574">
        <f>'Internal Kennedy Total'!M39</f>
        <v>12213</v>
      </c>
      <c r="P47" s="409">
        <f t="shared" si="5"/>
        <v>1101.710390874418</v>
      </c>
      <c r="Q47" s="409">
        <f t="shared" si="6"/>
        <v>7756.971055525657</v>
      </c>
      <c r="R47" s="409">
        <f t="shared" si="7"/>
        <v>2794.947664805672</v>
      </c>
      <c r="S47" s="409">
        <f t="shared" si="8"/>
        <v>472.15288823501885</v>
      </c>
      <c r="T47" s="410">
        <f t="shared" si="9"/>
        <v>4829.1602849989467</v>
      </c>
      <c r="U47" s="522">
        <f t="shared" si="2"/>
        <v>16954.942284439712</v>
      </c>
    </row>
    <row r="48" spans="1:21" x14ac:dyDescent="0.25">
      <c r="A48" s="392">
        <f>+'Index Pricing'!A29</f>
        <v>37218</v>
      </c>
      <c r="B48" s="393">
        <f>+'Index Pricing'!B29</f>
        <v>1.43</v>
      </c>
      <c r="C48" s="402">
        <f t="shared" si="0"/>
        <v>0.91659999999999997</v>
      </c>
      <c r="D48" s="403">
        <f>O48*'Internal Kennedy Total'!T40</f>
        <v>1200.5237762237764</v>
      </c>
      <c r="E48" s="404">
        <f>+'Index Pricing'!$B$4+'Box Draw Detail'!$K$17</f>
        <v>2.262</v>
      </c>
      <c r="F48" s="387">
        <f>O48*'Internal Kennedy Total'!U40</f>
        <v>3425.1748251748254</v>
      </c>
      <c r="G48" s="404">
        <f t="shared" si="1"/>
        <v>2.0266000000000002</v>
      </c>
      <c r="H48" s="405">
        <f>O48*'Internal Kennedy Total'!V40</f>
        <v>1377.4911421911422</v>
      </c>
      <c r="I48" s="404">
        <f t="shared" si="3"/>
        <v>0.74929999999999997</v>
      </c>
      <c r="J48" s="406">
        <f>O48*'Internal Kennedy Total'!W40</f>
        <v>629.37587412587413</v>
      </c>
      <c r="K48" s="404">
        <f>B48+$K$19+'Kennedy Gas Daily Pricing'!B29</f>
        <v>0.86659999999999993</v>
      </c>
      <c r="L48" s="406">
        <f>'Internal Kennedy Total'!X40*'Internal Kennedy Total'!M40</f>
        <v>5612.4343822843821</v>
      </c>
      <c r="M48" s="407">
        <f>'[1]Enron Detail'!$D36</f>
        <v>-1057</v>
      </c>
      <c r="N48" s="408">
        <f t="shared" si="4"/>
        <v>13302</v>
      </c>
      <c r="O48" s="574">
        <f>'Internal Kennedy Total'!M40</f>
        <v>12245</v>
      </c>
      <c r="P48" s="409">
        <f t="shared" si="5"/>
        <v>1100.4000932867134</v>
      </c>
      <c r="Q48" s="409">
        <f t="shared" si="6"/>
        <v>7747.7454545454548</v>
      </c>
      <c r="R48" s="409">
        <f t="shared" si="7"/>
        <v>2791.623548764569</v>
      </c>
      <c r="S48" s="409">
        <f t="shared" si="8"/>
        <v>471.59134248251746</v>
      </c>
      <c r="T48" s="410">
        <f t="shared" si="9"/>
        <v>4863.7356356876453</v>
      </c>
      <c r="U48" s="522">
        <f t="shared" si="2"/>
        <v>16975.096074766901</v>
      </c>
    </row>
    <row r="49" spans="1:21" x14ac:dyDescent="0.25">
      <c r="A49" s="392">
        <f>+'Index Pricing'!A30</f>
        <v>37219</v>
      </c>
      <c r="B49" s="393">
        <f>+'Index Pricing'!B30</f>
        <v>1.43</v>
      </c>
      <c r="C49" s="402">
        <f t="shared" si="0"/>
        <v>0.91659999999999997</v>
      </c>
      <c r="D49" s="403">
        <f>O49*'Internal Kennedy Total'!T41</f>
        <v>1288.9106108381609</v>
      </c>
      <c r="E49" s="404">
        <f>+'Index Pricing'!$B$4+'Box Draw Detail'!$K$17</f>
        <v>2.262</v>
      </c>
      <c r="F49" s="387">
        <f>O49*'Internal Kennedy Total'!U41</f>
        <v>3677.3483904084474</v>
      </c>
      <c r="G49" s="404">
        <f t="shared" si="1"/>
        <v>2.0266000000000002</v>
      </c>
      <c r="H49" s="405">
        <f>O49*'Internal Kennedy Total'!V41</f>
        <v>1478.9069443425974</v>
      </c>
      <c r="I49" s="404">
        <f t="shared" si="3"/>
        <v>0.74929999999999997</v>
      </c>
      <c r="J49" s="406">
        <f>O49*'Internal Kennedy Total'!W41</f>
        <v>675.71276673755222</v>
      </c>
      <c r="K49" s="404">
        <f>B49+$K$19+'Kennedy Gas Daily Pricing'!B30</f>
        <v>0.86659999999999993</v>
      </c>
      <c r="L49" s="406">
        <f>'Internal Kennedy Total'!X41*'Internal Kennedy Total'!M41</f>
        <v>5416.1212876732416</v>
      </c>
      <c r="M49" s="407">
        <f>'[1]Enron Detail'!$D37</f>
        <v>-870</v>
      </c>
      <c r="N49" s="408">
        <f t="shared" si="4"/>
        <v>13407</v>
      </c>
      <c r="O49" s="574">
        <f>'Internal Kennedy Total'!M41</f>
        <v>12537</v>
      </c>
      <c r="P49" s="409">
        <f t="shared" si="5"/>
        <v>1181.4154658942582</v>
      </c>
      <c r="Q49" s="409">
        <f t="shared" si="6"/>
        <v>8318.1620591039082</v>
      </c>
      <c r="R49" s="409">
        <f t="shared" si="7"/>
        <v>2997.152813404708</v>
      </c>
      <c r="S49" s="409">
        <f t="shared" si="8"/>
        <v>506.31157611644784</v>
      </c>
      <c r="T49" s="410">
        <f t="shared" si="9"/>
        <v>4693.6107078976311</v>
      </c>
      <c r="U49" s="522">
        <f t="shared" si="2"/>
        <v>17696.652622416954</v>
      </c>
    </row>
    <row r="50" spans="1:21" x14ac:dyDescent="0.25">
      <c r="A50" s="392">
        <f>+'Index Pricing'!A31</f>
        <v>37220</v>
      </c>
      <c r="B50" s="393">
        <f>+'Index Pricing'!B31</f>
        <v>1.43</v>
      </c>
      <c r="C50" s="402">
        <f t="shared" si="0"/>
        <v>0.91659999999999997</v>
      </c>
      <c r="D50" s="403">
        <f>O50*'Internal Kennedy Total'!T42</f>
        <v>1551.8667482036387</v>
      </c>
      <c r="E50" s="404">
        <f>+'Index Pricing'!$B$4+'Box Draw Detail'!$K$17</f>
        <v>2.262</v>
      </c>
      <c r="F50" s="387">
        <f>O50*'Internal Kennedy Total'!U42</f>
        <v>4427.5798807521787</v>
      </c>
      <c r="G50" s="404">
        <f t="shared" si="1"/>
        <v>2.0266000000000002</v>
      </c>
      <c r="H50" s="405">
        <f>O50*'Internal Kennedy Total'!V42</f>
        <v>1780.6250420425013</v>
      </c>
      <c r="I50" s="404">
        <f t="shared" si="3"/>
        <v>0.74929999999999997</v>
      </c>
      <c r="J50" s="406">
        <f>O50*'Internal Kennedy Total'!W42</f>
        <v>813.56780308821283</v>
      </c>
      <c r="K50" s="404">
        <f>B50+$K$19+'Kennedy Gas Daily Pricing'!B31</f>
        <v>0.86659999999999993</v>
      </c>
      <c r="L50" s="406">
        <f>'Internal Kennedy Total'!X42*'Internal Kennedy Total'!M42</f>
        <v>3493.3605259134688</v>
      </c>
      <c r="M50" s="407">
        <f>'[1]Enron Detail'!$D38</f>
        <v>-1235</v>
      </c>
      <c r="N50" s="408">
        <f t="shared" si="4"/>
        <v>13302</v>
      </c>
      <c r="O50" s="574">
        <f>'Internal Kennedy Total'!M42</f>
        <v>12067</v>
      </c>
      <c r="P50" s="409">
        <f t="shared" si="5"/>
        <v>1422.4410614034553</v>
      </c>
      <c r="Q50" s="409">
        <f t="shared" si="6"/>
        <v>10015.185690261429</v>
      </c>
      <c r="R50" s="409">
        <f t="shared" si="7"/>
        <v>3608.6147102033333</v>
      </c>
      <c r="S50" s="409">
        <f t="shared" si="8"/>
        <v>609.6063548539978</v>
      </c>
      <c r="T50" s="410">
        <f t="shared" si="9"/>
        <v>3027.3462317566118</v>
      </c>
      <c r="U50" s="522">
        <f t="shared" si="2"/>
        <v>18683.194048478828</v>
      </c>
    </row>
    <row r="51" spans="1:21" x14ac:dyDescent="0.25">
      <c r="A51" s="392">
        <f>+'Index Pricing'!A32</f>
        <v>37221</v>
      </c>
      <c r="B51" s="393">
        <f>+'Index Pricing'!B32</f>
        <v>1.43</v>
      </c>
      <c r="C51" s="402">
        <f t="shared" si="0"/>
        <v>0.91659999999999997</v>
      </c>
      <c r="D51" s="403">
        <f>O51*'Internal Kennedy Total'!T43</f>
        <v>1286.2632796859157</v>
      </c>
      <c r="E51" s="404">
        <f>+'Index Pricing'!$B$4+'Box Draw Detail'!$K$17</f>
        <v>2.262</v>
      </c>
      <c r="F51" s="387">
        <f>O51*'Internal Kennedy Total'!U43</f>
        <v>3669.7953771352795</v>
      </c>
      <c r="G51" s="404">
        <f t="shared" si="1"/>
        <v>2.0266000000000002</v>
      </c>
      <c r="H51" s="405">
        <f>O51*'Internal Kennedy Total'!V43</f>
        <v>1475.8693741712384</v>
      </c>
      <c r="I51" s="404">
        <f t="shared" si="3"/>
        <v>0.74929999999999997</v>
      </c>
      <c r="J51" s="406">
        <f>O51*'Internal Kennedy Total'!W43</f>
        <v>674.32490054860773</v>
      </c>
      <c r="K51" s="404">
        <f>B51+$K$19+'Kennedy Gas Daily Pricing'!B32</f>
        <v>0.86659999999999993</v>
      </c>
      <c r="L51" s="406">
        <f>'Internal Kennedy Total'!X43*'Internal Kennedy Total'!M43</f>
        <v>4655.747068458958</v>
      </c>
      <c r="M51" s="407">
        <f>'[1]Enron Detail'!$D39</f>
        <v>-1058</v>
      </c>
      <c r="N51" s="408">
        <f t="shared" si="4"/>
        <v>12820</v>
      </c>
      <c r="O51" s="574">
        <f>'Internal Kennedy Total'!M43</f>
        <v>11762</v>
      </c>
      <c r="P51" s="409">
        <f t="shared" si="5"/>
        <v>1178.9889221601102</v>
      </c>
      <c r="Q51" s="409">
        <f t="shared" si="6"/>
        <v>8301.0771430800032</v>
      </c>
      <c r="R51" s="409">
        <f t="shared" si="7"/>
        <v>2990.996873695432</v>
      </c>
      <c r="S51" s="409">
        <f t="shared" si="8"/>
        <v>505.27164798107174</v>
      </c>
      <c r="T51" s="410">
        <f t="shared" si="9"/>
        <v>4034.6704095265327</v>
      </c>
      <c r="U51" s="522">
        <f t="shared" si="2"/>
        <v>17011.004996443149</v>
      </c>
    </row>
    <row r="52" spans="1:21" x14ac:dyDescent="0.25">
      <c r="A52" s="392">
        <f>+'Index Pricing'!A33</f>
        <v>37222</v>
      </c>
      <c r="B52" s="393">
        <f>+'Index Pricing'!B33</f>
        <v>1.88</v>
      </c>
      <c r="C52" s="402">
        <f t="shared" si="0"/>
        <v>1.3666</v>
      </c>
      <c r="D52" s="403">
        <f>O52*'Internal Kennedy Total'!T44</f>
        <v>1302.663266119391</v>
      </c>
      <c r="E52" s="404">
        <f>+'Index Pricing'!$B$4+'Box Draw Detail'!$K$17</f>
        <v>2.262</v>
      </c>
      <c r="F52" s="387">
        <f>O52*'Internal Kennedy Total'!U44</f>
        <v>3716.5856380011155</v>
      </c>
      <c r="G52" s="404">
        <f t="shared" si="1"/>
        <v>2.0266000000000002</v>
      </c>
      <c r="H52" s="405">
        <f>O52*'Internal Kennedy Total'!V44</f>
        <v>1494.6868574161153</v>
      </c>
      <c r="I52" s="404">
        <f t="shared" si="3"/>
        <v>1.1993</v>
      </c>
      <c r="J52" s="406">
        <f>O52*'Internal Kennedy Total'!W44</f>
        <v>682.92261098270501</v>
      </c>
      <c r="K52" s="404">
        <f>B52+$K$19+'Kennedy Gas Daily Pricing'!B33</f>
        <v>1.3166</v>
      </c>
      <c r="L52" s="406">
        <f>'Internal Kennedy Total'!X44*'Internal Kennedy Total'!M44</f>
        <v>4461.1416274806734</v>
      </c>
      <c r="M52" s="407">
        <f>'[1]Enron Detail'!$D40</f>
        <v>-1075</v>
      </c>
      <c r="N52" s="408">
        <f t="shared" si="4"/>
        <v>12733</v>
      </c>
      <c r="O52" s="574">
        <f>'Internal Kennedy Total'!M44</f>
        <v>11658</v>
      </c>
      <c r="P52" s="409">
        <f t="shared" si="5"/>
        <v>1780.2196194787598</v>
      </c>
      <c r="Q52" s="409">
        <f t="shared" si="6"/>
        <v>8406.9167131585236</v>
      </c>
      <c r="R52" s="409">
        <f t="shared" si="7"/>
        <v>3029.1323852394994</v>
      </c>
      <c r="S52" s="409">
        <f t="shared" si="8"/>
        <v>819.02908735155813</v>
      </c>
      <c r="T52" s="410">
        <f t="shared" si="9"/>
        <v>5873.5390667410547</v>
      </c>
      <c r="U52" s="522">
        <f t="shared" si="2"/>
        <v>19908.836871969397</v>
      </c>
    </row>
    <row r="53" spans="1:21" x14ac:dyDescent="0.25">
      <c r="A53" s="392">
        <f>+'Index Pricing'!A34</f>
        <v>37223</v>
      </c>
      <c r="B53" s="393">
        <f>+'Index Pricing'!B34</f>
        <v>2.16</v>
      </c>
      <c r="C53" s="402">
        <f t="shared" si="0"/>
        <v>1.6466000000000003</v>
      </c>
      <c r="D53" s="403">
        <f>O53*'Internal Kennedy Total'!T45</f>
        <v>1436.2858327115973</v>
      </c>
      <c r="E53" s="404">
        <f>+'Index Pricing'!$B$4+'Box Draw Detail'!$K$17</f>
        <v>2.262</v>
      </c>
      <c r="F53" s="387">
        <f>O53*'Internal Kennedy Total'!U45</f>
        <v>4097.8197794910056</v>
      </c>
      <c r="G53" s="404">
        <f t="shared" si="1"/>
        <v>2.0266000000000002</v>
      </c>
      <c r="H53" s="405">
        <f>O53*'Internal Kennedy Total'!V45</f>
        <v>1648.0065213186328</v>
      </c>
      <c r="I53" s="404">
        <f t="shared" si="3"/>
        <v>1.4793000000000003</v>
      </c>
      <c r="J53" s="406">
        <f>O53*'Internal Kennedy Total'!W45</f>
        <v>752.97438448147227</v>
      </c>
      <c r="K53" s="404">
        <f>B53+$K$19+'Kennedy Gas Daily Pricing'!B34</f>
        <v>1.5966000000000002</v>
      </c>
      <c r="L53" s="406">
        <f>'Internal Kennedy Total'!X45*'Internal Kennedy Total'!M45</f>
        <v>4422.9134819972924</v>
      </c>
      <c r="M53" s="407">
        <f>'[1]Enron Detail'!$D41</f>
        <v>-858</v>
      </c>
      <c r="N53" s="408">
        <f t="shared" si="4"/>
        <v>13216</v>
      </c>
      <c r="O53" s="574">
        <f>'Internal Kennedy Total'!M45</f>
        <v>12358</v>
      </c>
      <c r="P53" s="409">
        <f t="shared" si="5"/>
        <v>2364.9882521429167</v>
      </c>
      <c r="Q53" s="409">
        <f t="shared" si="6"/>
        <v>9269.2683412086553</v>
      </c>
      <c r="R53" s="409">
        <f t="shared" si="7"/>
        <v>3339.8500161043416</v>
      </c>
      <c r="S53" s="409">
        <f t="shared" si="8"/>
        <v>1113.875006963442</v>
      </c>
      <c r="T53" s="410">
        <f t="shared" si="9"/>
        <v>7061.6236653568776</v>
      </c>
      <c r="U53" s="522">
        <f t="shared" si="2"/>
        <v>23149.605281776232</v>
      </c>
    </row>
    <row r="54" spans="1:21" x14ac:dyDescent="0.25">
      <c r="A54" s="392">
        <f>+'Index Pricing'!A35</f>
        <v>37224</v>
      </c>
      <c r="B54" s="393">
        <f>+'Index Pricing'!B35</f>
        <v>2.38</v>
      </c>
      <c r="C54" s="402">
        <f t="shared" si="0"/>
        <v>1.8666</v>
      </c>
      <c r="D54" s="403">
        <f>O54*'Internal Kennedy Total'!T46</f>
        <v>0</v>
      </c>
      <c r="E54" s="404">
        <f>+'Index Pricing'!$B$4+'Box Draw Detail'!$K$17</f>
        <v>2.262</v>
      </c>
      <c r="F54" s="387">
        <f>O54*'Internal Kennedy Total'!U46</f>
        <v>3812.8116609129265</v>
      </c>
      <c r="G54" s="404">
        <f t="shared" si="1"/>
        <v>2.0266000000000002</v>
      </c>
      <c r="H54" s="405">
        <f>O54*'Internal Kennedy Total'!V46</f>
        <v>1157.1883390870732</v>
      </c>
      <c r="I54" s="404">
        <f t="shared" si="3"/>
        <v>1.6993</v>
      </c>
      <c r="J54" s="406">
        <f>O54*'Internal Kennedy Total'!W46</f>
        <v>0</v>
      </c>
      <c r="K54" s="404">
        <f>B54+$K$19+'Kennedy Gas Daily Pricing'!B35</f>
        <v>1.8166</v>
      </c>
      <c r="L54" s="406">
        <f>'Internal Kennedy Total'!X46*'Internal Kennedy Total'!M46</f>
        <v>0</v>
      </c>
      <c r="M54" s="407">
        <f>'[1]Enron Detail'!$D42</f>
        <v>-544.5</v>
      </c>
      <c r="N54" s="408">
        <f t="shared" si="4"/>
        <v>5514.5</v>
      </c>
      <c r="O54" s="574">
        <f>'Internal Kennedy Total'!M46</f>
        <v>4970</v>
      </c>
      <c r="P54" s="409">
        <f t="shared" si="5"/>
        <v>0</v>
      </c>
      <c r="Q54" s="409">
        <f t="shared" si="6"/>
        <v>8624.57997698504</v>
      </c>
      <c r="R54" s="409">
        <f t="shared" si="7"/>
        <v>2345.1578879938629</v>
      </c>
      <c r="S54" s="409">
        <f t="shared" si="8"/>
        <v>0</v>
      </c>
      <c r="T54" s="410">
        <f t="shared" si="9"/>
        <v>0</v>
      </c>
      <c r="U54" s="522">
        <f t="shared" si="2"/>
        <v>10969.737864978903</v>
      </c>
    </row>
    <row r="55" spans="1:21" x14ac:dyDescent="0.25">
      <c r="A55" s="392">
        <f>+'Index Pricing'!A36</f>
        <v>37225</v>
      </c>
      <c r="B55" s="393">
        <f>+'Index Pricing'!B36</f>
        <v>2.0249999999999999</v>
      </c>
      <c r="C55" s="402">
        <f t="shared" si="0"/>
        <v>1.5116000000000001</v>
      </c>
      <c r="D55" s="403">
        <v>0</v>
      </c>
      <c r="E55" s="404">
        <f>+'Index Pricing'!$B$4+'Box Draw Detail'!$K$17</f>
        <v>2.262</v>
      </c>
      <c r="F55" s="387">
        <v>0</v>
      </c>
      <c r="G55" s="404">
        <f t="shared" si="1"/>
        <v>2.0266000000000002</v>
      </c>
      <c r="H55" s="405">
        <v>0</v>
      </c>
      <c r="I55" s="404">
        <f t="shared" si="3"/>
        <v>1.3443000000000001</v>
      </c>
      <c r="J55" s="406">
        <v>0</v>
      </c>
      <c r="K55" s="404">
        <f>B55+$K$19+'Kennedy Gas Daily Pricing'!B36</f>
        <v>1.4616</v>
      </c>
      <c r="L55" s="406">
        <v>0</v>
      </c>
      <c r="M55" s="407">
        <f>'[1]Enron Detail'!$D43</f>
        <v>0</v>
      </c>
      <c r="N55" s="408">
        <f t="shared" si="4"/>
        <v>0</v>
      </c>
      <c r="O55" s="574">
        <f>'Internal Kennedy Total'!M47</f>
        <v>0</v>
      </c>
      <c r="P55" s="409">
        <f t="shared" si="5"/>
        <v>0</v>
      </c>
      <c r="Q55" s="409">
        <f t="shared" si="6"/>
        <v>0</v>
      </c>
      <c r="R55" s="409">
        <f t="shared" si="7"/>
        <v>0</v>
      </c>
      <c r="S55" s="409">
        <f t="shared" si="8"/>
        <v>0</v>
      </c>
      <c r="T55" s="410">
        <f t="shared" si="9"/>
        <v>0</v>
      </c>
      <c r="U55" s="522">
        <f t="shared" si="2"/>
        <v>0</v>
      </c>
    </row>
    <row r="56" spans="1:21" ht="13.8" thickBot="1" x14ac:dyDescent="0.3">
      <c r="A56" s="392"/>
      <c r="B56" s="393"/>
      <c r="C56" s="412"/>
      <c r="D56" s="413"/>
      <c r="E56" s="414"/>
      <c r="F56" s="415"/>
      <c r="G56" s="414"/>
      <c r="H56" s="416"/>
      <c r="I56" s="417"/>
      <c r="J56" s="418"/>
      <c r="K56" s="417"/>
      <c r="L56" s="418"/>
      <c r="M56" s="419"/>
      <c r="N56" s="420"/>
      <c r="O56" s="575"/>
      <c r="P56" s="421"/>
      <c r="Q56" s="421"/>
      <c r="R56" s="421"/>
      <c r="S56" s="421"/>
      <c r="T56" s="422"/>
      <c r="U56" s="523"/>
    </row>
    <row r="57" spans="1:21" x14ac:dyDescent="0.25">
      <c r="D57" s="423">
        <f>SUM(D26:D56)</f>
        <v>36696.893408863536</v>
      </c>
      <c r="F57" s="424">
        <f>SUM(F26:F56)</f>
        <v>108511.50897578748</v>
      </c>
      <c r="H57" s="423">
        <f>SUM(H26:H56)</f>
        <v>43263.514442552463</v>
      </c>
      <c r="J57" s="426">
        <f>SUM(J26:J56)</f>
        <v>19238.385631608195</v>
      </c>
      <c r="K57" s="426"/>
      <c r="L57" s="426">
        <f>SUM(L26:L56)</f>
        <v>137388.69754118833</v>
      </c>
      <c r="M57" s="427">
        <f t="shared" ref="M57:T57" si="10">SUM(M26:M56)</f>
        <v>-31851.5</v>
      </c>
      <c r="N57" s="428">
        <f t="shared" si="10"/>
        <v>376950.5</v>
      </c>
      <c r="O57" s="428">
        <f t="shared" si="10"/>
        <v>345099</v>
      </c>
      <c r="P57" s="429">
        <f t="shared" si="10"/>
        <v>45375.804258083554</v>
      </c>
      <c r="Q57" s="429">
        <f t="shared" si="10"/>
        <v>245453.03330323126</v>
      </c>
      <c r="R57" s="429">
        <f t="shared" si="10"/>
        <v>87677.838369276826</v>
      </c>
      <c r="S57" s="429">
        <f t="shared" si="10"/>
        <v>20569.732013711699</v>
      </c>
      <c r="T57" s="429">
        <f t="shared" si="10"/>
        <v>168432.49960066588</v>
      </c>
      <c r="U57" s="430">
        <f t="shared" si="2"/>
        <v>567508.90754496923</v>
      </c>
    </row>
    <row r="58" spans="1:21" x14ac:dyDescent="0.25">
      <c r="D58" s="431"/>
      <c r="F58" s="431"/>
      <c r="M58" s="431"/>
      <c r="P58" s="440"/>
      <c r="R58" s="425"/>
    </row>
    <row r="59" spans="1:21" x14ac:dyDescent="0.25">
      <c r="N59" s="6"/>
      <c r="O59" s="6"/>
      <c r="Q59" s="91" t="s">
        <v>201</v>
      </c>
      <c r="R59" s="433">
        <f>U57/N57</f>
        <v>1.5055263424374532</v>
      </c>
    </row>
    <row r="60" spans="1:21" x14ac:dyDescent="0.25">
      <c r="A60" s="357" t="s">
        <v>217</v>
      </c>
      <c r="S60" s="29"/>
    </row>
    <row r="61" spans="1:21" x14ac:dyDescent="0.25">
      <c r="U61" s="434"/>
    </row>
    <row r="62" spans="1:21" x14ac:dyDescent="0.25">
      <c r="R62" s="435"/>
      <c r="S62" s="435"/>
      <c r="U62" s="436"/>
    </row>
    <row r="63" spans="1:21" x14ac:dyDescent="0.25">
      <c r="S63" s="436"/>
    </row>
    <row r="64" spans="1:21" x14ac:dyDescent="0.25">
      <c r="S64" s="434"/>
    </row>
  </sheetData>
  <mergeCells count="1">
    <mergeCell ref="P23:T23"/>
  </mergeCells>
  <phoneticPr fontId="0" type="noConversion"/>
  <pageMargins left="0.25" right="0.25" top="1" bottom="1" header="0.5" footer="0.5"/>
  <pageSetup paperSize="5" scale="48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026" r:id="rId4">
          <objectPr defaultSize="0" autoPict="0" r:id="rId5">
            <anchor moveWithCells="1">
              <from>
                <xdr:col>4</xdr:col>
                <xdr:colOff>594360</xdr:colOff>
                <xdr:row>0</xdr:row>
                <xdr:rowOff>22860</xdr:rowOff>
              </from>
              <to>
                <xdr:col>4</xdr:col>
                <xdr:colOff>1203960</xdr:colOff>
                <xdr:row>3</xdr:row>
                <xdr:rowOff>68580</xdr:rowOff>
              </to>
            </anchor>
          </objectPr>
        </oleObject>
      </mc:Choice>
      <mc:Fallback>
        <oleObject progId="Paint.Picture" shapeId="1026" r:id="rId4"/>
      </mc:Fallback>
    </mc:AlternateContent>
    <mc:AlternateContent xmlns:mc="http://schemas.openxmlformats.org/markup-compatibility/2006">
      <mc:Choice Requires="x14">
        <oleObject progId="Paint.Picture" shapeId="1098" r:id="rId6">
          <objectPr defaultSize="0" autoPict="0" r:id="rId5">
            <anchor moveWithCells="1">
              <from>
                <xdr:col>4</xdr:col>
                <xdr:colOff>594360</xdr:colOff>
                <xdr:row>0</xdr:row>
                <xdr:rowOff>22860</xdr:rowOff>
              </from>
              <to>
                <xdr:col>4</xdr:col>
                <xdr:colOff>1203960</xdr:colOff>
                <xdr:row>3</xdr:row>
                <xdr:rowOff>68580</xdr:rowOff>
              </to>
            </anchor>
          </objectPr>
        </oleObject>
      </mc:Choice>
      <mc:Fallback>
        <oleObject progId="Paint.Picture" shapeId="1098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64"/>
  <sheetViews>
    <sheetView showGridLines="0" zoomScale="90" zoomScaleNormal="90" workbookViewId="0">
      <selection activeCell="E34" sqref="E34"/>
    </sheetView>
  </sheetViews>
  <sheetFormatPr defaultColWidth="9.109375" defaultRowHeight="13.2" x14ac:dyDescent="0.25"/>
  <cols>
    <col min="1" max="1" width="16.6640625" style="357" customWidth="1"/>
    <col min="2" max="2" width="18.5546875" style="357" bestFit="1" customWidth="1"/>
    <col min="3" max="3" width="20.44140625" style="357" customWidth="1"/>
    <col min="4" max="4" width="17.5546875" style="357" bestFit="1" customWidth="1"/>
    <col min="5" max="5" width="21" style="357" customWidth="1"/>
    <col min="6" max="6" width="16.33203125" style="357" customWidth="1"/>
    <col min="7" max="7" width="15.5546875" style="357" customWidth="1"/>
    <col min="8" max="8" width="15.88671875" style="357" bestFit="1" customWidth="1"/>
    <col min="9" max="14" width="15.5546875" style="357" customWidth="1"/>
    <col min="15" max="15" width="14" style="357" bestFit="1" customWidth="1"/>
    <col min="16" max="16" width="13.33203125" style="357" bestFit="1" customWidth="1"/>
    <col min="17" max="17" width="13.33203125" style="357" customWidth="1"/>
    <col min="18" max="18" width="16.88671875" style="357" bestFit="1" customWidth="1"/>
    <col min="19" max="19" width="15.5546875" style="357" customWidth="1"/>
    <col min="20" max="20" width="15" style="357" customWidth="1"/>
    <col min="21" max="21" width="15" style="357" bestFit="1" customWidth="1"/>
    <col min="22" max="22" width="13.33203125" style="357" bestFit="1" customWidth="1"/>
    <col min="23" max="23" width="15" style="357" bestFit="1" customWidth="1"/>
    <col min="24" max="24" width="15" style="357" customWidth="1"/>
    <col min="25" max="25" width="12.109375" style="357" bestFit="1" customWidth="1"/>
    <col min="26" max="26" width="13.33203125" style="357" bestFit="1" customWidth="1"/>
    <col min="27" max="27" width="15" style="357" bestFit="1" customWidth="1"/>
    <col min="28" max="28" width="9.109375" style="357"/>
    <col min="29" max="29" width="11.109375" style="357" bestFit="1" customWidth="1"/>
    <col min="30" max="16384" width="9.109375" style="357"/>
  </cols>
  <sheetData>
    <row r="1" spans="1:19" x14ac:dyDescent="0.25">
      <c r="A1" s="356" t="s">
        <v>19</v>
      </c>
      <c r="B1" s="356" t="s">
        <v>28</v>
      </c>
      <c r="C1" s="356" t="s">
        <v>38</v>
      </c>
      <c r="F1" s="357" t="s">
        <v>195</v>
      </c>
      <c r="H1" s="356"/>
      <c r="I1" s="356"/>
      <c r="J1" s="356"/>
      <c r="K1" s="356"/>
      <c r="L1" s="356"/>
      <c r="M1" s="356"/>
      <c r="N1" s="356"/>
      <c r="O1" s="356"/>
      <c r="S1" s="358">
        <f ca="1">NOW()</f>
        <v>37238.587624189815</v>
      </c>
    </row>
    <row r="2" spans="1:19" x14ac:dyDescent="0.25">
      <c r="A2" s="8">
        <f>+'Index Pricing'!A1</f>
        <v>37196</v>
      </c>
      <c r="B2" s="356" t="s">
        <v>36</v>
      </c>
      <c r="C2" s="356" t="s">
        <v>39</v>
      </c>
      <c r="H2" s="356"/>
      <c r="I2" s="356"/>
      <c r="J2" s="356"/>
      <c r="K2" s="356"/>
      <c r="L2" s="356"/>
      <c r="M2" s="356"/>
      <c r="N2" s="356"/>
      <c r="O2" s="356"/>
    </row>
    <row r="3" spans="1:19" x14ac:dyDescent="0.25">
      <c r="A3" s="8"/>
      <c r="B3" s="356" t="s">
        <v>37</v>
      </c>
      <c r="C3" s="356" t="s">
        <v>40</v>
      </c>
      <c r="F3" s="357" t="s">
        <v>41</v>
      </c>
      <c r="G3" s="357" t="s">
        <v>42</v>
      </c>
      <c r="H3" s="356"/>
      <c r="I3" s="356"/>
      <c r="J3" s="356"/>
      <c r="K3" s="356"/>
      <c r="L3" s="356"/>
      <c r="M3" s="356"/>
      <c r="N3" s="356"/>
      <c r="O3" s="356"/>
    </row>
    <row r="4" spans="1:19" x14ac:dyDescent="0.25">
      <c r="A4" s="8"/>
      <c r="B4" s="356"/>
      <c r="C4" s="356"/>
      <c r="H4" s="356"/>
      <c r="I4" s="356"/>
      <c r="J4" s="356"/>
      <c r="K4" s="356"/>
      <c r="L4" s="356"/>
      <c r="M4" s="356"/>
      <c r="N4" s="356"/>
      <c r="O4" s="356"/>
    </row>
    <row r="5" spans="1:19" x14ac:dyDescent="0.25">
      <c r="A5" s="8" t="s">
        <v>263</v>
      </c>
      <c r="B5" s="356"/>
      <c r="C5" s="359">
        <f>+'Index Pricing'!B4</f>
        <v>3.04</v>
      </c>
      <c r="H5" s="356"/>
      <c r="I5" s="356"/>
      <c r="J5" s="356"/>
      <c r="K5" s="356"/>
      <c r="L5" s="356"/>
      <c r="M5" s="356"/>
      <c r="N5" s="356"/>
      <c r="O5" s="356"/>
    </row>
    <row r="6" spans="1:19" ht="12" customHeight="1" x14ac:dyDescent="0.25">
      <c r="A6" s="8" t="s">
        <v>262</v>
      </c>
      <c r="B6" s="356"/>
      <c r="C6" s="359">
        <f>+'Index Pricing'!B3</f>
        <v>2.54</v>
      </c>
      <c r="H6" s="356"/>
      <c r="I6" s="356"/>
      <c r="J6" s="356"/>
      <c r="K6" s="356"/>
      <c r="L6" s="356"/>
      <c r="M6" s="356"/>
      <c r="N6" s="356"/>
      <c r="O6" s="356"/>
    </row>
    <row r="7" spans="1:19" x14ac:dyDescent="0.25">
      <c r="A7" s="360" t="s">
        <v>65</v>
      </c>
      <c r="C7" s="361">
        <f>+'Internal Kennedy Total'!C7</f>
        <v>21032</v>
      </c>
      <c r="D7" s="356" t="s">
        <v>155</v>
      </c>
    </row>
    <row r="8" spans="1:19" x14ac:dyDescent="0.25">
      <c r="A8" s="360" t="s">
        <v>290</v>
      </c>
      <c r="C8" s="361">
        <f>+'Internal Kennedy Total'!C8</f>
        <v>21893</v>
      </c>
      <c r="D8" s="356" t="s">
        <v>155</v>
      </c>
    </row>
    <row r="9" spans="1:19" ht="13.8" thickBot="1" x14ac:dyDescent="0.3">
      <c r="A9" s="360"/>
      <c r="C9" s="362"/>
    </row>
    <row r="10" spans="1:19" x14ac:dyDescent="0.25">
      <c r="A10" s="363"/>
      <c r="B10" s="364" t="s">
        <v>181</v>
      </c>
      <c r="C10" s="365" t="s">
        <v>225</v>
      </c>
      <c r="D10" s="365" t="s">
        <v>249</v>
      </c>
      <c r="E10" s="366" t="s">
        <v>250</v>
      </c>
    </row>
    <row r="11" spans="1:19" x14ac:dyDescent="0.25">
      <c r="A11" s="367" t="s">
        <v>198</v>
      </c>
      <c r="B11" s="368">
        <f>'[1]Enron Detail'!$F$9</f>
        <v>1.1033715353239051</v>
      </c>
      <c r="C11" s="369">
        <f>+C7*D11</f>
        <v>14511.420571192426</v>
      </c>
      <c r="D11" s="370">
        <f>'Internal Kennedy Total'!H8</f>
        <v>0.68996864640511724</v>
      </c>
      <c r="E11" s="580">
        <v>0.61</v>
      </c>
      <c r="F11" s="357">
        <v>0.59599999999999997</v>
      </c>
    </row>
    <row r="12" spans="1:19" ht="13.8" thickBot="1" x14ac:dyDescent="0.3">
      <c r="A12" s="372" t="s">
        <v>199</v>
      </c>
      <c r="B12" s="373">
        <f>'[1]Enron Detail'!$C$9</f>
        <v>0.955685419466065</v>
      </c>
      <c r="C12" s="374">
        <f>+C7-C11</f>
        <v>6520.579428807574</v>
      </c>
      <c r="D12" s="375">
        <f>'Internal Kennedy Total'!H7</f>
        <v>0.31003135359488282</v>
      </c>
      <c r="E12" s="581">
        <v>0.47</v>
      </c>
      <c r="F12" s="357">
        <v>0.45599999999999996</v>
      </c>
    </row>
    <row r="13" spans="1:19" x14ac:dyDescent="0.25">
      <c r="A13" s="377"/>
      <c r="I13" s="378"/>
    </row>
    <row r="14" spans="1:19" ht="13.8" thickBot="1" x14ac:dyDescent="0.3">
      <c r="A14" s="377"/>
    </row>
    <row r="15" spans="1:19" s="90" customFormat="1" ht="57" customHeight="1" x14ac:dyDescent="0.25">
      <c r="A15" s="338" t="s">
        <v>324</v>
      </c>
      <c r="B15" s="210"/>
      <c r="C15" s="210" t="s">
        <v>14</v>
      </c>
      <c r="D15" s="210" t="s">
        <v>44</v>
      </c>
      <c r="E15" s="210" t="s">
        <v>15</v>
      </c>
      <c r="F15" s="220" t="str">
        <f>"WIC Med.Bow Fuel ("&amp;'Index Pricing'!$F$3*100&amp;"%*CIGindex)"</f>
        <v>WIC Med.Bow Fuel (0.68%*CIGindex)</v>
      </c>
      <c r="G15" s="210" t="s">
        <v>16</v>
      </c>
      <c r="H15" s="210" t="s">
        <v>17</v>
      </c>
      <c r="I15" s="210" t="s">
        <v>216</v>
      </c>
      <c r="J15" s="224"/>
      <c r="K15" s="223" t="s">
        <v>9</v>
      </c>
    </row>
    <row r="16" spans="1:19" x14ac:dyDescent="0.25">
      <c r="A16" s="379" t="s">
        <v>310</v>
      </c>
      <c r="B16" s="380" t="s">
        <v>11</v>
      </c>
      <c r="C16" s="381">
        <v>0</v>
      </c>
      <c r="D16" s="380">
        <f>-$E$11</f>
        <v>-0.61</v>
      </c>
      <c r="E16" s="380"/>
      <c r="F16" s="380"/>
      <c r="G16" s="380"/>
      <c r="H16" s="380"/>
      <c r="I16" s="380">
        <f>+-M57*D16/(O57)</f>
        <v>-4.4867319608703521E-2</v>
      </c>
      <c r="J16" s="382"/>
      <c r="K16" s="383">
        <f>ROUND(SUM(C16:J16),4)</f>
        <v>-0.65490000000000004</v>
      </c>
    </row>
    <row r="17" spans="1:23" x14ac:dyDescent="0.25">
      <c r="A17" s="379" t="s">
        <v>310</v>
      </c>
      <c r="B17" s="380" t="s">
        <v>1</v>
      </c>
      <c r="C17" s="381">
        <v>0.01</v>
      </c>
      <c r="D17" s="380">
        <f>-$E$11</f>
        <v>-0.61</v>
      </c>
      <c r="E17" s="380">
        <f>-0.13-0.0025-0.0022</f>
        <v>-0.13470000000000001</v>
      </c>
      <c r="F17" s="380">
        <f>-'Index Pricing'!$F$3*'Index Pricing'!B3</f>
        <v>-1.7271999999999999E-2</v>
      </c>
      <c r="G17" s="380">
        <v>-0.1226</v>
      </c>
      <c r="H17" s="380">
        <v>0</v>
      </c>
      <c r="I17" s="380">
        <f>+I16</f>
        <v>-4.4867319608703521E-2</v>
      </c>
      <c r="J17" s="382"/>
      <c r="K17" s="383">
        <f>ROUND(SUM(C17:J17),4)</f>
        <v>-0.9194</v>
      </c>
    </row>
    <row r="18" spans="1:23" x14ac:dyDescent="0.25">
      <c r="A18" s="379" t="s">
        <v>310</v>
      </c>
      <c r="B18" s="380" t="s">
        <v>0</v>
      </c>
      <c r="C18" s="381">
        <v>0</v>
      </c>
      <c r="D18" s="380">
        <f>-$E$11</f>
        <v>-0.61</v>
      </c>
      <c r="E18" s="380"/>
      <c r="F18" s="380"/>
      <c r="G18" s="380"/>
      <c r="H18" s="380"/>
      <c r="I18" s="380">
        <f>+I17</f>
        <v>-4.4867319608703521E-2</v>
      </c>
      <c r="J18" s="382"/>
      <c r="K18" s="383">
        <f>ROUND(SUM(C18:J18),4)</f>
        <v>-0.65490000000000004</v>
      </c>
    </row>
    <row r="19" spans="1:23" x14ac:dyDescent="0.25">
      <c r="A19" s="379" t="s">
        <v>311</v>
      </c>
      <c r="B19" s="380" t="s">
        <v>11</v>
      </c>
      <c r="C19" s="550" t="s">
        <v>398</v>
      </c>
      <c r="D19" s="380">
        <f>-$E$11</f>
        <v>-0.61</v>
      </c>
      <c r="E19" s="380"/>
      <c r="F19" s="380"/>
      <c r="G19" s="380"/>
      <c r="H19" s="380"/>
      <c r="I19" s="380">
        <f>I18</f>
        <v>-4.4867319608703521E-2</v>
      </c>
      <c r="J19" s="382"/>
      <c r="K19" s="383">
        <f>ROUND(SUM(C19:J19),4)</f>
        <v>-0.65490000000000004</v>
      </c>
      <c r="L19" s="384"/>
      <c r="N19" s="431"/>
      <c r="O19" s="431"/>
    </row>
    <row r="20" spans="1:23" x14ac:dyDescent="0.25">
      <c r="A20" s="379" t="s">
        <v>311</v>
      </c>
      <c r="B20" s="439" t="s">
        <v>11</v>
      </c>
      <c r="C20" s="381">
        <v>0.1</v>
      </c>
      <c r="D20" s="439">
        <f>D18</f>
        <v>-0.61</v>
      </c>
      <c r="E20" s="439">
        <v>-0.25</v>
      </c>
      <c r="F20" s="439">
        <f>-'Index Pricing'!$F$3*'Index Pricing'!B3</f>
        <v>-1.7271999999999999E-2</v>
      </c>
      <c r="G20" s="439"/>
      <c r="H20" s="439"/>
      <c r="I20" s="380">
        <f>I19</f>
        <v>-4.4867319608703521E-2</v>
      </c>
      <c r="J20" s="382"/>
      <c r="K20" s="383">
        <f>ROUND(SUM(C20:J20),4)</f>
        <v>-0.82210000000000005</v>
      </c>
      <c r="L20" s="384"/>
    </row>
    <row r="21" spans="1:23" ht="13.8" thickBot="1" x14ac:dyDescent="0.3">
      <c r="A21" s="514"/>
      <c r="B21" s="514"/>
      <c r="C21" s="515"/>
      <c r="D21" s="514"/>
      <c r="E21" s="514"/>
      <c r="F21" s="514"/>
      <c r="G21" s="514"/>
      <c r="H21" s="514"/>
      <c r="I21" s="514"/>
      <c r="J21" s="516"/>
      <c r="K21" s="516"/>
      <c r="L21" s="516"/>
      <c r="M21" s="517"/>
      <c r="N21" s="384"/>
    </row>
    <row r="22" spans="1:23" ht="21.6" thickBot="1" x14ac:dyDescent="0.55000000000000004">
      <c r="C22" s="585"/>
      <c r="D22" s="586"/>
      <c r="E22" s="586"/>
      <c r="F22" s="586"/>
      <c r="G22" s="586"/>
      <c r="H22" s="586"/>
      <c r="I22" s="586"/>
      <c r="J22" s="586"/>
      <c r="K22" s="586"/>
      <c r="L22" s="586"/>
      <c r="M22" s="586"/>
      <c r="N22" s="586"/>
      <c r="O22" s="586"/>
      <c r="P22" s="586"/>
      <c r="Q22" s="586"/>
      <c r="R22" s="586"/>
      <c r="S22" s="586"/>
      <c r="T22" s="586"/>
      <c r="U22" s="586"/>
      <c r="V22"/>
      <c r="W22"/>
    </row>
    <row r="23" spans="1:23" s="90" customFormat="1" ht="57" customHeight="1" x14ac:dyDescent="0.25">
      <c r="B23" s="252"/>
      <c r="C23" s="248" t="s">
        <v>20</v>
      </c>
      <c r="D23" s="167" t="s">
        <v>291</v>
      </c>
      <c r="E23" s="248" t="s">
        <v>200</v>
      </c>
      <c r="F23" s="167" t="s">
        <v>32</v>
      </c>
      <c r="G23" s="248" t="s">
        <v>21</v>
      </c>
      <c r="H23" s="167" t="s">
        <v>302</v>
      </c>
      <c r="I23" s="248" t="s">
        <v>375</v>
      </c>
      <c r="J23" s="167" t="s">
        <v>376</v>
      </c>
      <c r="K23" s="248" t="s">
        <v>399</v>
      </c>
      <c r="L23" s="167" t="s">
        <v>400</v>
      </c>
      <c r="M23" s="333" t="s">
        <v>316</v>
      </c>
      <c r="N23" s="333" t="s">
        <v>317</v>
      </c>
      <c r="O23" s="342" t="s">
        <v>321</v>
      </c>
      <c r="P23" s="582" t="s">
        <v>318</v>
      </c>
      <c r="Q23" s="583"/>
      <c r="R23" s="583"/>
      <c r="S23" s="583"/>
      <c r="T23" s="584"/>
      <c r="U23" s="341"/>
      <c r="V23"/>
      <c r="W23"/>
    </row>
    <row r="24" spans="1:23" x14ac:dyDescent="0.25">
      <c r="B24" s="385"/>
      <c r="C24" s="386"/>
      <c r="D24" s="385"/>
      <c r="E24" s="386"/>
      <c r="F24" s="387">
        <f>IF(+C7*0.8&gt;12000,12000,+C7*0.8)</f>
        <v>12000</v>
      </c>
      <c r="G24" s="386"/>
      <c r="H24" s="385"/>
      <c r="I24" s="33"/>
      <c r="J24" s="26"/>
      <c r="K24" s="33"/>
      <c r="L24" s="26"/>
      <c r="M24" s="388" t="s">
        <v>215</v>
      </c>
      <c r="N24" s="388"/>
      <c r="O24" s="389"/>
      <c r="P24" s="390"/>
      <c r="Q24" s="391"/>
      <c r="R24" s="391"/>
      <c r="S24" s="391"/>
      <c r="T24" s="385"/>
      <c r="U24" s="525"/>
    </row>
    <row r="25" spans="1:23" s="90" customFormat="1" ht="27" thickBot="1" x14ac:dyDescent="0.3">
      <c r="B25" s="252" t="s">
        <v>3</v>
      </c>
      <c r="C25" s="249" t="s">
        <v>61</v>
      </c>
      <c r="D25" s="252"/>
      <c r="E25" s="307" t="s">
        <v>18</v>
      </c>
      <c r="F25" s="256"/>
      <c r="G25" s="249" t="s">
        <v>22</v>
      </c>
      <c r="H25" s="252"/>
      <c r="I25" s="249" t="s">
        <v>61</v>
      </c>
      <c r="J25" s="252"/>
      <c r="K25" s="249" t="s">
        <v>61</v>
      </c>
      <c r="L25" s="252"/>
      <c r="M25" s="571"/>
      <c r="N25" s="571"/>
      <c r="O25" s="572"/>
      <c r="P25" s="335" t="s">
        <v>296</v>
      </c>
      <c r="Q25" s="336" t="s">
        <v>117</v>
      </c>
      <c r="R25" s="336" t="s">
        <v>313</v>
      </c>
      <c r="S25" s="336" t="s">
        <v>377</v>
      </c>
      <c r="T25" s="337" t="s">
        <v>401</v>
      </c>
      <c r="U25" s="520" t="s">
        <v>26</v>
      </c>
    </row>
    <row r="26" spans="1:23" x14ac:dyDescent="0.25">
      <c r="A26" s="392">
        <f>+'Index Pricing'!A7</f>
        <v>37196</v>
      </c>
      <c r="B26" s="393">
        <f>+'Index Pricing'!B7</f>
        <v>2.67</v>
      </c>
      <c r="C26" s="394">
        <f t="shared" ref="C26:C55" si="0">+B26+$K$16</f>
        <v>2.0150999999999999</v>
      </c>
      <c r="D26" s="395">
        <f>O26*'Internal Kennedy Total'!T18</f>
        <v>2849.6532499936989</v>
      </c>
      <c r="E26" s="396">
        <f>+'Index Pricing'!$B$4+'S Kitty Detail'!$K$17</f>
        <v>2.1206</v>
      </c>
      <c r="F26" s="397">
        <f>O26*'Internal Kennedy Total'!U18</f>
        <v>8130.2517831489276</v>
      </c>
      <c r="G26" s="396">
        <f t="shared" ref="G26:G55" si="1">$C$6+$K$18</f>
        <v>1.8851</v>
      </c>
      <c r="H26" s="398">
        <f>O26*'Internal Kennedy Total'!V18</f>
        <v>3269.7162587897269</v>
      </c>
      <c r="I26" s="396">
        <f>B26+$K$20</f>
        <v>1.8478999999999999</v>
      </c>
      <c r="J26" s="399">
        <f>O26*'Internal Kennedy Total'!W18</f>
        <v>1493.9337651536155</v>
      </c>
      <c r="K26" s="396">
        <f>B26+$K$19+'Kennedy Gas Daily Pricing'!B7</f>
        <v>1.9650999999999998</v>
      </c>
      <c r="L26" s="399">
        <f>O26*'Internal Kennedy Total'!X18</f>
        <v>11138.444942914031</v>
      </c>
      <c r="M26" s="400">
        <f>'[1]Enron Detail'!$G14</f>
        <v>-2211</v>
      </c>
      <c r="N26" s="401">
        <f>O26-M26</f>
        <v>29093</v>
      </c>
      <c r="O26" s="573">
        <f>'Internal Kennedy Total'!N18</f>
        <v>26882</v>
      </c>
      <c r="P26" s="409">
        <f t="shared" ref="P26:P55" si="2">+C26*D26</f>
        <v>5742.3362640623027</v>
      </c>
      <c r="Q26" s="409">
        <f t="shared" ref="Q26:Q55" si="3">+E26*F26</f>
        <v>17241.011931345616</v>
      </c>
      <c r="R26" s="409">
        <f t="shared" ref="R26:R55" si="4">+G26*H26</f>
        <v>6163.7421194445142</v>
      </c>
      <c r="S26" s="409">
        <f t="shared" ref="S26:S55" si="5">I26*J26</f>
        <v>2760.6402046273656</v>
      </c>
      <c r="T26" s="410">
        <f>K26*L26</f>
        <v>21888.158157320362</v>
      </c>
      <c r="U26" s="521">
        <f t="shared" ref="U26:U57" si="6">SUM(P26:T26)</f>
        <v>53795.888676800154</v>
      </c>
      <c r="W26" s="538"/>
    </row>
    <row r="27" spans="1:23" x14ac:dyDescent="0.25">
      <c r="A27" s="392">
        <f>+A26+1</f>
        <v>37197</v>
      </c>
      <c r="B27" s="393">
        <f>+'Index Pricing'!B8</f>
        <v>2.36</v>
      </c>
      <c r="C27" s="402">
        <f t="shared" si="0"/>
        <v>1.7050999999999998</v>
      </c>
      <c r="D27" s="403">
        <f>O27*'Internal Kennedy Total'!T19</f>
        <v>2939.8937223610847</v>
      </c>
      <c r="E27" s="404">
        <f>+'Index Pricing'!$B$4+'S Kitty Detail'!$K$17</f>
        <v>2.1206</v>
      </c>
      <c r="F27" s="387">
        <f>O27*'Internal Kennedy Total'!U19</f>
        <v>8387.7139011728505</v>
      </c>
      <c r="G27" s="404">
        <f t="shared" si="1"/>
        <v>1.8851</v>
      </c>
      <c r="H27" s="405">
        <f>O27*'Internal Kennedy Total'!V19</f>
        <v>3373.2589405883482</v>
      </c>
      <c r="I27" s="404">
        <f t="shared" ref="I27:I55" si="7">B27+$K$20</f>
        <v>1.5378999999999998</v>
      </c>
      <c r="J27" s="406">
        <f>O27*'Internal Kennedy Total'!W19</f>
        <v>1541.2424293405115</v>
      </c>
      <c r="K27" s="404">
        <f>B27+$K$19+'Kennedy Gas Daily Pricing'!B8</f>
        <v>1.6550999999999998</v>
      </c>
      <c r="L27" s="406">
        <f>O27*'Internal Kennedy Total'!X19</f>
        <v>12840.891006537206</v>
      </c>
      <c r="M27" s="407">
        <f>'[1]Enron Detail'!$G15</f>
        <v>-2525</v>
      </c>
      <c r="N27" s="408">
        <f t="shared" ref="N27:N55" si="8">O27-M27</f>
        <v>31608</v>
      </c>
      <c r="O27" s="574">
        <f>'Internal Kennedy Total'!N19</f>
        <v>29083</v>
      </c>
      <c r="P27" s="409">
        <f t="shared" si="2"/>
        <v>5012.8127859978849</v>
      </c>
      <c r="Q27" s="409">
        <f t="shared" si="3"/>
        <v>17786.986098827147</v>
      </c>
      <c r="R27" s="409">
        <f t="shared" si="4"/>
        <v>6358.9304289030952</v>
      </c>
      <c r="S27" s="409">
        <f t="shared" si="5"/>
        <v>2370.2767320827725</v>
      </c>
      <c r="T27" s="410">
        <f t="shared" ref="T27:T55" si="9">K27*L27</f>
        <v>21252.958704919725</v>
      </c>
      <c r="U27" s="522">
        <f t="shared" si="6"/>
        <v>52781.964750730622</v>
      </c>
    </row>
    <row r="28" spans="1:23" x14ac:dyDescent="0.25">
      <c r="A28" s="392">
        <f t="shared" ref="A28:A55" si="10">+A27+1</f>
        <v>37198</v>
      </c>
      <c r="B28" s="393">
        <f>+'Index Pricing'!B9</f>
        <v>2.0150000000000001</v>
      </c>
      <c r="C28" s="402">
        <f t="shared" si="0"/>
        <v>1.3601000000000001</v>
      </c>
      <c r="D28" s="403">
        <f>O28*'Internal Kennedy Total'!T20</f>
        <v>2987.0664962231258</v>
      </c>
      <c r="E28" s="404">
        <f>+'Index Pricing'!$B$4+'S Kitty Detail'!$K$17</f>
        <v>2.1206</v>
      </c>
      <c r="F28" s="387">
        <f>O28*'Internal Kennedy Total'!U20</f>
        <v>8522.3009877977911</v>
      </c>
      <c r="G28" s="404">
        <f t="shared" si="1"/>
        <v>1.8851</v>
      </c>
      <c r="H28" s="405">
        <f>O28*'Internal Kennedy Total'!V20</f>
        <v>3427.3853805926783</v>
      </c>
      <c r="I28" s="404">
        <f t="shared" si="7"/>
        <v>1.1929000000000001</v>
      </c>
      <c r="J28" s="406">
        <f>O28*'Internal Kennedy Total'!W20</f>
        <v>1565.9728065078443</v>
      </c>
      <c r="K28" s="404">
        <f>B28+$K$19+'Kennedy Gas Daily Pricing'!B9</f>
        <v>1.3101</v>
      </c>
      <c r="L28" s="406">
        <f>O28*'Internal Kennedy Total'!X20</f>
        <v>14053.274328878559</v>
      </c>
      <c r="M28" s="407">
        <f>'[1]Enron Detail'!$G16</f>
        <v>-2192</v>
      </c>
      <c r="N28" s="408">
        <f t="shared" si="8"/>
        <v>32748</v>
      </c>
      <c r="O28" s="574">
        <f>'Internal Kennedy Total'!N20</f>
        <v>30556</v>
      </c>
      <c r="P28" s="409">
        <f t="shared" si="2"/>
        <v>4062.7091415130735</v>
      </c>
      <c r="Q28" s="409">
        <f t="shared" si="3"/>
        <v>18072.391474723998</v>
      </c>
      <c r="R28" s="409">
        <f t="shared" si="4"/>
        <v>6460.9641809552577</v>
      </c>
      <c r="S28" s="409">
        <f t="shared" si="5"/>
        <v>1868.0489608832077</v>
      </c>
      <c r="T28" s="410">
        <f t="shared" si="9"/>
        <v>18411.1946982638</v>
      </c>
      <c r="U28" s="522">
        <f t="shared" si="6"/>
        <v>48875.308456339335</v>
      </c>
    </row>
    <row r="29" spans="1:23" x14ac:dyDescent="0.25">
      <c r="A29" s="392">
        <f t="shared" si="10"/>
        <v>37199</v>
      </c>
      <c r="B29" s="393">
        <f>+'Index Pricing'!B10</f>
        <v>2.0150000000000001</v>
      </c>
      <c r="C29" s="402">
        <f t="shared" si="0"/>
        <v>1.3601000000000001</v>
      </c>
      <c r="D29" s="403">
        <f>O29*'Internal Kennedy Total'!T21</f>
        <v>2967.976026668558</v>
      </c>
      <c r="E29" s="404">
        <f>+'Index Pricing'!$B$4+'S Kitty Detail'!$K$17</f>
        <v>2.1206</v>
      </c>
      <c r="F29" s="387">
        <f>O29*'Internal Kennedy Total'!U21</f>
        <v>8467.8345981984548</v>
      </c>
      <c r="G29" s="404">
        <f t="shared" si="1"/>
        <v>1.8851</v>
      </c>
      <c r="H29" s="405">
        <f>O29*'Internal Kennedy Total'!V21</f>
        <v>3405.4808142421448</v>
      </c>
      <c r="I29" s="404">
        <f t="shared" si="7"/>
        <v>1.1929000000000001</v>
      </c>
      <c r="J29" s="406">
        <f>O29*'Internal Kennedy Total'!W21</f>
        <v>1555.9646074189659</v>
      </c>
      <c r="K29" s="404">
        <f>B29+$K$19+'Kennedy Gas Daily Pricing'!B10</f>
        <v>1.3101</v>
      </c>
      <c r="L29" s="406">
        <f>O29*'Internal Kennedy Total'!X21</f>
        <v>13449.743953471878</v>
      </c>
      <c r="M29" s="407">
        <f>'[1]Enron Detail'!$G17</f>
        <v>-541</v>
      </c>
      <c r="N29" s="408">
        <f t="shared" si="8"/>
        <v>30388</v>
      </c>
      <c r="O29" s="574">
        <f>'Internal Kennedy Total'!N21</f>
        <v>29847</v>
      </c>
      <c r="P29" s="409">
        <f t="shared" si="2"/>
        <v>4036.7441938719062</v>
      </c>
      <c r="Q29" s="409">
        <f t="shared" si="3"/>
        <v>17956.890048939644</v>
      </c>
      <c r="R29" s="409">
        <f t="shared" si="4"/>
        <v>6419.671882927867</v>
      </c>
      <c r="S29" s="409">
        <f t="shared" si="5"/>
        <v>1856.1101801900845</v>
      </c>
      <c r="T29" s="410">
        <f t="shared" si="9"/>
        <v>17620.50955344351</v>
      </c>
      <c r="U29" s="522">
        <f t="shared" si="6"/>
        <v>47889.925859373005</v>
      </c>
    </row>
    <row r="30" spans="1:23" x14ac:dyDescent="0.25">
      <c r="A30" s="392">
        <f t="shared" si="10"/>
        <v>37200</v>
      </c>
      <c r="B30" s="393">
        <f>+'Index Pricing'!B11</f>
        <v>2.0150000000000001</v>
      </c>
      <c r="C30" s="402">
        <f t="shared" si="0"/>
        <v>1.3601000000000001</v>
      </c>
      <c r="D30" s="403">
        <f>O30*'Internal Kennedy Total'!T22</f>
        <v>2998.9857656228123</v>
      </c>
      <c r="E30" s="404">
        <f>+'Index Pricing'!$B$4+'S Kitty Detail'!$K$17</f>
        <v>2.1206</v>
      </c>
      <c r="F30" s="387">
        <f>O30*'Internal Kennedy Total'!U22</f>
        <v>8556.3074625472545</v>
      </c>
      <c r="G30" s="404">
        <f t="shared" si="1"/>
        <v>1.8851</v>
      </c>
      <c r="H30" s="405">
        <f>O30*'Internal Kennedy Total'!V22</f>
        <v>3441.0616511877538</v>
      </c>
      <c r="I30" s="404">
        <f t="shared" si="7"/>
        <v>1.1929000000000001</v>
      </c>
      <c r="J30" s="406">
        <f>O30*'Internal Kennedy Total'!W22</f>
        <v>1572.2214962430578</v>
      </c>
      <c r="K30" s="404">
        <f>B30+$K$19+'Kennedy Gas Daily Pricing'!B11</f>
        <v>1.3101</v>
      </c>
      <c r="L30" s="406">
        <f>O30*'Internal Kennedy Total'!X22</f>
        <v>13987.423624399124</v>
      </c>
      <c r="M30" s="407">
        <f>'[1]Enron Detail'!$G18</f>
        <v>-2213</v>
      </c>
      <c r="N30" s="408">
        <f t="shared" si="8"/>
        <v>32769</v>
      </c>
      <c r="O30" s="574">
        <f>'Internal Kennedy Total'!N22</f>
        <v>30556</v>
      </c>
      <c r="P30" s="409">
        <f t="shared" si="2"/>
        <v>4078.9205398235872</v>
      </c>
      <c r="Q30" s="409">
        <f t="shared" si="3"/>
        <v>18144.505605077709</v>
      </c>
      <c r="R30" s="409">
        <f t="shared" si="4"/>
        <v>6486.7453186540342</v>
      </c>
      <c r="S30" s="409">
        <f t="shared" si="5"/>
        <v>1875.5030228683438</v>
      </c>
      <c r="T30" s="410">
        <f t="shared" si="9"/>
        <v>18324.923690325293</v>
      </c>
      <c r="U30" s="522">
        <f t="shared" si="6"/>
        <v>48910.598176748965</v>
      </c>
    </row>
    <row r="31" spans="1:23" x14ac:dyDescent="0.25">
      <c r="A31" s="392">
        <f t="shared" si="10"/>
        <v>37201</v>
      </c>
      <c r="B31" s="393">
        <f>+'Index Pricing'!B12</f>
        <v>2.16</v>
      </c>
      <c r="C31" s="402">
        <f t="shared" si="0"/>
        <v>1.5051000000000001</v>
      </c>
      <c r="D31" s="403">
        <f>O31*'Internal Kennedy Total'!T23</f>
        <v>2948.536082474227</v>
      </c>
      <c r="E31" s="404">
        <f>+'Index Pricing'!$B$4+'S Kitty Detail'!$K$17</f>
        <v>2.1206</v>
      </c>
      <c r="F31" s="387">
        <f>O31*'Internal Kennedy Total'!U23</f>
        <v>8412.3711340206173</v>
      </c>
      <c r="G31" s="404">
        <f t="shared" si="1"/>
        <v>1.8851</v>
      </c>
      <c r="H31" s="405">
        <f>O31*'Internal Kennedy Total'!V23</f>
        <v>3383.1752577319585</v>
      </c>
      <c r="I31" s="404">
        <f t="shared" si="7"/>
        <v>1.3379000000000001</v>
      </c>
      <c r="J31" s="406">
        <f>O31*'Internal Kennedy Total'!W23</f>
        <v>1545.7731958762886</v>
      </c>
      <c r="K31" s="404">
        <f>B31+$K$19+'Kennedy Gas Daily Pricing'!B12</f>
        <v>1.4551000000000001</v>
      </c>
      <c r="L31" s="406">
        <f>O31*'Internal Kennedy Total'!X23</f>
        <v>13290.144329896906</v>
      </c>
      <c r="M31" s="407">
        <f>'[1]Enron Detail'!$G19</f>
        <v>-2109</v>
      </c>
      <c r="N31" s="408">
        <f t="shared" si="8"/>
        <v>31689</v>
      </c>
      <c r="O31" s="574">
        <f>'Internal Kennedy Total'!N23</f>
        <v>29580</v>
      </c>
      <c r="P31" s="409">
        <f t="shared" si="2"/>
        <v>4437.8416577319595</v>
      </c>
      <c r="Q31" s="409">
        <f t="shared" si="3"/>
        <v>17839.274226804122</v>
      </c>
      <c r="R31" s="409">
        <f t="shared" si="4"/>
        <v>6377.6236783505146</v>
      </c>
      <c r="S31" s="409">
        <f t="shared" si="5"/>
        <v>2068.0899587628865</v>
      </c>
      <c r="T31" s="410">
        <f t="shared" si="9"/>
        <v>19338.489014432987</v>
      </c>
      <c r="U31" s="522">
        <f t="shared" si="6"/>
        <v>50061.318536082472</v>
      </c>
    </row>
    <row r="32" spans="1:23" x14ac:dyDescent="0.25">
      <c r="A32" s="392">
        <f t="shared" si="10"/>
        <v>37202</v>
      </c>
      <c r="B32" s="411">
        <f>+'Index Pricing'!B13</f>
        <v>2.1349999999999998</v>
      </c>
      <c r="C32" s="402">
        <f t="shared" si="0"/>
        <v>1.4800999999999997</v>
      </c>
      <c r="D32" s="403">
        <f>O32*'Internal Kennedy Total'!T24</f>
        <v>2991.9120418848165</v>
      </c>
      <c r="E32" s="404">
        <f>+'Index Pricing'!$B$4+'S Kitty Detail'!$K$17</f>
        <v>2.1206</v>
      </c>
      <c r="F32" s="387">
        <f>O32*'Internal Kennedy Total'!U24</f>
        <v>8536.1256544502612</v>
      </c>
      <c r="G32" s="404">
        <f t="shared" si="1"/>
        <v>1.8851</v>
      </c>
      <c r="H32" s="405">
        <f>O32*'Internal Kennedy Total'!V24</f>
        <v>3432.9452006980805</v>
      </c>
      <c r="I32" s="404">
        <f t="shared" si="7"/>
        <v>1.3128999999999997</v>
      </c>
      <c r="J32" s="406">
        <f>O32*'Internal Kennedy Total'!W24</f>
        <v>1568.5130890052355</v>
      </c>
      <c r="K32" s="404">
        <f>B32+$K$19+'Kennedy Gas Daily Pricing'!B13</f>
        <v>1.4300999999999997</v>
      </c>
      <c r="L32" s="406">
        <f>O32*'Internal Kennedy Total'!X24</f>
        <v>14040.504013961605</v>
      </c>
      <c r="M32" s="407">
        <f>'[1]Enron Detail'!$G20</f>
        <v>-2146</v>
      </c>
      <c r="N32" s="408">
        <f t="shared" si="8"/>
        <v>32716</v>
      </c>
      <c r="O32" s="574">
        <f>'Internal Kennedy Total'!N24</f>
        <v>30570</v>
      </c>
      <c r="P32" s="409">
        <f t="shared" si="2"/>
        <v>4428.3290131937165</v>
      </c>
      <c r="Q32" s="409">
        <f t="shared" si="3"/>
        <v>18101.708062827223</v>
      </c>
      <c r="R32" s="409">
        <f t="shared" si="4"/>
        <v>6471.4449978359517</v>
      </c>
      <c r="S32" s="409">
        <f t="shared" si="5"/>
        <v>2059.3008345549733</v>
      </c>
      <c r="T32" s="410">
        <f t="shared" si="9"/>
        <v>20079.324790366489</v>
      </c>
      <c r="U32" s="522">
        <f t="shared" si="6"/>
        <v>51140.107698778353</v>
      </c>
    </row>
    <row r="33" spans="1:21" x14ac:dyDescent="0.25">
      <c r="A33" s="392">
        <f t="shared" si="10"/>
        <v>37203</v>
      </c>
      <c r="B33" s="393">
        <f>+'Index Pricing'!B14</f>
        <v>2.13</v>
      </c>
      <c r="C33" s="402">
        <f t="shared" si="0"/>
        <v>1.4750999999999999</v>
      </c>
      <c r="D33" s="403">
        <f>O33*'Internal Kennedy Total'!T25</f>
        <v>3034.2186166864817</v>
      </c>
      <c r="E33" s="404">
        <f>+'Index Pricing'!$B$4+'S Kitty Detail'!$K$17</f>
        <v>2.1206</v>
      </c>
      <c r="F33" s="387">
        <f>O33*'Internal Kennedy Total'!U25</f>
        <v>8656.8291488915311</v>
      </c>
      <c r="G33" s="404">
        <f t="shared" si="1"/>
        <v>1.8851</v>
      </c>
      <c r="H33" s="405">
        <f>O33*'Internal Kennedy Total'!V25</f>
        <v>3481.4881227125438</v>
      </c>
      <c r="I33" s="404">
        <f t="shared" si="7"/>
        <v>1.3078999999999998</v>
      </c>
      <c r="J33" s="406">
        <f>O33*'Internal Kennedy Total'!W25</f>
        <v>1590.6923561088188</v>
      </c>
      <c r="K33" s="404">
        <f>B33+$K$19+'Kennedy Gas Daily Pricing'!B14</f>
        <v>1.4250999999999998</v>
      </c>
      <c r="L33" s="406">
        <f>O33*'Internal Kennedy Total'!X25</f>
        <v>14182.771755600625</v>
      </c>
      <c r="M33" s="407">
        <f>'[1]Enron Detail'!$G21</f>
        <v>-1970</v>
      </c>
      <c r="N33" s="408">
        <f t="shared" si="8"/>
        <v>32916</v>
      </c>
      <c r="O33" s="574">
        <f>'Internal Kennedy Total'!N25</f>
        <v>30946</v>
      </c>
      <c r="P33" s="409">
        <f t="shared" si="2"/>
        <v>4475.7758814742283</v>
      </c>
      <c r="Q33" s="409">
        <f t="shared" si="3"/>
        <v>18357.671893139381</v>
      </c>
      <c r="R33" s="409">
        <f t="shared" si="4"/>
        <v>6562.9532601254159</v>
      </c>
      <c r="S33" s="409">
        <f t="shared" si="5"/>
        <v>2080.4665325547239</v>
      </c>
      <c r="T33" s="410">
        <f t="shared" si="9"/>
        <v>20211.868028906447</v>
      </c>
      <c r="U33" s="522">
        <f t="shared" si="6"/>
        <v>51688.735596200204</v>
      </c>
    </row>
    <row r="34" spans="1:21" x14ac:dyDescent="0.25">
      <c r="A34" s="392">
        <f t="shared" si="10"/>
        <v>37204</v>
      </c>
      <c r="B34" s="393">
        <f>+'Index Pricing'!B15</f>
        <v>1.9350000000000001</v>
      </c>
      <c r="C34" s="402">
        <f t="shared" si="0"/>
        <v>1.2801</v>
      </c>
      <c r="D34" s="403">
        <f>O34*'Internal Kennedy Total'!T26</f>
        <v>2945.8420300895068</v>
      </c>
      <c r="E34" s="404">
        <f>+'Index Pricing'!$B$4+'S Kitty Detail'!$K$17</f>
        <v>2.1206</v>
      </c>
      <c r="F34" s="387">
        <f>O34*'Internal Kennedy Total'!U26</f>
        <v>8404.6848219386775</v>
      </c>
      <c r="G34" s="404">
        <f t="shared" si="1"/>
        <v>1.8851</v>
      </c>
      <c r="H34" s="405">
        <f>O34*'Internal Kennedy Total'!V26</f>
        <v>3380.0840792230051</v>
      </c>
      <c r="I34" s="404">
        <f t="shared" si="7"/>
        <v>1.1129</v>
      </c>
      <c r="J34" s="406">
        <f>O34*'Internal Kennedy Total'!W26</f>
        <v>1544.3608360312321</v>
      </c>
      <c r="K34" s="404">
        <f>B34+$K$19+'Kennedy Gas Daily Pricing'!B15</f>
        <v>1.2301</v>
      </c>
      <c r="L34" s="406">
        <f>O34*'Internal Kennedy Total'!X26</f>
        <v>13147.028232717577</v>
      </c>
      <c r="M34" s="407">
        <f>'[1]Enron Detail'!$G22</f>
        <v>-1865</v>
      </c>
      <c r="N34" s="408">
        <f t="shared" si="8"/>
        <v>31287</v>
      </c>
      <c r="O34" s="574">
        <f>'Internal Kennedy Total'!N26</f>
        <v>29422</v>
      </c>
      <c r="P34" s="409">
        <f t="shared" si="2"/>
        <v>3770.9723827175776</v>
      </c>
      <c r="Q34" s="409">
        <f t="shared" si="3"/>
        <v>17822.974633403159</v>
      </c>
      <c r="R34" s="409">
        <f t="shared" si="4"/>
        <v>6371.7964977432866</v>
      </c>
      <c r="S34" s="409">
        <f t="shared" si="5"/>
        <v>1718.7191744191582</v>
      </c>
      <c r="T34" s="410">
        <f t="shared" si="9"/>
        <v>16172.159429065892</v>
      </c>
      <c r="U34" s="522">
        <f t="shared" si="6"/>
        <v>45856.62211734907</v>
      </c>
    </row>
    <row r="35" spans="1:21" x14ac:dyDescent="0.25">
      <c r="A35" s="392">
        <f t="shared" si="10"/>
        <v>37205</v>
      </c>
      <c r="B35" s="393">
        <f>+'Index Pricing'!B16</f>
        <v>1.7</v>
      </c>
      <c r="C35" s="402">
        <f t="shared" si="0"/>
        <v>1.0450999999999999</v>
      </c>
      <c r="D35" s="403">
        <f>O35*'Internal Kennedy Total'!T27</f>
        <v>2834.1840583880503</v>
      </c>
      <c r="E35" s="404">
        <f>+'Index Pricing'!$B$4+'S Kitty Detail'!$K$17</f>
        <v>2.1206</v>
      </c>
      <c r="F35" s="387">
        <f>O35*'Internal Kennedy Total'!U27</f>
        <v>8086.1171423339529</v>
      </c>
      <c r="G35" s="404">
        <f t="shared" si="1"/>
        <v>1.8851</v>
      </c>
      <c r="H35" s="405">
        <f>O35*'Internal Kennedy Total'!V27</f>
        <v>3251.9667774086379</v>
      </c>
      <c r="I35" s="404">
        <f t="shared" si="7"/>
        <v>0.8778999999999999</v>
      </c>
      <c r="J35" s="406">
        <f>O35*'Internal Kennedy Total'!W27</f>
        <v>1485.8240249038638</v>
      </c>
      <c r="K35" s="404">
        <f>B35+$K$19+'Kennedy Gas Daily Pricing'!B16</f>
        <v>0.99509999999999987</v>
      </c>
      <c r="L35" s="406">
        <f>O35*'Internal Kennedy Total'!X27</f>
        <v>10100.907996965496</v>
      </c>
      <c r="M35" s="407">
        <f>'[1]Enron Detail'!$G23</f>
        <v>-1889</v>
      </c>
      <c r="N35" s="408">
        <f t="shared" si="8"/>
        <v>27648</v>
      </c>
      <c r="O35" s="574">
        <f>'Internal Kennedy Total'!N27</f>
        <v>25759</v>
      </c>
      <c r="P35" s="409">
        <f t="shared" si="2"/>
        <v>2962.0057594213513</v>
      </c>
      <c r="Q35" s="409">
        <f t="shared" si="3"/>
        <v>17147.420012033381</v>
      </c>
      <c r="R35" s="409">
        <f t="shared" si="4"/>
        <v>6130.2825720930232</v>
      </c>
      <c r="S35" s="409">
        <f t="shared" si="5"/>
        <v>1304.4049114631018</v>
      </c>
      <c r="T35" s="410">
        <f t="shared" si="9"/>
        <v>10051.413547780363</v>
      </c>
      <c r="U35" s="522">
        <f t="shared" si="6"/>
        <v>37595.526802791217</v>
      </c>
    </row>
    <row r="36" spans="1:21" x14ac:dyDescent="0.25">
      <c r="A36" s="392">
        <f t="shared" si="10"/>
        <v>37206</v>
      </c>
      <c r="B36" s="393">
        <f>+'Index Pricing'!B17</f>
        <v>1.7</v>
      </c>
      <c r="C36" s="402">
        <f t="shared" si="0"/>
        <v>1.0450999999999999</v>
      </c>
      <c r="D36" s="403">
        <f>O36*'Internal Kennedy Total'!T28</f>
        <v>2823.6601439616102</v>
      </c>
      <c r="E36" s="404">
        <f>+'Index Pricing'!$B$4+'S Kitty Detail'!$K$17</f>
        <v>2.1206</v>
      </c>
      <c r="F36" s="387">
        <f>O36*'Internal Kennedy Total'!U28</f>
        <v>8056.0917088776323</v>
      </c>
      <c r="G36" s="404">
        <f t="shared" si="1"/>
        <v>1.8851</v>
      </c>
      <c r="H36" s="405">
        <f>O36*'Internal Kennedy Total'!V28</f>
        <v>3239.8915489202882</v>
      </c>
      <c r="I36" s="404">
        <f t="shared" si="7"/>
        <v>0.8778999999999999</v>
      </c>
      <c r="J36" s="406">
        <f>O36*'Internal Kennedy Total'!W28</f>
        <v>1480.306851506265</v>
      </c>
      <c r="K36" s="404">
        <f>B36+$K$19+'Kennedy Gas Daily Pricing'!B17</f>
        <v>0.99509999999999987</v>
      </c>
      <c r="L36" s="406">
        <f>O36*'Internal Kennedy Total'!X28</f>
        <v>9582.0497467342047</v>
      </c>
      <c r="M36" s="407">
        <f>'[1]Enron Detail'!$G24</f>
        <v>-1847</v>
      </c>
      <c r="N36" s="408">
        <f t="shared" si="8"/>
        <v>27029</v>
      </c>
      <c r="O36" s="574">
        <f>'Internal Kennedy Total'!N28</f>
        <v>25182</v>
      </c>
      <c r="P36" s="409">
        <f t="shared" si="2"/>
        <v>2951.0072164542785</v>
      </c>
      <c r="Q36" s="409">
        <f t="shared" si="3"/>
        <v>17083.748077845907</v>
      </c>
      <c r="R36" s="409">
        <f t="shared" si="4"/>
        <v>6107.5195588696351</v>
      </c>
      <c r="S36" s="409">
        <f t="shared" si="5"/>
        <v>1299.5613849373499</v>
      </c>
      <c r="T36" s="410">
        <f t="shared" si="9"/>
        <v>9535.0977029752066</v>
      </c>
      <c r="U36" s="522">
        <f t="shared" si="6"/>
        <v>36976.933941082381</v>
      </c>
    </row>
    <row r="37" spans="1:21" x14ac:dyDescent="0.25">
      <c r="A37" s="392">
        <f t="shared" si="10"/>
        <v>37207</v>
      </c>
      <c r="B37" s="393">
        <f>+'Index Pricing'!B18</f>
        <v>1.7</v>
      </c>
      <c r="C37" s="402">
        <f t="shared" si="0"/>
        <v>1.0450999999999999</v>
      </c>
      <c r="D37" s="403">
        <f>O37*'Internal Kennedy Total'!T29</f>
        <v>2861.3424223208626</v>
      </c>
      <c r="E37" s="404">
        <f>+'Index Pricing'!$B$4+'S Kitty Detail'!$K$17</f>
        <v>2.1206</v>
      </c>
      <c r="F37" s="387">
        <f>O37*'Internal Kennedy Total'!U29</f>
        <v>8163.601775523146</v>
      </c>
      <c r="G37" s="404">
        <f t="shared" si="1"/>
        <v>1.8851</v>
      </c>
      <c r="H37" s="405">
        <f>O37*'Internal Kennedy Total'!V29</f>
        <v>3283.128514056225</v>
      </c>
      <c r="I37" s="404">
        <f t="shared" si="7"/>
        <v>0.8778999999999999</v>
      </c>
      <c r="J37" s="406">
        <f>O37*'Internal Kennedy Total'!W29</f>
        <v>1500.0618262523778</v>
      </c>
      <c r="K37" s="404">
        <f>B37+$K$19+'Kennedy Gas Daily Pricing'!B18</f>
        <v>0.99509999999999987</v>
      </c>
      <c r="L37" s="406">
        <f>O37*'Internal Kennedy Total'!X29</f>
        <v>9939.8654618473902</v>
      </c>
      <c r="M37" s="407">
        <f>'[1]Enron Detail'!$G25</f>
        <v>-1963</v>
      </c>
      <c r="N37" s="408">
        <f t="shared" si="8"/>
        <v>27711</v>
      </c>
      <c r="O37" s="574">
        <f>'Internal Kennedy Total'!N29</f>
        <v>25748</v>
      </c>
      <c r="P37" s="409">
        <f t="shared" si="2"/>
        <v>2990.3889655675334</v>
      </c>
      <c r="Q37" s="409">
        <f t="shared" si="3"/>
        <v>17311.733925174383</v>
      </c>
      <c r="R37" s="409">
        <f t="shared" si="4"/>
        <v>6189.0255618473893</v>
      </c>
      <c r="S37" s="409">
        <f t="shared" si="5"/>
        <v>1316.9042772669623</v>
      </c>
      <c r="T37" s="410">
        <f t="shared" si="9"/>
        <v>9891.1601210843364</v>
      </c>
      <c r="U37" s="522">
        <f t="shared" si="6"/>
        <v>37699.212850940603</v>
      </c>
    </row>
    <row r="38" spans="1:21" x14ac:dyDescent="0.25">
      <c r="A38" s="392">
        <f t="shared" si="10"/>
        <v>37208</v>
      </c>
      <c r="B38" s="393">
        <f>+'Index Pricing'!B19</f>
        <v>1.52</v>
      </c>
      <c r="C38" s="402">
        <f t="shared" si="0"/>
        <v>0.86509999999999998</v>
      </c>
      <c r="D38" s="403">
        <f>O38*'Internal Kennedy Total'!T30</f>
        <v>2762.9976591029681</v>
      </c>
      <c r="E38" s="404">
        <f>+'Index Pricing'!$B$4+'S Kitty Detail'!$K$17</f>
        <v>2.1206</v>
      </c>
      <c r="F38" s="387">
        <f>O38*'Internal Kennedy Total'!U30</f>
        <v>7883.0175723337188</v>
      </c>
      <c r="G38" s="404">
        <f t="shared" si="1"/>
        <v>1.8851</v>
      </c>
      <c r="H38" s="405">
        <f>O38*'Internal Kennedy Total'!V30</f>
        <v>3170.2869003402102</v>
      </c>
      <c r="I38" s="404">
        <f t="shared" si="7"/>
        <v>0.69789999999999996</v>
      </c>
      <c r="J38" s="406">
        <f>O38*'Internal Kennedy Total'!W30</f>
        <v>1448.5044789163207</v>
      </c>
      <c r="K38" s="404">
        <f>B38+$K$19+'Kennedy Gas Daily Pricing'!B19</f>
        <v>0.81509999999999994</v>
      </c>
      <c r="L38" s="406">
        <f>O38*'Internal Kennedy Total'!X30</f>
        <v>5782.1933893067817</v>
      </c>
      <c r="M38" s="407">
        <f>'[1]Enron Detail'!$G26</f>
        <v>-1690</v>
      </c>
      <c r="N38" s="408">
        <f t="shared" si="8"/>
        <v>22737</v>
      </c>
      <c r="O38" s="574">
        <f>'Internal Kennedy Total'!N30</f>
        <v>21047</v>
      </c>
      <c r="P38" s="409">
        <f t="shared" si="2"/>
        <v>2390.2692748899776</v>
      </c>
      <c r="Q38" s="409">
        <f t="shared" si="3"/>
        <v>16716.727063890885</v>
      </c>
      <c r="R38" s="409">
        <f t="shared" si="4"/>
        <v>5976.3078358313305</v>
      </c>
      <c r="S38" s="409">
        <f t="shared" si="5"/>
        <v>1010.9112758357002</v>
      </c>
      <c r="T38" s="410">
        <f t="shared" si="9"/>
        <v>4713.0658316239578</v>
      </c>
      <c r="U38" s="522">
        <f t="shared" si="6"/>
        <v>30807.281282071854</v>
      </c>
    </row>
    <row r="39" spans="1:21" x14ac:dyDescent="0.25">
      <c r="A39" s="392">
        <f t="shared" si="10"/>
        <v>37209</v>
      </c>
      <c r="B39" s="393">
        <f>+'Index Pricing'!B20</f>
        <v>1.595</v>
      </c>
      <c r="C39" s="402">
        <f t="shared" si="0"/>
        <v>0.94009999999999994</v>
      </c>
      <c r="D39" s="403">
        <f>O39*'Internal Kennedy Total'!T31</f>
        <v>2807.6360151096578</v>
      </c>
      <c r="E39" s="404">
        <f>+'Index Pricing'!$B$4+'S Kitty Detail'!$K$17</f>
        <v>2.1206</v>
      </c>
      <c r="F39" s="387">
        <f>O39*'Internal Kennedy Total'!U31</f>
        <v>8010.3737948920334</v>
      </c>
      <c r="G39" s="404">
        <f t="shared" si="1"/>
        <v>1.8851</v>
      </c>
      <c r="H39" s="405">
        <f>O39*'Internal Kennedy Total'!V31</f>
        <v>3221.5053278457463</v>
      </c>
      <c r="I39" s="404">
        <f t="shared" si="7"/>
        <v>0.77289999999999992</v>
      </c>
      <c r="J39" s="406">
        <f>O39*'Internal Kennedy Total'!W31</f>
        <v>1471.9061848114111</v>
      </c>
      <c r="K39" s="404">
        <f>B39+$K$19+'Kennedy Gas Daily Pricing'!B20</f>
        <v>0.89009999999999989</v>
      </c>
      <c r="L39" s="406">
        <f>O39*'Internal Kennedy Total'!X31</f>
        <v>8168.578677341151</v>
      </c>
      <c r="M39" s="407">
        <f>'[1]Enron Detail'!$G27</f>
        <v>-2623</v>
      </c>
      <c r="N39" s="408">
        <f t="shared" si="8"/>
        <v>26303</v>
      </c>
      <c r="O39" s="574">
        <f>'Internal Kennedy Total'!N31</f>
        <v>23680</v>
      </c>
      <c r="P39" s="409">
        <f t="shared" si="2"/>
        <v>2639.4586178045893</v>
      </c>
      <c r="Q39" s="409">
        <f t="shared" si="3"/>
        <v>16986.798669448046</v>
      </c>
      <c r="R39" s="409">
        <f t="shared" si="4"/>
        <v>6072.8596935220166</v>
      </c>
      <c r="S39" s="409">
        <f t="shared" si="5"/>
        <v>1137.6362902407395</v>
      </c>
      <c r="T39" s="410">
        <f t="shared" si="9"/>
        <v>7270.8518807013579</v>
      </c>
      <c r="U39" s="522">
        <f t="shared" si="6"/>
        <v>34107.605151716751</v>
      </c>
    </row>
    <row r="40" spans="1:21" x14ac:dyDescent="0.25">
      <c r="A40" s="392">
        <f t="shared" si="10"/>
        <v>37210</v>
      </c>
      <c r="B40" s="393">
        <f>+'Index Pricing'!B21</f>
        <v>1.84</v>
      </c>
      <c r="C40" s="402">
        <f t="shared" si="0"/>
        <v>1.1851</v>
      </c>
      <c r="D40" s="403">
        <f>O40*'Internal Kennedy Total'!T32</f>
        <v>2877.4821242624089</v>
      </c>
      <c r="E40" s="404">
        <f>+'Index Pricing'!$B$4+'S Kitty Detail'!$K$17</f>
        <v>2.1206</v>
      </c>
      <c r="F40" s="387">
        <f>O40*'Internal Kennedy Total'!U32</f>
        <v>8209.6494272821947</v>
      </c>
      <c r="G40" s="404">
        <f t="shared" si="1"/>
        <v>1.8851</v>
      </c>
      <c r="H40" s="405">
        <f>O40*'Internal Kennedy Total'!V32</f>
        <v>3301.6473446719892</v>
      </c>
      <c r="I40" s="404">
        <f t="shared" si="7"/>
        <v>1.0179</v>
      </c>
      <c r="J40" s="406">
        <f>O40*'Internal Kennedy Total'!W32</f>
        <v>1508.5230822631031</v>
      </c>
      <c r="K40" s="404">
        <f>B40+$K$19+'Kennedy Gas Daily Pricing'!B21</f>
        <v>1.1351</v>
      </c>
      <c r="L40" s="406">
        <f>O40*'Internal Kennedy Total'!X32</f>
        <v>9725.6980215203057</v>
      </c>
      <c r="M40" s="407">
        <f>'[1]Enron Detail'!$G28</f>
        <v>-2434</v>
      </c>
      <c r="N40" s="408">
        <f t="shared" si="8"/>
        <v>28057</v>
      </c>
      <c r="O40" s="574">
        <f>'Internal Kennedy Total'!N32</f>
        <v>25623</v>
      </c>
      <c r="P40" s="409">
        <f t="shared" si="2"/>
        <v>3410.1040654633807</v>
      </c>
      <c r="Q40" s="409">
        <f t="shared" si="3"/>
        <v>17409.382575494623</v>
      </c>
      <c r="R40" s="409">
        <f t="shared" si="4"/>
        <v>6223.9354094411665</v>
      </c>
      <c r="S40" s="409">
        <f t="shared" si="5"/>
        <v>1535.5256454356127</v>
      </c>
      <c r="T40" s="410">
        <f t="shared" si="9"/>
        <v>11039.639824227699</v>
      </c>
      <c r="U40" s="522">
        <f t="shared" si="6"/>
        <v>39618.58752006248</v>
      </c>
    </row>
    <row r="41" spans="1:21" x14ac:dyDescent="0.25">
      <c r="A41" s="392">
        <f t="shared" si="10"/>
        <v>37211</v>
      </c>
      <c r="B41" s="393">
        <f>+'Index Pricing'!B22</f>
        <v>1.4350000000000001</v>
      </c>
      <c r="C41" s="402">
        <f t="shared" si="0"/>
        <v>0.78010000000000002</v>
      </c>
      <c r="D41" s="403">
        <f>O41*'Internal Kennedy Total'!T33</f>
        <v>2866.0857051995549</v>
      </c>
      <c r="E41" s="404">
        <f>+'Index Pricing'!$B$4+'S Kitty Detail'!$K$17</f>
        <v>2.1206</v>
      </c>
      <c r="F41" s="387">
        <f>O41*'Internal Kennedy Total'!U33</f>
        <v>8177.1346795993004</v>
      </c>
      <c r="G41" s="404">
        <f t="shared" si="1"/>
        <v>1.8851</v>
      </c>
      <c r="H41" s="405">
        <f>O41*'Internal Kennedy Total'!V33</f>
        <v>3288.5709969788518</v>
      </c>
      <c r="I41" s="404">
        <f t="shared" si="7"/>
        <v>0.6129</v>
      </c>
      <c r="J41" s="406">
        <f>O41*'Internal Kennedy Total'!W33</f>
        <v>1502.5484973763714</v>
      </c>
      <c r="K41" s="404">
        <f>B41+$K$19+'Kennedy Gas Daily Pricing'!B22</f>
        <v>0.73009999999999997</v>
      </c>
      <c r="L41" s="406">
        <f>O41*'Internal Kennedy Total'!X33</f>
        <v>9878.6601208459215</v>
      </c>
      <c r="M41" s="407">
        <f>'[1]Enron Detail'!$G29</f>
        <v>-1902</v>
      </c>
      <c r="N41" s="408">
        <f t="shared" si="8"/>
        <v>27615</v>
      </c>
      <c r="O41" s="574">
        <f>'Internal Kennedy Total'!N33</f>
        <v>25713</v>
      </c>
      <c r="P41" s="409">
        <f t="shared" si="2"/>
        <v>2235.8334586261726</v>
      </c>
      <c r="Q41" s="409">
        <f t="shared" si="3"/>
        <v>17340.431801558276</v>
      </c>
      <c r="R41" s="409">
        <f t="shared" si="4"/>
        <v>6199.2851864048334</v>
      </c>
      <c r="S41" s="409">
        <f t="shared" si="5"/>
        <v>920.91197404197806</v>
      </c>
      <c r="T41" s="410">
        <f t="shared" si="9"/>
        <v>7212.4097542296067</v>
      </c>
      <c r="U41" s="522">
        <f t="shared" si="6"/>
        <v>33908.872174860866</v>
      </c>
    </row>
    <row r="42" spans="1:21" x14ac:dyDescent="0.25">
      <c r="A42" s="392">
        <f t="shared" si="10"/>
        <v>37212</v>
      </c>
      <c r="B42" s="393">
        <f>+'Index Pricing'!B23</f>
        <v>1.135</v>
      </c>
      <c r="C42" s="402">
        <f t="shared" si="0"/>
        <v>0.48009999999999997</v>
      </c>
      <c r="D42" s="403">
        <f>O42*'Internal Kennedy Total'!T34</f>
        <v>2815.6369128612637</v>
      </c>
      <c r="E42" s="404">
        <f>+'Index Pricing'!$B$4+'S Kitty Detail'!$K$17</f>
        <v>2.1206</v>
      </c>
      <c r="F42" s="387">
        <f>O42*'Internal Kennedy Total'!U34</f>
        <v>8033.2008926141625</v>
      </c>
      <c r="G42" s="404">
        <f t="shared" si="1"/>
        <v>1.8851</v>
      </c>
      <c r="H42" s="405">
        <f>O42*'Internal Kennedy Total'!V34</f>
        <v>3230.6856256463288</v>
      </c>
      <c r="I42" s="404">
        <f t="shared" si="7"/>
        <v>0.31289999999999996</v>
      </c>
      <c r="J42" s="406">
        <f>O42*'Internal Kennedy Total'!W34</f>
        <v>1476.1006640178523</v>
      </c>
      <c r="K42" s="404">
        <f>B42+$K$19+'Kennedy Gas Daily Pricing'!B23</f>
        <v>0.43009999999999998</v>
      </c>
      <c r="L42" s="406">
        <f>O42*'Internal Kennedy Total'!X34</f>
        <v>9043.3759048603933</v>
      </c>
      <c r="M42" s="407">
        <f>'[1]Enron Detail'!$G30</f>
        <v>-1799</v>
      </c>
      <c r="N42" s="408">
        <f t="shared" si="8"/>
        <v>26398</v>
      </c>
      <c r="O42" s="574">
        <f>'Internal Kennedy Total'!N34</f>
        <v>24599</v>
      </c>
      <c r="P42" s="409">
        <f t="shared" si="2"/>
        <v>1351.7872818646927</v>
      </c>
      <c r="Q42" s="409">
        <f t="shared" si="3"/>
        <v>17035.205812877593</v>
      </c>
      <c r="R42" s="409">
        <f t="shared" si="4"/>
        <v>6090.1654729058946</v>
      </c>
      <c r="S42" s="409">
        <f t="shared" si="5"/>
        <v>461.8718977711859</v>
      </c>
      <c r="T42" s="410">
        <f t="shared" si="9"/>
        <v>3889.5559766804549</v>
      </c>
      <c r="U42" s="522">
        <f t="shared" si="6"/>
        <v>28828.586442099822</v>
      </c>
    </row>
    <row r="43" spans="1:21" x14ac:dyDescent="0.25">
      <c r="A43" s="392">
        <f t="shared" si="10"/>
        <v>37213</v>
      </c>
      <c r="B43" s="393">
        <f>+'Index Pricing'!B24</f>
        <v>1.135</v>
      </c>
      <c r="C43" s="402">
        <f t="shared" si="0"/>
        <v>0.48009999999999997</v>
      </c>
      <c r="D43" s="403">
        <f>O43*'Internal Kennedy Total'!T35</f>
        <v>2747.7198197671014</v>
      </c>
      <c r="E43" s="404">
        <f>+'Index Pricing'!$B$4+'S Kitty Detail'!$K$17</f>
        <v>2.1206</v>
      </c>
      <c r="F43" s="387">
        <f>O43*'Internal Kennedy Total'!U35</f>
        <v>7839.428872374041</v>
      </c>
      <c r="G43" s="404">
        <f t="shared" si="1"/>
        <v>1.8851</v>
      </c>
      <c r="H43" s="405">
        <f>O43*'Internal Kennedy Total'!V35</f>
        <v>3152.756978173094</v>
      </c>
      <c r="I43" s="404">
        <f t="shared" si="7"/>
        <v>0.31289999999999996</v>
      </c>
      <c r="J43" s="406">
        <f>O43*'Internal Kennedy Total'!W35</f>
        <v>1440.4950552987302</v>
      </c>
      <c r="K43" s="404">
        <f>B43+$K$19+'Kennedy Gas Daily Pricing'!B24</f>
        <v>0.43009999999999998</v>
      </c>
      <c r="L43" s="406">
        <f>O43*'Internal Kennedy Total'!X35</f>
        <v>7147.599274387032</v>
      </c>
      <c r="M43" s="407">
        <f>'[1]Enron Detail'!$G31</f>
        <v>-1464</v>
      </c>
      <c r="N43" s="408">
        <f t="shared" si="8"/>
        <v>23792</v>
      </c>
      <c r="O43" s="574">
        <f>'Internal Kennedy Total'!N35</f>
        <v>22328</v>
      </c>
      <c r="P43" s="409">
        <f t="shared" si="2"/>
        <v>1319.1802854701853</v>
      </c>
      <c r="Q43" s="409">
        <f t="shared" si="3"/>
        <v>16624.29286675639</v>
      </c>
      <c r="R43" s="409">
        <f t="shared" si="4"/>
        <v>5943.2621795540999</v>
      </c>
      <c r="S43" s="409">
        <f t="shared" si="5"/>
        <v>450.73090280297265</v>
      </c>
      <c r="T43" s="410">
        <f t="shared" si="9"/>
        <v>3074.1824479138622</v>
      </c>
      <c r="U43" s="522">
        <f t="shared" si="6"/>
        <v>27411.648682497515</v>
      </c>
    </row>
    <row r="44" spans="1:21" x14ac:dyDescent="0.25">
      <c r="A44" s="392">
        <f t="shared" si="10"/>
        <v>37214</v>
      </c>
      <c r="B44" s="393">
        <f>+'Index Pricing'!B25</f>
        <v>1.135</v>
      </c>
      <c r="C44" s="402">
        <f t="shared" si="0"/>
        <v>0.48009999999999997</v>
      </c>
      <c r="D44" s="403">
        <f>O44*'Internal Kennedy Total'!T36</f>
        <v>2893.8544283413848</v>
      </c>
      <c r="E44" s="404">
        <f>+'Index Pricing'!$B$4+'S Kitty Detail'!$K$17</f>
        <v>2.1206</v>
      </c>
      <c r="F44" s="387">
        <f>O44*'Internal Kennedy Total'!U36</f>
        <v>8256.3607085346212</v>
      </c>
      <c r="G44" s="404">
        <f t="shared" si="1"/>
        <v>1.8851</v>
      </c>
      <c r="H44" s="405">
        <f>O44*'Internal Kennedy Total'!V36</f>
        <v>3320.4330649490071</v>
      </c>
      <c r="I44" s="404">
        <f t="shared" si="7"/>
        <v>0.31289999999999996</v>
      </c>
      <c r="J44" s="406">
        <f>O44*'Internal Kennedy Total'!W36</f>
        <v>1517.1062801932367</v>
      </c>
      <c r="K44" s="404">
        <f>B44+$K$19+'Kennedy Gas Daily Pricing'!B25</f>
        <v>0.43009999999999998</v>
      </c>
      <c r="L44" s="406">
        <f>O44*'Internal Kennedy Total'!X36</f>
        <v>9648.2455179817498</v>
      </c>
      <c r="M44" s="407">
        <f>'[1]Enron Detail'!$G32</f>
        <v>-1961</v>
      </c>
      <c r="N44" s="408">
        <f t="shared" si="8"/>
        <v>27597</v>
      </c>
      <c r="O44" s="574">
        <f>'Internal Kennedy Total'!N36</f>
        <v>25636</v>
      </c>
      <c r="P44" s="409">
        <f t="shared" si="2"/>
        <v>1389.3395110466988</v>
      </c>
      <c r="Q44" s="409">
        <f t="shared" si="3"/>
        <v>17508.438518518517</v>
      </c>
      <c r="R44" s="409">
        <f t="shared" si="4"/>
        <v>6259.3483707353735</v>
      </c>
      <c r="S44" s="409">
        <f t="shared" si="5"/>
        <v>474.70255507246367</v>
      </c>
      <c r="T44" s="410">
        <f t="shared" si="9"/>
        <v>4149.7103972839504</v>
      </c>
      <c r="U44" s="522">
        <f t="shared" si="6"/>
        <v>29781.539352657004</v>
      </c>
    </row>
    <row r="45" spans="1:21" x14ac:dyDescent="0.25">
      <c r="A45" s="392">
        <f t="shared" si="10"/>
        <v>37215</v>
      </c>
      <c r="B45" s="393">
        <f>+'Index Pricing'!B26</f>
        <v>1.5349999999999999</v>
      </c>
      <c r="C45" s="402">
        <f t="shared" si="0"/>
        <v>0.88009999999999988</v>
      </c>
      <c r="D45" s="403">
        <f>O45*'Internal Kennedy Total'!T37</f>
        <v>2962.2174597227427</v>
      </c>
      <c r="E45" s="404">
        <f>+'Index Pricing'!$B$4+'S Kitty Detail'!$K$17</f>
        <v>2.1206</v>
      </c>
      <c r="F45" s="387">
        <f>O45*'Internal Kennedy Total'!U37</f>
        <v>8451.4050206069696</v>
      </c>
      <c r="G45" s="404">
        <f t="shared" si="1"/>
        <v>1.8851</v>
      </c>
      <c r="H45" s="405">
        <f>O45*'Internal Kennedy Total'!V37</f>
        <v>3398.8733857874358</v>
      </c>
      <c r="I45" s="404">
        <f t="shared" si="7"/>
        <v>0.71289999999999987</v>
      </c>
      <c r="J45" s="406">
        <f>O45*'Internal Kennedy Total'!W37</f>
        <v>1552.9456725365305</v>
      </c>
      <c r="K45" s="404">
        <f>B45+$K$19+'Kennedy Gas Daily Pricing'!B26</f>
        <v>0.83009999999999984</v>
      </c>
      <c r="L45" s="406">
        <f>O45*'Internal Kennedy Total'!X37</f>
        <v>11830.558461346322</v>
      </c>
      <c r="M45" s="407">
        <f>'[1]Enron Detail'!$G33</f>
        <v>-2229</v>
      </c>
      <c r="N45" s="408">
        <f t="shared" si="8"/>
        <v>30425</v>
      </c>
      <c r="O45" s="574">
        <f>'Internal Kennedy Total'!N37</f>
        <v>28196</v>
      </c>
      <c r="P45" s="409">
        <f t="shared" si="2"/>
        <v>2607.0475863019856</v>
      </c>
      <c r="Q45" s="409">
        <f t="shared" si="3"/>
        <v>17922.049486699139</v>
      </c>
      <c r="R45" s="409">
        <f t="shared" si="4"/>
        <v>6407.216219547895</v>
      </c>
      <c r="S45" s="409">
        <f t="shared" si="5"/>
        <v>1107.0949699512923</v>
      </c>
      <c r="T45" s="410">
        <f t="shared" si="9"/>
        <v>9820.5465787635803</v>
      </c>
      <c r="U45" s="522">
        <f t="shared" si="6"/>
        <v>37863.954841263898</v>
      </c>
    </row>
    <row r="46" spans="1:21" x14ac:dyDescent="0.25">
      <c r="A46" s="392">
        <f t="shared" si="10"/>
        <v>37216</v>
      </c>
      <c r="B46" s="393">
        <f>+'Index Pricing'!B27</f>
        <v>2.2050000000000001</v>
      </c>
      <c r="C46" s="402">
        <f t="shared" si="0"/>
        <v>1.5501</v>
      </c>
      <c r="D46" s="403">
        <f>O46*'Internal Kennedy Total'!T38</f>
        <v>2980.6726196160826</v>
      </c>
      <c r="E46" s="404">
        <f>+'Index Pricing'!$B$4+'S Kitty Detail'!$K$17</f>
        <v>2.1206</v>
      </c>
      <c r="F46" s="387">
        <f>O46*'Internal Kennedy Total'!U38</f>
        <v>8504.0588291471686</v>
      </c>
      <c r="G46" s="404">
        <f t="shared" si="1"/>
        <v>1.8851</v>
      </c>
      <c r="H46" s="405">
        <f>O46*'Internal Kennedy Total'!V38</f>
        <v>3420.0489924553531</v>
      </c>
      <c r="I46" s="404">
        <f t="shared" si="7"/>
        <v>1.3829</v>
      </c>
      <c r="J46" s="406">
        <f>O46*'Internal Kennedy Total'!W38</f>
        <v>1562.6208098557922</v>
      </c>
      <c r="K46" s="404">
        <f>B46+$K$19+'Kennedy Gas Daily Pricing'!B27</f>
        <v>1.5001</v>
      </c>
      <c r="L46" s="406">
        <f>O46*'Internal Kennedy Total'!X38</f>
        <v>13214.598748925604</v>
      </c>
      <c r="M46" s="407">
        <f>'[1]Enron Detail'!$G34</f>
        <v>-2158</v>
      </c>
      <c r="N46" s="408">
        <f t="shared" si="8"/>
        <v>31840</v>
      </c>
      <c r="O46" s="574">
        <f>'Internal Kennedy Total'!N38</f>
        <v>29682</v>
      </c>
      <c r="P46" s="409">
        <f t="shared" si="2"/>
        <v>4620.3406276668893</v>
      </c>
      <c r="Q46" s="409">
        <f t="shared" si="3"/>
        <v>18033.707153089486</v>
      </c>
      <c r="R46" s="409">
        <f t="shared" si="4"/>
        <v>6447.1343556775864</v>
      </c>
      <c r="S46" s="409">
        <f t="shared" si="5"/>
        <v>2160.9483179495751</v>
      </c>
      <c r="T46" s="410">
        <f t="shared" si="9"/>
        <v>19823.219583263297</v>
      </c>
      <c r="U46" s="522">
        <f t="shared" si="6"/>
        <v>51085.350037646836</v>
      </c>
    </row>
    <row r="47" spans="1:21" x14ac:dyDescent="0.25">
      <c r="A47" s="392">
        <f t="shared" si="10"/>
        <v>37217</v>
      </c>
      <c r="B47" s="393">
        <f>+'Index Pricing'!B28</f>
        <v>1.43</v>
      </c>
      <c r="C47" s="402">
        <f t="shared" si="0"/>
        <v>0.7750999999999999</v>
      </c>
      <c r="D47" s="403">
        <f>O47*'Internal Kennedy Total'!T39</f>
        <v>3004.0467042609448</v>
      </c>
      <c r="E47" s="404">
        <f>+'Index Pricing'!$B$4+'S Kitty Detail'!$K$17</f>
        <v>2.1206</v>
      </c>
      <c r="F47" s="387">
        <f>O47*'Internal Kennedy Total'!U39</f>
        <v>8570.7466598029823</v>
      </c>
      <c r="G47" s="404">
        <f t="shared" si="1"/>
        <v>1.8851</v>
      </c>
      <c r="H47" s="405">
        <f>O47*'Internal Kennedy Total'!V39</f>
        <v>3446.8686150174321</v>
      </c>
      <c r="I47" s="404">
        <f t="shared" si="7"/>
        <v>0.60789999999999988</v>
      </c>
      <c r="J47" s="406">
        <f>O47*'Internal Kennedy Total'!W39</f>
        <v>1574.8746987387976</v>
      </c>
      <c r="K47" s="404">
        <f>B47+$K$19+'Kennedy Gas Daily Pricing'!B28</f>
        <v>0.72509999999999986</v>
      </c>
      <c r="L47" s="406">
        <f>O47*'Internal Kennedy Total'!X39</f>
        <v>13927.463322179843</v>
      </c>
      <c r="M47" s="407">
        <f>'[1]Enron Detail'!$G35</f>
        <v>-1937</v>
      </c>
      <c r="N47" s="408">
        <f t="shared" si="8"/>
        <v>32461</v>
      </c>
      <c r="O47" s="574">
        <f>'Internal Kennedy Total'!N39</f>
        <v>30524</v>
      </c>
      <c r="P47" s="409">
        <f t="shared" si="2"/>
        <v>2328.436600472658</v>
      </c>
      <c r="Q47" s="409">
        <f t="shared" si="3"/>
        <v>18175.125366778204</v>
      </c>
      <c r="R47" s="409">
        <f t="shared" si="4"/>
        <v>6497.6920261693613</v>
      </c>
      <c r="S47" s="409">
        <f t="shared" si="5"/>
        <v>957.36632936331489</v>
      </c>
      <c r="T47" s="410">
        <f t="shared" si="9"/>
        <v>10098.803654912603</v>
      </c>
      <c r="U47" s="522">
        <f t="shared" si="6"/>
        <v>38057.42397769614</v>
      </c>
    </row>
    <row r="48" spans="1:21" x14ac:dyDescent="0.25">
      <c r="A48" s="392">
        <f t="shared" si="10"/>
        <v>37218</v>
      </c>
      <c r="B48" s="393">
        <f>+'Index Pricing'!B29</f>
        <v>1.43</v>
      </c>
      <c r="C48" s="402">
        <f t="shared" si="0"/>
        <v>0.7750999999999999</v>
      </c>
      <c r="D48" s="403">
        <f>O48*'Internal Kennedy Total'!T40</f>
        <v>3005.4762237762238</v>
      </c>
      <c r="E48" s="404">
        <f>+'Index Pricing'!$B$4+'S Kitty Detail'!$K$17</f>
        <v>2.1206</v>
      </c>
      <c r="F48" s="387">
        <f>O48*'Internal Kennedy Total'!U40</f>
        <v>8574.8251748251751</v>
      </c>
      <c r="G48" s="404">
        <f t="shared" si="1"/>
        <v>1.8851</v>
      </c>
      <c r="H48" s="405">
        <f>O48*'Internal Kennedy Total'!V40</f>
        <v>3448.508857808858</v>
      </c>
      <c r="I48" s="404">
        <f t="shared" si="7"/>
        <v>0.60789999999999988</v>
      </c>
      <c r="J48" s="406">
        <f>O48*'Internal Kennedy Total'!W40</f>
        <v>1575.6241258741259</v>
      </c>
      <c r="K48" s="404">
        <f>B48+$K$19+'Kennedy Gas Daily Pricing'!B29</f>
        <v>0.72509999999999986</v>
      </c>
      <c r="L48" s="406">
        <f>O48*'Internal Kennedy Total'!X40</f>
        <v>14050.565617715618</v>
      </c>
      <c r="M48" s="407">
        <f>'[1]Enron Detail'!$G36</f>
        <v>-1800</v>
      </c>
      <c r="N48" s="408">
        <f t="shared" si="8"/>
        <v>32455</v>
      </c>
      <c r="O48" s="574">
        <f>'Internal Kennedy Total'!N40</f>
        <v>30655</v>
      </c>
      <c r="P48" s="409">
        <f t="shared" si="2"/>
        <v>2329.5446210489508</v>
      </c>
      <c r="Q48" s="409">
        <f t="shared" si="3"/>
        <v>18183.774265734268</v>
      </c>
      <c r="R48" s="409">
        <f t="shared" si="4"/>
        <v>6500.7840478554781</v>
      </c>
      <c r="S48" s="409">
        <f t="shared" si="5"/>
        <v>957.82190611888097</v>
      </c>
      <c r="T48" s="410">
        <f t="shared" si="9"/>
        <v>10188.065129405593</v>
      </c>
      <c r="U48" s="522">
        <f t="shared" si="6"/>
        <v>38159.989970163166</v>
      </c>
    </row>
    <row r="49" spans="1:26" x14ac:dyDescent="0.25">
      <c r="A49" s="392">
        <f t="shared" si="10"/>
        <v>37219</v>
      </c>
      <c r="B49" s="393">
        <f>+'Index Pricing'!B30</f>
        <v>1.43</v>
      </c>
      <c r="C49" s="402">
        <f t="shared" si="0"/>
        <v>0.7750999999999999</v>
      </c>
      <c r="D49" s="403">
        <f>O49*'Internal Kennedy Total'!T41</f>
        <v>2917.0893891618393</v>
      </c>
      <c r="E49" s="404">
        <f>+'Index Pricing'!$B$4+'S Kitty Detail'!$K$17</f>
        <v>2.1206</v>
      </c>
      <c r="F49" s="387">
        <f>O49*'Internal Kennedy Total'!U41</f>
        <v>8322.6516095915522</v>
      </c>
      <c r="G49" s="404">
        <f t="shared" si="1"/>
        <v>1.8851</v>
      </c>
      <c r="H49" s="405">
        <f>O49*'Internal Kennedy Total'!V41</f>
        <v>3347.0930556574026</v>
      </c>
      <c r="I49" s="404">
        <f t="shared" si="7"/>
        <v>0.60789999999999988</v>
      </c>
      <c r="J49" s="406">
        <f>O49*'Internal Kennedy Total'!W41</f>
        <v>1529.2872332624477</v>
      </c>
      <c r="K49" s="404">
        <f>B49+$K$19+'Kennedy Gas Daily Pricing'!B30</f>
        <v>0.72509999999999986</v>
      </c>
      <c r="L49" s="406">
        <f>O49*'Internal Kennedy Total'!X41</f>
        <v>12257.878712326758</v>
      </c>
      <c r="M49" s="407">
        <f>'[1]Enron Detail'!$G37</f>
        <v>-2225</v>
      </c>
      <c r="N49" s="408">
        <f t="shared" si="8"/>
        <v>30599</v>
      </c>
      <c r="O49" s="574">
        <f>'Internal Kennedy Total'!N41</f>
        <v>28374</v>
      </c>
      <c r="P49" s="409">
        <f t="shared" si="2"/>
        <v>2261.0359855393413</v>
      </c>
      <c r="Q49" s="409">
        <f t="shared" si="3"/>
        <v>17649.015003299846</v>
      </c>
      <c r="R49" s="409">
        <f t="shared" si="4"/>
        <v>6309.6051192197692</v>
      </c>
      <c r="S49" s="409">
        <f t="shared" si="5"/>
        <v>929.65370910024171</v>
      </c>
      <c r="T49" s="410">
        <f t="shared" si="9"/>
        <v>8888.1878543081293</v>
      </c>
      <c r="U49" s="522">
        <f t="shared" si="6"/>
        <v>36037.497671467325</v>
      </c>
    </row>
    <row r="50" spans="1:26" x14ac:dyDescent="0.25">
      <c r="A50" s="392">
        <f t="shared" si="10"/>
        <v>37220</v>
      </c>
      <c r="B50" s="393">
        <f>+'Index Pricing'!B31</f>
        <v>1.43</v>
      </c>
      <c r="C50" s="402">
        <f t="shared" si="0"/>
        <v>0.7750999999999999</v>
      </c>
      <c r="D50" s="403">
        <f>O50*'Internal Kennedy Total'!T42</f>
        <v>2654.1332517963615</v>
      </c>
      <c r="E50" s="404">
        <f>+'Index Pricing'!$B$4+'S Kitty Detail'!$K$17</f>
        <v>2.1206</v>
      </c>
      <c r="F50" s="387">
        <f>O50*'Internal Kennedy Total'!U42</f>
        <v>7572.4201192478213</v>
      </c>
      <c r="G50" s="404">
        <f t="shared" si="1"/>
        <v>1.8851</v>
      </c>
      <c r="H50" s="405">
        <f>O50*'Internal Kennedy Total'!V42</f>
        <v>3045.3749579574992</v>
      </c>
      <c r="I50" s="404">
        <f t="shared" si="7"/>
        <v>0.60789999999999988</v>
      </c>
      <c r="J50" s="406">
        <f>O50*'Internal Kennedy Total'!W42</f>
        <v>1391.4321969117871</v>
      </c>
      <c r="K50" s="404">
        <f>B50+$K$19+'Kennedy Gas Daily Pricing'!B31</f>
        <v>0.72509999999999986</v>
      </c>
      <c r="L50" s="406">
        <f>O50*'Internal Kennedy Total'!X42</f>
        <v>5974.6394740865317</v>
      </c>
      <c r="M50" s="407">
        <f>'[1]Enron Detail'!$G38</f>
        <v>-1772</v>
      </c>
      <c r="N50" s="408">
        <f t="shared" si="8"/>
        <v>22410</v>
      </c>
      <c r="O50" s="574">
        <f>'Internal Kennedy Total'!N42</f>
        <v>20638</v>
      </c>
      <c r="P50" s="409">
        <f t="shared" si="2"/>
        <v>2057.2186834673594</v>
      </c>
      <c r="Q50" s="409">
        <f t="shared" si="3"/>
        <v>16058.074104876931</v>
      </c>
      <c r="R50" s="409">
        <f t="shared" si="4"/>
        <v>5740.836333245682</v>
      </c>
      <c r="S50" s="409">
        <f t="shared" si="5"/>
        <v>845.85163250267522</v>
      </c>
      <c r="T50" s="410">
        <f t="shared" si="9"/>
        <v>4332.2110826601429</v>
      </c>
      <c r="U50" s="522">
        <f t="shared" si="6"/>
        <v>29034.191836752791</v>
      </c>
    </row>
    <row r="51" spans="1:26" x14ac:dyDescent="0.25">
      <c r="A51" s="392">
        <f t="shared" si="10"/>
        <v>37221</v>
      </c>
      <c r="B51" s="393">
        <f>+'Index Pricing'!B32</f>
        <v>1.43</v>
      </c>
      <c r="C51" s="402">
        <f t="shared" si="0"/>
        <v>0.7750999999999999</v>
      </c>
      <c r="D51" s="403">
        <f>O51*'Internal Kennedy Total'!T43</f>
        <v>2919.7367203140843</v>
      </c>
      <c r="E51" s="404">
        <f>+'Index Pricing'!$B$4+'S Kitty Detail'!$K$17</f>
        <v>2.1206</v>
      </c>
      <c r="F51" s="387">
        <f>O51*'Internal Kennedy Total'!U43</f>
        <v>8330.2046228647196</v>
      </c>
      <c r="G51" s="404">
        <f t="shared" si="1"/>
        <v>1.8851</v>
      </c>
      <c r="H51" s="405">
        <f>O51*'Internal Kennedy Total'!V43</f>
        <v>3350.1306258287618</v>
      </c>
      <c r="I51" s="404">
        <f t="shared" si="7"/>
        <v>0.60789999999999988</v>
      </c>
      <c r="J51" s="406">
        <f>O51*'Internal Kennedy Total'!W43</f>
        <v>1530.6750994513925</v>
      </c>
      <c r="K51" s="404">
        <f>B51+$K$19+'Kennedy Gas Daily Pricing'!B32</f>
        <v>0.72509999999999986</v>
      </c>
      <c r="L51" s="406">
        <f>O51*'Internal Kennedy Total'!X43</f>
        <v>10568.252931541041</v>
      </c>
      <c r="M51" s="407">
        <f>'[1]Enron Detail'!$G39</f>
        <v>-2004</v>
      </c>
      <c r="N51" s="408">
        <f t="shared" si="8"/>
        <v>28703</v>
      </c>
      <c r="O51" s="574">
        <f>'Internal Kennedy Total'!N43</f>
        <v>26699</v>
      </c>
      <c r="P51" s="409">
        <f t="shared" si="2"/>
        <v>2263.0879319154465</v>
      </c>
      <c r="Q51" s="409">
        <f t="shared" si="3"/>
        <v>17665.031923246926</v>
      </c>
      <c r="R51" s="409">
        <f t="shared" si="4"/>
        <v>6315.3312427497985</v>
      </c>
      <c r="S51" s="409">
        <f t="shared" si="5"/>
        <v>930.49739295650136</v>
      </c>
      <c r="T51" s="410">
        <f t="shared" si="9"/>
        <v>7663.0402006604072</v>
      </c>
      <c r="U51" s="522">
        <f t="shared" si="6"/>
        <v>34836.988691529084</v>
      </c>
    </row>
    <row r="52" spans="1:26" x14ac:dyDescent="0.25">
      <c r="A52" s="392">
        <f t="shared" si="10"/>
        <v>37222</v>
      </c>
      <c r="B52" s="393">
        <f>+'Index Pricing'!B33</f>
        <v>1.88</v>
      </c>
      <c r="C52" s="402">
        <f t="shared" si="0"/>
        <v>1.2250999999999999</v>
      </c>
      <c r="D52" s="403">
        <f>O52*'Internal Kennedy Total'!T44</f>
        <v>2903.3367338806088</v>
      </c>
      <c r="E52" s="404">
        <f>+'Index Pricing'!$B$4+'S Kitty Detail'!$K$17</f>
        <v>2.1206</v>
      </c>
      <c r="F52" s="387">
        <f>O52*'Internal Kennedy Total'!U44</f>
        <v>8283.4143619988845</v>
      </c>
      <c r="G52" s="404">
        <f t="shared" si="1"/>
        <v>1.8851</v>
      </c>
      <c r="H52" s="405">
        <f>O52*'Internal Kennedy Total'!V44</f>
        <v>3331.3131425838847</v>
      </c>
      <c r="I52" s="404">
        <f t="shared" si="7"/>
        <v>1.0578999999999998</v>
      </c>
      <c r="J52" s="406">
        <f>O52*'Internal Kennedy Total'!W44</f>
        <v>1522.077389017295</v>
      </c>
      <c r="K52" s="404">
        <f>B52+$K$19+'Kennedy Gas Daily Pricing'!B33</f>
        <v>1.1750999999999998</v>
      </c>
      <c r="L52" s="406">
        <f>O52*'Internal Kennedy Total'!X44</f>
        <v>9942.8583725193275</v>
      </c>
      <c r="M52" s="407">
        <f>'[1]Enron Detail'!$G40</f>
        <v>-2215</v>
      </c>
      <c r="N52" s="408">
        <f t="shared" si="8"/>
        <v>28198</v>
      </c>
      <c r="O52" s="574">
        <f>'Internal Kennedy Total'!N44</f>
        <v>25983</v>
      </c>
      <c r="P52" s="409">
        <f t="shared" si="2"/>
        <v>3556.8778326771335</v>
      </c>
      <c r="Q52" s="409">
        <f t="shared" si="3"/>
        <v>17565.808496054833</v>
      </c>
      <c r="R52" s="409">
        <f t="shared" si="4"/>
        <v>6279.8584050848813</v>
      </c>
      <c r="S52" s="409">
        <f t="shared" si="5"/>
        <v>1610.2056698413962</v>
      </c>
      <c r="T52" s="410">
        <f t="shared" si="9"/>
        <v>11683.852873547459</v>
      </c>
      <c r="U52" s="522">
        <f t="shared" si="6"/>
        <v>40696.603277205701</v>
      </c>
    </row>
    <row r="53" spans="1:26" x14ac:dyDescent="0.25">
      <c r="A53" s="392">
        <f t="shared" si="10"/>
        <v>37223</v>
      </c>
      <c r="B53" s="393">
        <f>+'Index Pricing'!B34</f>
        <v>2.16</v>
      </c>
      <c r="C53" s="402">
        <f t="shared" si="0"/>
        <v>1.5051000000000001</v>
      </c>
      <c r="D53" s="403">
        <f>O53*'Internal Kennedy Total'!T45</f>
        <v>2769.7141672884022</v>
      </c>
      <c r="E53" s="404">
        <f>+'Index Pricing'!$B$4+'S Kitty Detail'!$K$17</f>
        <v>2.1206</v>
      </c>
      <c r="F53" s="387">
        <f>O53*'Internal Kennedy Total'!U45</f>
        <v>7902.1802205089944</v>
      </c>
      <c r="G53" s="404">
        <f t="shared" si="1"/>
        <v>1.8851</v>
      </c>
      <c r="H53" s="405">
        <f>O53*'Internal Kennedy Total'!V45</f>
        <v>3177.9934786813674</v>
      </c>
      <c r="I53" s="404">
        <f t="shared" si="7"/>
        <v>1.3379000000000001</v>
      </c>
      <c r="J53" s="406">
        <f>O53*'Internal Kennedy Total'!W45</f>
        <v>1452.0256155185277</v>
      </c>
      <c r="K53" s="404">
        <f>B53+$K$19+'Kennedy Gas Daily Pricing'!B34</f>
        <v>1.4551000000000001</v>
      </c>
      <c r="L53" s="406">
        <f>O53*'Internal Kennedy Total'!X45</f>
        <v>8529.0865180027085</v>
      </c>
      <c r="M53" s="407">
        <f>'[1]Enron Detail'!$G41</f>
        <v>-1642</v>
      </c>
      <c r="N53" s="408">
        <f t="shared" si="8"/>
        <v>25473</v>
      </c>
      <c r="O53" s="574">
        <f>'Internal Kennedy Total'!N45</f>
        <v>23831</v>
      </c>
      <c r="P53" s="409">
        <f t="shared" si="2"/>
        <v>4168.6967931857744</v>
      </c>
      <c r="Q53" s="409">
        <f t="shared" si="3"/>
        <v>16757.363375611374</v>
      </c>
      <c r="R53" s="409">
        <f t="shared" si="4"/>
        <v>5990.8355066622453</v>
      </c>
      <c r="S53" s="409">
        <f t="shared" si="5"/>
        <v>1942.6650710022384</v>
      </c>
      <c r="T53" s="410">
        <f t="shared" si="9"/>
        <v>12410.673792345742</v>
      </c>
      <c r="U53" s="522">
        <f t="shared" si="6"/>
        <v>41270.234538807374</v>
      </c>
    </row>
    <row r="54" spans="1:26" x14ac:dyDescent="0.25">
      <c r="A54" s="392">
        <f t="shared" si="10"/>
        <v>37224</v>
      </c>
      <c r="B54" s="393">
        <f>+'Index Pricing'!B35</f>
        <v>2.38</v>
      </c>
      <c r="C54" s="402">
        <f t="shared" si="0"/>
        <v>1.7250999999999999</v>
      </c>
      <c r="D54" s="403">
        <f>O54*'Internal Kennedy Total'!T46</f>
        <v>0</v>
      </c>
      <c r="E54" s="404">
        <f>+'Index Pricing'!$B$4+'S Kitty Detail'!$K$17</f>
        <v>2.1206</v>
      </c>
      <c r="F54" s="387">
        <f>O54*'Internal Kennedy Total'!U46</f>
        <v>8187.1883390870726</v>
      </c>
      <c r="G54" s="404">
        <f t="shared" si="1"/>
        <v>1.8851</v>
      </c>
      <c r="H54" s="405">
        <f>O54*'Internal Kennedy Total'!V46</f>
        <v>2484.8116609129265</v>
      </c>
      <c r="I54" s="404">
        <f t="shared" si="7"/>
        <v>1.5578999999999998</v>
      </c>
      <c r="J54" s="406">
        <f>O54*'Internal Kennedy Total'!W46</f>
        <v>0</v>
      </c>
      <c r="K54" s="404">
        <f>B54+$K$19+'Kennedy Gas Daily Pricing'!B35</f>
        <v>1.6750999999999998</v>
      </c>
      <c r="L54" s="406">
        <f>O54*'Internal Kennedy Total'!X46</f>
        <v>0</v>
      </c>
      <c r="M54" s="407">
        <f>'[1]Enron Detail'!$G42</f>
        <v>-1163.5</v>
      </c>
      <c r="N54" s="408">
        <f t="shared" si="8"/>
        <v>11835.5</v>
      </c>
      <c r="O54" s="574">
        <f>'Internal Kennedy Total'!N46</f>
        <v>10672</v>
      </c>
      <c r="P54" s="409">
        <f t="shared" si="2"/>
        <v>0</v>
      </c>
      <c r="Q54" s="409">
        <f t="shared" si="3"/>
        <v>17361.751591868047</v>
      </c>
      <c r="R54" s="409">
        <f t="shared" si="4"/>
        <v>4684.1184619869582</v>
      </c>
      <c r="S54" s="409">
        <f t="shared" si="5"/>
        <v>0</v>
      </c>
      <c r="T54" s="410">
        <f t="shared" si="9"/>
        <v>0</v>
      </c>
      <c r="U54" s="522">
        <f t="shared" si="6"/>
        <v>22045.870053855004</v>
      </c>
    </row>
    <row r="55" spans="1:26" x14ac:dyDescent="0.25">
      <c r="A55" s="392">
        <f t="shared" si="10"/>
        <v>37225</v>
      </c>
      <c r="B55" s="393">
        <f>+'Index Pricing'!B36</f>
        <v>2.0249999999999999</v>
      </c>
      <c r="C55" s="402">
        <f t="shared" si="0"/>
        <v>1.3700999999999999</v>
      </c>
      <c r="D55" s="403">
        <v>0</v>
      </c>
      <c r="E55" s="404">
        <f>+'Index Pricing'!$B$4+'S Kitty Detail'!$K$17</f>
        <v>2.1206</v>
      </c>
      <c r="F55" s="387">
        <v>0</v>
      </c>
      <c r="G55" s="404">
        <f t="shared" si="1"/>
        <v>1.8851</v>
      </c>
      <c r="H55" s="405">
        <v>0</v>
      </c>
      <c r="I55" s="404">
        <f t="shared" si="7"/>
        <v>1.2028999999999999</v>
      </c>
      <c r="J55" s="406">
        <v>0</v>
      </c>
      <c r="K55" s="404">
        <f>B55+$K$19+'Kennedy Gas Daily Pricing'!B36</f>
        <v>1.3200999999999998</v>
      </c>
      <c r="L55" s="406">
        <v>0</v>
      </c>
      <c r="M55" s="407">
        <f>'[1]Enron Detail'!$G43</f>
        <v>0</v>
      </c>
      <c r="N55" s="408">
        <f t="shared" si="8"/>
        <v>0</v>
      </c>
      <c r="O55" s="574">
        <f>'Internal Kennedy Total'!N47</f>
        <v>0</v>
      </c>
      <c r="P55" s="409">
        <f t="shared" si="2"/>
        <v>0</v>
      </c>
      <c r="Q55" s="409">
        <f t="shared" si="3"/>
        <v>0</v>
      </c>
      <c r="R55" s="409">
        <f t="shared" si="4"/>
        <v>0</v>
      </c>
      <c r="S55" s="409">
        <f t="shared" si="5"/>
        <v>0</v>
      </c>
      <c r="T55" s="410">
        <f t="shared" si="9"/>
        <v>0</v>
      </c>
      <c r="U55" s="522">
        <f t="shared" si="6"/>
        <v>0</v>
      </c>
    </row>
    <row r="56" spans="1:26" ht="13.8" thickBot="1" x14ac:dyDescent="0.3">
      <c r="A56" s="392"/>
      <c r="B56" s="393"/>
      <c r="C56" s="412"/>
      <c r="D56" s="413"/>
      <c r="E56" s="414"/>
      <c r="F56" s="415"/>
      <c r="G56" s="414"/>
      <c r="H56" s="416"/>
      <c r="I56" s="417"/>
      <c r="J56" s="418"/>
      <c r="K56" s="417"/>
      <c r="L56" s="418"/>
      <c r="M56" s="419"/>
      <c r="N56" s="420"/>
      <c r="O56" s="575"/>
      <c r="P56" s="421"/>
      <c r="Q56" s="421"/>
      <c r="R56" s="421"/>
      <c r="S56" s="421"/>
      <c r="T56" s="422"/>
      <c r="U56" s="523"/>
    </row>
    <row r="57" spans="1:26" x14ac:dyDescent="0.25">
      <c r="D57" s="423">
        <f>SUM(D26:D56)</f>
        <v>81071.106591136471</v>
      </c>
      <c r="F57" s="424">
        <f>SUM(F26:F56)</f>
        <v>239488.49102421248</v>
      </c>
      <c r="H57" s="423">
        <f>SUM(H26:H56)</f>
        <v>95506.485557447537</v>
      </c>
      <c r="J57" s="426">
        <f t="shared" ref="J57:T57" si="11">SUM(J26:J56)</f>
        <v>42501.614368391798</v>
      </c>
      <c r="K57" s="426"/>
      <c r="L57" s="426">
        <f t="shared" si="11"/>
        <v>309443.30245881167</v>
      </c>
      <c r="M57" s="427">
        <f t="shared" si="11"/>
        <v>-56489.5</v>
      </c>
      <c r="N57" s="428">
        <f t="shared" si="11"/>
        <v>824500.5</v>
      </c>
      <c r="O57" s="428">
        <f t="shared" si="11"/>
        <v>768011</v>
      </c>
      <c r="P57" s="429">
        <f t="shared" si="11"/>
        <v>89878.102959270633</v>
      </c>
      <c r="Q57" s="429">
        <f t="shared" si="11"/>
        <v>507859.29406594508</v>
      </c>
      <c r="R57" s="429">
        <f t="shared" si="11"/>
        <v>180039.27592434431</v>
      </c>
      <c r="S57" s="429">
        <f t="shared" si="11"/>
        <v>40012.421714597702</v>
      </c>
      <c r="T57" s="429">
        <f t="shared" si="11"/>
        <v>339035.27430141222</v>
      </c>
      <c r="U57" s="430">
        <f t="shared" si="6"/>
        <v>1156824.3689655699</v>
      </c>
    </row>
    <row r="58" spans="1:26" x14ac:dyDescent="0.25">
      <c r="D58" s="431"/>
      <c r="F58" s="431"/>
      <c r="M58" s="431"/>
      <c r="P58" s="432"/>
      <c r="R58" s="425"/>
    </row>
    <row r="59" spans="1:26" x14ac:dyDescent="0.25">
      <c r="L59" s="537"/>
      <c r="Q59" s="91" t="s">
        <v>201</v>
      </c>
      <c r="R59" s="433">
        <f>U57/N57</f>
        <v>1.4030608458885954</v>
      </c>
      <c r="U59" s="538"/>
      <c r="V59" s="434"/>
    </row>
    <row r="60" spans="1:26" x14ac:dyDescent="0.25">
      <c r="A60" s="357" t="s">
        <v>217</v>
      </c>
      <c r="O60" s="378"/>
      <c r="S60" s="29"/>
      <c r="Z60" s="538"/>
    </row>
    <row r="61" spans="1:26" x14ac:dyDescent="0.25">
      <c r="U61" s="434"/>
    </row>
    <row r="62" spans="1:26" x14ac:dyDescent="0.25">
      <c r="R62" s="435"/>
      <c r="S62" s="435"/>
      <c r="U62" s="436"/>
    </row>
    <row r="63" spans="1:26" x14ac:dyDescent="0.25">
      <c r="U63" s="436"/>
    </row>
    <row r="64" spans="1:26" x14ac:dyDescent="0.25">
      <c r="U64" s="434"/>
    </row>
  </sheetData>
  <mergeCells count="2">
    <mergeCell ref="C22:U22"/>
    <mergeCell ref="P23:T23"/>
  </mergeCells>
  <phoneticPr fontId="0" type="noConversion"/>
  <pageMargins left="0.25" right="0.25" top="1" bottom="1" header="0.5" footer="0.5"/>
  <pageSetup paperSize="5" scale="48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30721" r:id="rId4">
          <objectPr defaultSize="0" autoPict="0" r:id="rId5">
            <anchor moveWithCells="1">
              <from>
                <xdr:col>4</xdr:col>
                <xdr:colOff>594360</xdr:colOff>
                <xdr:row>0</xdr:row>
                <xdr:rowOff>22860</xdr:rowOff>
              </from>
              <to>
                <xdr:col>4</xdr:col>
                <xdr:colOff>1203960</xdr:colOff>
                <xdr:row>3</xdr:row>
                <xdr:rowOff>68580</xdr:rowOff>
              </to>
            </anchor>
          </objectPr>
        </oleObject>
      </mc:Choice>
      <mc:Fallback>
        <oleObject progId="Paint.Picture" shapeId="30721" r:id="rId4"/>
      </mc:Fallback>
    </mc:AlternateContent>
    <mc:AlternateContent xmlns:mc="http://schemas.openxmlformats.org/markup-compatibility/2006">
      <mc:Choice Requires="x14">
        <oleObject progId="Paint.Picture" shapeId="30732" r:id="rId6">
          <objectPr defaultSize="0" autoPict="0" r:id="rId5">
            <anchor moveWithCells="1">
              <from>
                <xdr:col>4</xdr:col>
                <xdr:colOff>594360</xdr:colOff>
                <xdr:row>0</xdr:row>
                <xdr:rowOff>22860</xdr:rowOff>
              </from>
              <to>
                <xdr:col>4</xdr:col>
                <xdr:colOff>1203960</xdr:colOff>
                <xdr:row>3</xdr:row>
                <xdr:rowOff>68580</xdr:rowOff>
              </to>
            </anchor>
          </objectPr>
        </oleObject>
      </mc:Choice>
      <mc:Fallback>
        <oleObject progId="Paint.Picture" shapeId="30732" r:id="rId6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59"/>
  <sheetViews>
    <sheetView showGridLines="0" topLeftCell="G2" zoomScale="75" zoomScaleNormal="75" workbookViewId="0">
      <selection activeCell="T6" sqref="T6"/>
    </sheetView>
  </sheetViews>
  <sheetFormatPr defaultRowHeight="13.2" x14ac:dyDescent="0.25"/>
  <cols>
    <col min="1" max="1" width="32.88671875" customWidth="1"/>
    <col min="2" max="2" width="18.44140625" bestFit="1" customWidth="1"/>
    <col min="3" max="3" width="21.33203125" bestFit="1" customWidth="1"/>
    <col min="4" max="4" width="17.44140625" bestFit="1" customWidth="1"/>
    <col min="5" max="5" width="21" customWidth="1"/>
    <col min="6" max="6" width="14.88671875" customWidth="1"/>
    <col min="7" max="7" width="15.5546875" customWidth="1"/>
    <col min="8" max="8" width="15.5546875" bestFit="1" customWidth="1"/>
    <col min="9" max="17" width="15.5546875" customWidth="1"/>
    <col min="18" max="18" width="13.6640625" bestFit="1" customWidth="1"/>
    <col min="19" max="19" width="12" bestFit="1" customWidth="1"/>
    <col min="20" max="20" width="11.88671875" customWidth="1"/>
    <col min="21" max="21" width="10.88671875" customWidth="1"/>
    <col min="22" max="22" width="11.88671875" customWidth="1"/>
    <col min="23" max="23" width="10.44140625" customWidth="1"/>
    <col min="24" max="24" width="13.109375" customWidth="1"/>
    <col min="25" max="25" width="12.33203125" bestFit="1" customWidth="1"/>
    <col min="30" max="30" width="11.44140625" customWidth="1"/>
    <col min="37" max="37" width="10.6640625" bestFit="1" customWidth="1"/>
  </cols>
  <sheetData>
    <row r="1" spans="1:25" ht="17.399999999999999" x14ac:dyDescent="0.3">
      <c r="A1" s="206" t="s">
        <v>230</v>
      </c>
      <c r="B1" s="7"/>
      <c r="C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W1" s="149">
        <f ca="1">NOW()</f>
        <v>37238.587624189815</v>
      </c>
    </row>
    <row r="2" spans="1:25" x14ac:dyDescent="0.25">
      <c r="A2" s="8"/>
      <c r="B2" s="7"/>
      <c r="C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25" x14ac:dyDescent="0.25">
      <c r="A3" s="8"/>
      <c r="B3" s="7"/>
      <c r="C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25" x14ac:dyDescent="0.25">
      <c r="A4" s="8"/>
      <c r="B4" s="7"/>
      <c r="C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25" x14ac:dyDescent="0.25">
      <c r="A5" s="8" t="s">
        <v>373</v>
      </c>
      <c r="B5" s="7"/>
      <c r="C5" s="2">
        <f>'Box Draw Detail'!C5</f>
        <v>3.04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25" ht="12" customHeight="1" x14ac:dyDescent="0.25">
      <c r="A6" s="8" t="s">
        <v>372</v>
      </c>
      <c r="B6" s="7"/>
      <c r="C6" s="2">
        <f>'Box Draw Detail'!C6</f>
        <v>2.54</v>
      </c>
      <c r="G6" s="54" t="s">
        <v>306</v>
      </c>
      <c r="H6" s="55"/>
      <c r="I6" s="7"/>
      <c r="J6" s="7"/>
      <c r="K6" s="7"/>
      <c r="L6" s="7"/>
      <c r="M6" s="7"/>
      <c r="N6" s="7"/>
      <c r="O6" s="7"/>
      <c r="P6" s="7"/>
      <c r="Q6" s="7"/>
      <c r="R6" s="7"/>
    </row>
    <row r="7" spans="1:25" x14ac:dyDescent="0.25">
      <c r="A7" s="46" t="s">
        <v>65</v>
      </c>
      <c r="C7" s="567">
        <v>21032</v>
      </c>
      <c r="G7" s="50" t="s">
        <v>199</v>
      </c>
      <c r="H7" s="315">
        <f>SUM(M18:M48)/SUM($O$18:$O$48)</f>
        <v>0.31003135359488282</v>
      </c>
    </row>
    <row r="8" spans="1:25" x14ac:dyDescent="0.25">
      <c r="A8" s="46" t="s">
        <v>290</v>
      </c>
      <c r="C8" s="567">
        <v>21893</v>
      </c>
      <c r="G8" s="52" t="s">
        <v>307</v>
      </c>
      <c r="H8" s="316">
        <f>SUM(N18:N48)/SUM($O$18:$O$48)</f>
        <v>0.68996864640511724</v>
      </c>
    </row>
    <row r="9" spans="1:25" x14ac:dyDescent="0.25">
      <c r="A9" s="46" t="s">
        <v>181</v>
      </c>
      <c r="B9" s="173">
        <f>'Box Draw Detail'!B11</f>
        <v>1.1033715353239051</v>
      </c>
      <c r="C9" s="169"/>
      <c r="D9" t="s">
        <v>198</v>
      </c>
      <c r="E9" s="513">
        <f>'Box Draw Detail'!C11</f>
        <v>14511.420571192426</v>
      </c>
      <c r="F9" t="s">
        <v>225</v>
      </c>
    </row>
    <row r="10" spans="1:25" x14ac:dyDescent="0.25">
      <c r="A10" s="46" t="s">
        <v>181</v>
      </c>
      <c r="B10" s="173">
        <f>'Box Draw Detail'!B12</f>
        <v>0.955685419466065</v>
      </c>
      <c r="C10" s="47"/>
      <c r="D10" t="s">
        <v>199</v>
      </c>
      <c r="E10">
        <f>'Box Draw Detail'!C12</f>
        <v>6520.579428807574</v>
      </c>
      <c r="F10" t="s">
        <v>225</v>
      </c>
      <c r="H10">
        <v>0.31943014588094576</v>
      </c>
    </row>
    <row r="11" spans="1:25" x14ac:dyDescent="0.25">
      <c r="A11" s="1" t="s">
        <v>43</v>
      </c>
      <c r="B11" s="2">
        <f>'Box Draw Detail'!E12</f>
        <v>0.47</v>
      </c>
      <c r="C11" t="s">
        <v>13</v>
      </c>
      <c r="D11" t="s">
        <v>199</v>
      </c>
      <c r="H11">
        <v>0.68056985411905424</v>
      </c>
    </row>
    <row r="12" spans="1:25" x14ac:dyDescent="0.25">
      <c r="A12" s="1" t="s">
        <v>43</v>
      </c>
      <c r="B12" s="2">
        <f>'Box Draw Detail'!E11</f>
        <v>0.61</v>
      </c>
      <c r="C12" t="s">
        <v>13</v>
      </c>
      <c r="D12" t="s">
        <v>198</v>
      </c>
    </row>
    <row r="14" spans="1:25" ht="13.8" thickBot="1" x14ac:dyDescent="0.3">
      <c r="C14" s="49"/>
      <c r="D14" s="49"/>
      <c r="E14" s="306"/>
      <c r="F14" s="49"/>
      <c r="G14" s="49"/>
      <c r="H14" s="49"/>
    </row>
    <row r="15" spans="1:25" s="6" customFormat="1" ht="57" customHeight="1" x14ac:dyDescent="0.25">
      <c r="B15" s="75"/>
      <c r="C15" s="248" t="s">
        <v>20</v>
      </c>
      <c r="D15" s="167" t="s">
        <v>291</v>
      </c>
      <c r="E15" s="339" t="s">
        <v>200</v>
      </c>
      <c r="F15" s="326" t="s">
        <v>32</v>
      </c>
      <c r="G15" s="339" t="s">
        <v>21</v>
      </c>
      <c r="H15" s="326" t="s">
        <v>302</v>
      </c>
      <c r="I15" s="339" t="s">
        <v>408</v>
      </c>
      <c r="J15" s="326" t="s">
        <v>305</v>
      </c>
      <c r="K15" s="339" t="s">
        <v>402</v>
      </c>
      <c r="L15" s="326" t="s">
        <v>304</v>
      </c>
      <c r="M15" s="340" t="s">
        <v>298</v>
      </c>
      <c r="N15" s="341" t="s">
        <v>299</v>
      </c>
      <c r="O15" s="325" t="s">
        <v>300</v>
      </c>
      <c r="P15" s="340" t="s">
        <v>346</v>
      </c>
      <c r="Q15" s="341" t="s">
        <v>347</v>
      </c>
      <c r="R15"/>
      <c r="S15"/>
      <c r="T15" s="327" t="s">
        <v>291</v>
      </c>
      <c r="U15" s="326" t="s">
        <v>32</v>
      </c>
      <c r="V15" s="326" t="s">
        <v>302</v>
      </c>
      <c r="W15" s="345" t="s">
        <v>374</v>
      </c>
      <c r="X15" s="518" t="s">
        <v>403</v>
      </c>
      <c r="Y15" s="325" t="s">
        <v>300</v>
      </c>
    </row>
    <row r="16" spans="1:25" s="6" customFormat="1" x14ac:dyDescent="0.25">
      <c r="B16" s="108"/>
      <c r="C16" s="33"/>
      <c r="D16" s="26"/>
      <c r="E16" s="33"/>
      <c r="F16" s="34"/>
      <c r="G16" s="33"/>
      <c r="H16" s="26"/>
      <c r="I16" s="33"/>
      <c r="J16" s="26"/>
      <c r="K16" s="33"/>
      <c r="L16" s="26"/>
      <c r="M16" s="261"/>
      <c r="N16" s="312"/>
      <c r="O16" s="310"/>
      <c r="P16" s="261"/>
      <c r="Q16" s="312"/>
      <c r="R16"/>
      <c r="S16"/>
      <c r="T16" s="328"/>
      <c r="U16" s="34"/>
      <c r="V16" s="26"/>
      <c r="W16" s="41"/>
      <c r="X16" s="328"/>
      <c r="Y16" s="310"/>
    </row>
    <row r="17" spans="1:31" s="90" customFormat="1" ht="27" thickBot="1" x14ac:dyDescent="0.3">
      <c r="B17" s="254" t="s">
        <v>308</v>
      </c>
      <c r="C17" s="249" t="s">
        <v>292</v>
      </c>
      <c r="D17" s="252"/>
      <c r="E17" s="307" t="s">
        <v>18</v>
      </c>
      <c r="F17" s="308"/>
      <c r="G17" s="307" t="s">
        <v>301</v>
      </c>
      <c r="H17" s="256"/>
      <c r="I17" s="307" t="s">
        <v>303</v>
      </c>
      <c r="J17" s="256"/>
      <c r="K17" s="307" t="s">
        <v>294</v>
      </c>
      <c r="L17" s="256"/>
      <c r="M17" s="313"/>
      <c r="N17" s="314"/>
      <c r="O17" s="311"/>
      <c r="P17" s="313"/>
      <c r="Q17" s="314"/>
      <c r="T17" s="332"/>
      <c r="U17" s="308"/>
      <c r="V17" s="256"/>
      <c r="W17" s="255"/>
      <c r="X17" s="332"/>
      <c r="Y17" s="311"/>
    </row>
    <row r="18" spans="1:31" x14ac:dyDescent="0.25">
      <c r="A18" s="5">
        <f>+'Index Pricing'!A7</f>
        <v>37196</v>
      </c>
      <c r="B18" s="319">
        <f>+'Index Pricing'!B7</f>
        <v>2.67</v>
      </c>
      <c r="C18" s="122">
        <f>P18*'Box Draw Detail'!C26+Q18*'S Kitty Detail'!C26</f>
        <v>2.0607307810570354</v>
      </c>
      <c r="D18" s="123">
        <f t="shared" ref="D18:D47" si="0">MAX(0,MIN($C$7,O18)-F18-H18)</f>
        <v>4206</v>
      </c>
      <c r="E18" s="124">
        <f>P18*'Box Draw Detail'!E26+Q18*'S Kitty Detail'!E26</f>
        <v>2.1661985331552285</v>
      </c>
      <c r="F18" s="142">
        <f>ROUND(MIN(12000,$C$7*0.8,O18),0)</f>
        <v>12000</v>
      </c>
      <c r="G18" s="124">
        <f>P18*'Box Draw Detail'!G26+Q18*'S Kitty Detail'!G26</f>
        <v>1.9307307810570355</v>
      </c>
      <c r="H18" s="142">
        <f t="shared" ref="H18:H47" si="1">ROUND(MAX(0,MIN(0.8*$C$7,O18)-F18),0)</f>
        <v>4826</v>
      </c>
      <c r="I18" s="124">
        <f>P18*'Box Draw Detail'!I26+'S Kitty Detail'!I26*Q18</f>
        <v>1.8934985331552285</v>
      </c>
      <c r="J18" s="142">
        <f>ROUND(MIN('Kennedy Gas Daily Pricing'!D7,MAX(0,O18-SUM(D18,F18,H18))),0)</f>
        <v>2205</v>
      </c>
      <c r="K18" s="124">
        <f>P18*'Box Draw Detail'!K26+Q18*'S Kitty Detail'!K26</f>
        <v>2.0107307810570356</v>
      </c>
      <c r="L18" s="125">
        <f t="shared" ref="L18:L47" si="2">MAX(0,O18-SUM(D18,F18,H18,J18))</f>
        <v>16440</v>
      </c>
      <c r="M18" s="568">
        <f>SUM('[1]Enron Detail'!$C14:$D14)</f>
        <v>12795</v>
      </c>
      <c r="N18" s="569">
        <f>SUM('[1]Enron Detail'!$F14:$G14)</f>
        <v>26882</v>
      </c>
      <c r="O18" s="576">
        <f>+M18+N18</f>
        <v>39677</v>
      </c>
      <c r="P18" s="467">
        <f>M18/$O18</f>
        <v>0.32247901807092272</v>
      </c>
      <c r="Q18" s="468">
        <f t="shared" ref="Q18:Q46" si="3">N18/$O18</f>
        <v>0.67752098192907728</v>
      </c>
      <c r="S18" s="5">
        <f>A18</f>
        <v>37196</v>
      </c>
      <c r="T18" s="329">
        <f t="shared" ref="T18:T48" si="4">D18/$O18</f>
        <v>0.10600599843738186</v>
      </c>
      <c r="U18" s="324">
        <f t="shared" ref="U18:U48" si="5">F18/$O18</f>
        <v>0.30244222093404238</v>
      </c>
      <c r="V18" s="324">
        <f t="shared" ref="V18:V48" si="6">H18/$O18</f>
        <v>0.12163217985230738</v>
      </c>
      <c r="W18" s="324">
        <f>J18/$O18</f>
        <v>5.5573758096630288E-2</v>
      </c>
      <c r="X18" s="324">
        <f>L18/$O18</f>
        <v>0.41434584267963809</v>
      </c>
      <c r="Y18" s="346">
        <f t="shared" ref="Y18:Y48" si="7">SUM(T18:X18)</f>
        <v>1</v>
      </c>
      <c r="AA18" s="170"/>
      <c r="AB18" s="531"/>
      <c r="AC18" s="531"/>
      <c r="AD18" s="534"/>
      <c r="AE18" s="536"/>
    </row>
    <row r="19" spans="1:31" x14ac:dyDescent="0.25">
      <c r="A19" s="5">
        <f>+'Index Pricing'!A8</f>
        <v>37197</v>
      </c>
      <c r="B19" s="320">
        <f>+'Index Pricing'!B8</f>
        <v>2.36</v>
      </c>
      <c r="C19" s="22">
        <f>P19*'Box Draw Detail'!C27+Q19*'S Kitty Detail'!C27</f>
        <v>1.7476948735820033</v>
      </c>
      <c r="D19" s="121">
        <f t="shared" si="0"/>
        <v>4206</v>
      </c>
      <c r="E19" s="23">
        <f>P19*'Box Draw Detail'!E27+Q19*'S Kitty Detail'!E27</f>
        <v>2.1631647711978466</v>
      </c>
      <c r="F19" s="43">
        <f>ROUND(MIN(12000,$C$7*0.8,O19),0)</f>
        <v>12000</v>
      </c>
      <c r="G19" s="23">
        <f>P19*'Box Draw Detail'!G27+Q19*'S Kitty Detail'!G27</f>
        <v>1.9276948735820034</v>
      </c>
      <c r="H19" s="43">
        <f t="shared" si="1"/>
        <v>4826</v>
      </c>
      <c r="I19" s="23">
        <f>P19*'Box Draw Detail'!I27+'S Kitty Detail'!I27*Q19</f>
        <v>1.5804647711978466</v>
      </c>
      <c r="J19" s="43">
        <f>ROUND(MIN('Kennedy Gas Daily Pricing'!D8,MAX(0,O19-SUM(D19,F19,H19))),0)</f>
        <v>2205</v>
      </c>
      <c r="K19" s="23">
        <f>P19*'Box Draw Detail'!K27+Q19*'S Kitty Detail'!K27</f>
        <v>1.6976948735820032</v>
      </c>
      <c r="L19" s="36">
        <f t="shared" si="2"/>
        <v>18371</v>
      </c>
      <c r="M19" s="568">
        <f>SUM('[1]Enron Detail'!$C15:$D15)</f>
        <v>12525</v>
      </c>
      <c r="N19" s="569">
        <f>SUM('[1]Enron Detail'!$F15:$G15)</f>
        <v>29083</v>
      </c>
      <c r="O19" s="576">
        <f t="shared" ref="O19:O47" si="8">+M19+N19</f>
        <v>41608</v>
      </c>
      <c r="P19" s="467">
        <f t="shared" ref="P19:P46" si="9">M19/$O19</f>
        <v>0.30102384156892903</v>
      </c>
      <c r="Q19" s="468">
        <f t="shared" si="3"/>
        <v>0.69897615843107097</v>
      </c>
      <c r="S19" s="5">
        <f t="shared" ref="S19:S47" si="10">A19</f>
        <v>37197</v>
      </c>
      <c r="T19" s="329">
        <f t="shared" si="4"/>
        <v>0.10108632955200923</v>
      </c>
      <c r="U19" s="324">
        <f t="shared" si="5"/>
        <v>0.28840607575466254</v>
      </c>
      <c r="V19" s="324">
        <f t="shared" si="6"/>
        <v>0.11598731013266679</v>
      </c>
      <c r="W19" s="324">
        <f t="shared" ref="W19:W47" si="11">J19/$O19</f>
        <v>5.2994616419919247E-2</v>
      </c>
      <c r="X19" s="324">
        <f t="shared" ref="X19:X47" si="12">L19/$O19</f>
        <v>0.44152566814074218</v>
      </c>
      <c r="Y19" s="346">
        <f t="shared" si="7"/>
        <v>1</v>
      </c>
      <c r="AA19" s="170"/>
      <c r="AB19" s="531"/>
      <c r="AC19" s="531"/>
      <c r="AD19" s="534"/>
    </row>
    <row r="20" spans="1:31" x14ac:dyDescent="0.25">
      <c r="A20" s="5">
        <f>+'Index Pricing'!A9</f>
        <v>37198</v>
      </c>
      <c r="B20" s="320">
        <f>+'Index Pricing'!B9</f>
        <v>2.0150000000000001</v>
      </c>
      <c r="C20" s="22">
        <f>P20*'Box Draw Detail'!C28+Q20*'S Kitty Detail'!C28</f>
        <v>1.4011078675188844</v>
      </c>
      <c r="D20" s="121">
        <f t="shared" si="0"/>
        <v>4206</v>
      </c>
      <c r="E20" s="23">
        <f>P20*'Box Draw Detail'!E28+Q20*'S Kitty Detail'!E28</f>
        <v>2.1615788866937828</v>
      </c>
      <c r="F20" s="43">
        <f t="shared" ref="F20:F47" si="13">ROUND(MIN(12000,$C$7*0.8,O20),0)</f>
        <v>12000</v>
      </c>
      <c r="G20" s="23">
        <f>P20*'Box Draw Detail'!G28+Q20*'S Kitty Detail'!G28</f>
        <v>1.9261078675188843</v>
      </c>
      <c r="H20" s="43">
        <f t="shared" si="1"/>
        <v>4826</v>
      </c>
      <c r="I20" s="23">
        <f>P20*'Box Draw Detail'!I28+'S Kitty Detail'!I28*Q20</f>
        <v>1.2338788866937827</v>
      </c>
      <c r="J20" s="43">
        <f>ROUND(MIN('Kennedy Gas Daily Pricing'!D9,MAX(0,O20-SUM(D20,F20,H20))),0)</f>
        <v>2205</v>
      </c>
      <c r="K20" s="23">
        <f>P20*'Box Draw Detail'!K28+Q20*'S Kitty Detail'!K28</f>
        <v>1.3511078675188843</v>
      </c>
      <c r="L20" s="36">
        <f t="shared" si="2"/>
        <v>19788</v>
      </c>
      <c r="M20" s="568">
        <f>SUM('[1]Enron Detail'!$C16:$D16)</f>
        <v>12469</v>
      </c>
      <c r="N20" s="569">
        <f>SUM('[1]Enron Detail'!$F16:$G16)</f>
        <v>30556</v>
      </c>
      <c r="O20" s="576">
        <f t="shared" si="8"/>
        <v>43025</v>
      </c>
      <c r="P20" s="467">
        <f t="shared" si="9"/>
        <v>0.28980825101685065</v>
      </c>
      <c r="Q20" s="468">
        <f t="shared" si="3"/>
        <v>0.7101917489831493</v>
      </c>
      <c r="S20" s="5">
        <f t="shared" si="10"/>
        <v>37198</v>
      </c>
      <c r="T20" s="329">
        <f t="shared" si="4"/>
        <v>9.7757117954677508E-2</v>
      </c>
      <c r="U20" s="324">
        <f t="shared" si="5"/>
        <v>0.27890761185357349</v>
      </c>
      <c r="V20" s="324">
        <f t="shared" si="6"/>
        <v>0.11216734456711214</v>
      </c>
      <c r="W20" s="324">
        <f t="shared" si="11"/>
        <v>5.1249273678094134E-2</v>
      </c>
      <c r="X20" s="324">
        <f t="shared" si="12"/>
        <v>0.45991865194654269</v>
      </c>
      <c r="Y20" s="346">
        <f t="shared" si="7"/>
        <v>1</v>
      </c>
      <c r="AA20" s="170"/>
      <c r="AB20" s="531"/>
      <c r="AC20" s="531"/>
      <c r="AD20" s="534"/>
    </row>
    <row r="21" spans="1:31" x14ac:dyDescent="0.25">
      <c r="A21" s="5">
        <f>+'Index Pricing'!A10</f>
        <v>37199</v>
      </c>
      <c r="B21" s="320">
        <f>+'Index Pricing'!B10</f>
        <v>2.0150000000000001</v>
      </c>
      <c r="C21" s="22">
        <f>P21*'Box Draw Detail'!C29+Q21*'S Kitty Detail'!C29</f>
        <v>1.4017501170295767</v>
      </c>
      <c r="D21" s="121">
        <f t="shared" si="0"/>
        <v>4206</v>
      </c>
      <c r="E21" s="23">
        <f>P21*'Box Draw Detail'!E29+Q21*'S Kitty Detail'!E29</f>
        <v>2.1622206823178951</v>
      </c>
      <c r="F21" s="43">
        <f t="shared" si="13"/>
        <v>12000</v>
      </c>
      <c r="G21" s="23">
        <f>P21*'Box Draw Detail'!G29+Q21*'S Kitty Detail'!G29</f>
        <v>1.9267501170295767</v>
      </c>
      <c r="H21" s="43">
        <f t="shared" si="1"/>
        <v>4826</v>
      </c>
      <c r="I21" s="23">
        <f>P21*'Box Draw Detail'!I29+'S Kitty Detail'!I29*Q21</f>
        <v>1.2345206823178949</v>
      </c>
      <c r="J21" s="43">
        <f>ROUND(MIN('Kennedy Gas Daily Pricing'!D10,MAX(0,O21-SUM(D21,F21,H21))),0)</f>
        <v>2205</v>
      </c>
      <c r="K21" s="23">
        <f>P21*'Box Draw Detail'!K29+Q21*'S Kitty Detail'!K29</f>
        <v>1.3517501170295767</v>
      </c>
      <c r="L21" s="36">
        <f t="shared" si="2"/>
        <v>19060</v>
      </c>
      <c r="M21" s="568">
        <f>SUM('[1]Enron Detail'!$C17:$D17)</f>
        <v>12450</v>
      </c>
      <c r="N21" s="569">
        <f>SUM('[1]Enron Detail'!$F17:$G17)</f>
        <v>29847</v>
      </c>
      <c r="O21" s="576">
        <f t="shared" si="8"/>
        <v>42297</v>
      </c>
      <c r="P21" s="467">
        <f t="shared" si="9"/>
        <v>0.29434711681679554</v>
      </c>
      <c r="Q21" s="468">
        <f t="shared" si="3"/>
        <v>0.70565288318320452</v>
      </c>
      <c r="S21" s="5">
        <f t="shared" si="10"/>
        <v>37199</v>
      </c>
      <c r="T21" s="329">
        <f t="shared" si="4"/>
        <v>9.9439676572806585E-2</v>
      </c>
      <c r="U21" s="324">
        <f t="shared" si="5"/>
        <v>0.28370806440173063</v>
      </c>
      <c r="V21" s="324">
        <f t="shared" si="6"/>
        <v>0.11409792656689599</v>
      </c>
      <c r="W21" s="324">
        <f t="shared" si="11"/>
        <v>5.2131356833818004E-2</v>
      </c>
      <c r="X21" s="324">
        <f t="shared" si="12"/>
        <v>0.45062297562474879</v>
      </c>
      <c r="Y21" s="346">
        <f t="shared" si="7"/>
        <v>1</v>
      </c>
      <c r="AA21" s="170"/>
      <c r="AB21" s="531"/>
      <c r="AC21" s="531"/>
      <c r="AD21" s="534"/>
    </row>
    <row r="22" spans="1:31" x14ac:dyDescent="0.25">
      <c r="A22" s="5">
        <f>+'Index Pricing'!A11</f>
        <v>37200</v>
      </c>
      <c r="B22" s="320">
        <f>+'Index Pricing'!B11</f>
        <v>2.0150000000000001</v>
      </c>
      <c r="C22" s="22">
        <f>P22*'Box Draw Detail'!C30+Q22*'S Kitty Detail'!C30</f>
        <v>1.4007068745041305</v>
      </c>
      <c r="D22" s="121">
        <f t="shared" si="0"/>
        <v>4206</v>
      </c>
      <c r="E22" s="23">
        <f>P22*'Box Draw Detail'!E30+Q22*'S Kitty Detail'!E30</f>
        <v>2.1611781770663181</v>
      </c>
      <c r="F22" s="43">
        <f t="shared" si="13"/>
        <v>12000</v>
      </c>
      <c r="G22" s="23">
        <f>P22*'Box Draw Detail'!G30+Q22*'S Kitty Detail'!G30</f>
        <v>1.9257068745041304</v>
      </c>
      <c r="H22" s="43">
        <f t="shared" si="1"/>
        <v>4826</v>
      </c>
      <c r="I22" s="23">
        <f>P22*'Box Draw Detail'!I30+'S Kitty Detail'!I30*Q22</f>
        <v>1.2334781770663183</v>
      </c>
      <c r="J22" s="43">
        <f>ROUND(MIN('Kennedy Gas Daily Pricing'!D11,MAX(0,O22-SUM(D22,F22,H22))),0)</f>
        <v>2205</v>
      </c>
      <c r="K22" s="23">
        <f>P22*'Box Draw Detail'!K30+Q22*'S Kitty Detail'!K30</f>
        <v>1.3507068745041304</v>
      </c>
      <c r="L22" s="36">
        <f t="shared" si="2"/>
        <v>19617</v>
      </c>
      <c r="M22" s="568">
        <f>SUM('[1]Enron Detail'!$C18:$D18)</f>
        <v>12298</v>
      </c>
      <c r="N22" s="569">
        <f>SUM('[1]Enron Detail'!$F18:$G18)</f>
        <v>30556</v>
      </c>
      <c r="O22" s="576">
        <f t="shared" si="8"/>
        <v>42854</v>
      </c>
      <c r="P22" s="467">
        <f t="shared" si="9"/>
        <v>0.28697437812106219</v>
      </c>
      <c r="Q22" s="468">
        <f t="shared" si="3"/>
        <v>0.71302562187893781</v>
      </c>
      <c r="S22" s="5">
        <f t="shared" si="10"/>
        <v>37200</v>
      </c>
      <c r="T22" s="329">
        <f t="shared" si="4"/>
        <v>9.8147197461147154E-2</v>
      </c>
      <c r="U22" s="324">
        <f t="shared" si="5"/>
        <v>0.28002053483922157</v>
      </c>
      <c r="V22" s="324">
        <f t="shared" si="6"/>
        <v>0.11261492509450693</v>
      </c>
      <c r="W22" s="324">
        <f t="shared" si="11"/>
        <v>5.1453773276706957E-2</v>
      </c>
      <c r="X22" s="324">
        <f t="shared" si="12"/>
        <v>0.45776356932841744</v>
      </c>
      <c r="Y22" s="346">
        <f t="shared" si="7"/>
        <v>1</v>
      </c>
      <c r="AA22" s="170"/>
      <c r="AB22" s="531"/>
      <c r="AC22" s="531"/>
      <c r="AD22" s="534"/>
    </row>
    <row r="23" spans="1:31" x14ac:dyDescent="0.25">
      <c r="A23" s="5">
        <f>+'Index Pricing'!A12</f>
        <v>37201</v>
      </c>
      <c r="B23" s="320">
        <f>+'Index Pricing'!B12</f>
        <v>2.16</v>
      </c>
      <c r="C23" s="22">
        <f>P23*'Box Draw Detail'!C31+Q23*'S Kitty Detail'!C31</f>
        <v>1.5474041237113403</v>
      </c>
      <c r="D23" s="121">
        <f t="shared" si="0"/>
        <v>4206</v>
      </c>
      <c r="E23" s="23">
        <f>P23*'Box Draw Detail'!E31+Q23*'S Kitty Detail'!E31</f>
        <v>2.1628742268041234</v>
      </c>
      <c r="F23" s="43">
        <f t="shared" si="13"/>
        <v>12000</v>
      </c>
      <c r="G23" s="23">
        <f>P23*'Box Draw Detail'!G31+Q23*'S Kitty Detail'!G31</f>
        <v>1.92740412371134</v>
      </c>
      <c r="H23" s="43">
        <f t="shared" si="1"/>
        <v>4826</v>
      </c>
      <c r="I23" s="23">
        <f>P23*'Box Draw Detail'!I31+'S Kitty Detail'!I31*Q23</f>
        <v>1.3801742268041237</v>
      </c>
      <c r="J23" s="43">
        <f>ROUND(MIN('Kennedy Gas Daily Pricing'!D12,MAX(0,O23-SUM(D23,F23,H23))),0)</f>
        <v>2205</v>
      </c>
      <c r="K23" s="23">
        <f>P23*'Box Draw Detail'!K31+Q23*'S Kitty Detail'!K31</f>
        <v>1.4974041237113402</v>
      </c>
      <c r="L23" s="36">
        <f t="shared" si="2"/>
        <v>18958</v>
      </c>
      <c r="M23" s="568">
        <f>SUM('[1]Enron Detail'!$C19:$D19)</f>
        <v>12615</v>
      </c>
      <c r="N23" s="569">
        <f>SUM('[1]Enron Detail'!$F19:$G19)</f>
        <v>29580</v>
      </c>
      <c r="O23" s="576">
        <f t="shared" si="8"/>
        <v>42195</v>
      </c>
      <c r="P23" s="467">
        <f t="shared" si="9"/>
        <v>0.29896907216494845</v>
      </c>
      <c r="Q23" s="468">
        <f t="shared" si="3"/>
        <v>0.7010309278350515</v>
      </c>
      <c r="S23" s="5">
        <f t="shared" si="10"/>
        <v>37201</v>
      </c>
      <c r="T23" s="329">
        <f t="shared" si="4"/>
        <v>9.968005687877711E-2</v>
      </c>
      <c r="U23" s="324">
        <f t="shared" si="5"/>
        <v>0.28439388553146105</v>
      </c>
      <c r="V23" s="324">
        <f t="shared" si="6"/>
        <v>0.11437374096456926</v>
      </c>
      <c r="W23" s="324">
        <f t="shared" si="11"/>
        <v>5.2257376466405971E-2</v>
      </c>
      <c r="X23" s="324">
        <f t="shared" si="12"/>
        <v>0.44929494015878657</v>
      </c>
      <c r="Y23" s="346">
        <f t="shared" si="7"/>
        <v>1</v>
      </c>
      <c r="AA23" s="170"/>
      <c r="AB23" s="531"/>
      <c r="AC23" s="531"/>
      <c r="AD23" s="534"/>
    </row>
    <row r="24" spans="1:31" x14ac:dyDescent="0.25">
      <c r="A24" s="5">
        <f>+'Index Pricing'!A13</f>
        <v>37202</v>
      </c>
      <c r="B24" s="321">
        <f>+'Index Pricing'!B13</f>
        <v>2.1349999999999998</v>
      </c>
      <c r="C24" s="22">
        <f>P24*'Box Draw Detail'!C32+Q24*'S Kitty Detail'!C32</f>
        <v>1.5209448516579402</v>
      </c>
      <c r="D24" s="121">
        <f t="shared" si="0"/>
        <v>4206</v>
      </c>
      <c r="E24" s="23">
        <f>P24*'Box Draw Detail'!E32+Q24*'S Kitty Detail'!E32</f>
        <v>2.1614159860383944</v>
      </c>
      <c r="F24" s="43">
        <f t="shared" si="13"/>
        <v>12000</v>
      </c>
      <c r="G24" s="23">
        <f>P24*'Box Draw Detail'!G32+Q24*'S Kitty Detail'!G32</f>
        <v>1.9259448516579405</v>
      </c>
      <c r="H24" s="43">
        <f t="shared" si="1"/>
        <v>4826</v>
      </c>
      <c r="I24" s="23">
        <f>P24*'Box Draw Detail'!I32+'S Kitty Detail'!I32*Q24</f>
        <v>1.353715986038394</v>
      </c>
      <c r="J24" s="43">
        <f>ROUND(MIN('Kennedy Gas Daily Pricing'!D13,MAX(0,O24-SUM(D24,F24,H24))),0)</f>
        <v>2205</v>
      </c>
      <c r="K24" s="23">
        <f>P24*'Box Draw Detail'!K32+Q24*'S Kitty Detail'!K32</f>
        <v>1.4709448516579404</v>
      </c>
      <c r="L24" s="36">
        <f t="shared" si="2"/>
        <v>19738</v>
      </c>
      <c r="M24" s="568">
        <f>SUM('[1]Enron Detail'!$C20:$D20)</f>
        <v>12405</v>
      </c>
      <c r="N24" s="569">
        <f>SUM('[1]Enron Detail'!$F20:$G20)</f>
        <v>30570</v>
      </c>
      <c r="O24" s="576">
        <f t="shared" si="8"/>
        <v>42975</v>
      </c>
      <c r="P24" s="467">
        <f t="shared" si="9"/>
        <v>0.28865619546247817</v>
      </c>
      <c r="Q24" s="468">
        <f t="shared" si="3"/>
        <v>0.71134380453752177</v>
      </c>
      <c r="S24" s="5">
        <f t="shared" si="10"/>
        <v>37202</v>
      </c>
      <c r="T24" s="329">
        <f t="shared" si="4"/>
        <v>9.7870855148342054E-2</v>
      </c>
      <c r="U24" s="324">
        <f t="shared" si="5"/>
        <v>0.27923211169284468</v>
      </c>
      <c r="V24" s="324">
        <f t="shared" si="6"/>
        <v>0.1122978475858057</v>
      </c>
      <c r="W24" s="324">
        <f t="shared" si="11"/>
        <v>5.1308900523560207E-2</v>
      </c>
      <c r="X24" s="324">
        <f t="shared" si="12"/>
        <v>0.45929028504944736</v>
      </c>
      <c r="Y24" s="346">
        <f t="shared" si="7"/>
        <v>1</v>
      </c>
      <c r="AA24" s="170"/>
      <c r="AB24" s="531"/>
      <c r="AC24" s="531"/>
      <c r="AD24" s="534"/>
    </row>
    <row r="25" spans="1:31" x14ac:dyDescent="0.25">
      <c r="A25" s="5">
        <f>+'Index Pricing'!A14</f>
        <v>37203</v>
      </c>
      <c r="B25" s="320">
        <f>+'Index Pricing'!B14</f>
        <v>2.13</v>
      </c>
      <c r="C25" s="22">
        <f>P25*'Box Draw Detail'!C33+Q25*'S Kitty Detail'!C33</f>
        <v>1.5145215562859873</v>
      </c>
      <c r="D25" s="121">
        <f t="shared" si="0"/>
        <v>4206</v>
      </c>
      <c r="E25" s="23">
        <f>P25*'Box Draw Detail'!E33+Q25*'S Kitty Detail'!E33</f>
        <v>2.1599936965288946</v>
      </c>
      <c r="F25" s="43">
        <f t="shared" si="13"/>
        <v>12000</v>
      </c>
      <c r="G25" s="23">
        <f>P25*'Box Draw Detail'!G33+Q25*'S Kitty Detail'!G33</f>
        <v>1.9245215562859874</v>
      </c>
      <c r="H25" s="43">
        <f t="shared" si="1"/>
        <v>4826</v>
      </c>
      <c r="I25" s="23">
        <f>P25*'Box Draw Detail'!I33+'S Kitty Detail'!I33*Q25</f>
        <v>1.3472936965288946</v>
      </c>
      <c r="J25" s="43">
        <f>ROUND(MIN('Kennedy Gas Daily Pricing'!D14,MAX(0,O25-SUM(D25,F25,H25))),0)</f>
        <v>2205</v>
      </c>
      <c r="K25" s="23">
        <f>P25*'Box Draw Detail'!K33+Q25*'S Kitty Detail'!K33</f>
        <v>1.4645215562859872</v>
      </c>
      <c r="L25" s="36">
        <f t="shared" si="2"/>
        <v>19660</v>
      </c>
      <c r="M25" s="568">
        <f>SUM('[1]Enron Detail'!$C21:$D21)</f>
        <v>11951</v>
      </c>
      <c r="N25" s="569">
        <f>SUM('[1]Enron Detail'!$F21:$G21)</f>
        <v>30946</v>
      </c>
      <c r="O25" s="576">
        <f t="shared" si="8"/>
        <v>42897</v>
      </c>
      <c r="P25" s="467">
        <f t="shared" si="9"/>
        <v>0.27859757092570575</v>
      </c>
      <c r="Q25" s="468">
        <f t="shared" si="3"/>
        <v>0.72140242907429419</v>
      </c>
      <c r="S25" s="5">
        <f t="shared" si="10"/>
        <v>37203</v>
      </c>
      <c r="T25" s="329">
        <f t="shared" si="4"/>
        <v>9.8048814602419751E-2</v>
      </c>
      <c r="U25" s="324">
        <f t="shared" si="5"/>
        <v>0.27973984194698931</v>
      </c>
      <c r="V25" s="324">
        <f t="shared" si="6"/>
        <v>0.11250203976968086</v>
      </c>
      <c r="W25" s="324">
        <f t="shared" si="11"/>
        <v>5.1402195957759286E-2</v>
      </c>
      <c r="X25" s="324">
        <f t="shared" si="12"/>
        <v>0.45830710772315081</v>
      </c>
      <c r="Y25" s="346">
        <f t="shared" si="7"/>
        <v>1</v>
      </c>
      <c r="AA25" s="170"/>
      <c r="AB25" s="531"/>
      <c r="AC25" s="531"/>
      <c r="AD25" s="534"/>
    </row>
    <row r="26" spans="1:31" x14ac:dyDescent="0.25">
      <c r="A26" s="5">
        <f>+'Index Pricing'!A15</f>
        <v>37204</v>
      </c>
      <c r="B26" s="320">
        <f>+'Index Pricing'!B15</f>
        <v>1.9350000000000001</v>
      </c>
      <c r="C26" s="22">
        <f>P26*'Box Draw Detail'!C34+Q26*'S Kitty Detail'!C34</f>
        <v>1.3224947581413065</v>
      </c>
      <c r="D26" s="121">
        <f t="shared" si="0"/>
        <v>4206</v>
      </c>
      <c r="E26" s="23">
        <f>P26*'Box Draw Detail'!E34+Q26*'S Kitty Detail'!E34</f>
        <v>2.1629647971814894</v>
      </c>
      <c r="F26" s="43">
        <f t="shared" si="13"/>
        <v>12000</v>
      </c>
      <c r="G26" s="23">
        <f>P26*'Box Draw Detail'!G34+Q26*'S Kitty Detail'!G34</f>
        <v>1.9274947581413064</v>
      </c>
      <c r="H26" s="43">
        <f t="shared" si="1"/>
        <v>4826</v>
      </c>
      <c r="I26" s="23">
        <f>P26*'Box Draw Detail'!I34+'S Kitty Detail'!I34*Q26</f>
        <v>1.1552647971814893</v>
      </c>
      <c r="J26" s="43">
        <f>ROUND(MIN('Kennedy Gas Daily Pricing'!D15,MAX(0,O26-SUM(D26,F26,H26))),0)</f>
        <v>2205</v>
      </c>
      <c r="K26" s="23">
        <f>P26*'Box Draw Detail'!K34+Q26*'S Kitty Detail'!K34</f>
        <v>1.2724947581413064</v>
      </c>
      <c r="L26" s="36">
        <f t="shared" si="2"/>
        <v>18771</v>
      </c>
      <c r="M26" s="568">
        <f>SUM('[1]Enron Detail'!$C22:$D22)</f>
        <v>12586</v>
      </c>
      <c r="N26" s="569">
        <f>SUM('[1]Enron Detail'!$F22:$G22)</f>
        <v>29422</v>
      </c>
      <c r="O26" s="576">
        <f t="shared" si="8"/>
        <v>42008</v>
      </c>
      <c r="P26" s="467">
        <f t="shared" si="9"/>
        <v>0.29960959817177679</v>
      </c>
      <c r="Q26" s="468">
        <f t="shared" si="3"/>
        <v>0.70039040182822321</v>
      </c>
      <c r="S26" s="5">
        <f t="shared" si="10"/>
        <v>37204</v>
      </c>
      <c r="T26" s="329">
        <f t="shared" si="4"/>
        <v>0.10012378594553419</v>
      </c>
      <c r="U26" s="324">
        <f t="shared" si="5"/>
        <v>0.28565987430965528</v>
      </c>
      <c r="V26" s="324">
        <f t="shared" si="6"/>
        <v>0.11488287945153304</v>
      </c>
      <c r="W26" s="324">
        <f t="shared" si="11"/>
        <v>5.2490001904399161E-2</v>
      </c>
      <c r="X26" s="324">
        <f t="shared" si="12"/>
        <v>0.44684345838887829</v>
      </c>
      <c r="Y26" s="346">
        <f t="shared" si="7"/>
        <v>0.99999999999999989</v>
      </c>
      <c r="AA26" s="170"/>
      <c r="AB26" s="531"/>
      <c r="AC26" s="531"/>
      <c r="AD26" s="534"/>
    </row>
    <row r="27" spans="1:31" x14ac:dyDescent="0.25">
      <c r="A27" s="5">
        <f>+'Index Pricing'!A16</f>
        <v>37205</v>
      </c>
      <c r="B27" s="320">
        <f>+'Index Pricing'!B16</f>
        <v>1.7</v>
      </c>
      <c r="C27" s="22">
        <f>P27*'Box Draw Detail'!C35+Q27*'S Kitty Detail'!C35</f>
        <v>1.0912512020299787</v>
      </c>
      <c r="D27" s="121">
        <f t="shared" si="0"/>
        <v>4206</v>
      </c>
      <c r="E27" s="23">
        <f>P27*'Box Draw Detail'!E35+Q27*'S Kitty Detail'!E35</f>
        <v>2.1667185863394982</v>
      </c>
      <c r="F27" s="43">
        <f t="shared" si="13"/>
        <v>12000</v>
      </c>
      <c r="G27" s="23">
        <f>P27*'Box Draw Detail'!G35+Q27*'S Kitty Detail'!G35</f>
        <v>1.9312512020299788</v>
      </c>
      <c r="H27" s="43">
        <f t="shared" si="1"/>
        <v>4826</v>
      </c>
      <c r="I27" s="23">
        <f>P27*'Box Draw Detail'!I35+'S Kitty Detail'!I35*Q27</f>
        <v>0.92401858633949818</v>
      </c>
      <c r="J27" s="43">
        <f>ROUND(MIN('Kennedy Gas Daily Pricing'!D16,MAX(0,O27-SUM(D27,F27,H27))),0)</f>
        <v>2205</v>
      </c>
      <c r="K27" s="23">
        <f>P27*'Box Draw Detail'!K35+Q27*'S Kitty Detail'!K35</f>
        <v>1.0412512020299787</v>
      </c>
      <c r="L27" s="36">
        <f t="shared" si="2"/>
        <v>14990</v>
      </c>
      <c r="M27" s="568">
        <f>SUM('[1]Enron Detail'!$C23:$D23)</f>
        <v>12468</v>
      </c>
      <c r="N27" s="569">
        <f>SUM('[1]Enron Detail'!$F23:$G23)</f>
        <v>25759</v>
      </c>
      <c r="O27" s="576">
        <f t="shared" si="8"/>
        <v>38227</v>
      </c>
      <c r="P27" s="467">
        <f t="shared" si="9"/>
        <v>0.32615690480550397</v>
      </c>
      <c r="Q27" s="468">
        <f t="shared" si="3"/>
        <v>0.67384309519449603</v>
      </c>
      <c r="S27" s="5">
        <f t="shared" si="10"/>
        <v>37205</v>
      </c>
      <c r="T27" s="329">
        <f t="shared" si="4"/>
        <v>0.11002694430638031</v>
      </c>
      <c r="U27" s="324">
        <f t="shared" si="5"/>
        <v>0.31391424909095667</v>
      </c>
      <c r="V27" s="324">
        <f t="shared" si="6"/>
        <v>0.12624584717607973</v>
      </c>
      <c r="W27" s="324">
        <f t="shared" si="11"/>
        <v>5.7681743270463284E-2</v>
      </c>
      <c r="X27" s="324">
        <f t="shared" si="12"/>
        <v>0.39213121615612001</v>
      </c>
      <c r="Y27" s="346">
        <f t="shared" si="7"/>
        <v>1</v>
      </c>
      <c r="AA27" s="170"/>
      <c r="AB27" s="531"/>
      <c r="AC27" s="531"/>
      <c r="AD27" s="534"/>
    </row>
    <row r="28" spans="1:31" x14ac:dyDescent="0.25">
      <c r="A28" s="5">
        <f>+'Index Pricing'!A17</f>
        <v>37206</v>
      </c>
      <c r="B28" s="320">
        <f>+'Index Pricing'!B17</f>
        <v>1.7</v>
      </c>
      <c r="C28" s="22">
        <f>P28*'Box Draw Detail'!C36+Q28*'S Kitty Detail'!C36</f>
        <v>1.0916052519328177</v>
      </c>
      <c r="D28" s="121">
        <f t="shared" si="0"/>
        <v>4206</v>
      </c>
      <c r="E28" s="23">
        <f>P28*'Box Draw Detail'!E36+Q28*'S Kitty Detail'!E36</f>
        <v>2.1670723860303918</v>
      </c>
      <c r="F28" s="43">
        <f t="shared" si="13"/>
        <v>12000</v>
      </c>
      <c r="G28" s="23">
        <f>P28*'Box Draw Detail'!G36+Q28*'S Kitty Detail'!G36</f>
        <v>1.931605251932818</v>
      </c>
      <c r="H28" s="43">
        <f t="shared" si="1"/>
        <v>4826</v>
      </c>
      <c r="I28" s="23">
        <f>P28*'Box Draw Detail'!I36+'S Kitty Detail'!I36*Q28</f>
        <v>0.92437238603039174</v>
      </c>
      <c r="J28" s="43">
        <f>ROUND(MIN('Kennedy Gas Daily Pricing'!D17,MAX(0,O28-SUM(D28,F28,H28))),0)</f>
        <v>2205</v>
      </c>
      <c r="K28" s="23">
        <f>P28*'Box Draw Detail'!K36+Q28*'S Kitty Detail'!K36</f>
        <v>1.0416052519328178</v>
      </c>
      <c r="L28" s="36">
        <f t="shared" si="2"/>
        <v>14273</v>
      </c>
      <c r="M28" s="568">
        <f>SUM('[1]Enron Detail'!$C24:$D24)</f>
        <v>12328</v>
      </c>
      <c r="N28" s="569">
        <f>SUM('[1]Enron Detail'!$F24:$G24)</f>
        <v>25182</v>
      </c>
      <c r="O28" s="576">
        <f t="shared" si="8"/>
        <v>37510</v>
      </c>
      <c r="P28" s="467">
        <f t="shared" si="9"/>
        <v>0.32865902426019727</v>
      </c>
      <c r="Q28" s="468">
        <f t="shared" si="3"/>
        <v>0.67134097573980267</v>
      </c>
      <c r="S28" s="5">
        <f t="shared" si="10"/>
        <v>37206</v>
      </c>
      <c r="T28" s="329">
        <f t="shared" si="4"/>
        <v>0.11213009864036257</v>
      </c>
      <c r="U28" s="324">
        <f t="shared" si="5"/>
        <v>0.3199146894161557</v>
      </c>
      <c r="V28" s="324">
        <f t="shared" si="6"/>
        <v>0.12865902426019729</v>
      </c>
      <c r="W28" s="324">
        <f t="shared" si="11"/>
        <v>5.878432418021861E-2</v>
      </c>
      <c r="X28" s="324">
        <f t="shared" si="12"/>
        <v>0.38051186350306587</v>
      </c>
      <c r="Y28" s="346">
        <f t="shared" si="7"/>
        <v>1</v>
      </c>
      <c r="AA28" s="170"/>
      <c r="AB28" s="531"/>
      <c r="AC28" s="531"/>
      <c r="AD28" s="534"/>
    </row>
    <row r="29" spans="1:31" x14ac:dyDescent="0.25">
      <c r="A29" s="5">
        <f>+'Index Pricing'!A18</f>
        <v>37207</v>
      </c>
      <c r="B29" s="320">
        <f>+'Index Pricing'!B18</f>
        <v>1.7</v>
      </c>
      <c r="C29" s="22">
        <f>P29*'Box Draw Detail'!C37+Q29*'S Kitty Detail'!C37</f>
        <v>1.0903375290636228</v>
      </c>
      <c r="D29" s="121">
        <f t="shared" si="0"/>
        <v>4206</v>
      </c>
      <c r="E29" s="23">
        <f>P29*'Box Draw Detail'!E37+Q29*'S Kitty Detail'!E37</f>
        <v>2.1658055590784189</v>
      </c>
      <c r="F29" s="43">
        <f t="shared" si="13"/>
        <v>12000</v>
      </c>
      <c r="G29" s="23">
        <f>P29*'Box Draw Detail'!G37+Q29*'S Kitty Detail'!G37</f>
        <v>1.9303375290636229</v>
      </c>
      <c r="H29" s="43">
        <f t="shared" si="1"/>
        <v>4826</v>
      </c>
      <c r="I29" s="23">
        <f>P29*'Box Draw Detail'!I37+'S Kitty Detail'!I37*Q29</f>
        <v>0.92310555907841874</v>
      </c>
      <c r="J29" s="43">
        <f>ROUND(MIN('Kennedy Gas Daily Pricing'!D18,MAX(0,O29-SUM(D29,F29,H29))),0)</f>
        <v>2205</v>
      </c>
      <c r="K29" s="23">
        <f>P29*'Box Draw Detail'!K37+Q29*'S Kitty Detail'!K37</f>
        <v>1.0403375290636228</v>
      </c>
      <c r="L29" s="36">
        <f t="shared" si="2"/>
        <v>14611</v>
      </c>
      <c r="M29" s="568">
        <f>SUM('[1]Enron Detail'!$C25:$D25)</f>
        <v>12100</v>
      </c>
      <c r="N29" s="569">
        <f>SUM('[1]Enron Detail'!$F25:$G25)</f>
        <v>25748</v>
      </c>
      <c r="O29" s="576">
        <f t="shared" si="8"/>
        <v>37848</v>
      </c>
      <c r="P29" s="467">
        <f t="shared" si="9"/>
        <v>0.31969985203973789</v>
      </c>
      <c r="Q29" s="468">
        <f t="shared" si="3"/>
        <v>0.68030014796026206</v>
      </c>
      <c r="S29" s="5">
        <f t="shared" si="10"/>
        <v>37207</v>
      </c>
      <c r="T29" s="329">
        <f t="shared" si="4"/>
        <v>0.1111287254280279</v>
      </c>
      <c r="U29" s="324">
        <f t="shared" si="5"/>
        <v>0.31705770450221943</v>
      </c>
      <c r="V29" s="324">
        <f t="shared" si="6"/>
        <v>0.12751004016064257</v>
      </c>
      <c r="W29" s="324">
        <f t="shared" si="11"/>
        <v>5.8259353202282815E-2</v>
      </c>
      <c r="X29" s="324">
        <f t="shared" si="12"/>
        <v>0.38604417670682734</v>
      </c>
      <c r="Y29" s="346">
        <f t="shared" si="7"/>
        <v>1</v>
      </c>
      <c r="AA29" s="170"/>
      <c r="AB29" s="531"/>
      <c r="AC29" s="531"/>
      <c r="AD29" s="534"/>
    </row>
    <row r="30" spans="1:31" x14ac:dyDescent="0.25">
      <c r="A30" s="5">
        <f>+'Index Pricing'!A19</f>
        <v>37208</v>
      </c>
      <c r="B30" s="320">
        <f>+'Index Pricing'!B19</f>
        <v>1.52</v>
      </c>
      <c r="C30" s="22">
        <f>P30*'Box Draw Detail'!C38+Q30*'S Kitty Detail'!C38</f>
        <v>0.91364608445956486</v>
      </c>
      <c r="D30" s="121">
        <f t="shared" si="0"/>
        <v>4206</v>
      </c>
      <c r="E30" s="23">
        <f>P30*'Box Draw Detail'!E38+Q30*'S Kitty Detail'!E38</f>
        <v>2.1691117762726675</v>
      </c>
      <c r="F30" s="43">
        <f t="shared" si="13"/>
        <v>12000</v>
      </c>
      <c r="G30" s="23">
        <f>P30*'Box Draw Detail'!G38+Q30*'S Kitty Detail'!G38</f>
        <v>1.9336460844595649</v>
      </c>
      <c r="H30" s="43">
        <f t="shared" si="1"/>
        <v>4826</v>
      </c>
      <c r="I30" s="23">
        <f>P30*'Box Draw Detail'!I38+'S Kitty Detail'!I38*Q30</f>
        <v>0.74641177627266764</v>
      </c>
      <c r="J30" s="43">
        <f>ROUND(MIN('Kennedy Gas Daily Pricing'!D19,MAX(0,O30-SUM(D30,F30,H30))),0)</f>
        <v>2205</v>
      </c>
      <c r="K30" s="23">
        <f>P30*'Box Draw Detail'!K38+Q30*'S Kitty Detail'!K38</f>
        <v>0.86364608445956481</v>
      </c>
      <c r="L30" s="36">
        <f t="shared" si="2"/>
        <v>8802</v>
      </c>
      <c r="M30" s="568">
        <f>SUM('[1]Enron Detail'!$C26:$D26)</f>
        <v>10992</v>
      </c>
      <c r="N30" s="569">
        <f>SUM('[1]Enron Detail'!$F26:$G26)</f>
        <v>21047</v>
      </c>
      <c r="O30" s="576">
        <f t="shared" si="8"/>
        <v>32039</v>
      </c>
      <c r="P30" s="467">
        <f t="shared" si="9"/>
        <v>0.34308186897219012</v>
      </c>
      <c r="Q30" s="468">
        <f t="shared" si="3"/>
        <v>0.65691813102780983</v>
      </c>
      <c r="S30" s="5">
        <f t="shared" si="10"/>
        <v>37208</v>
      </c>
      <c r="T30" s="329">
        <f t="shared" si="4"/>
        <v>0.13127750554012296</v>
      </c>
      <c r="U30" s="324">
        <f t="shared" si="5"/>
        <v>0.37454352507881022</v>
      </c>
      <c r="V30" s="324">
        <f t="shared" si="6"/>
        <v>0.15062892100252817</v>
      </c>
      <c r="W30" s="324">
        <f t="shared" si="11"/>
        <v>6.8822372733231371E-2</v>
      </c>
      <c r="X30" s="324">
        <f t="shared" si="12"/>
        <v>0.27472767564530726</v>
      </c>
      <c r="Y30" s="346">
        <f t="shared" si="7"/>
        <v>1</v>
      </c>
      <c r="AA30" s="170"/>
      <c r="AB30" s="531"/>
      <c r="AC30" s="531"/>
      <c r="AD30" s="534"/>
    </row>
    <row r="31" spans="1:31" x14ac:dyDescent="0.25">
      <c r="A31" s="5">
        <f>+'Index Pricing'!A20</f>
        <v>37209</v>
      </c>
      <c r="B31" s="320">
        <f>+'Index Pricing'!B20</f>
        <v>1.595</v>
      </c>
      <c r="C31" s="22">
        <f>P31*'Box Draw Detail'!C39+Q31*'S Kitty Detail'!C39</f>
        <v>0.9871443423352313</v>
      </c>
      <c r="D31" s="121">
        <f t="shared" si="0"/>
        <v>4206</v>
      </c>
      <c r="E31" s="23">
        <f>P31*'Box Draw Detail'!E39+Q31*'S Kitty Detail'!E39</f>
        <v>2.167611095450189</v>
      </c>
      <c r="F31" s="43">
        <f t="shared" si="13"/>
        <v>12000</v>
      </c>
      <c r="G31" s="23">
        <f>P31*'Box Draw Detail'!G39+Q31*'S Kitty Detail'!G39</f>
        <v>1.9321443423352316</v>
      </c>
      <c r="H31" s="43">
        <f t="shared" si="1"/>
        <v>4826</v>
      </c>
      <c r="I31" s="23">
        <f>P31*'Box Draw Detail'!I39+'S Kitty Detail'!I39*Q31</f>
        <v>0.81991109545018881</v>
      </c>
      <c r="J31" s="43">
        <f>ROUND(MIN('Kennedy Gas Daily Pricing'!D20,MAX(0,O31-SUM(D31,F31,H31))),0)</f>
        <v>2205</v>
      </c>
      <c r="K31" s="23">
        <f>P31*'Box Draw Detail'!K39+Q31*'S Kitty Detail'!K39</f>
        <v>0.93714434233523125</v>
      </c>
      <c r="L31" s="36">
        <f t="shared" si="2"/>
        <v>12237</v>
      </c>
      <c r="M31" s="568">
        <f>SUM('[1]Enron Detail'!$C27:$D27)</f>
        <v>11794</v>
      </c>
      <c r="N31" s="569">
        <f>SUM('[1]Enron Detail'!$F27:$G27)</f>
        <v>23680</v>
      </c>
      <c r="O31" s="576">
        <f t="shared" si="8"/>
        <v>35474</v>
      </c>
      <c r="P31" s="467">
        <f t="shared" si="9"/>
        <v>0.33246885042566388</v>
      </c>
      <c r="Q31" s="468">
        <f t="shared" si="3"/>
        <v>0.66753114957433612</v>
      </c>
      <c r="S31" s="5">
        <f t="shared" si="10"/>
        <v>37209</v>
      </c>
      <c r="T31" s="329">
        <f t="shared" si="4"/>
        <v>0.11856571009753622</v>
      </c>
      <c r="U31" s="324">
        <f t="shared" si="5"/>
        <v>0.33827592039240006</v>
      </c>
      <c r="V31" s="324">
        <f t="shared" si="6"/>
        <v>0.13604329931781023</v>
      </c>
      <c r="W31" s="324">
        <f t="shared" si="11"/>
        <v>6.2158200372103511E-2</v>
      </c>
      <c r="X31" s="324">
        <f t="shared" si="12"/>
        <v>0.34495686982014995</v>
      </c>
      <c r="Y31" s="346">
        <f t="shared" si="7"/>
        <v>1</v>
      </c>
      <c r="AA31" s="170"/>
      <c r="AB31" s="531"/>
      <c r="AC31" s="531"/>
      <c r="AD31" s="534"/>
    </row>
    <row r="32" spans="1:31" x14ac:dyDescent="0.25">
      <c r="A32" s="5">
        <f>+'Index Pricing'!A21</f>
        <v>37210</v>
      </c>
      <c r="B32" s="320">
        <f>+'Index Pricing'!B21</f>
        <v>1.84</v>
      </c>
      <c r="C32" s="22">
        <f>P32*'Box Draw Detail'!C40+Q32*'S Kitty Detail'!C40</f>
        <v>1.2297945505032977</v>
      </c>
      <c r="D32" s="121">
        <f t="shared" si="0"/>
        <v>4206</v>
      </c>
      <c r="E32" s="23">
        <f>P32*'Box Draw Detail'!E40+Q32*'S Kitty Detail'!E40</f>
        <v>2.1652629642485248</v>
      </c>
      <c r="F32" s="43">
        <f t="shared" si="13"/>
        <v>12000</v>
      </c>
      <c r="G32" s="23">
        <f>P32*'Box Draw Detail'!G40+Q32*'S Kitty Detail'!G40</f>
        <v>1.9297945505032976</v>
      </c>
      <c r="H32" s="43">
        <f t="shared" si="1"/>
        <v>4826</v>
      </c>
      <c r="I32" s="23">
        <f>P32*'Box Draw Detail'!I40+'S Kitty Detail'!I40*Q32</f>
        <v>1.0625629642485248</v>
      </c>
      <c r="J32" s="43">
        <f>ROUND(MIN('Kennedy Gas Daily Pricing'!D21,MAX(0,O32-SUM(D32,F32,H32))),0)</f>
        <v>2205</v>
      </c>
      <c r="K32" s="23">
        <f>P32*'Box Draw Detail'!K40+Q32*'S Kitty Detail'!K40</f>
        <v>1.1797945505032974</v>
      </c>
      <c r="L32" s="36">
        <f t="shared" si="2"/>
        <v>14216</v>
      </c>
      <c r="M32" s="568">
        <f>SUM('[1]Enron Detail'!$C28:$D28)</f>
        <v>11830</v>
      </c>
      <c r="N32" s="569">
        <f>SUM('[1]Enron Detail'!$F28:$G28)</f>
        <v>25623</v>
      </c>
      <c r="O32" s="576">
        <f t="shared" si="8"/>
        <v>37453</v>
      </c>
      <c r="P32" s="467">
        <f t="shared" si="9"/>
        <v>0.31586254772648387</v>
      </c>
      <c r="Q32" s="468">
        <f t="shared" si="3"/>
        <v>0.68413745227351619</v>
      </c>
      <c r="S32" s="5">
        <f t="shared" si="10"/>
        <v>37210</v>
      </c>
      <c r="T32" s="329">
        <f t="shared" si="4"/>
        <v>0.11230075027367634</v>
      </c>
      <c r="U32" s="324">
        <f t="shared" si="5"/>
        <v>0.32040156996769287</v>
      </c>
      <c r="V32" s="324">
        <f t="shared" si="6"/>
        <v>0.12885483138867382</v>
      </c>
      <c r="W32" s="324">
        <f t="shared" si="11"/>
        <v>5.8873788481563556E-2</v>
      </c>
      <c r="X32" s="324">
        <f t="shared" si="12"/>
        <v>0.37956905988839346</v>
      </c>
      <c r="Y32" s="346">
        <f t="shared" si="7"/>
        <v>1</v>
      </c>
      <c r="AA32" s="170"/>
      <c r="AB32" s="531"/>
      <c r="AC32" s="531"/>
      <c r="AD32" s="534"/>
    </row>
    <row r="33" spans="1:30" x14ac:dyDescent="0.25">
      <c r="A33" s="5">
        <f>+'Index Pricing'!A22</f>
        <v>37211</v>
      </c>
      <c r="B33" s="320">
        <f>+'Index Pricing'!B22</f>
        <v>1.4350000000000001</v>
      </c>
      <c r="C33" s="22">
        <f>P33*'Box Draw Detail'!C41+Q33*'S Kitty Detail'!C41</f>
        <v>0.82517795356972501</v>
      </c>
      <c r="D33" s="121">
        <f t="shared" si="0"/>
        <v>4206</v>
      </c>
      <c r="E33" s="23">
        <f>P33*'Box Draw Detail'!E41+Q33*'S Kitty Detail'!E41</f>
        <v>2.1656460963587216</v>
      </c>
      <c r="F33" s="43">
        <f t="shared" si="13"/>
        <v>12000</v>
      </c>
      <c r="G33" s="23">
        <f>P33*'Box Draw Detail'!G41+Q33*'S Kitty Detail'!G41</f>
        <v>1.930177953569725</v>
      </c>
      <c r="H33" s="43">
        <f t="shared" si="1"/>
        <v>4826</v>
      </c>
      <c r="I33" s="23">
        <f>P33*'Box Draw Detail'!I41+'S Kitty Detail'!I41*Q33</f>
        <v>0.65794609635872159</v>
      </c>
      <c r="J33" s="43">
        <f>ROUND(MIN('Kennedy Gas Daily Pricing'!D22,MAX(0,O33-SUM(D33,F33,H33))),0)</f>
        <v>2205</v>
      </c>
      <c r="K33" s="23">
        <f>P33*'Box Draw Detail'!K41+Q33*'S Kitty Detail'!K41</f>
        <v>0.77517795356972496</v>
      </c>
      <c r="L33" s="36">
        <f t="shared" si="2"/>
        <v>14497</v>
      </c>
      <c r="M33" s="568">
        <f>SUM('[1]Enron Detail'!$C29:$D29)</f>
        <v>12021</v>
      </c>
      <c r="N33" s="569">
        <f>SUM('[1]Enron Detail'!$F29:$G29)</f>
        <v>25713</v>
      </c>
      <c r="O33" s="576">
        <f t="shared" si="8"/>
        <v>37734</v>
      </c>
      <c r="P33" s="467">
        <f t="shared" si="9"/>
        <v>0.31857211003339164</v>
      </c>
      <c r="Q33" s="468">
        <f t="shared" si="3"/>
        <v>0.68142788996660841</v>
      </c>
      <c r="S33" s="5">
        <f t="shared" si="10"/>
        <v>37211</v>
      </c>
      <c r="T33" s="329">
        <f t="shared" si="4"/>
        <v>0.11146446175862618</v>
      </c>
      <c r="U33" s="324">
        <f t="shared" si="5"/>
        <v>0.3180155827635554</v>
      </c>
      <c r="V33" s="324">
        <f t="shared" si="6"/>
        <v>0.12789526686807653</v>
      </c>
      <c r="W33" s="324">
        <f t="shared" si="11"/>
        <v>5.843536333280331E-2</v>
      </c>
      <c r="X33" s="324">
        <f t="shared" si="12"/>
        <v>0.38418932527693855</v>
      </c>
      <c r="Y33" s="346">
        <f t="shared" si="7"/>
        <v>1</v>
      </c>
      <c r="AA33" s="170"/>
      <c r="AB33" s="531"/>
      <c r="AC33" s="531"/>
      <c r="AD33" s="534"/>
    </row>
    <row r="34" spans="1:30" x14ac:dyDescent="0.25">
      <c r="A34" s="5">
        <f>+'Index Pricing'!A23</f>
        <v>37212</v>
      </c>
      <c r="B34" s="320">
        <f>+'Index Pricing'!B23</f>
        <v>1.135</v>
      </c>
      <c r="C34" s="22">
        <f>P34*'Box Draw Detail'!C42+Q34*'S Kitty Detail'!C42</f>
        <v>0.52687517280792473</v>
      </c>
      <c r="D34" s="121">
        <f t="shared" si="0"/>
        <v>4206</v>
      </c>
      <c r="E34" s="23">
        <f>P34*'Box Draw Detail'!E42+Q34*'S Kitty Detail'!E42</f>
        <v>2.1673421161486965</v>
      </c>
      <c r="F34" s="43">
        <f t="shared" si="13"/>
        <v>12000</v>
      </c>
      <c r="G34" s="23">
        <f>P34*'Box Draw Detail'!G42+Q34*'S Kitty Detail'!G42</f>
        <v>1.9318751728079246</v>
      </c>
      <c r="H34" s="43">
        <f t="shared" si="1"/>
        <v>4826</v>
      </c>
      <c r="I34" s="23">
        <f>P34*'Box Draw Detail'!I42+'S Kitty Detail'!I42*Q34</f>
        <v>0.35964211614869646</v>
      </c>
      <c r="J34" s="43">
        <f>ROUND(MIN('Kennedy Gas Daily Pricing'!D23,MAX(0,O34-SUM(D34,F34,H34))),0)</f>
        <v>2205</v>
      </c>
      <c r="K34" s="23">
        <f>P34*'Box Draw Detail'!K42+Q34*'S Kitty Detail'!K42</f>
        <v>0.47687517280792469</v>
      </c>
      <c r="L34" s="36">
        <f t="shared" si="2"/>
        <v>13509</v>
      </c>
      <c r="M34" s="568">
        <f>SUM('[1]Enron Detail'!$C30:$D30)</f>
        <v>12147</v>
      </c>
      <c r="N34" s="569">
        <f>SUM('[1]Enron Detail'!$F30:$G30)</f>
        <v>24599</v>
      </c>
      <c r="O34" s="576">
        <f t="shared" si="8"/>
        <v>36746</v>
      </c>
      <c r="P34" s="467">
        <f t="shared" si="9"/>
        <v>0.33056659228215318</v>
      </c>
      <c r="Q34" s="468">
        <f t="shared" si="3"/>
        <v>0.66943340771784687</v>
      </c>
      <c r="S34" s="5">
        <f t="shared" si="10"/>
        <v>37212</v>
      </c>
      <c r="T34" s="329">
        <f t="shared" si="4"/>
        <v>0.11446143797964405</v>
      </c>
      <c r="U34" s="324">
        <f t="shared" si="5"/>
        <v>0.32656615686061069</v>
      </c>
      <c r="V34" s="324">
        <f t="shared" si="6"/>
        <v>0.1313340227507756</v>
      </c>
      <c r="W34" s="324">
        <f t="shared" si="11"/>
        <v>6.0006531323137213E-2</v>
      </c>
      <c r="X34" s="324">
        <f t="shared" si="12"/>
        <v>0.36763185108583246</v>
      </c>
      <c r="Y34" s="346">
        <f t="shared" si="7"/>
        <v>1</v>
      </c>
      <c r="AA34" s="170"/>
      <c r="AB34" s="531"/>
      <c r="AC34" s="531"/>
      <c r="AD34" s="534"/>
    </row>
    <row r="35" spans="1:30" x14ac:dyDescent="0.25">
      <c r="A35" s="5">
        <f>+'Index Pricing'!A24</f>
        <v>37213</v>
      </c>
      <c r="B35" s="320">
        <f>+'Index Pricing'!B24</f>
        <v>1.135</v>
      </c>
      <c r="C35" s="22">
        <f>P35*'Box Draw Detail'!C43+Q35*'S Kitty Detail'!C43</f>
        <v>0.52916006787992276</v>
      </c>
      <c r="D35" s="121">
        <f t="shared" si="0"/>
        <v>4206</v>
      </c>
      <c r="E35" s="23">
        <f>P35*'Box Draw Detail'!E43+Q35*'S Kitty Detail'!E43</f>
        <v>2.1696253964538594</v>
      </c>
      <c r="F35" s="43">
        <f t="shared" si="13"/>
        <v>12000</v>
      </c>
      <c r="G35" s="23">
        <f>P35*'Box Draw Detail'!G43+Q35*'S Kitty Detail'!G43</f>
        <v>1.9341600678799229</v>
      </c>
      <c r="H35" s="43">
        <f t="shared" si="1"/>
        <v>4826</v>
      </c>
      <c r="I35" s="23">
        <f>P35*'Box Draw Detail'!I43+'S Kitty Detail'!I43*Q35</f>
        <v>0.36192539645385924</v>
      </c>
      <c r="J35" s="43">
        <f>ROUND(MIN('Kennedy Gas Daily Pricing'!D24,MAX(0,O35-SUM(D35,F35,H35))),0)</f>
        <v>2205</v>
      </c>
      <c r="K35" s="23">
        <f>P35*'Box Draw Detail'!K43+Q35*'S Kitty Detail'!K43</f>
        <v>0.47916006787992282</v>
      </c>
      <c r="L35" s="36">
        <f t="shared" si="2"/>
        <v>10941</v>
      </c>
      <c r="M35" s="568">
        <f>SUM('[1]Enron Detail'!$C31:$D31)</f>
        <v>11850</v>
      </c>
      <c r="N35" s="569">
        <f>SUM('[1]Enron Detail'!$F31:$G31)</f>
        <v>22328</v>
      </c>
      <c r="O35" s="576">
        <f t="shared" si="8"/>
        <v>34178</v>
      </c>
      <c r="P35" s="467">
        <f t="shared" si="9"/>
        <v>0.34671426063549654</v>
      </c>
      <c r="Q35" s="468">
        <f t="shared" si="3"/>
        <v>0.65328573936450351</v>
      </c>
      <c r="S35" s="5">
        <f t="shared" si="10"/>
        <v>37213</v>
      </c>
      <c r="T35" s="329">
        <f t="shared" si="4"/>
        <v>0.12306161858505471</v>
      </c>
      <c r="U35" s="324">
        <f t="shared" si="5"/>
        <v>0.35110304874480658</v>
      </c>
      <c r="V35" s="324">
        <f t="shared" si="6"/>
        <v>0.14120194277020306</v>
      </c>
      <c r="W35" s="324">
        <f t="shared" si="11"/>
        <v>6.4515185206858214E-2</v>
      </c>
      <c r="X35" s="324">
        <f t="shared" si="12"/>
        <v>0.32011820469307739</v>
      </c>
      <c r="Y35" s="346">
        <f t="shared" si="7"/>
        <v>0.99999999999999989</v>
      </c>
      <c r="AA35" s="170"/>
      <c r="AB35" s="531"/>
      <c r="AC35" s="531"/>
      <c r="AD35" s="534"/>
    </row>
    <row r="36" spans="1:30" x14ac:dyDescent="0.25">
      <c r="A36" s="5">
        <f>+'Index Pricing'!A25</f>
        <v>37214</v>
      </c>
      <c r="B36" s="320">
        <f>+'Index Pricing'!B25</f>
        <v>1.135</v>
      </c>
      <c r="C36" s="22">
        <f>P36*'Box Draw Detail'!C44+Q36*'S Kitty Detail'!C44</f>
        <v>0.52424374664519591</v>
      </c>
      <c r="D36" s="121">
        <f t="shared" si="0"/>
        <v>4206</v>
      </c>
      <c r="E36" s="23">
        <f>P36*'Box Draw Detail'!E44+Q36*'S Kitty Detail'!E44</f>
        <v>2.1647125496511004</v>
      </c>
      <c r="F36" s="43">
        <f t="shared" si="13"/>
        <v>12000</v>
      </c>
      <c r="G36" s="23">
        <f>P36*'Box Draw Detail'!G44+Q36*'S Kitty Detail'!G44</f>
        <v>1.9292437466451962</v>
      </c>
      <c r="H36" s="43">
        <f t="shared" si="1"/>
        <v>4826</v>
      </c>
      <c r="I36" s="23">
        <f>P36*'Box Draw Detail'!I44+'S Kitty Detail'!I44*Q36</f>
        <v>0.35701254965110041</v>
      </c>
      <c r="J36" s="43">
        <f>ROUND(MIN('Kennedy Gas Daily Pricing'!D25,MAX(0,O36-SUM(D36,F36,H36))),0)</f>
        <v>2205</v>
      </c>
      <c r="K36" s="23">
        <f>P36*'Box Draw Detail'!K44+Q36*'S Kitty Detail'!K44</f>
        <v>0.47424374664519597</v>
      </c>
      <c r="L36" s="36">
        <f t="shared" si="2"/>
        <v>14023</v>
      </c>
      <c r="M36" s="568">
        <f>SUM('[1]Enron Detail'!$C32:$D32)</f>
        <v>11624</v>
      </c>
      <c r="N36" s="569">
        <f>SUM('[1]Enron Detail'!$F32:$G32)</f>
        <v>25636</v>
      </c>
      <c r="O36" s="576">
        <f t="shared" si="8"/>
        <v>37260</v>
      </c>
      <c r="P36" s="467">
        <f t="shared" si="9"/>
        <v>0.31196994095544822</v>
      </c>
      <c r="Q36" s="468">
        <f t="shared" si="3"/>
        <v>0.68803005904455183</v>
      </c>
      <c r="S36" s="5">
        <f t="shared" si="10"/>
        <v>37214</v>
      </c>
      <c r="T36" s="329">
        <f t="shared" si="4"/>
        <v>0.11288244766505635</v>
      </c>
      <c r="U36" s="324">
        <f t="shared" si="5"/>
        <v>0.322061191626409</v>
      </c>
      <c r="V36" s="324">
        <f t="shared" si="6"/>
        <v>0.12952227589908749</v>
      </c>
      <c r="W36" s="324">
        <f t="shared" si="11"/>
        <v>5.9178743961352656E-2</v>
      </c>
      <c r="X36" s="324">
        <f t="shared" si="12"/>
        <v>0.37635534084809447</v>
      </c>
      <c r="Y36" s="346">
        <f t="shared" si="7"/>
        <v>1</v>
      </c>
      <c r="AA36" s="170"/>
      <c r="AB36" s="531"/>
      <c r="AC36" s="531"/>
      <c r="AD36" s="534"/>
    </row>
    <row r="37" spans="1:30" x14ac:dyDescent="0.25">
      <c r="A37" s="5">
        <f>+'Index Pricing'!A26</f>
        <v>37215</v>
      </c>
      <c r="B37" s="320">
        <f>+'Index Pricing'!B26</f>
        <v>1.5349999999999999</v>
      </c>
      <c r="C37" s="22">
        <f>P37*'Box Draw Detail'!C45+Q37*'S Kitty Detail'!C45</f>
        <v>0.92194384913200944</v>
      </c>
      <c r="D37" s="121">
        <f t="shared" si="0"/>
        <v>4206</v>
      </c>
      <c r="E37" s="23">
        <f>P37*'Box Draw Detail'!E45+Q37*'S Kitty Detail'!E45</f>
        <v>2.1624142775071813</v>
      </c>
      <c r="F37" s="43">
        <f t="shared" si="13"/>
        <v>12000</v>
      </c>
      <c r="G37" s="23">
        <f>P37*'Box Draw Detail'!G45+Q37*'S Kitty Detail'!G45</f>
        <v>1.9269438491320097</v>
      </c>
      <c r="H37" s="43">
        <f t="shared" si="1"/>
        <v>4826</v>
      </c>
      <c r="I37" s="23">
        <f>P37*'Box Draw Detail'!I45+'S Kitty Detail'!I45*Q37</f>
        <v>0.75471427750718112</v>
      </c>
      <c r="J37" s="43">
        <f>ROUND(MIN('Kennedy Gas Daily Pricing'!D26,MAX(0,O37-SUM(D37,F37,H37))),0)</f>
        <v>2205</v>
      </c>
      <c r="K37" s="23">
        <f>P37*'Box Draw Detail'!K45+Q37*'S Kitty Detail'!K45</f>
        <v>0.8719438491320094</v>
      </c>
      <c r="L37" s="36">
        <f t="shared" si="2"/>
        <v>16798</v>
      </c>
      <c r="M37" s="568">
        <f>SUM('[1]Enron Detail'!$C33:$D33)</f>
        <v>11839</v>
      </c>
      <c r="N37" s="569">
        <f>SUM('[1]Enron Detail'!$F33:$G33)</f>
        <v>28196</v>
      </c>
      <c r="O37" s="576">
        <f t="shared" si="8"/>
        <v>40035</v>
      </c>
      <c r="P37" s="467">
        <f t="shared" si="9"/>
        <v>0.29571624828275261</v>
      </c>
      <c r="Q37" s="468">
        <f t="shared" si="3"/>
        <v>0.70428375171724744</v>
      </c>
      <c r="S37" s="5">
        <f t="shared" si="10"/>
        <v>37215</v>
      </c>
      <c r="T37" s="329">
        <f t="shared" si="4"/>
        <v>0.10505807418508804</v>
      </c>
      <c r="U37" s="324">
        <f t="shared" si="5"/>
        <v>0.29973772948669913</v>
      </c>
      <c r="V37" s="324">
        <f t="shared" si="6"/>
        <v>0.12054452354190083</v>
      </c>
      <c r="W37" s="324">
        <f t="shared" si="11"/>
        <v>5.5076807793180964E-2</v>
      </c>
      <c r="X37" s="324">
        <f t="shared" si="12"/>
        <v>0.41958286499313102</v>
      </c>
      <c r="Y37" s="346">
        <f t="shared" si="7"/>
        <v>1</v>
      </c>
      <c r="AA37" s="170"/>
      <c r="AB37" s="531"/>
      <c r="AC37" s="531"/>
      <c r="AD37" s="534"/>
    </row>
    <row r="38" spans="1:30" x14ac:dyDescent="0.25">
      <c r="A38" s="5">
        <f>+'Index Pricing'!A27</f>
        <v>37216</v>
      </c>
      <c r="B38" s="320">
        <f>+'Index Pricing'!B27</f>
        <v>2.2050000000000001</v>
      </c>
      <c r="C38" s="22">
        <f>P38*'Box Draw Detail'!C46+Q38*'S Kitty Detail'!C46</f>
        <v>1.591322972972973</v>
      </c>
      <c r="D38" s="121">
        <f t="shared" si="0"/>
        <v>4206</v>
      </c>
      <c r="E38" s="23">
        <f>P38*'Box Draw Detail'!E46+Q38*'S Kitty Detail'!E46</f>
        <v>2.1617938401298824</v>
      </c>
      <c r="F38" s="43">
        <f t="shared" si="13"/>
        <v>12000</v>
      </c>
      <c r="G38" s="23">
        <f>P38*'Box Draw Detail'!G46+Q38*'S Kitty Detail'!G46</f>
        <v>1.9263229729729732</v>
      </c>
      <c r="H38" s="43">
        <f t="shared" si="1"/>
        <v>4826</v>
      </c>
      <c r="I38" s="23">
        <f>P38*'Box Draw Detail'!I46+'S Kitty Detail'!I46*Q38</f>
        <v>1.4240938401298826</v>
      </c>
      <c r="J38" s="43">
        <f>ROUND(MIN('Kennedy Gas Daily Pricing'!D27,MAX(0,O38-SUM(D38,F38,H38))),0)</f>
        <v>2205</v>
      </c>
      <c r="K38" s="23">
        <f>P38*'Box Draw Detail'!K46+Q38*'S Kitty Detail'!K46</f>
        <v>1.5413229729729729</v>
      </c>
      <c r="L38" s="36">
        <f t="shared" si="2"/>
        <v>18647</v>
      </c>
      <c r="M38" s="568">
        <f>SUM('[1]Enron Detail'!$C34:$D34)</f>
        <v>12202</v>
      </c>
      <c r="N38" s="569">
        <f>SUM('[1]Enron Detail'!$F34:$G34)</f>
        <v>29682</v>
      </c>
      <c r="O38" s="576">
        <f t="shared" si="8"/>
        <v>41884</v>
      </c>
      <c r="P38" s="467">
        <f t="shared" si="9"/>
        <v>0.29132843090440264</v>
      </c>
      <c r="Q38" s="468">
        <f t="shared" si="3"/>
        <v>0.70867156909559736</v>
      </c>
      <c r="S38" s="5">
        <f t="shared" si="10"/>
        <v>37216</v>
      </c>
      <c r="T38" s="329">
        <f t="shared" si="4"/>
        <v>0.10042020819405978</v>
      </c>
      <c r="U38" s="324">
        <f t="shared" si="5"/>
        <v>0.28650558685894373</v>
      </c>
      <c r="V38" s="324">
        <f t="shared" si="6"/>
        <v>0.11522299684843855</v>
      </c>
      <c r="W38" s="324">
        <f t="shared" si="11"/>
        <v>5.2645401585330917E-2</v>
      </c>
      <c r="X38" s="324">
        <f t="shared" si="12"/>
        <v>0.445205806513227</v>
      </c>
      <c r="Y38" s="346">
        <f t="shared" si="7"/>
        <v>1</v>
      </c>
      <c r="AA38" s="170"/>
      <c r="AB38" s="531"/>
      <c r="AC38" s="531"/>
      <c r="AD38" s="534"/>
    </row>
    <row r="39" spans="1:30" x14ac:dyDescent="0.25">
      <c r="A39" s="5">
        <f>+'Index Pricing'!A28</f>
        <v>37217</v>
      </c>
      <c r="B39" s="320">
        <f>+'Index Pricing'!B28</f>
        <v>1.43</v>
      </c>
      <c r="C39" s="22">
        <f>P39*'Box Draw Detail'!C47+Q39*'S Kitty Detail'!C47</f>
        <v>0.81553661230315644</v>
      </c>
      <c r="D39" s="121">
        <f t="shared" si="0"/>
        <v>4206</v>
      </c>
      <c r="E39" s="23">
        <f>P39*'Box Draw Detail'!E47+Q39*'S Kitty Detail'!E47</f>
        <v>2.1610080351919883</v>
      </c>
      <c r="F39" s="43">
        <f t="shared" si="13"/>
        <v>12000</v>
      </c>
      <c r="G39" s="23">
        <f>P39*'Box Draw Detail'!G47+Q39*'S Kitty Detail'!G47</f>
        <v>1.9255366123031565</v>
      </c>
      <c r="H39" s="43">
        <f t="shared" si="1"/>
        <v>4826</v>
      </c>
      <c r="I39" s="23">
        <f>P39*'Box Draw Detail'!I47+'S Kitty Detail'!I47*Q39</f>
        <v>0.6483080351919881</v>
      </c>
      <c r="J39" s="43">
        <f>ROUND(MIN('Kennedy Gas Daily Pricing'!D28,MAX(0,O39-SUM(D39,F39,H39))),0)</f>
        <v>2205</v>
      </c>
      <c r="K39" s="441">
        <f>P39*'Box Draw Detail'!K47+Q39*'S Kitty Detail'!K47</f>
        <v>0.76553661230315639</v>
      </c>
      <c r="L39" s="36">
        <f t="shared" si="2"/>
        <v>19500</v>
      </c>
      <c r="M39" s="568">
        <f>SUM('[1]Enron Detail'!$C35:$D35)</f>
        <v>12213</v>
      </c>
      <c r="N39" s="569">
        <f>SUM('[1]Enron Detail'!$F35:$G35)</f>
        <v>30524</v>
      </c>
      <c r="O39" s="576">
        <f t="shared" si="8"/>
        <v>42737</v>
      </c>
      <c r="P39" s="467">
        <f t="shared" si="9"/>
        <v>0.28577111168308489</v>
      </c>
      <c r="Q39" s="468">
        <f t="shared" si="3"/>
        <v>0.71422888831691511</v>
      </c>
      <c r="S39" s="5">
        <f t="shared" si="10"/>
        <v>37217</v>
      </c>
      <c r="T39" s="329">
        <f t="shared" si="4"/>
        <v>9.8415892552121118E-2</v>
      </c>
      <c r="U39" s="324">
        <f t="shared" si="5"/>
        <v>0.28078713994899035</v>
      </c>
      <c r="V39" s="324">
        <f t="shared" si="6"/>
        <v>0.11292322811615228</v>
      </c>
      <c r="W39" s="324">
        <f t="shared" si="11"/>
        <v>5.1594636965626973E-2</v>
      </c>
      <c r="X39" s="324">
        <f t="shared" si="12"/>
        <v>0.45627910241710928</v>
      </c>
      <c r="Y39" s="346">
        <f t="shared" si="7"/>
        <v>1</v>
      </c>
      <c r="AA39" s="170"/>
      <c r="AB39" s="531"/>
      <c r="AC39" s="531"/>
      <c r="AD39" s="534"/>
    </row>
    <row r="40" spans="1:30" x14ac:dyDescent="0.25">
      <c r="A40" s="5">
        <f>+'Index Pricing'!A29</f>
        <v>37218</v>
      </c>
      <c r="B40" s="320">
        <f>+'Index Pricing'!B29</f>
        <v>1.43</v>
      </c>
      <c r="C40" s="22">
        <f>P40*'Box Draw Detail'!C48+Q40*'S Kitty Detail'!C48</f>
        <v>0.81548851981351977</v>
      </c>
      <c r="D40" s="121">
        <f t="shared" si="0"/>
        <v>4206</v>
      </c>
      <c r="E40" s="23">
        <f>P40*'Box Draw Detail'!E48+Q40*'S Kitty Detail'!E48</f>
        <v>2.160959976689977</v>
      </c>
      <c r="F40" s="43">
        <f t="shared" si="13"/>
        <v>12000</v>
      </c>
      <c r="G40" s="23">
        <f>P40*'Box Draw Detail'!G48+Q40*'S Kitty Detail'!G48</f>
        <v>1.9254885198135201</v>
      </c>
      <c r="H40" s="43">
        <f t="shared" si="1"/>
        <v>4826</v>
      </c>
      <c r="I40" s="23">
        <f>P40*'Box Draw Detail'!I48+'S Kitty Detail'!I48*Q40</f>
        <v>0.64825997668997659</v>
      </c>
      <c r="J40" s="43">
        <f>ROUND(MIN('Kennedy Gas Daily Pricing'!D29,MAX(0,O40-SUM(D40,F40,H40))),0)</f>
        <v>2205</v>
      </c>
      <c r="K40" s="23">
        <f>P40*'Box Draw Detail'!K48+Q40*'S Kitty Detail'!K48</f>
        <v>0.76548851981351973</v>
      </c>
      <c r="L40" s="36">
        <f t="shared" si="2"/>
        <v>19663</v>
      </c>
      <c r="M40" s="568">
        <f>SUM('[1]Enron Detail'!$C36:$D36)</f>
        <v>12245</v>
      </c>
      <c r="N40" s="569">
        <f>SUM('[1]Enron Detail'!$F36:$G36)</f>
        <v>30655</v>
      </c>
      <c r="O40" s="576">
        <f t="shared" si="8"/>
        <v>42900</v>
      </c>
      <c r="P40" s="467">
        <f t="shared" si="9"/>
        <v>0.28543123543123544</v>
      </c>
      <c r="Q40" s="468">
        <f t="shared" si="3"/>
        <v>0.71456876456876461</v>
      </c>
      <c r="S40" s="5">
        <f t="shared" si="10"/>
        <v>37218</v>
      </c>
      <c r="T40" s="329">
        <f t="shared" si="4"/>
        <v>9.8041958041958047E-2</v>
      </c>
      <c r="U40" s="324">
        <f t="shared" si="5"/>
        <v>0.27972027972027974</v>
      </c>
      <c r="V40" s="324">
        <f t="shared" si="6"/>
        <v>0.1124941724941725</v>
      </c>
      <c r="W40" s="324">
        <f t="shared" si="11"/>
        <v>5.1398601398601397E-2</v>
      </c>
      <c r="X40" s="324">
        <f t="shared" si="12"/>
        <v>0.45834498834498832</v>
      </c>
      <c r="Y40" s="346">
        <f t="shared" si="7"/>
        <v>1</v>
      </c>
      <c r="AA40" s="170"/>
      <c r="AB40" s="531"/>
      <c r="AC40" s="531"/>
      <c r="AD40" s="534"/>
    </row>
    <row r="41" spans="1:30" x14ac:dyDescent="0.25">
      <c r="A41" s="5">
        <f>+'Index Pricing'!A30</f>
        <v>37219</v>
      </c>
      <c r="B41" s="320">
        <f>+'Index Pricing'!B30</f>
        <v>1.43</v>
      </c>
      <c r="C41" s="22">
        <f>P41*'Box Draw Detail'!C49+Q41*'S Kitty Detail'!C49</f>
        <v>0.81846206643689956</v>
      </c>
      <c r="D41" s="121">
        <f t="shared" si="0"/>
        <v>4206</v>
      </c>
      <c r="E41" s="23">
        <f>P41*'Box Draw Detail'!E49+Q41*'S Kitty Detail'!E49</f>
        <v>2.1639314218669794</v>
      </c>
      <c r="F41" s="43">
        <f t="shared" si="13"/>
        <v>12000</v>
      </c>
      <c r="G41" s="23">
        <f>P41*'Box Draw Detail'!G49+Q41*'S Kitty Detail'!G49</f>
        <v>1.9284620664368997</v>
      </c>
      <c r="H41" s="43">
        <f t="shared" si="1"/>
        <v>4826</v>
      </c>
      <c r="I41" s="23">
        <f>P41*'Box Draw Detail'!I49+'S Kitty Detail'!I49*Q41</f>
        <v>0.65123142186697947</v>
      </c>
      <c r="J41" s="43">
        <f>ROUND(MIN('Kennedy Gas Daily Pricing'!D30,MAX(0,O41-SUM(D41,F41,H41))),0)</f>
        <v>2205</v>
      </c>
      <c r="K41" s="23">
        <f>P41*'Box Draw Detail'!K49+Q41*'S Kitty Detail'!K49</f>
        <v>0.76846206643689952</v>
      </c>
      <c r="L41" s="36">
        <f t="shared" si="2"/>
        <v>17674</v>
      </c>
      <c r="M41" s="568">
        <f>SUM('[1]Enron Detail'!$C37:$D37)</f>
        <v>12537</v>
      </c>
      <c r="N41" s="569">
        <f>SUM('[1]Enron Detail'!$F37:$G37)</f>
        <v>28374</v>
      </c>
      <c r="O41" s="576">
        <f t="shared" si="8"/>
        <v>40911</v>
      </c>
      <c r="P41" s="467">
        <f t="shared" si="9"/>
        <v>0.30644569920070397</v>
      </c>
      <c r="Q41" s="468">
        <f t="shared" si="3"/>
        <v>0.69355430079929603</v>
      </c>
      <c r="S41" s="5">
        <f t="shared" si="10"/>
        <v>37219</v>
      </c>
      <c r="T41" s="329">
        <f t="shared" si="4"/>
        <v>0.10280853560167193</v>
      </c>
      <c r="U41" s="324">
        <f t="shared" si="5"/>
        <v>0.29331964508322944</v>
      </c>
      <c r="V41" s="324">
        <f t="shared" si="6"/>
        <v>0.11796338393097211</v>
      </c>
      <c r="W41" s="324">
        <f t="shared" si="11"/>
        <v>5.3897484784043409E-2</v>
      </c>
      <c r="X41" s="324">
        <f t="shared" si="12"/>
        <v>0.4320109506000831</v>
      </c>
      <c r="Y41" s="346">
        <f t="shared" si="7"/>
        <v>1</v>
      </c>
      <c r="AA41" s="170"/>
      <c r="AB41" s="531"/>
      <c r="AC41" s="531"/>
      <c r="AD41" s="534"/>
    </row>
    <row r="42" spans="1:30" x14ac:dyDescent="0.25">
      <c r="A42" s="5">
        <f>+'Index Pricing'!A31</f>
        <v>37220</v>
      </c>
      <c r="B42" s="320">
        <f>+'Index Pricing'!B31</f>
        <v>1.43</v>
      </c>
      <c r="C42" s="22">
        <f>P42*'Box Draw Detail'!C50+Q42*'S Kitty Detail'!C50</f>
        <v>0.82730854609386939</v>
      </c>
      <c r="D42" s="121">
        <f t="shared" si="0"/>
        <v>4206</v>
      </c>
      <c r="E42" s="23">
        <f>P42*'Box Draw Detail'!E50+Q42*'S Kitty Detail'!E50</f>
        <v>2.1727716495948632</v>
      </c>
      <c r="F42" s="43">
        <f t="shared" si="13"/>
        <v>12000</v>
      </c>
      <c r="G42" s="23">
        <f>P42*'Box Draw Detail'!G50+Q42*'S Kitty Detail'!G50</f>
        <v>1.9373085460938695</v>
      </c>
      <c r="H42" s="43">
        <f t="shared" si="1"/>
        <v>4826</v>
      </c>
      <c r="I42" s="23">
        <f>P42*'Box Draw Detail'!I50+'S Kitty Detail'!I50*Q42</f>
        <v>0.66007164959486309</v>
      </c>
      <c r="J42" s="43">
        <f>ROUND(MIN('Kennedy Gas Daily Pricing'!D31,MAX(0,O42-SUM(D42,F42,H42))),0)</f>
        <v>2205</v>
      </c>
      <c r="K42" s="23">
        <f>P42*'Box Draw Detail'!K50+Q42*'S Kitty Detail'!K50</f>
        <v>0.77730854609386935</v>
      </c>
      <c r="L42" s="36">
        <f t="shared" si="2"/>
        <v>9468</v>
      </c>
      <c r="M42" s="568">
        <f>SUM('[1]Enron Detail'!$C38:$D38)</f>
        <v>12067</v>
      </c>
      <c r="N42" s="569">
        <f>SUM('[1]Enron Detail'!$F38:$G38)</f>
        <v>20638</v>
      </c>
      <c r="O42" s="576">
        <f t="shared" si="8"/>
        <v>32705</v>
      </c>
      <c r="P42" s="467">
        <f t="shared" si="9"/>
        <v>0.36896499006268157</v>
      </c>
      <c r="Q42" s="468">
        <f t="shared" si="3"/>
        <v>0.63103500993731843</v>
      </c>
      <c r="S42" s="5">
        <f t="shared" si="10"/>
        <v>37220</v>
      </c>
      <c r="T42" s="329">
        <f t="shared" si="4"/>
        <v>0.12860418896193243</v>
      </c>
      <c r="U42" s="324">
        <f t="shared" si="5"/>
        <v>0.36691637364317381</v>
      </c>
      <c r="V42" s="324">
        <f t="shared" si="6"/>
        <v>0.14756153493349641</v>
      </c>
      <c r="W42" s="324">
        <f t="shared" si="11"/>
        <v>6.7420883656933189E-2</v>
      </c>
      <c r="X42" s="324">
        <f t="shared" si="12"/>
        <v>0.28949701880446416</v>
      </c>
      <c r="Y42" s="346">
        <f t="shared" si="7"/>
        <v>1</v>
      </c>
      <c r="AA42" s="170"/>
      <c r="AB42" s="531"/>
      <c r="AC42" s="531"/>
      <c r="AD42" s="534"/>
    </row>
    <row r="43" spans="1:30" x14ac:dyDescent="0.25">
      <c r="A43" s="5">
        <f>+'Index Pricing'!A32</f>
        <v>37221</v>
      </c>
      <c r="B43" s="320">
        <f>+'Index Pricing'!B32</f>
        <v>1.43</v>
      </c>
      <c r="C43" s="22">
        <f>P43*'Box Draw Detail'!C51+Q43*'S Kitty Detail'!C51</f>
        <v>0.81837300382205336</v>
      </c>
      <c r="D43" s="121">
        <f t="shared" si="0"/>
        <v>4206</v>
      </c>
      <c r="E43" s="23">
        <f>P43*'Box Draw Detail'!E51+Q43*'S Kitty Detail'!E51</f>
        <v>2.1638424221939108</v>
      </c>
      <c r="F43" s="43">
        <f t="shared" si="13"/>
        <v>12000</v>
      </c>
      <c r="G43" s="23">
        <f>P43*'Box Draw Detail'!G51+Q43*'S Kitty Detail'!G51</f>
        <v>1.9283730038220535</v>
      </c>
      <c r="H43" s="43">
        <f t="shared" si="1"/>
        <v>4826</v>
      </c>
      <c r="I43" s="23">
        <f>P43*'Box Draw Detail'!I51+'S Kitty Detail'!I51*Q43</f>
        <v>0.65114242219391061</v>
      </c>
      <c r="J43" s="43">
        <f>ROUND(MIN('Kennedy Gas Daily Pricing'!D32,MAX(0,O43-SUM(D43,F43,H43))),0)</f>
        <v>2205</v>
      </c>
      <c r="K43" s="23">
        <f>P43*'Box Draw Detail'!K51+Q43*'S Kitty Detail'!K51</f>
        <v>0.76837300382205331</v>
      </c>
      <c r="L43" s="36">
        <f t="shared" si="2"/>
        <v>15224</v>
      </c>
      <c r="M43" s="568">
        <f>SUM('[1]Enron Detail'!$C39:$D39)</f>
        <v>11762</v>
      </c>
      <c r="N43" s="569">
        <f>SUM('[1]Enron Detail'!$F39:$G39)</f>
        <v>26699</v>
      </c>
      <c r="O43" s="576">
        <f t="shared" si="8"/>
        <v>38461</v>
      </c>
      <c r="P43" s="467">
        <f t="shared" si="9"/>
        <v>0.30581628142793998</v>
      </c>
      <c r="Q43" s="468">
        <f t="shared" si="3"/>
        <v>0.69418371857205996</v>
      </c>
      <c r="S43" s="5">
        <f t="shared" si="10"/>
        <v>37221</v>
      </c>
      <c r="T43" s="329">
        <f t="shared" si="4"/>
        <v>0.10935753100543408</v>
      </c>
      <c r="U43" s="324">
        <f t="shared" si="5"/>
        <v>0.31200436806115284</v>
      </c>
      <c r="V43" s="324">
        <f t="shared" si="6"/>
        <v>0.12547775668859365</v>
      </c>
      <c r="W43" s="324">
        <f t="shared" si="11"/>
        <v>5.7330802631236841E-2</v>
      </c>
      <c r="X43" s="324">
        <f t="shared" si="12"/>
        <v>0.39582954161358258</v>
      </c>
      <c r="Y43" s="346">
        <f t="shared" si="7"/>
        <v>1</v>
      </c>
      <c r="AA43" s="170"/>
      <c r="AB43" s="531"/>
      <c r="AC43" s="531"/>
      <c r="AD43" s="534"/>
    </row>
    <row r="44" spans="1:30" x14ac:dyDescent="0.25">
      <c r="A44" s="5">
        <f>+'Index Pricing'!A33</f>
        <v>37222</v>
      </c>
      <c r="B44" s="320">
        <f>+'Index Pricing'!B33</f>
        <v>1.88</v>
      </c>
      <c r="C44" s="22">
        <f>P44*'Box Draw Detail'!C52+Q44*'S Kitty Detail'!C52</f>
        <v>1.2689247389814295</v>
      </c>
      <c r="D44" s="121">
        <f t="shared" si="0"/>
        <v>4206</v>
      </c>
      <c r="E44" s="23">
        <f>P44*'Box Draw Detail'!E52+Q44*'S Kitty Detail'!E52</f>
        <v>2.1643937674344462</v>
      </c>
      <c r="F44" s="43">
        <f t="shared" si="13"/>
        <v>12000</v>
      </c>
      <c r="G44" s="23">
        <f>P44*'Box Draw Detail'!G52+Q44*'S Kitty Detail'!G52</f>
        <v>1.9289247389814297</v>
      </c>
      <c r="H44" s="43">
        <f t="shared" si="1"/>
        <v>4826</v>
      </c>
      <c r="I44" s="23">
        <f>P44*'Box Draw Detail'!I52+'S Kitty Detail'!I52*Q44</f>
        <v>1.1016937674344462</v>
      </c>
      <c r="J44" s="43">
        <f>ROUND(MIN('Kennedy Gas Daily Pricing'!D33,MAX(0,O44-SUM(D44,F44,H44))),0)</f>
        <v>2205</v>
      </c>
      <c r="K44" s="23">
        <f>P44*'Box Draw Detail'!K52+Q44*'S Kitty Detail'!K52</f>
        <v>1.2189247389814297</v>
      </c>
      <c r="L44" s="36">
        <f t="shared" si="2"/>
        <v>14404</v>
      </c>
      <c r="M44" s="568">
        <f>SUM('[1]Enron Detail'!$C40:$D40)</f>
        <v>11658</v>
      </c>
      <c r="N44" s="569">
        <f>SUM('[1]Enron Detail'!$F40:$G40)</f>
        <v>25983</v>
      </c>
      <c r="O44" s="576">
        <f t="shared" si="8"/>
        <v>37641</v>
      </c>
      <c r="P44" s="467">
        <f t="shared" si="9"/>
        <v>0.30971546983342629</v>
      </c>
      <c r="Q44" s="468">
        <f t="shared" si="3"/>
        <v>0.69028453016657365</v>
      </c>
      <c r="S44" s="5">
        <f t="shared" si="10"/>
        <v>37222</v>
      </c>
      <c r="T44" s="329">
        <f t="shared" si="4"/>
        <v>0.11173985813341834</v>
      </c>
      <c r="U44" s="324">
        <f t="shared" si="5"/>
        <v>0.31880130708535903</v>
      </c>
      <c r="V44" s="324">
        <f t="shared" si="6"/>
        <v>0.12821125899949523</v>
      </c>
      <c r="W44" s="324">
        <f t="shared" si="11"/>
        <v>5.8579740176934722E-2</v>
      </c>
      <c r="X44" s="324">
        <f t="shared" si="12"/>
        <v>0.38266783560479267</v>
      </c>
      <c r="Y44" s="346">
        <f t="shared" si="7"/>
        <v>1</v>
      </c>
      <c r="AA44" s="170"/>
      <c r="AB44" s="531"/>
      <c r="AC44" s="531"/>
      <c r="AD44" s="534"/>
    </row>
    <row r="45" spans="1:30" x14ac:dyDescent="0.25">
      <c r="A45" s="5">
        <f>+'Index Pricing'!A34</f>
        <v>37223</v>
      </c>
      <c r="B45" s="320">
        <f>+'Index Pricing'!B34</f>
        <v>2.16</v>
      </c>
      <c r="C45" s="22">
        <f>P45*'Box Draw Detail'!C53+Q45*'S Kitty Detail'!C53</f>
        <v>1.5534201248998316</v>
      </c>
      <c r="D45" s="121">
        <f t="shared" si="0"/>
        <v>4206</v>
      </c>
      <c r="E45" s="23">
        <f>P45*'Box Draw Detail'!E53+Q45*'S Kitty Detail'!E53</f>
        <v>2.1688859764016692</v>
      </c>
      <c r="F45" s="43">
        <f t="shared" si="13"/>
        <v>12000</v>
      </c>
      <c r="G45" s="23">
        <f>P45*'Box Draw Detail'!G53+Q45*'S Kitty Detail'!G53</f>
        <v>1.9334201248998315</v>
      </c>
      <c r="H45" s="43">
        <f t="shared" si="1"/>
        <v>4826</v>
      </c>
      <c r="I45" s="23">
        <f>P45*'Box Draw Detail'!I53+'S Kitty Detail'!I53*Q45</f>
        <v>1.3861859764016691</v>
      </c>
      <c r="J45" s="43">
        <f>ROUND(MIN('Kennedy Gas Daily Pricing'!D34,MAX(0,O45-SUM(D45,F45,H45))),0)</f>
        <v>2205</v>
      </c>
      <c r="K45" s="23">
        <f>P45*'Box Draw Detail'!K53+Q45*'S Kitty Detail'!K53</f>
        <v>1.5034201248998316</v>
      </c>
      <c r="L45" s="36">
        <f t="shared" si="2"/>
        <v>12952</v>
      </c>
      <c r="M45" s="568">
        <f>SUM('[1]Enron Detail'!$C41:$D41)</f>
        <v>12358</v>
      </c>
      <c r="N45" s="569">
        <f>SUM('[1]Enron Detail'!$F41:$G41)</f>
        <v>23831</v>
      </c>
      <c r="O45" s="576">
        <f t="shared" si="8"/>
        <v>36189</v>
      </c>
      <c r="P45" s="467">
        <f t="shared" si="9"/>
        <v>0.34148498162425045</v>
      </c>
      <c r="Q45" s="468">
        <f t="shared" si="3"/>
        <v>0.65851501837574955</v>
      </c>
      <c r="S45" s="5">
        <f t="shared" si="10"/>
        <v>37223</v>
      </c>
      <c r="T45" s="329">
        <f t="shared" si="4"/>
        <v>0.11622316173422863</v>
      </c>
      <c r="U45" s="324">
        <f t="shared" si="5"/>
        <v>0.33159247285086629</v>
      </c>
      <c r="V45" s="324">
        <f t="shared" si="6"/>
        <v>0.13335543949819006</v>
      </c>
      <c r="W45" s="324">
        <f t="shared" si="11"/>
        <v>6.0930116886346683E-2</v>
      </c>
      <c r="X45" s="324">
        <f t="shared" si="12"/>
        <v>0.35789880903036836</v>
      </c>
      <c r="Y45" s="346">
        <f t="shared" si="7"/>
        <v>1</v>
      </c>
      <c r="AA45" s="170"/>
      <c r="AB45" s="531"/>
      <c r="AC45" s="531"/>
      <c r="AD45" s="534"/>
    </row>
    <row r="46" spans="1:30" x14ac:dyDescent="0.25">
      <c r="A46" s="5">
        <f>+'Index Pricing'!A35</f>
        <v>37224</v>
      </c>
      <c r="B46" s="320">
        <f>+'Index Pricing'!B35</f>
        <v>2.38</v>
      </c>
      <c r="C46" s="22">
        <f>P46*'Box Draw Detail'!C54+Q46*'S Kitty Detail'!C54</f>
        <v>1.7700594041682649</v>
      </c>
      <c r="D46" s="121">
        <f t="shared" si="0"/>
        <v>0</v>
      </c>
      <c r="E46" s="23">
        <f>P46*'Box Draw Detail'!E54+Q46*'S Kitty Detail'!E54</f>
        <v>2.1655276307377571</v>
      </c>
      <c r="F46" s="43">
        <f t="shared" si="13"/>
        <v>12000</v>
      </c>
      <c r="G46" s="23">
        <f>P46*'Box Draw Detail'!G54+Q46*'S Kitty Detail'!G54</f>
        <v>1.930059404168265</v>
      </c>
      <c r="H46" s="43">
        <f t="shared" si="1"/>
        <v>3642</v>
      </c>
      <c r="I46" s="23">
        <f>P46*'Box Draw Detail'!I54+'S Kitty Detail'!I54*Q46</f>
        <v>1.6028276307377571</v>
      </c>
      <c r="J46" s="43">
        <f>ROUND(MIN('Kennedy Gas Daily Pricing'!D35,MAX(0,O46-SUM(D46,F46,H46))),0)</f>
        <v>0</v>
      </c>
      <c r="K46" s="23">
        <f>P46*'Box Draw Detail'!K54+Q46*'S Kitty Detail'!K54</f>
        <v>1.7200594041682649</v>
      </c>
      <c r="L46" s="36">
        <f t="shared" si="2"/>
        <v>0</v>
      </c>
      <c r="M46" s="568">
        <f>SUM('[1]Enron Detail'!$C42:$D42)</f>
        <v>4970</v>
      </c>
      <c r="N46" s="569">
        <f>SUM('[1]Enron Detail'!$F42:$G42)</f>
        <v>10672</v>
      </c>
      <c r="O46" s="576">
        <f t="shared" si="8"/>
        <v>15642</v>
      </c>
      <c r="P46" s="467">
        <f t="shared" si="9"/>
        <v>0.31773430507607725</v>
      </c>
      <c r="Q46" s="468">
        <f t="shared" si="3"/>
        <v>0.68226569492392275</v>
      </c>
      <c r="S46" s="5">
        <f t="shared" si="10"/>
        <v>37224</v>
      </c>
      <c r="T46" s="329">
        <f t="shared" si="4"/>
        <v>0</v>
      </c>
      <c r="U46" s="324">
        <f t="shared" si="5"/>
        <v>0.76716532412734939</v>
      </c>
      <c r="V46" s="324">
        <f t="shared" si="6"/>
        <v>0.23283467587265055</v>
      </c>
      <c r="W46" s="324">
        <f t="shared" si="11"/>
        <v>0</v>
      </c>
      <c r="X46" s="324">
        <f t="shared" si="12"/>
        <v>0</v>
      </c>
      <c r="Y46" s="346">
        <f t="shared" si="7"/>
        <v>1</v>
      </c>
      <c r="AA46" s="170"/>
      <c r="AB46" s="531"/>
      <c r="AC46" s="531"/>
      <c r="AD46" s="534"/>
    </row>
    <row r="47" spans="1:30" x14ac:dyDescent="0.25">
      <c r="A47" s="5">
        <f>+'Index Pricing'!A36</f>
        <v>37225</v>
      </c>
      <c r="B47" s="320">
        <f>+'Index Pricing'!B36</f>
        <v>2.0249999999999999</v>
      </c>
      <c r="C47" s="22">
        <f>P47*'Box Draw Detail'!C55+Q47*'S Kitty Detail'!C55</f>
        <v>0</v>
      </c>
      <c r="D47" s="121">
        <f t="shared" si="0"/>
        <v>0</v>
      </c>
      <c r="E47" s="23">
        <f>P47*'Box Draw Detail'!E55+Q47*'S Kitty Detail'!E55</f>
        <v>0</v>
      </c>
      <c r="F47" s="43">
        <f t="shared" si="13"/>
        <v>0</v>
      </c>
      <c r="G47" s="23">
        <f>P47*'Box Draw Detail'!G55+Q47*'S Kitty Detail'!G55</f>
        <v>0</v>
      </c>
      <c r="H47" s="43">
        <f t="shared" si="1"/>
        <v>0</v>
      </c>
      <c r="I47" s="23">
        <f>P47*'Box Draw Detail'!I55+'S Kitty Detail'!I55*Q47</f>
        <v>0</v>
      </c>
      <c r="J47" s="43">
        <f>ROUND(MIN('Kennedy Gas Daily Pricing'!D36,MAX(0,O47-SUM(D47,F47,H47))),0)</f>
        <v>0</v>
      </c>
      <c r="K47" s="23">
        <f>P47*'Box Draw Detail'!K55+Q47*'S Kitty Detail'!K55</f>
        <v>0</v>
      </c>
      <c r="L47" s="36">
        <f t="shared" si="2"/>
        <v>0</v>
      </c>
      <c r="M47" s="568">
        <f>SUM('[1]Enron Detail'!$C43:$D43)</f>
        <v>0</v>
      </c>
      <c r="N47" s="569">
        <f>SUM('[1]Enron Detail'!$F43:$G43)</f>
        <v>0</v>
      </c>
      <c r="O47" s="576">
        <f t="shared" si="8"/>
        <v>0</v>
      </c>
      <c r="P47" s="467">
        <v>0</v>
      </c>
      <c r="Q47" s="468">
        <v>0</v>
      </c>
      <c r="S47" s="5">
        <f t="shared" si="10"/>
        <v>37225</v>
      </c>
      <c r="T47" s="329" t="e">
        <f t="shared" si="4"/>
        <v>#DIV/0!</v>
      </c>
      <c r="U47" s="324" t="e">
        <f t="shared" si="5"/>
        <v>#DIV/0!</v>
      </c>
      <c r="V47" s="324" t="e">
        <f t="shared" si="6"/>
        <v>#DIV/0!</v>
      </c>
      <c r="W47" s="324" t="e">
        <f t="shared" si="11"/>
        <v>#DIV/0!</v>
      </c>
      <c r="X47" s="324" t="e">
        <f t="shared" si="12"/>
        <v>#DIV/0!</v>
      </c>
      <c r="Y47" s="346" t="e">
        <f t="shared" si="7"/>
        <v>#DIV/0!</v>
      </c>
      <c r="AA47" s="170"/>
      <c r="AB47" s="531"/>
      <c r="AC47" s="531"/>
      <c r="AD47" s="534"/>
    </row>
    <row r="48" spans="1:30" ht="13.8" thickBot="1" x14ac:dyDescent="0.3">
      <c r="A48" s="5"/>
      <c r="B48" s="545"/>
      <c r="C48" s="322"/>
      <c r="D48" s="323"/>
      <c r="E48" s="243"/>
      <c r="F48" s="147"/>
      <c r="G48" s="243"/>
      <c r="H48" s="147"/>
      <c r="I48" s="243"/>
      <c r="J48" s="147"/>
      <c r="K48" s="243"/>
      <c r="L48" s="37"/>
      <c r="M48" s="578"/>
      <c r="N48" s="579"/>
      <c r="O48" s="577"/>
      <c r="P48" s="546"/>
      <c r="Q48" s="547"/>
      <c r="S48" s="5">
        <f>A48</f>
        <v>0</v>
      </c>
      <c r="T48" s="330" t="e">
        <f t="shared" si="4"/>
        <v>#DIV/0!</v>
      </c>
      <c r="U48" s="331" t="e">
        <f t="shared" si="5"/>
        <v>#DIV/0!</v>
      </c>
      <c r="V48" s="331" t="e">
        <f t="shared" si="6"/>
        <v>#DIV/0!</v>
      </c>
      <c r="W48" s="331" t="e">
        <f>J48/$O48</f>
        <v>#DIV/0!</v>
      </c>
      <c r="X48" s="331" t="e">
        <f>L48/$O48</f>
        <v>#DIV/0!</v>
      </c>
      <c r="Y48" s="347" t="e">
        <f t="shared" si="7"/>
        <v>#DIV/0!</v>
      </c>
      <c r="AA48" s="170"/>
      <c r="AB48" s="531"/>
      <c r="AC48" s="531"/>
      <c r="AD48" s="534"/>
    </row>
    <row r="49" spans="1:30" x14ac:dyDescent="0.25">
      <c r="A49" s="201" t="s">
        <v>228</v>
      </c>
      <c r="B49" s="202">
        <f>IF(D49=0,AVERAGE(B18:B48),SUMPRODUCT(B18:B48,D18:D48)/D49)</f>
        <v>1.7592857142857135</v>
      </c>
      <c r="C49" s="202">
        <f>IF(D49=0,AVERAGE(C18:C48),SUMPRODUCT(C18:C48,D18:D48)/D49)</f>
        <v>1.1484775763989727</v>
      </c>
      <c r="D49" s="203">
        <f>SUM(D18:D48)</f>
        <v>117768</v>
      </c>
      <c r="E49" s="202">
        <f>IF(F49=0,AVERAGE(E18:E48),SUMPRODUCT(E18:E48,F18:F48)/F49)</f>
        <v>2.1646905958884375</v>
      </c>
      <c r="F49" s="204">
        <f>SUM(F18:F48)</f>
        <v>348000</v>
      </c>
      <c r="G49" s="202">
        <f>IF(H49=0,AVERAGE(G18:G48),SUMPRODUCT(G18:G48,H18:H48)/H49)</f>
        <v>1.9292146306378988</v>
      </c>
      <c r="H49" s="203">
        <f>SUM(H18:H48)</f>
        <v>138770</v>
      </c>
      <c r="I49" s="202">
        <f>IF(J49=0,AVERAGE(I18:I48),SUMPRODUCT(I18:I48,J18:J48)/J49)</f>
        <v>0.98124641607239071</v>
      </c>
      <c r="J49" s="203">
        <f>SUM(J18:J48)</f>
        <v>61740</v>
      </c>
      <c r="K49" s="202">
        <f>IF(L49=0,AVERAGE(K18:K48),SUMPRODUCT(K18:K48,L18:L48)/L49)</f>
        <v>1.1357015028065987</v>
      </c>
      <c r="L49" s="203">
        <f t="shared" ref="L49:Q49" si="14">SUM(L18:L48)</f>
        <v>446832</v>
      </c>
      <c r="M49" s="317">
        <f t="shared" si="14"/>
        <v>345099</v>
      </c>
      <c r="N49" s="317">
        <f t="shared" si="14"/>
        <v>768011</v>
      </c>
      <c r="O49" s="318">
        <f t="shared" si="14"/>
        <v>1113110</v>
      </c>
      <c r="P49" s="317">
        <f t="shared" si="14"/>
        <v>9.0426257479822905</v>
      </c>
      <c r="Q49" s="317">
        <f t="shared" si="14"/>
        <v>19.957374252017704</v>
      </c>
    </row>
    <row r="50" spans="1:30" x14ac:dyDescent="0.25">
      <c r="A50" s="201" t="s">
        <v>229</v>
      </c>
      <c r="B50" s="202"/>
      <c r="C50" s="207">
        <f>C49-$B49</f>
        <v>-0.61080813788674071</v>
      </c>
      <c r="D50" s="203"/>
      <c r="E50" s="207">
        <f>E49-C5</f>
        <v>-0.87530940411156255</v>
      </c>
      <c r="F50" s="204"/>
      <c r="G50" s="207">
        <f>G49-C6</f>
        <v>-0.61078536936210126</v>
      </c>
      <c r="H50" s="203"/>
      <c r="I50" s="207">
        <f>I49-E6</f>
        <v>0.98124641607239071</v>
      </c>
      <c r="J50" s="203"/>
      <c r="K50" s="207">
        <f>K49-SUMPRODUCT(B18:B47,L18:L47)/L49</f>
        <v>-0.66139259519891547</v>
      </c>
      <c r="L50" s="203"/>
      <c r="M50" s="259"/>
      <c r="N50" s="259"/>
      <c r="O50" s="309"/>
      <c r="P50" s="259"/>
      <c r="Q50" s="259"/>
      <c r="AD50" s="535"/>
    </row>
    <row r="51" spans="1:30" x14ac:dyDescent="0.25">
      <c r="I51" s="128"/>
    </row>
    <row r="52" spans="1:30" x14ac:dyDescent="0.25">
      <c r="A52" t="s">
        <v>217</v>
      </c>
      <c r="L52" s="533"/>
    </row>
    <row r="53" spans="1:30" x14ac:dyDescent="0.25">
      <c r="P53" s="47"/>
      <c r="S53" s="532"/>
    </row>
    <row r="54" spans="1:30" x14ac:dyDescent="0.25">
      <c r="F54" s="2"/>
      <c r="S54" s="28"/>
    </row>
    <row r="55" spans="1:30" x14ac:dyDescent="0.25">
      <c r="F55" s="205"/>
    </row>
    <row r="56" spans="1:30" x14ac:dyDescent="0.25">
      <c r="F56" s="83"/>
    </row>
    <row r="59" spans="1:30" x14ac:dyDescent="0.25">
      <c r="C59" t="s">
        <v>416</v>
      </c>
    </row>
  </sheetData>
  <phoneticPr fontId="0" type="noConversion"/>
  <pageMargins left="0.25" right="0.25" top="1" bottom="1" header="0.5" footer="0.5"/>
  <pageSetup paperSize="5" scale="54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9697" r:id="rId4">
          <objectPr defaultSize="0" autoPict="0" r:id="rId5">
            <anchor moveWithCells="1">
              <from>
                <xdr:col>4</xdr:col>
                <xdr:colOff>594360</xdr:colOff>
                <xdr:row>0</xdr:row>
                <xdr:rowOff>15240</xdr:rowOff>
              </from>
              <to>
                <xdr:col>4</xdr:col>
                <xdr:colOff>1203960</xdr:colOff>
                <xdr:row>3</xdr:row>
                <xdr:rowOff>0</xdr:rowOff>
              </to>
            </anchor>
          </objectPr>
        </oleObject>
      </mc:Choice>
      <mc:Fallback>
        <oleObject progId="Paint.Picture" shapeId="29697" r:id="rId4"/>
      </mc:Fallback>
    </mc:AlternateContent>
    <mc:AlternateContent xmlns:mc="http://schemas.openxmlformats.org/markup-compatibility/2006">
      <mc:Choice Requires="x14">
        <oleObject progId="Paint.Picture" shapeId="29988" r:id="rId6">
          <objectPr defaultSize="0" autoPict="0" r:id="rId5">
            <anchor moveWithCells="1">
              <from>
                <xdr:col>4</xdr:col>
                <xdr:colOff>594360</xdr:colOff>
                <xdr:row>0</xdr:row>
                <xdr:rowOff>15240</xdr:rowOff>
              </from>
              <to>
                <xdr:col>4</xdr:col>
                <xdr:colOff>1203960</xdr:colOff>
                <xdr:row>3</xdr:row>
                <xdr:rowOff>0</xdr:rowOff>
              </to>
            </anchor>
          </objectPr>
        </oleObject>
      </mc:Choice>
      <mc:Fallback>
        <oleObject progId="Paint.Picture" shapeId="29988" r:id="rId6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8"/>
  <sheetViews>
    <sheetView showGridLines="0" workbookViewId="0">
      <selection activeCell="I41" sqref="I41"/>
    </sheetView>
  </sheetViews>
  <sheetFormatPr defaultRowHeight="13.2" x14ac:dyDescent="0.25"/>
  <cols>
    <col min="1" max="1" width="10.109375" bestFit="1" customWidth="1"/>
    <col min="2" max="2" width="16.88671875" customWidth="1"/>
    <col min="4" max="4" width="17.88671875" customWidth="1"/>
    <col min="5" max="5" width="22.109375" customWidth="1"/>
  </cols>
  <sheetData>
    <row r="2" spans="1:5" x14ac:dyDescent="0.25">
      <c r="A2" s="7" t="s">
        <v>90</v>
      </c>
    </row>
    <row r="3" spans="1:5" x14ac:dyDescent="0.25">
      <c r="A3" s="7" t="s">
        <v>396</v>
      </c>
    </row>
    <row r="4" spans="1:5" x14ac:dyDescent="0.25">
      <c r="D4" s="48" t="s">
        <v>407</v>
      </c>
      <c r="E4" s="557">
        <v>6.7999999999999996E-3</v>
      </c>
    </row>
    <row r="5" spans="1:5" x14ac:dyDescent="0.25">
      <c r="B5" s="67"/>
      <c r="D5" s="587" t="s">
        <v>409</v>
      </c>
      <c r="E5" s="587"/>
    </row>
    <row r="6" spans="1:5" ht="25.5" customHeight="1" thickBot="1" x14ac:dyDescent="0.3">
      <c r="B6" s="255" t="s">
        <v>404</v>
      </c>
      <c r="D6" s="556" t="s">
        <v>410</v>
      </c>
      <c r="E6" s="556" t="s">
        <v>411</v>
      </c>
    </row>
    <row r="7" spans="1:5" x14ac:dyDescent="0.25">
      <c r="A7" s="130">
        <v>37165</v>
      </c>
      <c r="B7" s="2">
        <v>-0.05</v>
      </c>
      <c r="D7" s="29">
        <f>E7/(1-$E$4)</f>
        <v>2204.9939589206606</v>
      </c>
      <c r="E7" s="554">
        <v>2190</v>
      </c>
    </row>
    <row r="8" spans="1:5" x14ac:dyDescent="0.25">
      <c r="A8" s="130">
        <f>+A7+1</f>
        <v>37166</v>
      </c>
      <c r="B8" s="2">
        <v>-0.05</v>
      </c>
      <c r="D8" s="29">
        <f t="shared" ref="D8:D37" si="0">E8/(1-$E$4)</f>
        <v>2204.9939589206606</v>
      </c>
      <c r="E8" s="554">
        <v>2190</v>
      </c>
    </row>
    <row r="9" spans="1:5" x14ac:dyDescent="0.25">
      <c r="A9" s="130">
        <f t="shared" ref="A9:A37" si="1">+A8+1</f>
        <v>37167</v>
      </c>
      <c r="B9" s="2">
        <v>-0.05</v>
      </c>
      <c r="D9" s="29">
        <f t="shared" si="0"/>
        <v>2204.9939589206606</v>
      </c>
      <c r="E9" s="554">
        <v>2190</v>
      </c>
    </row>
    <row r="10" spans="1:5" x14ac:dyDescent="0.25">
      <c r="A10" s="130">
        <f t="shared" si="1"/>
        <v>37168</v>
      </c>
      <c r="B10" s="2">
        <v>-0.05</v>
      </c>
      <c r="D10" s="29">
        <f t="shared" si="0"/>
        <v>2204.9939589206606</v>
      </c>
      <c r="E10" s="554">
        <v>2190</v>
      </c>
    </row>
    <row r="11" spans="1:5" x14ac:dyDescent="0.25">
      <c r="A11" s="130">
        <f t="shared" si="1"/>
        <v>37169</v>
      </c>
      <c r="B11" s="2">
        <v>-0.05</v>
      </c>
      <c r="D11" s="29">
        <f t="shared" si="0"/>
        <v>2204.9939589206606</v>
      </c>
      <c r="E11" s="554">
        <v>2190</v>
      </c>
    </row>
    <row r="12" spans="1:5" x14ac:dyDescent="0.25">
      <c r="A12" s="130">
        <f t="shared" si="1"/>
        <v>37170</v>
      </c>
      <c r="B12" s="2">
        <v>-0.05</v>
      </c>
      <c r="D12" s="29">
        <f t="shared" si="0"/>
        <v>2204.9939589206606</v>
      </c>
      <c r="E12" s="554">
        <v>2190</v>
      </c>
    </row>
    <row r="13" spans="1:5" x14ac:dyDescent="0.25">
      <c r="A13" s="130">
        <f t="shared" si="1"/>
        <v>37171</v>
      </c>
      <c r="B13" s="2">
        <v>-0.05</v>
      </c>
      <c r="D13" s="29">
        <f t="shared" si="0"/>
        <v>2204.9939589206606</v>
      </c>
      <c r="E13" s="554">
        <v>2190</v>
      </c>
    </row>
    <row r="14" spans="1:5" x14ac:dyDescent="0.25">
      <c r="A14" s="130">
        <f t="shared" si="1"/>
        <v>37172</v>
      </c>
      <c r="B14" s="2">
        <v>-0.05</v>
      </c>
      <c r="D14" s="29">
        <f t="shared" si="0"/>
        <v>2204.9939589206606</v>
      </c>
      <c r="E14" s="554">
        <v>2190</v>
      </c>
    </row>
    <row r="15" spans="1:5" x14ac:dyDescent="0.25">
      <c r="A15" s="130">
        <f t="shared" si="1"/>
        <v>37173</v>
      </c>
      <c r="B15" s="2">
        <v>-0.05</v>
      </c>
      <c r="D15" s="29">
        <f t="shared" si="0"/>
        <v>2204.9939589206606</v>
      </c>
      <c r="E15" s="554">
        <v>2190</v>
      </c>
    </row>
    <row r="16" spans="1:5" x14ac:dyDescent="0.25">
      <c r="A16" s="130">
        <f t="shared" si="1"/>
        <v>37174</v>
      </c>
      <c r="B16" s="2">
        <v>-0.05</v>
      </c>
      <c r="D16" s="29">
        <f t="shared" si="0"/>
        <v>2204.9939589206606</v>
      </c>
      <c r="E16" s="554">
        <v>2190</v>
      </c>
    </row>
    <row r="17" spans="1:5" x14ac:dyDescent="0.25">
      <c r="A17" s="130">
        <f t="shared" si="1"/>
        <v>37175</v>
      </c>
      <c r="B17" s="2">
        <v>-0.05</v>
      </c>
      <c r="D17" s="29">
        <f t="shared" si="0"/>
        <v>2204.9939589206606</v>
      </c>
      <c r="E17" s="554">
        <v>2190</v>
      </c>
    </row>
    <row r="18" spans="1:5" x14ac:dyDescent="0.25">
      <c r="A18" s="130">
        <f t="shared" si="1"/>
        <v>37176</v>
      </c>
      <c r="B18" s="2">
        <v>-0.05</v>
      </c>
      <c r="D18" s="29">
        <f t="shared" si="0"/>
        <v>2204.9939589206606</v>
      </c>
      <c r="E18" s="554">
        <v>2190</v>
      </c>
    </row>
    <row r="19" spans="1:5" x14ac:dyDescent="0.25">
      <c r="A19" s="130">
        <f t="shared" si="1"/>
        <v>37177</v>
      </c>
      <c r="B19" s="2">
        <v>-0.05</v>
      </c>
      <c r="D19" s="29">
        <f t="shared" si="0"/>
        <v>2204.9939589206606</v>
      </c>
      <c r="E19" s="554">
        <v>2190</v>
      </c>
    </row>
    <row r="20" spans="1:5" x14ac:dyDescent="0.25">
      <c r="A20" s="130">
        <f t="shared" si="1"/>
        <v>37178</v>
      </c>
      <c r="B20" s="2">
        <v>-0.05</v>
      </c>
      <c r="D20" s="29">
        <f t="shared" si="0"/>
        <v>2204.9939589206606</v>
      </c>
      <c r="E20" s="554">
        <v>2190</v>
      </c>
    </row>
    <row r="21" spans="1:5" x14ac:dyDescent="0.25">
      <c r="A21" s="130">
        <f t="shared" si="1"/>
        <v>37179</v>
      </c>
      <c r="B21" s="2">
        <v>-0.05</v>
      </c>
      <c r="D21" s="29">
        <f t="shared" si="0"/>
        <v>2204.9939589206606</v>
      </c>
      <c r="E21" s="554">
        <v>2190</v>
      </c>
    </row>
    <row r="22" spans="1:5" x14ac:dyDescent="0.25">
      <c r="A22" s="130">
        <f t="shared" si="1"/>
        <v>37180</v>
      </c>
      <c r="B22" s="2">
        <v>-0.05</v>
      </c>
      <c r="D22" s="29">
        <f t="shared" si="0"/>
        <v>2204.9939589206606</v>
      </c>
      <c r="E22" s="554">
        <v>2190</v>
      </c>
    </row>
    <row r="23" spans="1:5" x14ac:dyDescent="0.25">
      <c r="A23" s="130">
        <f t="shared" si="1"/>
        <v>37181</v>
      </c>
      <c r="B23" s="2">
        <v>-0.05</v>
      </c>
      <c r="D23" s="29">
        <f t="shared" si="0"/>
        <v>2204.9939589206606</v>
      </c>
      <c r="E23" s="554">
        <v>2190</v>
      </c>
    </row>
    <row r="24" spans="1:5" x14ac:dyDescent="0.25">
      <c r="A24" s="130">
        <f t="shared" si="1"/>
        <v>37182</v>
      </c>
      <c r="B24" s="2">
        <v>-0.05</v>
      </c>
      <c r="D24" s="29">
        <f t="shared" si="0"/>
        <v>2204.9939589206606</v>
      </c>
      <c r="E24" s="554">
        <v>2190</v>
      </c>
    </row>
    <row r="25" spans="1:5" x14ac:dyDescent="0.25">
      <c r="A25" s="130">
        <f t="shared" si="1"/>
        <v>37183</v>
      </c>
      <c r="B25" s="2">
        <v>-0.05</v>
      </c>
      <c r="D25" s="29">
        <f t="shared" si="0"/>
        <v>2204.9939589206606</v>
      </c>
      <c r="E25" s="554">
        <v>2190</v>
      </c>
    </row>
    <row r="26" spans="1:5" x14ac:dyDescent="0.25">
      <c r="A26" s="130">
        <f t="shared" si="1"/>
        <v>37184</v>
      </c>
      <c r="B26" s="2">
        <v>-0.05</v>
      </c>
      <c r="D26" s="29">
        <f t="shared" si="0"/>
        <v>2204.9939589206606</v>
      </c>
      <c r="E26" s="554">
        <v>2190</v>
      </c>
    </row>
    <row r="27" spans="1:5" x14ac:dyDescent="0.25">
      <c r="A27" s="130">
        <f t="shared" si="1"/>
        <v>37185</v>
      </c>
      <c r="B27" s="2">
        <v>-0.05</v>
      </c>
      <c r="D27" s="29">
        <f t="shared" si="0"/>
        <v>2204.9939589206606</v>
      </c>
      <c r="E27" s="554">
        <v>2190</v>
      </c>
    </row>
    <row r="28" spans="1:5" x14ac:dyDescent="0.25">
      <c r="A28" s="130">
        <f t="shared" si="1"/>
        <v>37186</v>
      </c>
      <c r="B28" s="2">
        <v>-0.05</v>
      </c>
      <c r="D28" s="29">
        <f t="shared" si="0"/>
        <v>2204.9939589206606</v>
      </c>
      <c r="E28" s="554">
        <v>2190</v>
      </c>
    </row>
    <row r="29" spans="1:5" x14ac:dyDescent="0.25">
      <c r="A29" s="130">
        <f t="shared" si="1"/>
        <v>37187</v>
      </c>
      <c r="B29" s="2">
        <v>-0.05</v>
      </c>
      <c r="D29" s="29">
        <f t="shared" si="0"/>
        <v>2204.9939589206606</v>
      </c>
      <c r="E29" s="554">
        <v>2190</v>
      </c>
    </row>
    <row r="30" spans="1:5" x14ac:dyDescent="0.25">
      <c r="A30" s="130">
        <f t="shared" si="1"/>
        <v>37188</v>
      </c>
      <c r="B30" s="2">
        <v>-0.05</v>
      </c>
      <c r="D30" s="29">
        <f t="shared" si="0"/>
        <v>2204.9939589206606</v>
      </c>
      <c r="E30" s="554">
        <v>2190</v>
      </c>
    </row>
    <row r="31" spans="1:5" x14ac:dyDescent="0.25">
      <c r="A31" s="130">
        <f t="shared" si="1"/>
        <v>37189</v>
      </c>
      <c r="B31" s="2">
        <v>-0.05</v>
      </c>
      <c r="D31" s="29">
        <f t="shared" si="0"/>
        <v>2204.9939589206606</v>
      </c>
      <c r="E31" s="554">
        <v>2190</v>
      </c>
    </row>
    <row r="32" spans="1:5" x14ac:dyDescent="0.25">
      <c r="A32" s="130">
        <f t="shared" si="1"/>
        <v>37190</v>
      </c>
      <c r="B32" s="2">
        <v>-0.05</v>
      </c>
      <c r="D32" s="29">
        <f t="shared" si="0"/>
        <v>2204.9939589206606</v>
      </c>
      <c r="E32" s="554">
        <v>2190</v>
      </c>
    </row>
    <row r="33" spans="1:5" x14ac:dyDescent="0.25">
      <c r="A33" s="130">
        <f t="shared" si="1"/>
        <v>37191</v>
      </c>
      <c r="B33" s="2">
        <v>-0.05</v>
      </c>
      <c r="D33" s="29">
        <f t="shared" si="0"/>
        <v>2204.9939589206606</v>
      </c>
      <c r="E33" s="554">
        <v>2190</v>
      </c>
    </row>
    <row r="34" spans="1:5" x14ac:dyDescent="0.25">
      <c r="A34" s="130">
        <f t="shared" si="1"/>
        <v>37192</v>
      </c>
      <c r="B34" s="2">
        <v>-0.05</v>
      </c>
      <c r="D34" s="29">
        <f t="shared" si="0"/>
        <v>2204.9939589206606</v>
      </c>
      <c r="E34" s="554">
        <v>2190</v>
      </c>
    </row>
    <row r="35" spans="1:5" x14ac:dyDescent="0.25">
      <c r="A35" s="130">
        <f t="shared" si="1"/>
        <v>37193</v>
      </c>
      <c r="B35" s="2">
        <v>-0.05</v>
      </c>
      <c r="D35" s="29">
        <f t="shared" si="0"/>
        <v>2204.9939589206606</v>
      </c>
      <c r="E35" s="554">
        <v>2190</v>
      </c>
    </row>
    <row r="36" spans="1:5" x14ac:dyDescent="0.25">
      <c r="A36" s="130">
        <f t="shared" si="1"/>
        <v>37194</v>
      </c>
      <c r="B36" s="2">
        <v>-0.05</v>
      </c>
      <c r="D36" s="29">
        <f t="shared" si="0"/>
        <v>2204.9939589206606</v>
      </c>
      <c r="E36" s="554">
        <v>2190</v>
      </c>
    </row>
    <row r="37" spans="1:5" x14ac:dyDescent="0.25">
      <c r="A37" s="130">
        <f t="shared" si="1"/>
        <v>37195</v>
      </c>
      <c r="B37" s="2">
        <v>-0.05</v>
      </c>
      <c r="D37" s="29">
        <f t="shared" si="0"/>
        <v>2204.9939589206606</v>
      </c>
      <c r="E37" s="554">
        <v>2190</v>
      </c>
    </row>
    <row r="38" spans="1:5" x14ac:dyDescent="0.25">
      <c r="A38" s="130"/>
    </row>
  </sheetData>
  <mergeCells count="1">
    <mergeCell ref="D5:E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A1:J46"/>
  <sheetViews>
    <sheetView showGridLines="0" zoomScale="75" workbookViewId="0">
      <selection activeCell="D27" sqref="D27"/>
    </sheetView>
  </sheetViews>
  <sheetFormatPr defaultRowHeight="13.2" x14ac:dyDescent="0.25"/>
  <cols>
    <col min="1" max="1" width="22.109375" customWidth="1"/>
    <col min="2" max="2" width="19" customWidth="1"/>
    <col min="3" max="3" width="40" bestFit="1" customWidth="1"/>
    <col min="4" max="4" width="20" bestFit="1" customWidth="1"/>
    <col min="5" max="5" width="15.33203125" customWidth="1"/>
    <col min="6" max="6" width="33" customWidth="1"/>
    <col min="7" max="7" width="46.44140625" bestFit="1" customWidth="1"/>
    <col min="8" max="8" width="29.44140625" customWidth="1"/>
    <col min="10" max="10" width="11.33203125" bestFit="1" customWidth="1"/>
  </cols>
  <sheetData>
    <row r="1" spans="1:9" x14ac:dyDescent="0.25">
      <c r="C1" s="54" t="s">
        <v>74</v>
      </c>
      <c r="D1" s="55"/>
      <c r="E1" s="55"/>
      <c r="F1" s="56" t="s">
        <v>75</v>
      </c>
      <c r="G1" s="56"/>
      <c r="H1" s="66"/>
    </row>
    <row r="2" spans="1:9" x14ac:dyDescent="0.25">
      <c r="C2" s="50"/>
      <c r="D2" s="51"/>
      <c r="E2" s="51"/>
      <c r="F2" s="57"/>
      <c r="G2" s="57" t="s">
        <v>185</v>
      </c>
      <c r="H2" s="58" t="s">
        <v>82</v>
      </c>
    </row>
    <row r="3" spans="1:9" x14ac:dyDescent="0.25">
      <c r="C3" s="50" t="s">
        <v>71</v>
      </c>
      <c r="D3" s="51"/>
      <c r="E3" s="51"/>
      <c r="F3" s="57" t="s">
        <v>68</v>
      </c>
      <c r="G3" s="57"/>
      <c r="H3" s="231">
        <f ca="1">TODAY()</f>
        <v>37238</v>
      </c>
    </row>
    <row r="4" spans="1:9" x14ac:dyDescent="0.25">
      <c r="C4" s="50"/>
      <c r="D4" s="51"/>
      <c r="E4" s="51"/>
      <c r="F4" s="57" t="s">
        <v>104</v>
      </c>
      <c r="G4" s="57"/>
      <c r="H4" s="57"/>
    </row>
    <row r="5" spans="1:9" x14ac:dyDescent="0.25">
      <c r="C5" s="50"/>
      <c r="D5" s="51"/>
      <c r="E5" s="51"/>
      <c r="F5" s="57" t="s">
        <v>145</v>
      </c>
      <c r="G5" s="57"/>
      <c r="H5" s="58" t="s">
        <v>83</v>
      </c>
    </row>
    <row r="6" spans="1:9" x14ac:dyDescent="0.25">
      <c r="C6" s="50"/>
      <c r="D6" s="51"/>
      <c r="E6" s="51"/>
      <c r="F6" s="57" t="s">
        <v>179</v>
      </c>
      <c r="G6" s="57"/>
      <c r="H6" s="539">
        <v>37195</v>
      </c>
    </row>
    <row r="7" spans="1:9" x14ac:dyDescent="0.25">
      <c r="C7" s="50" t="s">
        <v>163</v>
      </c>
      <c r="D7" s="51"/>
      <c r="E7" s="51"/>
      <c r="F7" s="57" t="s">
        <v>146</v>
      </c>
      <c r="G7" s="57" t="s">
        <v>186</v>
      </c>
      <c r="H7" s="57"/>
    </row>
    <row r="8" spans="1:9" x14ac:dyDescent="0.25">
      <c r="C8" s="50" t="s">
        <v>164</v>
      </c>
      <c r="D8" s="51"/>
      <c r="E8" s="51"/>
      <c r="F8" s="57" t="s">
        <v>147</v>
      </c>
      <c r="G8" s="57" t="s">
        <v>187</v>
      </c>
      <c r="H8" s="58" t="s">
        <v>84</v>
      </c>
    </row>
    <row r="9" spans="1:9" x14ac:dyDescent="0.25">
      <c r="A9" s="68" t="s">
        <v>71</v>
      </c>
      <c r="B9" s="67"/>
      <c r="C9" s="52" t="s">
        <v>76</v>
      </c>
      <c r="D9" s="53"/>
      <c r="E9" s="53"/>
      <c r="F9" s="60" t="s">
        <v>148</v>
      </c>
      <c r="G9" s="60" t="s">
        <v>188</v>
      </c>
      <c r="H9" s="59" t="s">
        <v>165</v>
      </c>
    </row>
    <row r="10" spans="1:9" ht="13.8" thickBot="1" x14ac:dyDescent="0.3">
      <c r="A10" s="150">
        <f ca="1">NOW()</f>
        <v>37238.587624189815</v>
      </c>
      <c r="B10" s="49"/>
      <c r="C10" s="49"/>
      <c r="D10" s="49"/>
      <c r="E10" s="49"/>
      <c r="F10" s="49"/>
      <c r="G10" s="49"/>
      <c r="H10" s="49"/>
      <c r="I10" s="30"/>
    </row>
    <row r="11" spans="1:9" x14ac:dyDescent="0.25">
      <c r="A11" s="7" t="s">
        <v>86</v>
      </c>
      <c r="B11" s="7" t="s">
        <v>72</v>
      </c>
      <c r="C11" s="7" t="s">
        <v>73</v>
      </c>
      <c r="D11" s="7"/>
      <c r="E11" s="7"/>
    </row>
    <row r="12" spans="1:9" x14ac:dyDescent="0.25">
      <c r="A12" s="119">
        <f>+'Index Pricing'!A1</f>
        <v>37196</v>
      </c>
      <c r="B12" s="63">
        <v>96028270</v>
      </c>
      <c r="C12" t="s">
        <v>196</v>
      </c>
      <c r="D12" s="62"/>
      <c r="E12" s="62"/>
    </row>
    <row r="14" spans="1:9" ht="13.8" thickBot="1" x14ac:dyDescent="0.3">
      <c r="B14" s="101" t="s">
        <v>10</v>
      </c>
      <c r="C14" s="98" t="s">
        <v>135</v>
      </c>
      <c r="D14" s="100" t="s">
        <v>88</v>
      </c>
      <c r="E14" s="99" t="s">
        <v>180</v>
      </c>
      <c r="F14" s="99" t="s">
        <v>87</v>
      </c>
      <c r="G14" s="99"/>
      <c r="H14" s="100" t="s">
        <v>89</v>
      </c>
    </row>
    <row r="15" spans="1:9" x14ac:dyDescent="0.25">
      <c r="A15" s="71" t="str">
        <f>+'Wellstar Summary'!A19</f>
        <v>11/01/01 - 11/30/01</v>
      </c>
      <c r="B15" s="72" t="s">
        <v>11</v>
      </c>
      <c r="C15" s="141">
        <f>+'MTG Detail'!H11</f>
        <v>-0.48049999999999998</v>
      </c>
      <c r="D15" s="141">
        <f>+'MTG Detail'!J50</f>
        <v>0</v>
      </c>
      <c r="E15" s="142">
        <f>+F15/'MTG Detail'!B$6</f>
        <v>5259.7724867724874</v>
      </c>
      <c r="F15" s="142">
        <f>+'MTG Detail'!D48</f>
        <v>4881</v>
      </c>
      <c r="G15" s="142"/>
      <c r="H15" s="143">
        <f>+'MTG Detail'!J48</f>
        <v>5762.7495000000008</v>
      </c>
    </row>
    <row r="16" spans="1:9" x14ac:dyDescent="0.25">
      <c r="A16" s="14" t="str">
        <f>+A15</f>
        <v>11/01/01 - 11/30/01</v>
      </c>
      <c r="B16" s="30" t="s">
        <v>136</v>
      </c>
      <c r="C16" s="144">
        <f>+'MTG Detail'!H12</f>
        <v>-0.48049999999999998</v>
      </c>
      <c r="D16" s="145"/>
      <c r="E16" s="43">
        <f>+F16/'MTG Detail'!B$6</f>
        <v>7545.3650793650795</v>
      </c>
      <c r="F16" s="43">
        <f>+'MTG Detail'!F48</f>
        <v>7002</v>
      </c>
      <c r="G16" s="43"/>
      <c r="H16" s="81">
        <f>+'MTG Detail'!K48</f>
        <v>14420.618999999995</v>
      </c>
    </row>
    <row r="17" spans="1:10" ht="13.8" thickBot="1" x14ac:dyDescent="0.3">
      <c r="A17" s="15" t="str">
        <f>+A16</f>
        <v>11/01/01 - 11/30/01</v>
      </c>
      <c r="B17" s="49"/>
      <c r="C17" s="49" t="s">
        <v>142</v>
      </c>
      <c r="D17" s="146" t="s">
        <v>143</v>
      </c>
      <c r="E17" s="147">
        <f>+F17/'MTG Detail'!B$6</f>
        <v>25.862433862433864</v>
      </c>
      <c r="F17" s="147">
        <f>-'MTG Detail'!H48</f>
        <v>24</v>
      </c>
      <c r="G17" s="147"/>
      <c r="H17" s="148" t="s">
        <v>144</v>
      </c>
    </row>
    <row r="18" spans="1:10" x14ac:dyDescent="0.25">
      <c r="A18" s="140" t="str">
        <f>+'Kennedy Summary'!A23</f>
        <v>11/01/01 - 11/30/01</v>
      </c>
      <c r="D18" s="104"/>
      <c r="E18" s="29">
        <f>+F18/'MTG Detail'!B$6</f>
        <v>12831</v>
      </c>
      <c r="F18" s="140">
        <f>SUM(F15:F17)</f>
        <v>11907</v>
      </c>
      <c r="G18" s="140"/>
      <c r="H18" s="139">
        <f>SUM(H15:H17)</f>
        <v>20183.368499999997</v>
      </c>
    </row>
    <row r="20" spans="1:10" x14ac:dyDescent="0.25">
      <c r="D20" s="104"/>
      <c r="E20" s="104"/>
      <c r="F20" s="29"/>
      <c r="G20" s="29"/>
      <c r="H20" s="139"/>
    </row>
    <row r="21" spans="1:10" x14ac:dyDescent="0.25">
      <c r="D21" s="104"/>
      <c r="E21" s="104"/>
      <c r="F21" s="29"/>
      <c r="G21" s="29"/>
      <c r="H21" s="139">
        <v>0</v>
      </c>
      <c r="J21" s="83"/>
    </row>
    <row r="22" spans="1:10" x14ac:dyDescent="0.25">
      <c r="D22" s="104"/>
      <c r="E22" s="104"/>
      <c r="F22" s="29"/>
      <c r="G22" s="29"/>
      <c r="H22" s="139">
        <v>0</v>
      </c>
    </row>
    <row r="23" spans="1:10" x14ac:dyDescent="0.25">
      <c r="A23" s="130"/>
      <c r="D23" s="104"/>
      <c r="E23" s="104"/>
      <c r="F23" s="29"/>
      <c r="G23" s="29"/>
      <c r="H23" s="139"/>
    </row>
    <row r="24" spans="1:10" x14ac:dyDescent="0.25">
      <c r="D24" s="104"/>
      <c r="E24" s="104"/>
      <c r="F24" s="29"/>
      <c r="G24" s="29"/>
      <c r="H24" s="139"/>
    </row>
    <row r="25" spans="1:10" x14ac:dyDescent="0.25">
      <c r="D25" s="104"/>
      <c r="E25" s="104"/>
      <c r="F25" s="29"/>
      <c r="G25" s="29"/>
      <c r="H25" s="139"/>
    </row>
    <row r="26" spans="1:10" x14ac:dyDescent="0.25">
      <c r="A26" s="14"/>
      <c r="B26" t="s">
        <v>393</v>
      </c>
      <c r="D26" s="104"/>
      <c r="E26" s="104"/>
      <c r="F26" s="29"/>
      <c r="G26" s="29"/>
      <c r="H26" s="153"/>
    </row>
    <row r="27" spans="1:10" x14ac:dyDescent="0.25">
      <c r="D27" s="104"/>
      <c r="E27" s="104"/>
      <c r="F27" s="29"/>
      <c r="G27" s="29"/>
      <c r="H27" s="153"/>
    </row>
    <row r="28" spans="1:10" x14ac:dyDescent="0.25">
      <c r="B28" s="7"/>
      <c r="E28" s="104"/>
      <c r="F28" s="104"/>
      <c r="G28" s="29"/>
      <c r="H28" s="139"/>
    </row>
    <row r="29" spans="1:10" x14ac:dyDescent="0.25">
      <c r="B29" s="175" t="s">
        <v>247</v>
      </c>
      <c r="D29" s="2"/>
      <c r="E29" s="176"/>
      <c r="F29" s="180"/>
      <c r="G29" s="29"/>
      <c r="H29" s="139"/>
    </row>
    <row r="30" spans="1:10" x14ac:dyDescent="0.25">
      <c r="B30" s="175"/>
      <c r="D30" s="2"/>
      <c r="E30" s="176"/>
      <c r="F30" s="180"/>
      <c r="G30" s="215"/>
    </row>
    <row r="31" spans="1:10" x14ac:dyDescent="0.25">
      <c r="B31" s="175"/>
      <c r="D31" s="2"/>
      <c r="E31" s="176"/>
      <c r="F31" s="180"/>
      <c r="G31" s="215"/>
    </row>
    <row r="32" spans="1:10" x14ac:dyDescent="0.25">
      <c r="B32" s="175"/>
      <c r="D32" s="2"/>
      <c r="E32" s="176"/>
      <c r="F32" s="180"/>
      <c r="G32" s="138" t="s">
        <v>248</v>
      </c>
      <c r="H32" s="139">
        <f>SUM(G30:G31)</f>
        <v>0</v>
      </c>
    </row>
    <row r="33" spans="1:8" x14ac:dyDescent="0.25">
      <c r="B33" s="175"/>
      <c r="D33" s="3"/>
      <c r="E33" s="176"/>
      <c r="F33" s="180"/>
      <c r="G33" s="29"/>
      <c r="H33" s="139"/>
    </row>
    <row r="34" spans="1:8" x14ac:dyDescent="0.25">
      <c r="B34" s="175"/>
      <c r="D34" s="3"/>
      <c r="E34" s="176"/>
      <c r="F34" s="180"/>
      <c r="G34" s="29"/>
      <c r="H34" s="139"/>
    </row>
    <row r="35" spans="1:8" x14ac:dyDescent="0.25">
      <c r="B35" s="175"/>
      <c r="D35" s="3"/>
      <c r="E35" s="176"/>
      <c r="F35" s="180"/>
      <c r="G35" s="29"/>
      <c r="H35" s="139"/>
    </row>
    <row r="36" spans="1:8" x14ac:dyDescent="0.25">
      <c r="B36" s="175"/>
      <c r="D36" s="3"/>
      <c r="E36" s="176"/>
      <c r="F36" s="180"/>
      <c r="G36" s="29"/>
      <c r="H36" s="139"/>
    </row>
    <row r="37" spans="1:8" x14ac:dyDescent="0.25">
      <c r="B37" s="175"/>
      <c r="D37" s="2"/>
      <c r="E37" s="176"/>
      <c r="F37" s="180"/>
      <c r="G37" s="29"/>
      <c r="H37" s="139"/>
    </row>
    <row r="38" spans="1:8" x14ac:dyDescent="0.25">
      <c r="D38" s="91" t="s">
        <v>137</v>
      </c>
      <c r="E38" s="91"/>
      <c r="F38" s="97"/>
      <c r="G38" s="97"/>
      <c r="H38" s="92">
        <f>SUM(H18:H36)</f>
        <v>20183.368499999997</v>
      </c>
    </row>
    <row r="39" spans="1:8" x14ac:dyDescent="0.25">
      <c r="B39" s="64"/>
      <c r="C39" s="7"/>
      <c r="F39" s="7"/>
      <c r="G39" s="7"/>
    </row>
    <row r="40" spans="1:8" x14ac:dyDescent="0.25">
      <c r="B40" s="63"/>
    </row>
    <row r="41" spans="1:8" x14ac:dyDescent="0.25">
      <c r="B41" s="64"/>
    </row>
    <row r="42" spans="1:8" x14ac:dyDescent="0.25">
      <c r="B42" s="64"/>
    </row>
    <row r="43" spans="1:8" x14ac:dyDescent="0.25">
      <c r="A43" s="7"/>
      <c r="B43" s="7"/>
      <c r="C43" s="7"/>
    </row>
    <row r="44" spans="1:8" x14ac:dyDescent="0.25">
      <c r="A44" s="61"/>
      <c r="B44" s="63"/>
    </row>
    <row r="45" spans="1:8" x14ac:dyDescent="0.25">
      <c r="B45" s="64"/>
    </row>
    <row r="46" spans="1:8" x14ac:dyDescent="0.25">
      <c r="B46" s="64"/>
    </row>
  </sheetData>
  <phoneticPr fontId="0" type="noConversion"/>
  <pageMargins left="0.75" right="0.75" top="1" bottom="1" header="0.5" footer="0.5"/>
  <pageSetup scale="5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1265" r:id="rId4">
          <objectPr defaultSize="0" autoPict="0" r:id="rId5">
            <anchor moveWithCells="1">
              <from>
                <xdr:col>0</xdr:col>
                <xdr:colOff>563880</xdr:colOff>
                <xdr:row>0</xdr:row>
                <xdr:rowOff>0</xdr:rowOff>
              </from>
              <to>
                <xdr:col>1</xdr:col>
                <xdr:colOff>175260</xdr:colOff>
                <xdr:row>6</xdr:row>
                <xdr:rowOff>22860</xdr:rowOff>
              </to>
            </anchor>
          </objectPr>
        </oleObject>
      </mc:Choice>
      <mc:Fallback>
        <oleObject progId="Paint.Picture" shapeId="1126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13</vt:i4>
      </vt:variant>
    </vt:vector>
  </HeadingPairs>
  <TitlesOfParts>
    <vt:vector size="35" baseType="lpstr">
      <vt:lpstr>Index Pricing</vt:lpstr>
      <vt:lpstr>Independent Summary</vt:lpstr>
      <vt:lpstr>Independent Detail</vt:lpstr>
      <vt:lpstr>Kennedy Summary</vt:lpstr>
      <vt:lpstr>Box Draw Detail</vt:lpstr>
      <vt:lpstr>S Kitty Detail</vt:lpstr>
      <vt:lpstr>Internal Kennedy Total</vt:lpstr>
      <vt:lpstr>Kennedy Gas Daily Pricing</vt:lpstr>
      <vt:lpstr>MTG Summary</vt:lpstr>
      <vt:lpstr>MTG Detail</vt:lpstr>
      <vt:lpstr>Phillips Summary</vt:lpstr>
      <vt:lpstr>Phillips Detail</vt:lpstr>
      <vt:lpstr>Internal Phillips Combined</vt:lpstr>
      <vt:lpstr>Quantum Summary</vt:lpstr>
      <vt:lpstr>Quantum Detail</vt:lpstr>
      <vt:lpstr>Wellstar Summary</vt:lpstr>
      <vt:lpstr>Wellstar Detail</vt:lpstr>
      <vt:lpstr>North Finn Summary</vt:lpstr>
      <vt:lpstr>North Finn Detail</vt:lpstr>
      <vt:lpstr>Citation Summary</vt:lpstr>
      <vt:lpstr>Citation Detail</vt:lpstr>
      <vt:lpstr>Internal Xfer Summary</vt:lpstr>
      <vt:lpstr>'Box Draw Detail'!Print_Area</vt:lpstr>
      <vt:lpstr>'Citation Detail'!Print_Area</vt:lpstr>
      <vt:lpstr>'Independent Detail'!Print_Area</vt:lpstr>
      <vt:lpstr>'Independent Summary'!Print_Area</vt:lpstr>
      <vt:lpstr>'Internal Kennedy Total'!Print_Area</vt:lpstr>
      <vt:lpstr>'Internal Phillips Combined'!Print_Area</vt:lpstr>
      <vt:lpstr>'Internal Xfer Summary'!Print_Area</vt:lpstr>
      <vt:lpstr>'Kennedy Summary'!Print_Area</vt:lpstr>
      <vt:lpstr>'MTG Summary'!Print_Area</vt:lpstr>
      <vt:lpstr>'Phillips Detail'!Print_Area</vt:lpstr>
      <vt:lpstr>'Phillips Summary'!Print_Area</vt:lpstr>
      <vt:lpstr>'S Kitty Detail'!Print_Area</vt:lpstr>
      <vt:lpstr>'Wellstar Summary'!Print_Area</vt:lpstr>
    </vt:vector>
  </TitlesOfParts>
  <Company>Enron Midstream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Sitter</dc:creator>
  <cp:lastModifiedBy>Havlíček Jan</cp:lastModifiedBy>
  <cp:lastPrinted>2001-11-16T15:14:02Z</cp:lastPrinted>
  <dcterms:created xsi:type="dcterms:W3CDTF">2000-01-20T16:16:06Z</dcterms:created>
  <dcterms:modified xsi:type="dcterms:W3CDTF">2023-09-10T15:30:08Z</dcterms:modified>
</cp:coreProperties>
</file>